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5522F0-3028-42A6-8F08-4E734A70541B}" xr6:coauthVersionLast="47" xr6:coauthVersionMax="47" xr10:uidLastSave="{00000000-0000-0000-0000-000000000000}"/>
  <bookViews>
    <workbookView xWindow="-120" yWindow="-120" windowWidth="38640" windowHeight="15720" tabRatio="337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'2000'!$A$1:$V$36</definedName>
    <definedName name="_xlnm.Print_Area" localSheetId="2">'9-30-99'!$A$1:$M$38</definedName>
    <definedName name="var">#REF!</definedName>
  </definedNames>
  <calcPr calcId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F4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2" i="1"/>
  <c r="H12" i="1"/>
  <c r="I12" i="1"/>
  <c r="J12" i="1"/>
  <c r="G13" i="1"/>
  <c r="H13" i="1"/>
  <c r="I13" i="1"/>
  <c r="J13" i="1"/>
  <c r="D24" i="1"/>
  <c r="F24" i="1"/>
  <c r="G24" i="1"/>
  <c r="H24" i="1"/>
  <c r="I24" i="1"/>
  <c r="J24" i="1"/>
  <c r="S24" i="1"/>
  <c r="T24" i="1"/>
  <c r="U24" i="1"/>
  <c r="D25" i="1"/>
  <c r="F25" i="1"/>
  <c r="G25" i="1"/>
  <c r="H25" i="1"/>
  <c r="I25" i="1"/>
  <c r="J25" i="1"/>
  <c r="S25" i="1"/>
  <c r="T25" i="1"/>
  <c r="U25" i="1"/>
  <c r="D26" i="1"/>
  <c r="F26" i="1"/>
  <c r="G26" i="1"/>
  <c r="H26" i="1"/>
  <c r="I26" i="1"/>
  <c r="J26" i="1"/>
  <c r="S26" i="1"/>
  <c r="T26" i="1"/>
  <c r="U26" i="1"/>
  <c r="D27" i="1"/>
  <c r="F27" i="1"/>
  <c r="G27" i="1"/>
  <c r="H27" i="1"/>
  <c r="I27" i="1"/>
  <c r="J27" i="1"/>
  <c r="S27" i="1"/>
  <c r="T27" i="1"/>
  <c r="U27" i="1"/>
  <c r="D28" i="1"/>
  <c r="F28" i="1"/>
  <c r="G28" i="1"/>
  <c r="H28" i="1"/>
  <c r="I28" i="1"/>
  <c r="J28" i="1"/>
  <c r="S28" i="1"/>
  <c r="T28" i="1"/>
  <c r="U28" i="1"/>
  <c r="D29" i="1"/>
  <c r="F29" i="1"/>
  <c r="G29" i="1"/>
  <c r="H29" i="1"/>
  <c r="I29" i="1"/>
  <c r="J29" i="1"/>
  <c r="S29" i="1"/>
  <c r="T29" i="1"/>
  <c r="U29" i="1"/>
  <c r="D30" i="1"/>
  <c r="F30" i="1"/>
  <c r="G30" i="1"/>
  <c r="H30" i="1"/>
  <c r="I30" i="1"/>
  <c r="J30" i="1"/>
  <c r="S30" i="1"/>
  <c r="T30" i="1"/>
  <c r="U30" i="1"/>
  <c r="D31" i="1"/>
  <c r="F31" i="1"/>
  <c r="G31" i="1"/>
  <c r="H31" i="1"/>
  <c r="I31" i="1"/>
  <c r="J31" i="1"/>
  <c r="S31" i="1"/>
  <c r="T31" i="1"/>
  <c r="U31" i="1"/>
  <c r="D33" i="1"/>
  <c r="F33" i="1"/>
  <c r="G33" i="1"/>
  <c r="H33" i="1"/>
  <c r="I33" i="1"/>
  <c r="J33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8"/>
            <color indexed="81"/>
            <rFont val="Tahoma"/>
            <family val="2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</t>
        </r>
      </text>
    </comment>
    <comment ref="A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Matt A. Brown x3-1499; figures provided by Matthew Adams (see ET&amp;S)</t>
        </r>
      </text>
    </comment>
    <comment ref="A1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Dan Fancler &amp; Debbie Mosely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shares.  Straight swap so use numbers that Steve Ross Reports
</t>
        </r>
      </text>
    </comment>
    <comment ref="F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Steve Ross reported a much lower VaR, but he assumed 39% volatility.  ENE volatility was actually  64%.
</t>
        </r>
      </text>
    </comment>
    <comment ref="G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Steve Ross reported a much lower VaR, but he assumed 39% volatility.  ENE volatility was actually  59%.
</t>
        </r>
      </text>
    </comment>
    <comment ref="H22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approx 52%
</t>
        </r>
      </text>
    </comment>
    <comment ref="I22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approx 49%
</t>
        </r>
      </text>
    </comment>
    <comment ref="J22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approx 46% and corrected ENE price to 72 7/8
</t>
        </r>
      </text>
    </comment>
    <comment ref="D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F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<sst xmlns="http://schemas.openxmlformats.org/spreadsheetml/2006/main" count="678" uniqueCount="170">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</sst>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5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MS Sans Serif"/>
    </font>
    <font>
      <sz val="8.5"/>
      <name val="MS Sans Serif"/>
    </font>
    <font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17" fontId="18" fillId="2" borderId="0" xfId="0" applyNumberFormat="1" applyFont="1" applyFill="1" applyAlignment="1"/>
    <xf numFmtId="3" fontId="3" fillId="2" borderId="0" xfId="0" applyNumberFormat="1" applyFont="1" applyFill="1" applyAlignment="1"/>
    <xf numFmtId="182" fontId="18" fillId="2" borderId="0" xfId="0" applyNumberFormat="1" applyFont="1" applyFill="1" applyAlignment="1"/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>
      <protection locked="0"/>
    </xf>
    <xf numFmtId="3" fontId="13" fillId="0" borderId="0" xfId="0" applyNumberFormat="1" applyFont="1" applyFill="1" applyAlignment="1" applyProtection="1">
      <alignment horizontal="right"/>
      <protection locked="0"/>
    </xf>
    <xf numFmtId="3" fontId="13" fillId="0" borderId="0" xfId="0" applyNumberFormat="1" applyFont="1" applyAlignment="1" applyProtection="1">
      <alignment horizontal="right"/>
      <protection locked="0"/>
    </xf>
    <xf numFmtId="3" fontId="3" fillId="2" borderId="0" xfId="0" applyNumberFormat="1" applyFont="1" applyFill="1" applyAlignment="1" applyProtection="1">
      <protection locked="0"/>
    </xf>
    <xf numFmtId="3" fontId="0" fillId="0" borderId="0" xfId="0" applyNumberFormat="1" applyFill="1" applyAlignment="1" applyProtection="1">
      <protection locked="0"/>
    </xf>
    <xf numFmtId="3" fontId="3" fillId="0" borderId="0" xfId="0" applyNumberFormat="1" applyFont="1" applyAlignment="1" applyProtection="1">
      <protection locked="0"/>
    </xf>
    <xf numFmtId="3" fontId="3" fillId="2" borderId="0" xfId="0" applyNumberFormat="1" applyFont="1" applyFill="1" applyAlignment="1" applyProtection="1">
      <alignment horizontal="right"/>
      <protection locked="0"/>
    </xf>
    <xf numFmtId="182" fontId="18" fillId="2" borderId="0" xfId="0" applyNumberFormat="1" applyFont="1" applyFill="1" applyAlignment="1" applyProtection="1"/>
    <xf numFmtId="3" fontId="13" fillId="0" borderId="0" xfId="0" applyNumberFormat="1" applyFont="1" applyFill="1" applyAlignment="1" applyProtection="1">
      <alignment horizontal="right"/>
    </xf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0" fontId="6" fillId="0" borderId="0" xfId="0" applyFont="1" applyAlignment="1">
      <alignment horizontal="center"/>
    </xf>
    <xf numFmtId="15" fontId="12" fillId="9" borderId="12" xfId="0" applyNumberFormat="1" applyFont="1" applyFill="1" applyBorder="1" applyAlignment="1">
      <alignment horizontal="center" vertical="center"/>
    </xf>
    <xf numFmtId="15" fontId="12" fillId="9" borderId="13" xfId="0" applyNumberFormat="1" applyFont="1" applyFill="1" applyBorder="1" applyAlignment="1">
      <alignment horizontal="center" vertical="center"/>
    </xf>
    <xf numFmtId="15" fontId="12" fillId="9" borderId="14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468189233278956E-2"/>
          <c:w val="0.85793562708102111"/>
          <c:h val="0.9461663947797716"/>
        </c:manualLayout>
      </c:layout>
      <c:lineChart>
        <c:grouping val="standard"/>
        <c:varyColors val="0"/>
        <c:ser>
          <c:idx val="1"/>
          <c:order val="1"/>
          <c:tx>
            <c:strRef>
              <c:f>'2000'!$A$25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'2000'!$D$1:$Q$1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'2000'!$D$25:$Q$25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A-400A-B6D5-D2DD5789FBB9}"/>
            </c:ext>
          </c:extLst>
        </c:ser>
        <c:ser>
          <c:idx val="2"/>
          <c:order val="2"/>
          <c:tx>
            <c:strRef>
              <c:f>'2000'!$A$26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'2000'!$D$1:$Q$1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'2000'!$D$26:$Q$26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A-400A-B6D5-D2DD5789FBB9}"/>
            </c:ext>
          </c:extLst>
        </c:ser>
        <c:ser>
          <c:idx val="4"/>
          <c:order val="4"/>
          <c:tx>
            <c:strRef>
              <c:f>'2000'!$A$28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'2000'!$D$1:$Q$1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'2000'!$D$28:$Q$28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1868431.0486903177</c:v>
                </c:pt>
                <c:pt idx="3" formatCode="#,##0">
                  <c:v>1887670.0264349699</c:v>
                </c:pt>
                <c:pt idx="4" formatCode="#,##0">
                  <c:v>1595902.2031434132</c:v>
                </c:pt>
                <c:pt idx="5" formatCode="#,##0">
                  <c:v>1628932.887227095</c:v>
                </c:pt>
                <c:pt idx="6" formatCode="#,##0">
                  <c:v>2219115.5267146411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A-400A-B6D5-D2DD5789FBB9}"/>
            </c:ext>
          </c:extLst>
        </c:ser>
        <c:ser>
          <c:idx val="5"/>
          <c:order val="5"/>
          <c:tx>
            <c:strRef>
              <c:f>'2000'!$A$29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'2000'!$D$1:$Q$1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'2000'!$D$29:$Q$29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A-400A-B6D5-D2DD5789FBB9}"/>
            </c:ext>
          </c:extLst>
        </c:ser>
        <c:ser>
          <c:idx val="6"/>
          <c:order val="6"/>
          <c:tx>
            <c:strRef>
              <c:f>'2000'!$A$30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'2000'!$D$1:$Q$1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'2000'!$D$30:$Q$30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CA-400A-B6D5-D2DD5789FBB9}"/>
            </c:ext>
          </c:extLst>
        </c:ser>
        <c:ser>
          <c:idx val="7"/>
          <c:order val="7"/>
          <c:tx>
            <c:strRef>
              <c:f>'2000'!$A$31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'2000'!$D$1:$Q$1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'2000'!$D$31:$Q$31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5365646.3287140997</c:v>
                </c:pt>
                <c:pt idx="3" formatCode="#,##0">
                  <c:v>5024077.1295704497</c:v>
                </c:pt>
                <c:pt idx="4" formatCode="#,##0">
                  <c:v>4856715.9082861701</c:v>
                </c:pt>
                <c:pt idx="5" formatCode="#,##0">
                  <c:v>4251447.2219406199</c:v>
                </c:pt>
                <c:pt idx="6" formatCode="#,##0">
                  <c:v>4166227.8812352498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CA-400A-B6D5-D2DD5789F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79311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'2000'!$A$24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'2000'!$D$1:$Q$1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'2000'!$D$24:$Q$24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27472534.245476041</c:v>
                </c:pt>
                <c:pt idx="3" formatCode="#,##0">
                  <c:v>22768259.35065062</c:v>
                </c:pt>
                <c:pt idx="4" formatCode="#,##0">
                  <c:v>32047711.917250909</c:v>
                </c:pt>
                <c:pt idx="5" formatCode="#,##0">
                  <c:v>50355432.669243842</c:v>
                </c:pt>
                <c:pt idx="6" formatCode="#,##0">
                  <c:v>49723647.982397556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CA-400A-B6D5-D2DD5789FBB9}"/>
            </c:ext>
          </c:extLst>
        </c:ser>
        <c:ser>
          <c:idx val="3"/>
          <c:order val="3"/>
          <c:tx>
            <c:strRef>
              <c:f>'2000'!$A$27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'2000'!$D$1:$Q$1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'2000'!$D$27:$Q$27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30573685.4373927</c:v>
                </c:pt>
                <c:pt idx="3" formatCode="#,##0">
                  <c:v>28480979.891673576</c:v>
                </c:pt>
                <c:pt idx="4" formatCode="#,##0">
                  <c:v>31556648.855155952</c:v>
                </c:pt>
                <c:pt idx="5" formatCode="#,##0">
                  <c:v>31662375.047306582</c:v>
                </c:pt>
                <c:pt idx="6" formatCode="#,##0">
                  <c:v>28437068.685393363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CA-400A-B6D5-D2DD5789F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6966793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696679311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7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251942286348501E-2"/>
          <c:y val="1.468189233278956E-2"/>
          <c:w val="0.24861265260821311"/>
          <c:h val="0.210440456769983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8357502-161B-4A6E-7043-410093DB23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0.0115</cdr:y>
    </cdr:from>
    <cdr:to>
      <cdr:x>0.932</cdr:x>
      <cdr:y>0.0915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2A488382-8073-CC77-7442-4ED5350312B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67146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MS Sans Serif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O2" activePane="bottomRight" state="frozen"/>
      <selection activeCell="C35" sqref="C35"/>
      <selection pane="topRight" activeCell="C35" sqref="C35"/>
      <selection pane="bottomLeft" activeCell="C35" sqref="C35"/>
      <selection pane="bottomRight" activeCell="Q15" sqref="Q15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33"/>
      <c r="B1" s="133"/>
      <c r="C1" s="133"/>
      <c r="D1" s="133"/>
      <c r="E1" s="133">
        <v>36130</v>
      </c>
      <c r="F1" s="133"/>
      <c r="G1" s="133">
        <v>36161</v>
      </c>
      <c r="H1" s="133">
        <v>36192</v>
      </c>
      <c r="I1" s="133">
        <v>36220</v>
      </c>
      <c r="J1" s="133">
        <v>36251</v>
      </c>
      <c r="K1" s="133">
        <v>36281</v>
      </c>
      <c r="L1" s="133">
        <v>36312</v>
      </c>
      <c r="M1" s="133">
        <v>36342</v>
      </c>
      <c r="N1" s="133">
        <v>36373</v>
      </c>
      <c r="O1" s="133">
        <v>36404</v>
      </c>
      <c r="P1" s="133">
        <v>36434</v>
      </c>
      <c r="Q1" s="133">
        <v>36465</v>
      </c>
      <c r="R1" s="133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5" customFormat="1" ht="12" customHeight="1">
      <c r="A20" s="134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6">
        <f>(I24-E24)*1/3+E24</f>
        <v>832759.90333333332</v>
      </c>
      <c r="H24" s="136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6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6">
        <f>(I25-E25)*1/3+E25</f>
        <v>26000.74</v>
      </c>
      <c r="H25" s="136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6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5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V39"/>
  <sheetViews>
    <sheetView tabSelected="1" zoomScale="75" workbookViewId="0">
      <pane xSplit="5" ySplit="1" topLeftCell="F2" activePane="bottomRight" state="frozen"/>
      <selection activeCell="Q29" sqref="Q29"/>
      <selection pane="topRight" activeCell="Q29" sqref="Q29"/>
      <selection pane="bottomLeft" activeCell="Q29" sqref="Q29"/>
      <selection pane="bottomRight" activeCell="J28" sqref="J28"/>
    </sheetView>
  </sheetViews>
  <sheetFormatPr defaultRowHeight="12" customHeight="1"/>
  <cols>
    <col min="1" max="1" width="52.85546875" style="62" customWidth="1"/>
    <col min="2" max="3" width="18.5703125" style="62" hidden="1" customWidth="1"/>
    <col min="4" max="4" width="12.28515625" style="35" customWidth="1"/>
    <col min="5" max="5" width="3.42578125" style="35" customWidth="1"/>
    <col min="6" max="9" width="12.28515625" style="100" customWidth="1"/>
    <col min="10" max="10" width="12.28515625" style="151" customWidth="1"/>
    <col min="11" max="17" width="12.28515625" style="100" customWidth="1"/>
    <col min="18" max="18" width="3.140625" customWidth="1"/>
    <col min="19" max="21" width="12.28515625" style="116" customWidth="1"/>
    <col min="22" max="22" width="3.7109375" customWidth="1"/>
  </cols>
  <sheetData>
    <row r="1" spans="1:22" ht="12" customHeight="1">
      <c r="A1" s="128"/>
      <c r="B1" s="129"/>
      <c r="C1" s="129"/>
      <c r="D1" s="132">
        <v>36495</v>
      </c>
      <c r="E1" s="130"/>
      <c r="F1" s="132">
        <v>36526</v>
      </c>
      <c r="G1" s="132">
        <v>36557</v>
      </c>
      <c r="H1" s="132">
        <v>36586</v>
      </c>
      <c r="I1" s="132">
        <v>36617</v>
      </c>
      <c r="J1" s="145">
        <v>36647</v>
      </c>
      <c r="K1" s="138">
        <v>36678</v>
      </c>
      <c r="L1" s="138">
        <v>36708</v>
      </c>
      <c r="M1" s="138">
        <v>36739</v>
      </c>
      <c r="N1" s="138">
        <v>36770</v>
      </c>
      <c r="O1" s="138">
        <v>36800</v>
      </c>
      <c r="P1" s="138">
        <v>36831</v>
      </c>
      <c r="Q1" s="138">
        <v>36861</v>
      </c>
      <c r="R1" s="128"/>
      <c r="S1" s="128" t="s">
        <v>156</v>
      </c>
      <c r="T1" s="128" t="s">
        <v>157</v>
      </c>
      <c r="U1" s="128" t="s">
        <v>158</v>
      </c>
      <c r="V1" s="128"/>
    </row>
    <row r="2" spans="1:22" ht="12" customHeight="1">
      <c r="A2" s="137" t="s">
        <v>19</v>
      </c>
      <c r="B2" s="129" t="s">
        <v>141</v>
      </c>
      <c r="C2" s="129" t="s">
        <v>142</v>
      </c>
      <c r="D2" s="131"/>
      <c r="E2" s="130"/>
      <c r="F2" s="110">
        <v>23648142</v>
      </c>
      <c r="G2" s="110">
        <v>18913435</v>
      </c>
      <c r="H2" s="110">
        <v>28703135</v>
      </c>
      <c r="I2" s="110">
        <v>45126975</v>
      </c>
      <c r="J2" s="146">
        <v>45127067.338270202</v>
      </c>
      <c r="K2" s="139"/>
      <c r="L2" s="139"/>
      <c r="M2" s="139"/>
      <c r="N2" s="139"/>
      <c r="O2" s="139"/>
      <c r="P2" s="139"/>
      <c r="Q2" s="139"/>
      <c r="R2" s="128"/>
      <c r="S2" s="128"/>
      <c r="T2" s="128"/>
      <c r="U2" s="128"/>
      <c r="V2" s="128"/>
    </row>
    <row r="3" spans="1:22" ht="12" customHeight="1">
      <c r="A3" s="137" t="s">
        <v>20</v>
      </c>
      <c r="B3" s="129" t="s">
        <v>141</v>
      </c>
      <c r="C3" s="129" t="s">
        <v>142</v>
      </c>
      <c r="D3" s="131"/>
      <c r="E3" s="130"/>
      <c r="F3" s="110">
        <v>2662112</v>
      </c>
      <c r="G3" s="110">
        <v>2447886</v>
      </c>
      <c r="H3" s="110">
        <v>2285580</v>
      </c>
      <c r="I3" s="110">
        <v>3078240</v>
      </c>
      <c r="J3" s="146">
        <v>2846150.1720883301</v>
      </c>
      <c r="K3" s="139"/>
      <c r="L3" s="139"/>
      <c r="M3" s="139"/>
      <c r="N3" s="139"/>
      <c r="O3" s="139"/>
      <c r="P3" s="139"/>
      <c r="Q3" s="139"/>
      <c r="R3" s="128"/>
      <c r="S3" s="128"/>
      <c r="T3" s="128"/>
      <c r="U3" s="128"/>
      <c r="V3" s="128"/>
    </row>
    <row r="4" spans="1:22" ht="12" customHeight="1">
      <c r="A4" s="137" t="s">
        <v>21</v>
      </c>
      <c r="B4" s="129" t="s">
        <v>141</v>
      </c>
      <c r="C4" s="129" t="s">
        <v>142</v>
      </c>
      <c r="D4" s="131"/>
      <c r="E4" s="130"/>
      <c r="F4" s="110">
        <f>7589.8558170981*1000</f>
        <v>7589855.8170980997</v>
      </c>
      <c r="G4" s="110">
        <f>6950.63828900979*1000</f>
        <v>6950638.2890097899</v>
      </c>
      <c r="H4" s="110">
        <f>7060.14736265567*1000</f>
        <v>7060147.3626556695</v>
      </c>
      <c r="I4" s="110">
        <f>13910.5867087569*1000</f>
        <v>13910586.708756901</v>
      </c>
      <c r="J4" s="146">
        <f>12636.5841175892*1000</f>
        <v>12636584.1175892</v>
      </c>
      <c r="K4" s="139"/>
      <c r="L4" s="139"/>
      <c r="M4" s="139"/>
      <c r="N4" s="139"/>
      <c r="O4" s="139"/>
      <c r="P4" s="139"/>
      <c r="Q4" s="139"/>
      <c r="R4" s="128"/>
      <c r="S4" s="128"/>
      <c r="T4" s="128"/>
      <c r="U4" s="128"/>
      <c r="V4" s="128"/>
    </row>
    <row r="5" spans="1:22" ht="12" customHeight="1">
      <c r="A5" s="137" t="s">
        <v>82</v>
      </c>
      <c r="B5" s="129" t="s">
        <v>141</v>
      </c>
      <c r="C5" s="129" t="s">
        <v>142</v>
      </c>
      <c r="D5" s="131"/>
      <c r="E5" s="130"/>
      <c r="F5" s="110">
        <v>1936000</v>
      </c>
      <c r="G5" s="110">
        <f>2104.88069699243*1000</f>
        <v>2104880.6969924299</v>
      </c>
      <c r="H5" s="110">
        <f>1908.82298517186*1000</f>
        <v>1908822.9851718599</v>
      </c>
      <c r="I5" s="110">
        <f>1898.64963246316*1000</f>
        <v>1898649.63246316</v>
      </c>
      <c r="J5" s="146">
        <f>1246.45088192924*1000</f>
        <v>1246450.88192924</v>
      </c>
      <c r="K5" s="139"/>
      <c r="L5" s="139"/>
      <c r="M5" s="139"/>
      <c r="N5" s="139"/>
      <c r="O5" s="139"/>
      <c r="P5" s="139"/>
      <c r="Q5" s="139"/>
      <c r="R5" s="128"/>
      <c r="S5" s="128"/>
      <c r="T5" s="128"/>
      <c r="U5" s="128"/>
      <c r="V5" s="128"/>
    </row>
    <row r="6" spans="1:22" ht="12" customHeight="1">
      <c r="A6" s="137" t="s">
        <v>83</v>
      </c>
      <c r="B6" s="129" t="s">
        <v>141</v>
      </c>
      <c r="C6" s="129" t="s">
        <v>142</v>
      </c>
      <c r="D6" s="131"/>
      <c r="E6" s="130"/>
      <c r="F6" s="110">
        <v>208000</v>
      </c>
      <c r="G6" s="110">
        <f>211*1000</f>
        <v>211000</v>
      </c>
      <c r="H6" s="110">
        <f>617*1000</f>
        <v>617000</v>
      </c>
      <c r="I6" s="110">
        <f>310.375*1000</f>
        <v>310375</v>
      </c>
      <c r="J6" s="146">
        <f>300.099096904298*1000</f>
        <v>300099.096904298</v>
      </c>
      <c r="K6" s="139"/>
      <c r="L6" s="139"/>
      <c r="M6" s="139"/>
      <c r="N6" s="139"/>
      <c r="O6" s="139"/>
      <c r="P6" s="139"/>
      <c r="Q6" s="139"/>
      <c r="R6" s="128"/>
      <c r="S6" s="128"/>
      <c r="T6" s="128"/>
      <c r="U6" s="128"/>
      <c r="V6" s="128"/>
    </row>
    <row r="7" spans="1:22" ht="12" customHeight="1">
      <c r="A7" s="137" t="s">
        <v>84</v>
      </c>
      <c r="B7" s="129" t="s">
        <v>141</v>
      </c>
      <c r="C7" s="129" t="s">
        <v>142</v>
      </c>
      <c r="D7" s="131"/>
      <c r="E7" s="130"/>
      <c r="F7" s="110">
        <v>201000</v>
      </c>
      <c r="G7" s="110">
        <f>169.393115477633*1000</f>
        <v>169393.11547763299</v>
      </c>
      <c r="H7" s="110">
        <f>117.904900665046*1000</f>
        <v>117904.90066504601</v>
      </c>
      <c r="I7" s="110">
        <f>164.113650638791*1000</f>
        <v>164113.650638791</v>
      </c>
      <c r="J7" s="146">
        <f>38.2751745749971*1000</f>
        <v>38275.174574997101</v>
      </c>
      <c r="K7" s="139"/>
      <c r="L7" s="139"/>
      <c r="M7" s="139"/>
      <c r="N7" s="139"/>
      <c r="O7" s="139"/>
      <c r="P7" s="139"/>
      <c r="Q7" s="139"/>
      <c r="R7" s="128"/>
      <c r="S7" s="128"/>
      <c r="T7" s="128"/>
      <c r="U7" s="128"/>
      <c r="V7" s="128"/>
    </row>
    <row r="8" spans="1:22" ht="12" customHeight="1">
      <c r="A8" s="137" t="s">
        <v>92</v>
      </c>
      <c r="B8" s="129" t="s">
        <v>141</v>
      </c>
      <c r="C8" s="129" t="s">
        <v>142</v>
      </c>
      <c r="D8" s="131"/>
      <c r="E8" s="130"/>
      <c r="F8" s="110">
        <v>394000</v>
      </c>
      <c r="G8" s="110">
        <f>227.938440303285*1000</f>
        <v>227938.440303285</v>
      </c>
      <c r="H8" s="110">
        <f>477.394374170693*1000</f>
        <v>477394.37417069305</v>
      </c>
      <c r="I8" s="110">
        <f>449.119355109042*1000</f>
        <v>449119.35510904196</v>
      </c>
      <c r="J8" s="146">
        <f>328.064709990273*1000</f>
        <v>328064.709990273</v>
      </c>
      <c r="K8" s="139"/>
      <c r="L8" s="139"/>
      <c r="M8" s="139"/>
      <c r="N8" s="139"/>
      <c r="O8" s="139"/>
      <c r="P8" s="139"/>
      <c r="Q8" s="139"/>
      <c r="R8" s="128"/>
      <c r="S8" s="128"/>
      <c r="T8" s="128"/>
      <c r="U8" s="128"/>
      <c r="V8" s="128"/>
    </row>
    <row r="9" spans="1:22" ht="12" customHeight="1">
      <c r="A9" s="137" t="s">
        <v>148</v>
      </c>
      <c r="B9" s="129" t="s">
        <v>141</v>
      </c>
      <c r="C9" s="129" t="s">
        <v>142</v>
      </c>
      <c r="D9" s="131"/>
      <c r="E9" s="130"/>
      <c r="F9" s="110">
        <v>958000</v>
      </c>
      <c r="G9" s="110">
        <f>3036.533*1000</f>
        <v>3036533</v>
      </c>
      <c r="H9" s="110">
        <f>3555.784*1000</f>
        <v>3555784</v>
      </c>
      <c r="I9" s="110">
        <f>3806.912*1000</f>
        <v>3806912</v>
      </c>
      <c r="J9" s="146">
        <f>3094.43395605016*1000</f>
        <v>3094433.9560501599</v>
      </c>
      <c r="K9" s="139"/>
      <c r="L9" s="139"/>
      <c r="M9" s="139"/>
      <c r="N9" s="139"/>
      <c r="O9" s="139"/>
      <c r="P9" s="139"/>
      <c r="Q9" s="139"/>
      <c r="R9" s="128"/>
      <c r="S9" s="128"/>
      <c r="T9" s="128"/>
      <c r="U9" s="128"/>
      <c r="V9" s="128"/>
    </row>
    <row r="10" spans="1:22" ht="12" customHeight="1">
      <c r="A10" s="137" t="s">
        <v>1</v>
      </c>
      <c r="B10" s="129" t="s">
        <v>141</v>
      </c>
      <c r="C10" s="129" t="s">
        <v>1</v>
      </c>
      <c r="D10" s="131"/>
      <c r="E10" s="130"/>
      <c r="F10" s="110">
        <v>337257</v>
      </c>
      <c r="G10" s="110">
        <v>198338.76</v>
      </c>
      <c r="H10" s="110">
        <v>44211.57</v>
      </c>
      <c r="I10" s="110">
        <v>34722.6</v>
      </c>
      <c r="J10" s="146">
        <v>153500.99</v>
      </c>
      <c r="K10" s="139"/>
      <c r="L10" s="139"/>
      <c r="M10" s="139"/>
      <c r="N10" s="139"/>
      <c r="O10" s="139"/>
      <c r="P10" s="139"/>
      <c r="Q10" s="139"/>
      <c r="R10" s="128"/>
      <c r="S10" s="128"/>
      <c r="T10" s="128"/>
      <c r="U10" s="128"/>
      <c r="V10" s="128"/>
    </row>
    <row r="11" spans="1:22" ht="12" customHeight="1">
      <c r="A11" s="137" t="s">
        <v>4</v>
      </c>
      <c r="B11" s="129" t="s">
        <v>141</v>
      </c>
      <c r="C11" s="129" t="s">
        <v>4</v>
      </c>
      <c r="D11" s="131"/>
      <c r="E11" s="130"/>
      <c r="F11" s="110">
        <v>23005</v>
      </c>
      <c r="G11" s="110">
        <v>475061.02</v>
      </c>
      <c r="H11" s="110">
        <v>140591.07</v>
      </c>
      <c r="I11" s="110">
        <v>94820.49</v>
      </c>
      <c r="J11" s="146">
        <v>24845.1</v>
      </c>
      <c r="K11" s="139"/>
      <c r="L11" s="139"/>
      <c r="M11" s="139"/>
      <c r="N11" s="139"/>
      <c r="O11" s="139"/>
      <c r="P11" s="139"/>
      <c r="Q11" s="139"/>
      <c r="R11" s="128"/>
      <c r="S11" s="128"/>
      <c r="T11" s="128"/>
      <c r="U11" s="128"/>
      <c r="V11" s="128"/>
    </row>
    <row r="12" spans="1:22" ht="12" customHeight="1">
      <c r="A12" s="137" t="s">
        <v>88</v>
      </c>
      <c r="B12" s="129" t="s">
        <v>141</v>
      </c>
      <c r="C12" s="129" t="s">
        <v>143</v>
      </c>
      <c r="D12" s="131"/>
      <c r="E12" s="130"/>
      <c r="F12" s="110">
        <v>2370000</v>
      </c>
      <c r="G12" s="110">
        <f>3553.35317*1000</f>
        <v>3553353.17</v>
      </c>
      <c r="H12" s="110">
        <f>3969.964*1000</f>
        <v>3969964</v>
      </c>
      <c r="I12" s="110">
        <f>2575.452*1000</f>
        <v>2575452</v>
      </c>
      <c r="J12" s="146">
        <f>3209.793*1000</f>
        <v>3209793</v>
      </c>
      <c r="K12" s="139"/>
      <c r="L12" s="139"/>
      <c r="M12" s="139"/>
      <c r="N12" s="139"/>
      <c r="O12" s="139"/>
      <c r="P12" s="139"/>
      <c r="Q12" s="139"/>
      <c r="R12" s="128"/>
      <c r="S12" s="128"/>
      <c r="T12" s="128"/>
      <c r="U12" s="128"/>
      <c r="V12" s="128"/>
    </row>
    <row r="13" spans="1:22" ht="12" customHeight="1">
      <c r="A13" s="137" t="s">
        <v>89</v>
      </c>
      <c r="B13" s="129" t="s">
        <v>141</v>
      </c>
      <c r="C13" s="129" t="s">
        <v>143</v>
      </c>
      <c r="D13" s="131"/>
      <c r="E13" s="130"/>
      <c r="F13" s="110">
        <v>695000</v>
      </c>
      <c r="G13" s="110">
        <f>1001.529*1000</f>
        <v>1001529</v>
      </c>
      <c r="H13" s="110">
        <f>928.3603*1000</f>
        <v>928360.3</v>
      </c>
      <c r="I13" s="110">
        <f>1569.135*1000</f>
        <v>1569135</v>
      </c>
      <c r="J13" s="146">
        <f>1179.471*1000</f>
        <v>1179471</v>
      </c>
      <c r="K13" s="139"/>
      <c r="L13" s="139"/>
      <c r="M13" s="139"/>
      <c r="N13" s="139"/>
      <c r="O13" s="139"/>
      <c r="P13" s="139"/>
      <c r="Q13" s="139"/>
      <c r="R13" s="128"/>
      <c r="S13" s="128"/>
      <c r="T13" s="128"/>
      <c r="U13" s="128"/>
      <c r="V13" s="128"/>
    </row>
    <row r="14" spans="1:22" ht="12" customHeight="1">
      <c r="A14" s="137" t="s">
        <v>90</v>
      </c>
      <c r="B14" s="129" t="s">
        <v>141</v>
      </c>
      <c r="C14" s="129" t="s">
        <v>143</v>
      </c>
      <c r="D14" s="131"/>
      <c r="E14" s="130"/>
      <c r="F14" s="110">
        <v>26048012.091239177</v>
      </c>
      <c r="G14" s="110">
        <v>24266449.572300147</v>
      </c>
      <c r="H14" s="110">
        <v>24253012.890979193</v>
      </c>
      <c r="I14" s="110">
        <v>28471216.824584</v>
      </c>
      <c r="J14" s="146">
        <v>27164142.144670229</v>
      </c>
      <c r="K14" s="139"/>
      <c r="L14" s="139"/>
      <c r="M14" s="139"/>
      <c r="N14" s="139"/>
      <c r="O14" s="139"/>
      <c r="P14" s="139"/>
      <c r="Q14" s="139"/>
      <c r="R14" s="128"/>
      <c r="S14" s="128"/>
      <c r="T14" s="128"/>
      <c r="U14" s="128"/>
      <c r="V14" s="128"/>
    </row>
    <row r="15" spans="1:22" ht="12" customHeight="1">
      <c r="A15" s="137" t="s">
        <v>166</v>
      </c>
      <c r="B15" s="104"/>
      <c r="C15" s="104"/>
      <c r="D15" s="131"/>
      <c r="E15" s="130"/>
      <c r="F15" s="105">
        <v>526800.88657385751</v>
      </c>
      <c r="G15" s="105">
        <v>673186.32812147483</v>
      </c>
      <c r="H15" s="105">
        <v>696109.31189176149</v>
      </c>
      <c r="I15" s="110">
        <v>706350.16162710218</v>
      </c>
      <c r="J15" s="146">
        <v>640366.35495554376</v>
      </c>
      <c r="K15" s="139"/>
      <c r="L15" s="140"/>
      <c r="M15" s="140"/>
      <c r="N15" s="140"/>
      <c r="O15" s="140"/>
      <c r="P15" s="140"/>
      <c r="Q15" s="140"/>
      <c r="R15" s="128"/>
      <c r="S15" s="128"/>
      <c r="T15" s="128"/>
      <c r="U15" s="128"/>
      <c r="V15" s="128"/>
    </row>
    <row r="16" spans="1:22" ht="12" customHeight="1">
      <c r="A16" s="137" t="s">
        <v>91</v>
      </c>
      <c r="B16" s="129" t="s">
        <v>141</v>
      </c>
      <c r="C16" s="129" t="s">
        <v>143</v>
      </c>
      <c r="D16" s="131"/>
      <c r="E16" s="130"/>
      <c r="F16" s="110">
        <v>15807399</v>
      </c>
      <c r="G16" s="110">
        <v>14429937</v>
      </c>
      <c r="H16" s="105">
        <v>19761235.221908528</v>
      </c>
      <c r="I16" s="110">
        <v>13501916.084781</v>
      </c>
      <c r="J16" s="146">
        <v>7659782.3043922996</v>
      </c>
      <c r="K16" s="139"/>
      <c r="L16" s="139"/>
      <c r="M16" s="139"/>
      <c r="N16" s="139"/>
      <c r="O16" s="139"/>
      <c r="P16" s="139"/>
      <c r="Q16" s="139"/>
      <c r="R16" s="128"/>
      <c r="S16" s="128"/>
      <c r="T16" s="128"/>
      <c r="U16" s="128"/>
      <c r="V16" s="128"/>
    </row>
    <row r="17" spans="1:22" ht="12" customHeight="1">
      <c r="A17" s="137" t="s">
        <v>10</v>
      </c>
      <c r="B17" s="129" t="s">
        <v>144</v>
      </c>
      <c r="C17" s="129" t="s">
        <v>142</v>
      </c>
      <c r="D17" s="131"/>
      <c r="E17" s="130"/>
      <c r="F17" s="110">
        <v>1434266.5128786212</v>
      </c>
      <c r="G17" s="110">
        <v>1421569.71010394</v>
      </c>
      <c r="H17" s="110">
        <v>1110472.8565818258</v>
      </c>
      <c r="I17" s="110">
        <v>1264536.4920337412</v>
      </c>
      <c r="J17" s="146">
        <v>1365122.5097609372</v>
      </c>
      <c r="K17" s="139"/>
      <c r="L17" s="139"/>
      <c r="M17" s="139"/>
      <c r="N17" s="139"/>
      <c r="O17" s="139"/>
      <c r="P17" s="139"/>
      <c r="Q17" s="139"/>
      <c r="R17" s="128"/>
      <c r="S17" s="128"/>
      <c r="T17" s="128"/>
      <c r="U17" s="128"/>
      <c r="V17" s="128"/>
    </row>
    <row r="18" spans="1:22" ht="12" customHeight="1">
      <c r="A18" s="137" t="s">
        <v>168</v>
      </c>
      <c r="B18" s="129"/>
      <c r="C18" s="129"/>
      <c r="D18" s="131"/>
      <c r="E18" s="130"/>
      <c r="F18" s="110">
        <v>1059913</v>
      </c>
      <c r="G18" s="110">
        <v>1118196</v>
      </c>
      <c r="H18" s="110">
        <v>1007307</v>
      </c>
      <c r="I18" s="110">
        <v>887542</v>
      </c>
      <c r="J18" s="146">
        <v>937883</v>
      </c>
      <c r="K18" s="139"/>
      <c r="L18" s="139"/>
      <c r="M18" s="139"/>
      <c r="N18" s="139"/>
      <c r="O18" s="139"/>
      <c r="P18" s="139"/>
      <c r="Q18" s="139"/>
      <c r="R18" s="128"/>
      <c r="S18" s="128"/>
      <c r="T18" s="128"/>
      <c r="U18" s="128"/>
      <c r="V18" s="128"/>
    </row>
    <row r="19" spans="1:22" ht="12" customHeight="1">
      <c r="A19" s="137" t="s">
        <v>107</v>
      </c>
      <c r="B19" s="129" t="s">
        <v>144</v>
      </c>
      <c r="C19" s="129" t="s">
        <v>142</v>
      </c>
      <c r="D19" s="131"/>
      <c r="E19" s="130"/>
      <c r="F19" s="110">
        <v>557224</v>
      </c>
      <c r="G19" s="110">
        <v>540440</v>
      </c>
      <c r="H19" s="110">
        <v>546888</v>
      </c>
      <c r="I19" s="110">
        <v>516371</v>
      </c>
      <c r="J19" s="146">
        <v>1476919</v>
      </c>
      <c r="K19" s="139"/>
      <c r="L19" s="139"/>
      <c r="M19" s="139"/>
      <c r="N19" s="139"/>
      <c r="O19" s="139"/>
      <c r="P19" s="139"/>
      <c r="Q19" s="139"/>
      <c r="R19" s="128"/>
      <c r="S19" s="128"/>
      <c r="T19" s="128"/>
      <c r="U19" s="128"/>
      <c r="V19" s="128"/>
    </row>
    <row r="20" spans="1:22" ht="12" customHeight="1">
      <c r="A20" s="137" t="s">
        <v>97</v>
      </c>
      <c r="B20" s="129" t="s">
        <v>144</v>
      </c>
      <c r="C20" s="129" t="s">
        <v>1</v>
      </c>
      <c r="D20" s="131"/>
      <c r="E20" s="130"/>
      <c r="F20" s="110">
        <v>1633506.52</v>
      </c>
      <c r="G20" s="110">
        <v>1654695.87</v>
      </c>
      <c r="H20" s="110">
        <v>1092013.53</v>
      </c>
      <c r="I20" s="110">
        <v>1030597.8</v>
      </c>
      <c r="J20" s="146">
        <v>1001385.49</v>
      </c>
      <c r="K20" s="139"/>
      <c r="L20" s="139"/>
      <c r="M20" s="139"/>
      <c r="N20" s="139"/>
      <c r="O20" s="139"/>
      <c r="P20" s="139"/>
      <c r="Q20" s="139"/>
      <c r="R20" s="128"/>
      <c r="S20" s="128"/>
      <c r="T20" s="128"/>
      <c r="U20" s="128"/>
      <c r="V20" s="128"/>
    </row>
    <row r="21" spans="1:22" ht="12" customHeight="1">
      <c r="A21" s="137" t="s">
        <v>96</v>
      </c>
      <c r="B21" s="129" t="s">
        <v>144</v>
      </c>
      <c r="C21" s="129" t="s">
        <v>4</v>
      </c>
      <c r="D21" s="131"/>
      <c r="E21" s="130"/>
      <c r="F21" s="110">
        <v>4053418.52</v>
      </c>
      <c r="G21" s="110">
        <v>3993940.33</v>
      </c>
      <c r="H21" s="110">
        <v>5162478.12</v>
      </c>
      <c r="I21" s="110">
        <v>5256057.1399999997</v>
      </c>
      <c r="J21" s="146">
        <v>9779357.9299999997</v>
      </c>
      <c r="K21" s="139"/>
      <c r="L21" s="139"/>
      <c r="M21" s="139"/>
      <c r="N21" s="139"/>
      <c r="O21" s="139"/>
      <c r="P21" s="139"/>
      <c r="Q21" s="139"/>
      <c r="R21" s="128"/>
      <c r="S21" s="128"/>
      <c r="T21" s="128"/>
      <c r="U21" s="128"/>
      <c r="V21" s="128"/>
    </row>
    <row r="22" spans="1:22" ht="12" customHeight="1">
      <c r="A22" s="137" t="s">
        <v>169</v>
      </c>
      <c r="B22" s="129" t="s">
        <v>144</v>
      </c>
      <c r="C22" s="129" t="s">
        <v>143</v>
      </c>
      <c r="D22" s="131"/>
      <c r="E22" s="130"/>
      <c r="F22" s="110">
        <v>5365646.3287140997</v>
      </c>
      <c r="G22" s="110">
        <v>5024077.1295704497</v>
      </c>
      <c r="H22" s="110">
        <v>4856715.9082861701</v>
      </c>
      <c r="I22" s="110">
        <v>4251447.2219406199</v>
      </c>
      <c r="J22" s="146">
        <v>4166227.8812352498</v>
      </c>
      <c r="K22" s="139"/>
      <c r="L22" s="139"/>
      <c r="M22" s="139"/>
      <c r="N22" s="139"/>
      <c r="O22" s="139"/>
      <c r="P22" s="139"/>
      <c r="Q22" s="139"/>
      <c r="R22" s="128"/>
      <c r="S22" s="128"/>
      <c r="T22" s="128"/>
      <c r="U22" s="128"/>
      <c r="V22" s="128"/>
    </row>
    <row r="23" spans="1:22" ht="12" customHeight="1">
      <c r="A23" s="137"/>
      <c r="B23" s="129"/>
      <c r="C23" s="129"/>
      <c r="D23" s="131"/>
      <c r="E23" s="130"/>
      <c r="F23" s="131"/>
      <c r="G23" s="131"/>
      <c r="H23" s="131"/>
      <c r="I23" s="131"/>
      <c r="J23" s="147"/>
      <c r="K23" s="141"/>
      <c r="L23" s="141"/>
      <c r="M23" s="141"/>
      <c r="N23" s="141"/>
      <c r="O23" s="141"/>
      <c r="P23" s="141"/>
      <c r="Q23" s="141"/>
      <c r="R23" s="129"/>
      <c r="S23" s="128" t="s">
        <v>156</v>
      </c>
      <c r="T23" s="128" t="s">
        <v>157</v>
      </c>
      <c r="U23" s="128" t="s">
        <v>158</v>
      </c>
      <c r="V23" s="129"/>
    </row>
    <row r="24" spans="1:22" ht="12" customHeight="1">
      <c r="A24" s="137" t="s">
        <v>137</v>
      </c>
      <c r="B24" s="129"/>
      <c r="C24" s="129"/>
      <c r="D24" s="109">
        <f>'1999'!R28</f>
        <v>20968806.457157474</v>
      </c>
      <c r="E24" s="130"/>
      <c r="F24" s="109">
        <f>SQRT(SUMSQ(SUM(F2:F3),F4:F9))</f>
        <v>27472534.245476041</v>
      </c>
      <c r="G24" s="109">
        <f>SQRT(SUMSQ(SUM(G2:G3),G4:G9))</f>
        <v>22768259.35065062</v>
      </c>
      <c r="H24" s="109">
        <f>SQRT(SUMSQ(SUM(H2:H3),H4:H9))</f>
        <v>32047711.917250909</v>
      </c>
      <c r="I24" s="109">
        <f>SQRT(SUMSQ(SUM(I2:I3),I4:I9))</f>
        <v>50355432.669243842</v>
      </c>
      <c r="J24" s="148">
        <f>SQRT(SUMSQ(SUM(J2:J3),J4:J9))</f>
        <v>49723647.982397556</v>
      </c>
      <c r="K24" s="142"/>
      <c r="L24" s="142"/>
      <c r="M24" s="142"/>
      <c r="N24" s="142"/>
      <c r="O24" s="142"/>
      <c r="P24" s="142"/>
      <c r="Q24" s="142"/>
      <c r="R24" s="129"/>
      <c r="S24" s="106">
        <f t="shared" ref="S24:S31" si="0">AVERAGE($F24:$Q24)</f>
        <v>36473517.233003795</v>
      </c>
      <c r="T24" s="106">
        <f t="shared" ref="T24:T31" si="1">MAX($F24:$Q24)</f>
        <v>50355432.669243842</v>
      </c>
      <c r="U24" s="106">
        <f t="shared" ref="U24:U31" si="2">MIN($F24:$Q24)</f>
        <v>22768259.35065062</v>
      </c>
      <c r="V24" s="129"/>
    </row>
    <row r="25" spans="1:22" ht="12" customHeight="1">
      <c r="A25" s="137" t="s">
        <v>138</v>
      </c>
      <c r="B25" s="129"/>
      <c r="C25" s="129"/>
      <c r="D25" s="109">
        <f>'1999'!R29</f>
        <v>402833.5</v>
      </c>
      <c r="E25" s="130"/>
      <c r="F25" s="109">
        <f t="shared" ref="F25:J26" si="3">F10</f>
        <v>337257</v>
      </c>
      <c r="G25" s="109">
        <f t="shared" si="3"/>
        <v>198338.76</v>
      </c>
      <c r="H25" s="109">
        <f t="shared" si="3"/>
        <v>44211.57</v>
      </c>
      <c r="I25" s="109">
        <f t="shared" si="3"/>
        <v>34722.6</v>
      </c>
      <c r="J25" s="148">
        <f t="shared" si="3"/>
        <v>153500.99</v>
      </c>
      <c r="K25" s="142"/>
      <c r="L25" s="142"/>
      <c r="M25" s="142"/>
      <c r="N25" s="142"/>
      <c r="O25" s="142"/>
      <c r="P25" s="142"/>
      <c r="Q25" s="142"/>
      <c r="R25" s="129"/>
      <c r="S25" s="106">
        <f t="shared" si="0"/>
        <v>153606.18399999998</v>
      </c>
      <c r="T25" s="106">
        <f t="shared" si="1"/>
        <v>337257</v>
      </c>
      <c r="U25" s="106">
        <f t="shared" si="2"/>
        <v>34722.6</v>
      </c>
      <c r="V25" s="129"/>
    </row>
    <row r="26" spans="1:22" ht="12" customHeight="1">
      <c r="A26" s="137" t="s">
        <v>140</v>
      </c>
      <c r="B26" s="129"/>
      <c r="C26" s="129"/>
      <c r="D26" s="109">
        <f>'1999'!R30</f>
        <v>88015.32</v>
      </c>
      <c r="E26" s="130"/>
      <c r="F26" s="109">
        <f t="shared" si="3"/>
        <v>23005</v>
      </c>
      <c r="G26" s="109">
        <f t="shared" si="3"/>
        <v>475061.02</v>
      </c>
      <c r="H26" s="109">
        <f t="shared" si="3"/>
        <v>140591.07</v>
      </c>
      <c r="I26" s="109">
        <f t="shared" si="3"/>
        <v>94820.49</v>
      </c>
      <c r="J26" s="148">
        <f t="shared" si="3"/>
        <v>24845.1</v>
      </c>
      <c r="K26" s="142"/>
      <c r="L26" s="142"/>
      <c r="M26" s="142"/>
      <c r="N26" s="142"/>
      <c r="O26" s="142"/>
      <c r="P26" s="142"/>
      <c r="Q26" s="142"/>
      <c r="R26" s="129"/>
      <c r="S26" s="106">
        <f t="shared" si="0"/>
        <v>151664.53600000002</v>
      </c>
      <c r="T26" s="106">
        <f t="shared" si="1"/>
        <v>475061.02</v>
      </c>
      <c r="U26" s="106">
        <f t="shared" si="2"/>
        <v>23005</v>
      </c>
      <c r="V26" s="129"/>
    </row>
    <row r="27" spans="1:22" ht="12" customHeight="1">
      <c r="A27" s="137" t="s">
        <v>139</v>
      </c>
      <c r="B27" s="129"/>
      <c r="C27" s="129"/>
      <c r="D27" s="109">
        <f>'1999'!R31</f>
        <v>26425551.596895989</v>
      </c>
      <c r="E27" s="130"/>
      <c r="F27" s="109">
        <f>SQRT(SUMSQ(F12:F16))</f>
        <v>30573685.4373927</v>
      </c>
      <c r="G27" s="109">
        <f>SQRT(SUMSQ(G12:G16))</f>
        <v>28480979.891673576</v>
      </c>
      <c r="H27" s="109">
        <f>SQRT(SUMSQ(H12:H16))</f>
        <v>31556648.855155952</v>
      </c>
      <c r="I27" s="109">
        <f>SQRT(SUMSQ(I12:I16))</f>
        <v>31662375.047306582</v>
      </c>
      <c r="J27" s="148">
        <f>SQRT(SUMSQ(J12:J16))</f>
        <v>28437068.685393363</v>
      </c>
      <c r="K27" s="142"/>
      <c r="L27" s="142"/>
      <c r="M27" s="142"/>
      <c r="N27" s="142"/>
      <c r="O27" s="142"/>
      <c r="P27" s="142"/>
      <c r="Q27" s="142"/>
      <c r="R27" s="129"/>
      <c r="S27" s="106">
        <f t="shared" si="0"/>
        <v>30142151.583384432</v>
      </c>
      <c r="T27" s="106">
        <f t="shared" si="1"/>
        <v>31662375.047306582</v>
      </c>
      <c r="U27" s="106">
        <f t="shared" si="2"/>
        <v>28437068.685393363</v>
      </c>
      <c r="V27" s="129"/>
    </row>
    <row r="28" spans="1:22" ht="12" customHeight="1">
      <c r="A28" s="137" t="s">
        <v>163</v>
      </c>
      <c r="B28" s="129"/>
      <c r="C28" s="129"/>
      <c r="D28" s="109">
        <f>'1999'!R32</f>
        <v>1388846.8352633419</v>
      </c>
      <c r="E28" s="130"/>
      <c r="F28" s="109">
        <f>SQRT(SUMSQ(F17:F19))</f>
        <v>1868431.0486903177</v>
      </c>
      <c r="G28" s="109">
        <f>SQRT(SUMSQ(G17:G19))</f>
        <v>1887670.0264349699</v>
      </c>
      <c r="H28" s="109">
        <f>SQRT(SUMSQ(H17:H19))</f>
        <v>1595902.2031434132</v>
      </c>
      <c r="I28" s="109">
        <f>SQRT(SUMSQ(I17:I19))</f>
        <v>1628932.887227095</v>
      </c>
      <c r="J28" s="148">
        <f>SQRT(SUMSQ(J17:J19))</f>
        <v>2219115.5267146411</v>
      </c>
      <c r="K28" s="142"/>
      <c r="L28" s="142"/>
      <c r="M28" s="142"/>
      <c r="N28" s="142"/>
      <c r="O28" s="142"/>
      <c r="P28" s="142"/>
      <c r="Q28" s="142"/>
      <c r="R28" s="129"/>
      <c r="S28" s="106">
        <f t="shared" si="0"/>
        <v>1840010.3384420872</v>
      </c>
      <c r="T28" s="106">
        <f t="shared" si="1"/>
        <v>2219115.5267146411</v>
      </c>
      <c r="U28" s="106">
        <f t="shared" si="2"/>
        <v>1595902.2031434132</v>
      </c>
      <c r="V28" s="129"/>
    </row>
    <row r="29" spans="1:22" ht="12" customHeight="1">
      <c r="A29" s="137" t="s">
        <v>160</v>
      </c>
      <c r="B29" s="129"/>
      <c r="C29" s="129"/>
      <c r="D29" s="109">
        <f>'1999'!R33</f>
        <v>1745908.45</v>
      </c>
      <c r="E29" s="130"/>
      <c r="F29" s="109">
        <f t="shared" ref="F29:J31" si="4">F20</f>
        <v>1633506.52</v>
      </c>
      <c r="G29" s="109">
        <f t="shared" si="4"/>
        <v>1654695.87</v>
      </c>
      <c r="H29" s="109">
        <f t="shared" si="4"/>
        <v>1092013.53</v>
      </c>
      <c r="I29" s="109">
        <f t="shared" si="4"/>
        <v>1030597.8</v>
      </c>
      <c r="J29" s="148">
        <f t="shared" si="4"/>
        <v>1001385.49</v>
      </c>
      <c r="K29" s="142"/>
      <c r="L29" s="142"/>
      <c r="M29" s="142"/>
      <c r="N29" s="142"/>
      <c r="O29" s="142"/>
      <c r="P29" s="142"/>
      <c r="Q29" s="142"/>
      <c r="R29" s="129"/>
      <c r="S29" s="106">
        <f t="shared" si="0"/>
        <v>1282439.8419999999</v>
      </c>
      <c r="T29" s="106">
        <f t="shared" si="1"/>
        <v>1654695.87</v>
      </c>
      <c r="U29" s="106">
        <f t="shared" si="2"/>
        <v>1001385.49</v>
      </c>
      <c r="V29" s="129"/>
    </row>
    <row r="30" spans="1:22" ht="12" customHeight="1">
      <c r="A30" s="137" t="s">
        <v>161</v>
      </c>
      <c r="B30" s="129"/>
      <c r="C30" s="129"/>
      <c r="D30" s="109">
        <f>'1999'!R34</f>
        <v>3589218.36</v>
      </c>
      <c r="E30" s="130"/>
      <c r="F30" s="109">
        <f t="shared" si="4"/>
        <v>4053418.52</v>
      </c>
      <c r="G30" s="109">
        <f t="shared" si="4"/>
        <v>3993940.33</v>
      </c>
      <c r="H30" s="109">
        <f t="shared" si="4"/>
        <v>5162478.12</v>
      </c>
      <c r="I30" s="109">
        <f t="shared" si="4"/>
        <v>5256057.1399999997</v>
      </c>
      <c r="J30" s="148">
        <f t="shared" si="4"/>
        <v>9779357.9299999997</v>
      </c>
      <c r="K30" s="142"/>
      <c r="L30" s="142"/>
      <c r="M30" s="142"/>
      <c r="N30" s="142"/>
      <c r="O30" s="142"/>
      <c r="P30" s="142"/>
      <c r="Q30" s="142"/>
      <c r="R30" s="129"/>
      <c r="S30" s="106">
        <f t="shared" si="0"/>
        <v>5649050.4079999998</v>
      </c>
      <c r="T30" s="106">
        <f t="shared" si="1"/>
        <v>9779357.9299999997</v>
      </c>
      <c r="U30" s="106">
        <f t="shared" si="2"/>
        <v>3993940.33</v>
      </c>
      <c r="V30" s="129"/>
    </row>
    <row r="31" spans="1:22" ht="12" customHeight="1">
      <c r="A31" s="137" t="s">
        <v>162</v>
      </c>
      <c r="B31" s="129"/>
      <c r="C31" s="129"/>
      <c r="D31" s="109">
        <f>'1999'!R35</f>
        <v>2833349.5571878199</v>
      </c>
      <c r="E31" s="130"/>
      <c r="F31" s="109">
        <f t="shared" si="4"/>
        <v>5365646.3287140997</v>
      </c>
      <c r="G31" s="109">
        <f t="shared" si="4"/>
        <v>5024077.1295704497</v>
      </c>
      <c r="H31" s="109">
        <f t="shared" si="4"/>
        <v>4856715.9082861701</v>
      </c>
      <c r="I31" s="109">
        <f t="shared" si="4"/>
        <v>4251447.2219406199</v>
      </c>
      <c r="J31" s="148">
        <f t="shared" si="4"/>
        <v>4166227.8812352498</v>
      </c>
      <c r="K31" s="142"/>
      <c r="L31" s="142"/>
      <c r="M31" s="142"/>
      <c r="N31" s="142"/>
      <c r="O31" s="142"/>
      <c r="P31" s="142"/>
      <c r="Q31" s="142"/>
      <c r="R31" s="129"/>
      <c r="S31" s="106">
        <f t="shared" si="0"/>
        <v>4732822.8939493177</v>
      </c>
      <c r="T31" s="106">
        <f t="shared" si="1"/>
        <v>5365646.3287140997</v>
      </c>
      <c r="U31" s="106">
        <f t="shared" si="2"/>
        <v>4166227.8812352498</v>
      </c>
      <c r="V31" s="129"/>
    </row>
    <row r="32" spans="1:22" ht="12" customHeight="1">
      <c r="A32" s="129"/>
      <c r="B32" s="129"/>
      <c r="C32" s="129"/>
      <c r="D32" s="131"/>
      <c r="E32" s="130"/>
      <c r="F32" s="131"/>
      <c r="G32" s="131"/>
      <c r="H32" s="131"/>
      <c r="I32" s="131"/>
      <c r="J32" s="147"/>
      <c r="K32" s="141"/>
      <c r="L32" s="141"/>
      <c r="M32" s="141"/>
      <c r="N32" s="141"/>
      <c r="O32" s="141"/>
      <c r="P32" s="141"/>
      <c r="Q32" s="141"/>
      <c r="R32" s="129"/>
      <c r="S32" s="129"/>
      <c r="T32" s="129"/>
      <c r="U32" s="129"/>
      <c r="V32" s="129"/>
    </row>
    <row r="33" spans="1:22" s="1" customFormat="1" ht="12" customHeight="1">
      <c r="A33" s="129" t="s">
        <v>106</v>
      </c>
      <c r="B33" s="129"/>
      <c r="C33" s="129"/>
      <c r="D33" s="115">
        <f>SQRT(SUMSQ(D24:D31))</f>
        <v>34118295.575245224</v>
      </c>
      <c r="E33" s="130"/>
      <c r="F33" s="115">
        <f>SQRT(SUMSQ(F24:F31))</f>
        <v>41725105.044388816</v>
      </c>
      <c r="G33" s="115">
        <f>SQRT(SUMSQ(G24:G31))</f>
        <v>37112249.96681305</v>
      </c>
      <c r="H33" s="115">
        <f>SQRT(SUMSQ(H24:H31))</f>
        <v>45572776.0154633</v>
      </c>
      <c r="I33" s="115">
        <f>SQRT(SUMSQ(I24:I31))</f>
        <v>59896596.596498489</v>
      </c>
      <c r="J33" s="149">
        <f>SQRT(SUMSQ(J24:J31))</f>
        <v>58309971.418531992</v>
      </c>
      <c r="K33" s="143"/>
      <c r="L33" s="143"/>
      <c r="M33" s="143"/>
      <c r="N33" s="143"/>
      <c r="O33" s="143"/>
      <c r="P33" s="143"/>
      <c r="Q33" s="143"/>
      <c r="R33" s="129"/>
      <c r="S33" s="129"/>
      <c r="T33" s="129"/>
      <c r="U33" s="129"/>
      <c r="V33" s="129"/>
    </row>
    <row r="34" spans="1:22" ht="12" customHeight="1">
      <c r="A34" s="129"/>
      <c r="B34" s="129"/>
      <c r="C34" s="129"/>
      <c r="D34" s="131"/>
      <c r="E34" s="130"/>
      <c r="F34" s="131"/>
      <c r="G34" s="131"/>
      <c r="H34" s="131"/>
      <c r="I34" s="131"/>
      <c r="J34" s="147"/>
      <c r="K34" s="141"/>
      <c r="L34" s="141"/>
      <c r="M34" s="141"/>
      <c r="N34" s="141"/>
      <c r="O34" s="141"/>
      <c r="P34" s="141"/>
      <c r="Q34" s="141"/>
      <c r="R34" s="129"/>
      <c r="S34" s="129"/>
      <c r="T34" s="129"/>
      <c r="U34" s="129"/>
      <c r="V34" s="129"/>
    </row>
    <row r="35" spans="1:22" ht="12" customHeight="1">
      <c r="A35" s="129"/>
      <c r="B35" s="129"/>
      <c r="C35" s="129"/>
      <c r="D35" s="129"/>
      <c r="E35" s="129"/>
      <c r="F35" s="129"/>
      <c r="G35" s="129"/>
      <c r="H35" s="129"/>
      <c r="I35" s="129"/>
      <c r="J35" s="150"/>
      <c r="K35" s="144"/>
      <c r="L35" s="144"/>
      <c r="M35" s="144"/>
      <c r="N35" s="144"/>
      <c r="O35" s="144"/>
      <c r="P35" s="144"/>
      <c r="Q35" s="144"/>
      <c r="R35" s="129"/>
      <c r="S35" s="129"/>
      <c r="T35" s="129"/>
      <c r="U35" s="129"/>
      <c r="V35" s="129"/>
    </row>
    <row r="36" spans="1:22" ht="12" customHeight="1">
      <c r="A36" s="129"/>
      <c r="B36" s="129"/>
      <c r="C36" s="129"/>
      <c r="D36" s="129"/>
      <c r="E36" s="129"/>
      <c r="F36" s="129"/>
      <c r="G36" s="129"/>
      <c r="H36" s="129"/>
      <c r="I36" s="129"/>
      <c r="J36" s="150"/>
      <c r="K36" s="144"/>
      <c r="L36" s="144"/>
      <c r="M36" s="144"/>
      <c r="N36" s="144"/>
      <c r="O36" s="144"/>
      <c r="P36" s="144"/>
      <c r="Q36" s="144"/>
      <c r="R36" s="129"/>
      <c r="S36" s="129"/>
      <c r="T36" s="129"/>
      <c r="U36" s="129"/>
      <c r="V36" s="129"/>
    </row>
    <row r="38" spans="1:22" ht="12" customHeight="1">
      <c r="F38" s="99"/>
      <c r="G38" s="99"/>
    </row>
    <row r="39" spans="1:22" ht="12" customHeight="1">
      <c r="F39" s="99"/>
      <c r="G39" s="99"/>
    </row>
  </sheetData>
  <sheetProtection sheet="1" objects="1" scenarios="1"/>
  <pageMargins left="0.18" right="0.17" top="1" bottom="1" header="0.5" footer="0.5"/>
  <pageSetup scale="5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67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52" t="s">
        <v>23</v>
      </c>
      <c r="C2" s="152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53">
        <v>36250</v>
      </c>
      <c r="C3" s="154"/>
      <c r="D3" s="154"/>
      <c r="E3" s="154"/>
      <c r="F3" s="154"/>
      <c r="G3" s="154"/>
      <c r="H3" s="154"/>
      <c r="I3" s="154"/>
      <c r="J3" s="154"/>
      <c r="K3" s="155"/>
    </row>
    <row r="4" spans="1:11" ht="22.5">
      <c r="A4" s="2"/>
      <c r="B4" s="64" t="s">
        <v>15</v>
      </c>
      <c r="C4" s="156" t="s">
        <v>23</v>
      </c>
      <c r="D4" s="156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53">
        <v>36160</v>
      </c>
      <c r="C23" s="154"/>
      <c r="D23" s="154"/>
      <c r="E23" s="154"/>
      <c r="F23" s="154"/>
      <c r="G23" s="154"/>
      <c r="H23" s="154"/>
      <c r="I23" s="154"/>
      <c r="J23" s="154"/>
      <c r="K23" s="155"/>
    </row>
    <row r="24" spans="1:11" ht="22.5">
      <c r="A24" s="2"/>
      <c r="B24" s="64" t="s">
        <v>15</v>
      </c>
      <c r="C24" s="156" t="s">
        <v>23</v>
      </c>
      <c r="D24" s="156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"/>
  <sheetViews>
    <sheetView workbookViewId="0">
      <selection activeCell="F23" sqref="F23"/>
    </sheetView>
  </sheetViews>
  <sheetFormatPr defaultRowHeight="12.75"/>
  <sheetData>
    <row r="3" spans="1:1">
      <c r="A3" t="s">
        <v>105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Jan Havlíček</cp:lastModifiedBy>
  <cp:lastPrinted>2000-01-28T20:54:07Z</cp:lastPrinted>
  <dcterms:created xsi:type="dcterms:W3CDTF">1998-04-20T23:59:16Z</dcterms:created>
  <dcterms:modified xsi:type="dcterms:W3CDTF">2023-09-17T00:20:01Z</dcterms:modified>
</cp:coreProperties>
</file>