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E7A660-3085-469B-98CB-4B856099C889}" xr6:coauthVersionLast="47" xr6:coauthVersionMax="47" xr10:uidLastSave="{00000000-0000-0000-0000-000000000000}"/>
  <bookViews>
    <workbookView xWindow="-120" yWindow="-120" windowWidth="38640" windowHeight="15720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'CapChrg-AllocExp'!$B$2:$P$55</definedName>
    <definedName name="_xlnm.Print_Area" localSheetId="9">Expenses!$B$2:$K$60</definedName>
    <definedName name="_xlnm.Print_Area" localSheetId="7">'GM-WklyChnge'!$A$1:$K$60</definedName>
    <definedName name="_xlnm.Print_Area" localSheetId="3">Greensheet!$A$1:$M$143</definedName>
    <definedName name="_xlnm.Print_Area" localSheetId="8">GrossMargin!$B$2:$O$55</definedName>
    <definedName name="_xlnm.Print_Area" localSheetId="12">Headcount!$B$1:$N$50</definedName>
    <definedName name="_xlnm.Print_Area" localSheetId="4">'Old Mgmt Summary'!$A$1:$V$67</definedName>
    <definedName name="_xlnm.Print_Area" localSheetId="1">'Q1 Mgmt Summary'!$A$1:$N$50</definedName>
    <definedName name="_xlnm.Print_Area" localSheetId="2">'QTD Mgmt Summary'!$A$1:$N$65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F28" i="4"/>
  <c r="K28" i="4"/>
  <c r="L28" i="4"/>
  <c r="M28" i="4"/>
  <c r="F29" i="4"/>
  <c r="K29" i="4"/>
  <c r="L29" i="4"/>
  <c r="M29" i="4"/>
  <c r="E30" i="4"/>
  <c r="F30" i="4"/>
  <c r="L30" i="4"/>
  <c r="M30" i="4"/>
  <c r="D31" i="4"/>
  <c r="E31" i="4"/>
  <c r="F31" i="4"/>
  <c r="K31" i="4"/>
  <c r="L31" i="4"/>
  <c r="M31" i="4"/>
  <c r="D32" i="4"/>
  <c r="E32" i="4"/>
  <c r="F32" i="4"/>
  <c r="K32" i="4"/>
  <c r="L32" i="4"/>
  <c r="M32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E38" i="4"/>
  <c r="F38" i="4"/>
  <c r="K38" i="4"/>
  <c r="L38" i="4"/>
  <c r="M38" i="4"/>
  <c r="D39" i="4"/>
  <c r="E39" i="4"/>
  <c r="F39" i="4"/>
  <c r="K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M52" i="4"/>
  <c r="D54" i="4"/>
  <c r="E54" i="4"/>
  <c r="F54" i="4"/>
  <c r="K54" i="4"/>
  <c r="L54" i="4"/>
  <c r="M54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3" i="19"/>
  <c r="E53" i="19"/>
  <c r="F53" i="19"/>
  <c r="D58" i="19"/>
  <c r="E58" i="19"/>
  <c r="F58" i="19"/>
  <c r="D59" i="19"/>
  <c r="E59" i="19"/>
  <c r="F59" i="19"/>
  <c r="D60" i="19"/>
  <c r="E60" i="19"/>
  <c r="F60" i="19"/>
  <c r="B4" i="3"/>
  <c r="D9" i="3"/>
  <c r="E9" i="3"/>
  <c r="F9" i="3"/>
  <c r="E10" i="3"/>
  <c r="F10" i="3"/>
  <c r="D11" i="3"/>
  <c r="E11" i="3"/>
  <c r="F11" i="3"/>
  <c r="E12" i="3"/>
  <c r="F12" i="3"/>
  <c r="D13" i="3"/>
  <c r="E13" i="3"/>
  <c r="F13" i="3"/>
  <c r="E14" i="3"/>
  <c r="F14" i="3"/>
  <c r="E15" i="3"/>
  <c r="F15" i="3"/>
  <c r="E16" i="3"/>
  <c r="F16" i="3"/>
  <c r="E17" i="3"/>
  <c r="F17" i="3"/>
  <c r="D18" i="3"/>
  <c r="E18" i="3"/>
  <c r="F18" i="3"/>
  <c r="D20" i="3"/>
  <c r="E20" i="3"/>
  <c r="F20" i="3"/>
  <c r="D21" i="3"/>
  <c r="E21" i="3"/>
  <c r="F21" i="3"/>
  <c r="E22" i="3"/>
  <c r="F22" i="3"/>
  <c r="E23" i="3"/>
  <c r="F23" i="3"/>
  <c r="E24" i="3"/>
  <c r="F24" i="3"/>
  <c r="D25" i="3"/>
  <c r="E25" i="3"/>
  <c r="F25" i="3"/>
  <c r="E26" i="3"/>
  <c r="F26" i="3"/>
  <c r="F27" i="3"/>
  <c r="F28" i="3"/>
  <c r="E29" i="3"/>
  <c r="F29" i="3"/>
  <c r="E30" i="3"/>
  <c r="F30" i="3"/>
  <c r="D31" i="3"/>
  <c r="E31" i="3"/>
  <c r="F31" i="3"/>
  <c r="E34" i="3"/>
  <c r="F34" i="3"/>
  <c r="E35" i="3"/>
  <c r="F35" i="3"/>
  <c r="E36" i="3"/>
  <c r="F36" i="3"/>
  <c r="E37" i="3"/>
  <c r="F37" i="3"/>
  <c r="D38" i="3"/>
  <c r="E38" i="3"/>
  <c r="F38" i="3"/>
  <c r="D39" i="3"/>
  <c r="E39" i="3"/>
  <c r="F39" i="3"/>
  <c r="E41" i="3"/>
  <c r="F41" i="3"/>
  <c r="D43" i="3"/>
  <c r="E43" i="3"/>
  <c r="F43" i="3"/>
  <c r="D45" i="3"/>
  <c r="E45" i="3"/>
  <c r="F45" i="3"/>
  <c r="D47" i="3"/>
  <c r="E47" i="3"/>
  <c r="F47" i="3"/>
  <c r="F49" i="3"/>
  <c r="E51" i="3"/>
  <c r="F51" i="3"/>
  <c r="D53" i="3"/>
  <c r="E53" i="3"/>
  <c r="F53" i="3"/>
  <c r="F58" i="3"/>
  <c r="F59" i="3"/>
  <c r="F60" i="3"/>
  <c r="D61" i="3"/>
  <c r="E61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H28" i="9"/>
  <c r="J28" i="9"/>
  <c r="K28" i="9"/>
  <c r="C29" i="9"/>
  <c r="D29" i="9"/>
  <c r="E29" i="9"/>
  <c r="F29" i="9"/>
  <c r="H29" i="9"/>
  <c r="J29" i="9"/>
  <c r="K29" i="9"/>
  <c r="C30" i="9"/>
  <c r="D30" i="9"/>
  <c r="E30" i="9"/>
  <c r="F30" i="9"/>
  <c r="H30" i="9"/>
  <c r="J30" i="9"/>
  <c r="K30" i="9"/>
  <c r="C31" i="9"/>
  <c r="D31" i="9"/>
  <c r="E31" i="9"/>
  <c r="F31" i="9"/>
  <c r="H31" i="9"/>
  <c r="J31" i="9"/>
  <c r="K31" i="9"/>
  <c r="C33" i="9"/>
  <c r="D33" i="9"/>
  <c r="E33" i="9"/>
  <c r="F33" i="9"/>
  <c r="G33" i="9"/>
  <c r="H33" i="9"/>
  <c r="J33" i="9"/>
  <c r="K33" i="9"/>
  <c r="C36" i="9"/>
  <c r="D36" i="9"/>
  <c r="E36" i="9"/>
  <c r="F36" i="9"/>
  <c r="H36" i="9"/>
  <c r="J36" i="9"/>
  <c r="K36" i="9"/>
  <c r="C37" i="9"/>
  <c r="D37" i="9"/>
  <c r="E37" i="9"/>
  <c r="F37" i="9"/>
  <c r="H37" i="9"/>
  <c r="J37" i="9"/>
  <c r="K37" i="9"/>
  <c r="C38" i="9"/>
  <c r="D38" i="9"/>
  <c r="E38" i="9"/>
  <c r="F38" i="9"/>
  <c r="H38" i="9"/>
  <c r="J38" i="9"/>
  <c r="K38" i="9"/>
  <c r="C39" i="9"/>
  <c r="D39" i="9"/>
  <c r="E39" i="9"/>
  <c r="F39" i="9"/>
  <c r="H39" i="9"/>
  <c r="J39" i="9"/>
  <c r="K39" i="9"/>
  <c r="C40" i="9"/>
  <c r="D40" i="9"/>
  <c r="E40" i="9"/>
  <c r="F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H44" i="9"/>
  <c r="J44" i="9"/>
  <c r="K44" i="9"/>
  <c r="C46" i="9"/>
  <c r="D46" i="9"/>
  <c r="E46" i="9"/>
  <c r="F46" i="9"/>
  <c r="H46" i="9"/>
  <c r="J46" i="9"/>
  <c r="K46" i="9"/>
  <c r="C48" i="9"/>
  <c r="D48" i="9"/>
  <c r="E48" i="9"/>
  <c r="F48" i="9"/>
  <c r="H48" i="9"/>
  <c r="J48" i="9"/>
  <c r="K48" i="9"/>
  <c r="C50" i="9"/>
  <c r="D50" i="9"/>
  <c r="E50" i="9"/>
  <c r="F50" i="9"/>
  <c r="H50" i="9"/>
  <c r="J50" i="9"/>
  <c r="K50" i="9"/>
  <c r="C52" i="9"/>
  <c r="D52" i="9"/>
  <c r="E52" i="9"/>
  <c r="F52" i="9"/>
  <c r="G52" i="9"/>
  <c r="H52" i="9"/>
  <c r="J52" i="9"/>
  <c r="K52" i="9"/>
  <c r="I60" i="9"/>
  <c r="J60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D10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D12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J30" i="2"/>
  <c r="M30" i="2"/>
  <c r="N30" i="2"/>
  <c r="O30" i="2"/>
  <c r="J31" i="2"/>
  <c r="M31" i="2"/>
  <c r="N31" i="2"/>
  <c r="O31" i="2"/>
  <c r="R31" i="2"/>
  <c r="S31" i="2"/>
  <c r="T31" i="2"/>
  <c r="J32" i="2"/>
  <c r="M32" i="2"/>
  <c r="N32" i="2"/>
  <c r="O32" i="2"/>
  <c r="R32" i="2"/>
  <c r="S32" i="2"/>
  <c r="T32" i="2"/>
  <c r="D34" i="2"/>
  <c r="E34" i="2"/>
  <c r="F34" i="2"/>
  <c r="G34" i="2"/>
  <c r="H34" i="2"/>
  <c r="I34" i="2"/>
  <c r="J34" i="2"/>
  <c r="K34" i="2"/>
  <c r="L34" i="2"/>
  <c r="M34" i="2"/>
  <c r="N34" i="2"/>
  <c r="O34" i="2"/>
  <c r="R34" i="2"/>
  <c r="S34" i="2"/>
  <c r="T34" i="2"/>
  <c r="J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E39" i="2"/>
  <c r="J39" i="2"/>
  <c r="K39" i="2"/>
  <c r="M39" i="2"/>
  <c r="N39" i="2"/>
  <c r="O39" i="2"/>
  <c r="R39" i="2"/>
  <c r="S39" i="2"/>
  <c r="T39" i="2"/>
  <c r="J40" i="2"/>
  <c r="M40" i="2"/>
  <c r="N40" i="2"/>
  <c r="O40" i="2"/>
  <c r="R40" i="2"/>
  <c r="S40" i="2"/>
  <c r="T40" i="2"/>
  <c r="D41" i="2"/>
  <c r="E41" i="2"/>
  <c r="F41" i="2"/>
  <c r="H41" i="2"/>
  <c r="I41" i="2"/>
  <c r="J41" i="2"/>
  <c r="L41" i="2"/>
  <c r="M41" i="2"/>
  <c r="N41" i="2"/>
  <c r="O41" i="2"/>
  <c r="D43" i="2"/>
  <c r="E43" i="2"/>
  <c r="F43" i="2"/>
  <c r="H43" i="2"/>
  <c r="I43" i="2"/>
  <c r="J43" i="2"/>
  <c r="K43" i="2"/>
  <c r="L43" i="2"/>
  <c r="M43" i="2"/>
  <c r="N43" i="2"/>
  <c r="O43" i="2"/>
  <c r="R43" i="2"/>
  <c r="S43" i="2"/>
  <c r="T43" i="2"/>
  <c r="J45" i="2"/>
  <c r="M45" i="2"/>
  <c r="N45" i="2"/>
  <c r="O45" i="2"/>
  <c r="R45" i="2"/>
  <c r="S45" i="2"/>
  <c r="T45" i="2"/>
  <c r="J47" i="2"/>
  <c r="M47" i="2"/>
  <c r="O47" i="2"/>
  <c r="J49" i="2"/>
  <c r="M49" i="2"/>
  <c r="N49" i="2"/>
  <c r="O49" i="2"/>
  <c r="J51" i="2"/>
  <c r="M51" i="2"/>
  <c r="N51" i="2"/>
  <c r="O51" i="2"/>
  <c r="D53" i="2"/>
  <c r="E53" i="2"/>
  <c r="F53" i="2"/>
  <c r="H53" i="2"/>
  <c r="I53" i="2"/>
  <c r="J53" i="2"/>
  <c r="K53" i="2"/>
  <c r="L53" i="2"/>
  <c r="M53" i="2"/>
  <c r="N53" i="2"/>
  <c r="O53" i="2"/>
  <c r="D61" i="2"/>
  <c r="D62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1" i="1"/>
  <c r="E41" i="1"/>
  <c r="G41" i="1"/>
  <c r="I41" i="1"/>
  <c r="J41" i="1"/>
  <c r="O41" i="1"/>
  <c r="Q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O47" i="1"/>
  <c r="T47" i="1"/>
  <c r="V47" i="1"/>
  <c r="E48" i="1"/>
  <c r="D49" i="1"/>
  <c r="E49" i="1"/>
  <c r="N49" i="1"/>
  <c r="O49" i="1"/>
  <c r="U49" i="1"/>
  <c r="V49" i="1"/>
  <c r="D51" i="1"/>
  <c r="E51" i="1"/>
  <c r="M51" i="1"/>
  <c r="O51" i="1"/>
  <c r="T51" i="1"/>
  <c r="V51" i="1"/>
  <c r="D53" i="1"/>
  <c r="E53" i="1"/>
  <c r="N53" i="1"/>
  <c r="O53" i="1"/>
  <c r="U53" i="1"/>
  <c r="V53" i="1"/>
  <c r="C55" i="1"/>
  <c r="D55" i="1"/>
  <c r="E55" i="1"/>
  <c r="G55" i="1"/>
  <c r="H55" i="1"/>
  <c r="I55" i="1"/>
  <c r="J55" i="1"/>
  <c r="M55" i="1"/>
  <c r="O55" i="1"/>
  <c r="Q55" i="1"/>
  <c r="T55" i="1"/>
  <c r="V55" i="1"/>
  <c r="D57" i="1"/>
  <c r="E57" i="1"/>
  <c r="J57" i="1"/>
  <c r="L57" i="1"/>
  <c r="O57" i="1"/>
  <c r="S57" i="1"/>
  <c r="V57" i="1"/>
  <c r="V58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E61" i="1"/>
  <c r="O61" i="1"/>
  <c r="T61" i="1"/>
  <c r="V61" i="1"/>
  <c r="C63" i="1"/>
  <c r="D63" i="1"/>
  <c r="E63" i="1"/>
  <c r="G63" i="1"/>
  <c r="H63" i="1"/>
  <c r="I63" i="1"/>
  <c r="J63" i="1"/>
  <c r="K63" i="1"/>
  <c r="L63" i="1"/>
  <c r="M63" i="1"/>
  <c r="N63" i="1"/>
  <c r="O63" i="1"/>
  <c r="Q63" i="1"/>
  <c r="R63" i="1"/>
  <c r="S63" i="1"/>
  <c r="T63" i="1"/>
  <c r="U63" i="1"/>
  <c r="V63" i="1"/>
  <c r="G65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C12" i="17"/>
  <c r="D12" i="17"/>
  <c r="E12" i="17"/>
  <c r="G12" i="17"/>
  <c r="H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C24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N26" i="17"/>
  <c r="E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G43" i="17"/>
  <c r="H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F30" i="13"/>
  <c r="G30" i="13"/>
  <c r="H30" i="13"/>
  <c r="I30" i="13"/>
  <c r="J30" i="13"/>
  <c r="L30" i="13"/>
  <c r="M30" i="13"/>
  <c r="N30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4" i="13"/>
  <c r="D34" i="13"/>
  <c r="E34" i="13"/>
  <c r="G34" i="13"/>
  <c r="H34" i="13"/>
  <c r="I34" i="13"/>
  <c r="J34" i="13"/>
  <c r="L34" i="13"/>
  <c r="M34" i="13"/>
  <c r="N34" i="13"/>
  <c r="C35" i="13"/>
  <c r="D35" i="13"/>
  <c r="E35" i="13"/>
  <c r="G35" i="13"/>
  <c r="H35" i="13"/>
  <c r="I35" i="13"/>
  <c r="J35" i="13"/>
  <c r="L35" i="13"/>
  <c r="M35" i="13"/>
  <c r="N35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39" i="13"/>
  <c r="D39" i="13"/>
  <c r="E39" i="13"/>
  <c r="G39" i="13"/>
  <c r="H39" i="13"/>
  <c r="J39" i="13"/>
  <c r="L39" i="13"/>
  <c r="M39" i="13"/>
  <c r="N39" i="13"/>
  <c r="C40" i="13"/>
  <c r="D40" i="13"/>
  <c r="E40" i="13"/>
  <c r="G40" i="13"/>
  <c r="H40" i="13"/>
  <c r="I40" i="13"/>
  <c r="J40" i="13"/>
  <c r="L40" i="13"/>
  <c r="M40" i="13"/>
  <c r="N40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E44" i="13"/>
  <c r="G44" i="13"/>
  <c r="H44" i="13"/>
  <c r="J44" i="13"/>
  <c r="L44" i="13"/>
  <c r="M44" i="13"/>
  <c r="N44" i="13"/>
  <c r="E45" i="13"/>
  <c r="G45" i="13"/>
  <c r="H45" i="13"/>
  <c r="J45" i="13"/>
  <c r="L45" i="13"/>
  <c r="M45" i="13"/>
  <c r="N45" i="13"/>
  <c r="C46" i="13"/>
  <c r="D46" i="13"/>
  <c r="E46" i="13"/>
  <c r="G46" i="13"/>
  <c r="H46" i="13"/>
  <c r="J46" i="13"/>
  <c r="L46" i="13"/>
  <c r="M46" i="13"/>
  <c r="N46" i="13"/>
  <c r="E47" i="13"/>
  <c r="G47" i="13"/>
  <c r="H47" i="13"/>
  <c r="I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49" i="13"/>
  <c r="G49" i="13"/>
  <c r="H49" i="13"/>
  <c r="J49" i="13"/>
  <c r="L49" i="13"/>
  <c r="M49" i="13"/>
  <c r="N49" i="13"/>
  <c r="C50" i="13"/>
  <c r="D50" i="13"/>
  <c r="E50" i="13"/>
  <c r="G50" i="13"/>
  <c r="H50" i="13"/>
  <c r="I50" i="13"/>
  <c r="J50" i="13"/>
  <c r="L50" i="13"/>
  <c r="M50" i="13"/>
  <c r="N50" i="13"/>
  <c r="E55" i="13"/>
  <c r="I55" i="13"/>
  <c r="E56" i="13"/>
  <c r="I56" i="13"/>
  <c r="E57" i="13"/>
  <c r="J57" i="13"/>
  <c r="E59" i="13"/>
  <c r="I59" i="13"/>
  <c r="E62" i="13"/>
  <c r="I62" i="13"/>
  <c r="E63" i="13"/>
  <c r="I63" i="13"/>
  <c r="E65" i="13"/>
  <c r="I65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E26" i="18"/>
  <c r="I26" i="18"/>
  <c r="J26" i="18"/>
  <c r="N26" i="18"/>
  <c r="E27" i="18"/>
  <c r="I27" i="18"/>
  <c r="J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<sst xmlns="http://schemas.openxmlformats.org/spreadsheetml/2006/main" count="1145" uniqueCount="317">
  <si>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</si>
  <si>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</si>
  <si>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</si>
  <si>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</si>
  <si>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</si>
  <si>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</si>
  <si>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</si>
  <si>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</si>
  <si>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</si>
  <si>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</si>
  <si>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</si>
  <si>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</si>
  <si>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</si>
  <si>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</si>
  <si>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</si>
  <si>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</si>
  <si>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</si>
  <si>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</si>
  <si>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</si>
  <si>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</si>
  <si>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</si>
  <si>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</si>
  <si>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</si>
  <si>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</si>
  <si>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</si>
  <si>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</si>
  <si>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</si>
  <si>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</si>
  <si>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</si>
  <si>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</si>
  <si>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</si>
  <si>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</si>
  <si>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</si>
  <si>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</si>
  <si>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</si>
  <si>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</si>
  <si>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</si>
  <si>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</si>
  <si>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</si>
  <si>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</si>
  <si>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</si>
  <si>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</si>
  <si>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</si>
  <si>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</si>
  <si>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</si>
  <si>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</si>
  <si>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</si>
  <si>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</si>
  <si>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</si>
  <si>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</si>
  <si>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</si>
  <si>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</si>
  <si>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</si>
  <si>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</si>
  <si>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</si>
  <si>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</si>
  <si>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</si>
  <si>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</si>
  <si>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</si>
  <si>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</si>
  <si>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</si>
  <si>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</si>
  <si>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</si>
  <si>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</si>
  <si>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</si>
  <si>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</si>
  <si>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</si>
  <si>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</si>
  <si>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</si>
  <si>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</si>
  <si>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</si>
  <si>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</si>
  <si>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</si>
  <si>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</si>
  <si>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</si>
  <si>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</si>
  <si>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</si>
  <si>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</si>
  <si>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</si>
  <si>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</si>
  <si>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</si>
  <si>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</si>
  <si>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</si>
  <si>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</si>
  <si>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</si>
  <si>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</si>
  <si>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</si>
  <si>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</si>
  <si>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</si>
  <si>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</si>
  <si>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</si>
  <si>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</si>
  <si>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</si>
  <si>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</si>
  <si>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</si>
  <si>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</si>
  <si>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</si>
  <si>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</si>
  <si>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</si>
  <si>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</si>
  <si>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</si>
  <si>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</si>
  <si>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</si>
  <si>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</si>
  <si>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</si>
  <si>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</si>
  <si>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</si>
  <si>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</si>
  <si>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</si>
  <si>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</si>
  <si>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</si>
  <si>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</si>
  <si>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</si>
  <si>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</si>
  <si>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</si>
  <si>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</si>
  <si>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</si>
  <si>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</si>
  <si>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</si>
  <si>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</si>
  <si>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</si>
  <si>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</si>
  <si>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</si>
  <si>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</si>
  <si>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</si>
  <si>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</si>
  <si>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</si>
  <si>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</si>
  <si>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</si>
  <si>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</si>
  <si>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</si>
  <si>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</si>
  <si>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</si>
  <si>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</si>
  <si>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</si>
  <si>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</si>
  <si>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</si>
  <si>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</si>
  <si>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</si>
  <si>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</si>
  <si>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</si>
  <si>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</si>
  <si>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</si>
  <si>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</si>
  <si>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</si>
  <si>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</si>
  <si>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</si>
  <si>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</si>
  <si>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</si>
  <si>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</si>
  <si>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</si>
  <si>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</si>
  <si>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</si>
  <si>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</si>
  <si>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</si>
  <si>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</si>
  <si>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</si>
  <si>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</si>
  <si>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</si>
  <si>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</si>
  <si>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</si>
  <si>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</si>
  <si>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</si>
  <si>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</si>
  <si>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</si>
  <si>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</si>
  <si>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</si>
  <si>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</si>
  <si>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</si>
  <si>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</si>
  <si>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</si>
  <si>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</si>
  <si>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</si>
  <si>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</si>
  <si>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</si>
  <si>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</si>
  <si>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</si>
  <si>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</si>
  <si>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</si>
  <si>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</si>
  <si>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</si>
  <si>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</si>
  <si>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</si>
  <si>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</si>
  <si>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</si>
  <si>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</si>
  <si>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</si>
  <si>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</si>
  <si>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</si>
  <si>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</si>
  <si>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</si>
  <si>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</si>
  <si>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</si>
  <si>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</si>
  <si>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</si>
  <si>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</si>
  <si>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</si>
  <si>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</si>
  <si>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</si>
  <si>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</si>
  <si>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</si>
  <si>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</si>
  <si>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</si>
  <si>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</si>
  <si>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</si>
  <si>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</si>
  <si>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</si>
  <si>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</si>
  <si>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</si>
  <si>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</si>
  <si>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</si>
  <si>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</si>
  <si>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</si>
  <si>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</si>
  <si>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</si>
  <si>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</si>
  <si>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</si>
  <si>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</si>
  <si>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</si>
  <si>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</si>
  <si>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</si>
  <si>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</si>
  <si>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</si>
  <si>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</si>
  <si>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</si>
  <si>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</si>
  <si>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</si>
  <si>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</si>
  <si>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</si>
  <si>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</si>
  <si>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</si>
  <si>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</si>
  <si>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</si>
  <si>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</si>
  <si>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</si>
  <si>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</si>
  <si>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</si>
  <si>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</si>
  <si>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</si>
  <si>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</si>
  <si>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</si>
  <si>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</si>
  <si>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</si>
  <si>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</si>
  <si>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</si>
  <si>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</si>
  <si>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</si>
  <si>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</si>
  <si>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</si>
  <si>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</si>
  <si>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</si>
  <si>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</si>
  <si>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</si>
  <si>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</si>
  <si>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</si>
  <si>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</si>
  <si>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</si>
  <si>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</si>
  <si>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</si>
  <si>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</si>
  <si>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</si>
  <si>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</si>
  <si>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</si>
  <si>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</si>
  <si>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</si>
  <si>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</si>
  <si>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</si>
  <si>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</si>
  <si>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</si>
  <si>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</si>
  <si>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</si>
  <si>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</si>
  <si>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</si>
  <si>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</si>
  <si>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</si>
  <si>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</si>
  <si>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</si>
  <si>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</si>
  <si>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</si>
  <si>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</si>
  <si>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</si>
  <si>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</si>
  <si>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 xml:space="preserve">Turbines </t>
  </si>
  <si>
    <t>FTE's over by 20, Increased special pays, Franchise taxes paid in April</t>
  </si>
  <si>
    <t>Special Pays in May</t>
  </si>
  <si>
    <t>Offset in allocated expenses &amp; Bonus Accrual</t>
  </si>
  <si>
    <t xml:space="preserve"> </t>
  </si>
  <si>
    <t>MPR Change</t>
  </si>
  <si>
    <t>Other Margin Changes</t>
  </si>
  <si>
    <t>HPL</t>
  </si>
  <si>
    <t>LRC</t>
  </si>
  <si>
    <t>lrc</t>
  </si>
  <si>
    <t>Emissions (Coal)</t>
  </si>
  <si>
    <t>Special Pay in April &amp; May, &amp; Turbines</t>
  </si>
  <si>
    <t>Merlin (Canfibre, Heartland) and Condor, Carrizo</t>
  </si>
  <si>
    <t>Mariner Term Loan</t>
  </si>
  <si>
    <t>Merlin (ECP Sub-note)</t>
  </si>
  <si>
    <t>More Accurate 2000 Peaker's numbers and Utilities &amp; Labor over budgeted.</t>
  </si>
  <si>
    <t>** Emissions Losses of $1.6M are reflected in Power Trading Margin</t>
  </si>
  <si>
    <t>Upstream Originations</t>
  </si>
  <si>
    <t>Margin change from: 06/16/00</t>
  </si>
  <si>
    <t>Expense changes from: 06/16/00</t>
  </si>
  <si>
    <t>Headcount is over Plan by 28FTE's &amp; Ft. James.  Outside services are also over plan</t>
  </si>
  <si>
    <t>London direct and allocated expenses are over plan</t>
  </si>
  <si>
    <t>Downstream is aprox. 22 FTE's Under plan</t>
  </si>
  <si>
    <t>Downstream is approx 23 FTE's under plan</t>
  </si>
  <si>
    <t>HPl</t>
  </si>
  <si>
    <t>Results based on Activity through June 22, 2000</t>
  </si>
  <si>
    <t>Additional Bammel write off.</t>
  </si>
  <si>
    <t>Offset in Operating Expenses</t>
  </si>
  <si>
    <t>Offset in direct expenses</t>
  </si>
  <si>
    <t>Additional expenses from insurance--EEX Interest rate swap.</t>
  </si>
  <si>
    <t>EEX interest Rate Swap</t>
  </si>
  <si>
    <t>Additional special pay in May</t>
  </si>
  <si>
    <t>Compensation over plan</t>
  </si>
  <si>
    <t>Canada Severance &amp; Ft James write off</t>
  </si>
  <si>
    <t>Headcount is over Plan by 28FTE's .  Outside services are also over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</si>
</sst>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5" fontId="3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5" fontId="3" fillId="0" borderId="14" xfId="2" applyNumberFormat="1" applyFont="1" applyBorder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9680B694-0591-C3E6-4D03-331DFA1C65B0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2FE16E3E-FA5D-01C8-58CA-715299F0DFF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4584269A-EB9D-32AB-09E6-7DBDEB4266B7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D46F1D7D-BBC6-484A-41E5-F177CDE55ACF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8E79AB61-13F7-EC69-840E-3C6D0D75FCED}"/>
            </a:ext>
          </a:extLst>
        </xdr:cNvPr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E55FA1C3-56D6-3905-C619-8A9CCD17AFA1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EA5CE8E5-2B5F-F7C1-D195-6FAB4C19EDBC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F492E83E-5E39-CF3B-1B5E-A8B056D4E22F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97963446-1893-3CFA-BB54-693700B29EF5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86A8E702-54BA-43EA-0688-E35DBCD7C816}"/>
            </a:ext>
          </a:extLst>
        </xdr:cNvPr>
        <xdr:cNvSpPr txBox="1">
          <a:spLocks noChangeArrowheads="1"/>
        </xdr:cNvSpPr>
      </xdr:nvSpPr>
      <xdr:spPr bwMode="auto">
        <a:xfrm>
          <a:off x="682942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C0E89783-68A7-60F2-9D93-A03620499996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0004F671-A812-8765-2FBB-30A86FEA3B7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E7EAD467-FB62-F168-D01F-703E6A6431F5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5E8A0CA5-71E2-32A0-3058-DA7E35281C7E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921463ED-B0CA-C9B2-0F4E-068939714CA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68BAEF9A-C41A-A176-8442-C7243EA456FA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E75FAB25-8363-5322-2779-590B50A387EE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7C23E0B3-79AB-71BD-244E-3A0301DDF0C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52A38B73-D84A-2F0B-7361-E80CC5B5491E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5FBB4CB2-B255-531A-0CFA-6FEBA770CF17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96724D83-91B6-5B33-0256-55FD29F7D81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A8A10E22-8EC7-3150-5C27-AF2086DB488F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DA7526F3-9869-0C73-BB45-4A6C78F8F589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79D81721-BDDF-471E-57C2-B5041A10F79E}"/>
            </a:ext>
          </a:extLst>
        </xdr:cNvPr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28657612-6D55-C3E6-5C4D-30E73D6DC9B0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111C468A-87E5-79A7-AD5E-0D63DB8940C5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A428B749-1274-035E-C10A-676F8894A287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69202F08-9FAF-2130-CB8D-30E332472DCC}"/>
            </a:ext>
          </a:extLst>
        </xdr:cNvPr>
        <xdr:cNvSpPr txBox="1">
          <a:spLocks noChangeArrowheads="1"/>
        </xdr:cNvSpPr>
      </xdr:nvSpPr>
      <xdr:spPr bwMode="auto">
        <a:xfrm>
          <a:off x="6076950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%20Summary\quarter%202\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0">
          <cell r="C50">
            <v>530934</v>
          </cell>
          <cell r="G50">
            <v>254154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262649</v>
          </cell>
        </row>
        <row r="11">
          <cell r="D11">
            <v>48664</v>
          </cell>
        </row>
        <row r="12">
          <cell r="D12">
            <v>171550</v>
          </cell>
          <cell r="H12">
            <v>-1562</v>
          </cell>
        </row>
        <row r="13">
          <cell r="D13">
            <v>30754</v>
          </cell>
        </row>
        <row r="14">
          <cell r="D14">
            <v>12293</v>
          </cell>
        </row>
        <row r="15">
          <cell r="D15">
            <v>19056</v>
          </cell>
        </row>
        <row r="16">
          <cell r="D16">
            <v>1195</v>
          </cell>
        </row>
        <row r="17">
          <cell r="D17">
            <v>2713</v>
          </cell>
        </row>
        <row r="18">
          <cell r="D18">
            <v>-4085</v>
          </cell>
          <cell r="H18">
            <v>1562</v>
          </cell>
        </row>
        <row r="23">
          <cell r="E23">
            <v>506</v>
          </cell>
        </row>
        <row r="24">
          <cell r="D24">
            <v>3403</v>
          </cell>
          <cell r="E24">
            <v>-152</v>
          </cell>
          <cell r="F24">
            <v>0</v>
          </cell>
        </row>
        <row r="25">
          <cell r="E25">
            <v>16150</v>
          </cell>
        </row>
        <row r="26">
          <cell r="E26">
            <v>120</v>
          </cell>
          <cell r="F26">
            <v>103</v>
          </cell>
        </row>
        <row r="27">
          <cell r="D27">
            <v>0</v>
          </cell>
          <cell r="E27">
            <v>2471</v>
          </cell>
          <cell r="H27">
            <v>6240</v>
          </cell>
        </row>
        <row r="28">
          <cell r="D28">
            <v>2188</v>
          </cell>
          <cell r="E28">
            <v>115</v>
          </cell>
          <cell r="F28">
            <v>8179</v>
          </cell>
          <cell r="H28">
            <v>1388</v>
          </cell>
        </row>
        <row r="29">
          <cell r="F29">
            <v>9684</v>
          </cell>
          <cell r="H29">
            <v>4827</v>
          </cell>
        </row>
        <row r="30">
          <cell r="F30">
            <v>-816</v>
          </cell>
          <cell r="H30">
            <v>0</v>
          </cell>
        </row>
        <row r="31">
          <cell r="H31">
            <v>653</v>
          </cell>
        </row>
        <row r="32">
          <cell r="H32">
            <v>2</v>
          </cell>
        </row>
        <row r="37">
          <cell r="E37">
            <v>-28213</v>
          </cell>
          <cell r="F37">
            <v>1</v>
          </cell>
        </row>
        <row r="38">
          <cell r="E38">
            <v>2325</v>
          </cell>
          <cell r="F38">
            <v>0</v>
          </cell>
        </row>
        <row r="39">
          <cell r="E39">
            <v>2591</v>
          </cell>
          <cell r="F39">
            <v>2</v>
          </cell>
          <cell r="K39">
            <v>0</v>
          </cell>
        </row>
        <row r="40">
          <cell r="E40">
            <v>-7329</v>
          </cell>
          <cell r="F40">
            <v>-14</v>
          </cell>
          <cell r="H40">
            <v>0</v>
          </cell>
        </row>
        <row r="41">
          <cell r="D41">
            <v>0</v>
          </cell>
          <cell r="E41">
            <v>-4738</v>
          </cell>
          <cell r="F41">
            <v>-12</v>
          </cell>
          <cell r="H41">
            <v>0</v>
          </cell>
        </row>
        <row r="43">
          <cell r="K43">
            <v>0</v>
          </cell>
        </row>
        <row r="45">
          <cell r="E45">
            <v>0</v>
          </cell>
        </row>
        <row r="47">
          <cell r="D47">
            <v>-19101</v>
          </cell>
        </row>
        <row r="49">
          <cell r="E49">
            <v>-3777</v>
          </cell>
          <cell r="F49">
            <v>-15401</v>
          </cell>
        </row>
      </sheetData>
      <sheetData sheetId="9">
        <row r="9">
          <cell r="D9">
            <v>5187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5723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975</v>
          </cell>
          <cell r="E13">
            <v>948</v>
          </cell>
        </row>
        <row r="14">
          <cell r="D14">
            <v>1147</v>
          </cell>
          <cell r="E14">
            <v>1852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8510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2262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329</v>
          </cell>
        </row>
        <row r="26">
          <cell r="D26">
            <v>3746</v>
          </cell>
          <cell r="E26">
            <v>2866</v>
          </cell>
        </row>
        <row r="27">
          <cell r="D27">
            <v>2902</v>
          </cell>
          <cell r="E27">
            <v>2595</v>
          </cell>
        </row>
        <row r="28">
          <cell r="D28">
            <v>65</v>
          </cell>
          <cell r="E28">
            <v>96</v>
          </cell>
        </row>
        <row r="29">
          <cell r="D29">
            <v>1364</v>
          </cell>
          <cell r="E29">
            <v>1298</v>
          </cell>
        </row>
        <row r="30">
          <cell r="D30">
            <v>1616</v>
          </cell>
          <cell r="E30">
            <v>2005</v>
          </cell>
        </row>
        <row r="34">
          <cell r="D34">
            <v>635</v>
          </cell>
          <cell r="E34">
            <v>735</v>
          </cell>
        </row>
        <row r="35">
          <cell r="D35">
            <v>1433</v>
          </cell>
          <cell r="E35">
            <v>1307</v>
          </cell>
        </row>
        <row r="36">
          <cell r="D36">
            <v>402</v>
          </cell>
          <cell r="E36">
            <v>839</v>
          </cell>
        </row>
        <row r="37">
          <cell r="D37">
            <v>0</v>
          </cell>
          <cell r="E37">
            <v>0</v>
          </cell>
        </row>
        <row r="38">
          <cell r="D38">
            <v>402</v>
          </cell>
          <cell r="E38">
            <v>839</v>
          </cell>
        </row>
        <row r="41">
          <cell r="D41">
            <v>6035</v>
          </cell>
          <cell r="E41">
            <v>4617</v>
          </cell>
        </row>
        <row r="43">
          <cell r="D43">
            <v>5030</v>
          </cell>
          <cell r="E43">
            <v>2430</v>
          </cell>
        </row>
        <row r="47">
          <cell r="D47">
            <v>90230</v>
          </cell>
          <cell r="E47">
            <v>59297</v>
          </cell>
        </row>
        <row r="49">
          <cell r="D49">
            <v>13698</v>
          </cell>
          <cell r="E49">
            <v>13698</v>
          </cell>
        </row>
        <row r="51">
          <cell r="D51">
            <v>22625</v>
          </cell>
          <cell r="E51">
            <v>26684</v>
          </cell>
        </row>
        <row r="58">
          <cell r="D58">
            <v>9885</v>
          </cell>
          <cell r="E58">
            <v>8789</v>
          </cell>
        </row>
        <row r="59">
          <cell r="D59">
            <v>34093</v>
          </cell>
          <cell r="E59">
            <v>33926</v>
          </cell>
        </row>
        <row r="60">
          <cell r="D60">
            <v>5655</v>
          </cell>
          <cell r="E60">
            <v>3072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22,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290913</v>
      </c>
      <c r="D8" s="60">
        <f>'Q1 Mgmt Summary'!D8+'QTD Mgmt Summary'!D8</f>
        <v>83089</v>
      </c>
      <c r="E8" s="211">
        <f>+C8-D8</f>
        <v>207824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258999</v>
      </c>
      <c r="M8" s="59">
        <f t="shared" si="0"/>
        <v>51958</v>
      </c>
      <c r="N8" s="211">
        <f>+L8-M8</f>
        <v>207041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64572</v>
      </c>
      <c r="D9" s="43">
        <f>+'Q1 Mgmt Summary'!D9+'QTD Mgmt Summary'!D9</f>
        <v>15006</v>
      </c>
      <c r="E9" s="213">
        <f>+C9-D9</f>
        <v>49566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58600</v>
      </c>
      <c r="M9" s="41">
        <f t="shared" si="0"/>
        <v>8493</v>
      </c>
      <c r="N9" s="213">
        <f>+L9-M9</f>
        <v>50107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260900</v>
      </c>
      <c r="D10" s="43">
        <f>+'Q1 Mgmt Summary'!D10+'QTD Mgmt Summary'!D10</f>
        <v>97187</v>
      </c>
      <c r="E10" s="213">
        <f>+C10-D10</f>
        <v>163713</v>
      </c>
      <c r="F10" s="241"/>
      <c r="G10" s="268">
        <f>+'Q1 Mgmt Summary'!G10+'QTD Mgmt Summary'!G10</f>
        <v>53636</v>
      </c>
      <c r="H10" s="43">
        <f>+'Q1 Mgmt Summary'!H10+'QTD Mgmt Summary'!H10</f>
        <v>52050</v>
      </c>
      <c r="I10" s="65">
        <f>'QTD Mgmt Summary'!I10+'Q1 Mgmt Summary'!I10</f>
        <v>1466</v>
      </c>
      <c r="J10" s="213">
        <f>'QTD Mgmt Summary'!J10+'Q1 Mgmt Summary'!J10</f>
        <v>-3052</v>
      </c>
      <c r="K10" s="214"/>
      <c r="L10" s="212">
        <f t="shared" si="0"/>
        <v>207264</v>
      </c>
      <c r="M10" s="41">
        <f t="shared" si="0"/>
        <v>45137</v>
      </c>
      <c r="N10" s="213">
        <f>+L10-M10</f>
        <v>162127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60637</v>
      </c>
      <c r="D11" s="43">
        <f>+'Q1 Mgmt Summary'!D11+'QTD Mgmt Summary'!D11</f>
        <v>44804</v>
      </c>
      <c r="E11" s="213">
        <f t="shared" ref="E11:E16" si="1">+C11-D11</f>
        <v>15833</v>
      </c>
      <c r="F11" s="241"/>
      <c r="G11" s="268">
        <f>+'Q1 Mgmt Summary'!G11+'QTD Mgmt Summary'!G11</f>
        <v>3560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-323</v>
      </c>
      <c r="K11" s="214"/>
      <c r="L11" s="212">
        <f t="shared" ref="L11:M16" si="2">+C11-G11</f>
        <v>57077</v>
      </c>
      <c r="M11" s="41">
        <f t="shared" si="2"/>
        <v>41567</v>
      </c>
      <c r="N11" s="213">
        <f t="shared" ref="N11:N16" si="3">+L11-M11</f>
        <v>15510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45212</v>
      </c>
      <c r="D12" s="43">
        <f>+'Q1 Mgmt Summary'!D12+'QTD Mgmt Summary'!D12</f>
        <v>17894</v>
      </c>
      <c r="E12" s="213">
        <f t="shared" si="1"/>
        <v>27318</v>
      </c>
      <c r="F12" s="241"/>
      <c r="G12" s="268">
        <f>+'Q1 Mgmt Summary'!G12+'QTD Mgmt Summary'!G12</f>
        <v>3068</v>
      </c>
      <c r="H12" s="43">
        <f>+'Q1 Mgmt Summary'!H12+'QTD Mgmt Summary'!H12</f>
        <v>3555</v>
      </c>
      <c r="I12" s="65">
        <f>'QTD Mgmt Summary'!I12+'Q1 Mgmt Summary'!I12</f>
        <v>0</v>
      </c>
      <c r="J12" s="213">
        <f>'QTD Mgmt Summary'!J12+'Q1 Mgmt Summary'!J12</f>
        <v>487</v>
      </c>
      <c r="K12" s="214"/>
      <c r="L12" s="212">
        <f t="shared" si="2"/>
        <v>42144</v>
      </c>
      <c r="M12" s="41">
        <f t="shared" si="2"/>
        <v>14339</v>
      </c>
      <c r="N12" s="213">
        <f t="shared" si="3"/>
        <v>27805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31285</v>
      </c>
      <c r="D13" s="43">
        <f>+'Q1 Mgmt Summary'!D13+'QTD Mgmt Summary'!D13</f>
        <v>23112</v>
      </c>
      <c r="E13" s="213">
        <f t="shared" si="1"/>
        <v>8173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25937</v>
      </c>
      <c r="M13" s="41">
        <f t="shared" si="2"/>
        <v>16673</v>
      </c>
      <c r="N13" s="213">
        <f t="shared" si="3"/>
        <v>9264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6610</v>
      </c>
      <c r="D14" s="43">
        <f>+'Q1 Mgmt Summary'!D14+'QTD Mgmt Summary'!D14</f>
        <v>19282</v>
      </c>
      <c r="E14" s="213">
        <f t="shared" si="1"/>
        <v>-12672</v>
      </c>
      <c r="F14" s="241"/>
      <c r="G14" s="268">
        <f>+'Q1 Mgmt Summary'!G14+'QTD Mgmt Summary'!G14</f>
        <v>9069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-2340</v>
      </c>
      <c r="K14" s="214"/>
      <c r="L14" s="212">
        <f t="shared" si="2"/>
        <v>-2459</v>
      </c>
      <c r="M14" s="41">
        <f t="shared" si="2"/>
        <v>12516</v>
      </c>
      <c r="N14" s="213">
        <f t="shared" si="3"/>
        <v>-14975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8287</v>
      </c>
      <c r="D15" s="43">
        <f>+'Q1 Mgmt Summary'!D15+'QTD Mgmt Summary'!D15</f>
        <v>6430</v>
      </c>
      <c r="E15" s="213">
        <f t="shared" si="1"/>
        <v>1857</v>
      </c>
      <c r="F15" s="241"/>
      <c r="G15" s="268">
        <f>+'Q1 Mgmt Summary'!G15+'QTD Mgmt Summary'!G15</f>
        <v>4249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-866</v>
      </c>
      <c r="K15" s="214"/>
      <c r="L15" s="212">
        <f t="shared" si="2"/>
        <v>4038</v>
      </c>
      <c r="M15" s="41">
        <f t="shared" si="2"/>
        <v>3047</v>
      </c>
      <c r="N15" s="213">
        <f t="shared" si="3"/>
        <v>991</v>
      </c>
    </row>
    <row r="16" spans="1:23" ht="12" customHeight="1" x14ac:dyDescent="0.25">
      <c r="A16" s="207" t="s">
        <v>292</v>
      </c>
      <c r="B16" s="237"/>
      <c r="C16" s="268">
        <f>+'Q1 Mgmt Summary'!C16+'QTD Mgmt Summary'!C16</f>
        <v>-2786</v>
      </c>
      <c r="D16" s="43">
        <f>+'Q1 Mgmt Summary'!D16+'QTD Mgmt Summary'!D16</f>
        <v>1500</v>
      </c>
      <c r="E16" s="213">
        <f t="shared" si="1"/>
        <v>-4286</v>
      </c>
      <c r="F16" s="241"/>
      <c r="G16" s="268">
        <f>+'Q1 Mgmt Summary'!G16+'QTD Mgmt Summary'!G16</f>
        <v>552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128</v>
      </c>
      <c r="K16" s="214"/>
      <c r="L16" s="212">
        <f t="shared" si="2"/>
        <v>-3338</v>
      </c>
      <c r="M16" s="41">
        <f t="shared" si="2"/>
        <v>820</v>
      </c>
      <c r="N16" s="213">
        <f t="shared" si="3"/>
        <v>-4158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765630</v>
      </c>
      <c r="D17" s="259">
        <f>SUM(D8:D16)</f>
        <v>308304</v>
      </c>
      <c r="E17" s="260">
        <f>SUM(E8:E16)</f>
        <v>457326</v>
      </c>
      <c r="F17" s="242">
        <v>129970</v>
      </c>
      <c r="G17" s="259">
        <f>SUM(G8:G16)</f>
        <v>117368</v>
      </c>
      <c r="H17" s="259">
        <f>SUM(H8:H16)</f>
        <v>113754</v>
      </c>
      <c r="I17" s="259">
        <f>SUM(I8:I16)</f>
        <v>1466</v>
      </c>
      <c r="J17" s="260">
        <f>SUM(J8:J16)</f>
        <v>-5117</v>
      </c>
      <c r="K17" s="215"/>
      <c r="L17" s="230">
        <f>SUM(L8:L16)</f>
        <v>648262</v>
      </c>
      <c r="M17" s="231">
        <f>SUM(M8:M16)</f>
        <v>194550</v>
      </c>
      <c r="N17" s="260">
        <f>SUM(N8:N16)</f>
        <v>453712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9" si="4">+C19-D19</f>
        <v>-31898</v>
      </c>
      <c r="F19" s="241"/>
      <c r="G19" s="268">
        <f>+'Q1 Mgmt Summary'!G19+'QTD Mgmt Summary'!G19</f>
        <v>16926</v>
      </c>
      <c r="H19" s="43">
        <f>+'Q1 Mgmt Summary'!H19+'QTD Mgmt Summary'!H19</f>
        <v>15133</v>
      </c>
      <c r="I19" s="65">
        <f>'QTD Mgmt Summary'!I19+'Q1 Mgmt Summary'!I19</f>
        <v>0</v>
      </c>
      <c r="J19" s="213">
        <f>'QTD Mgmt Summary'!J19+'Q1 Mgmt Summary'!J19</f>
        <v>-1793</v>
      </c>
      <c r="K19" s="214"/>
      <c r="L19" s="212">
        <f t="shared" ref="L19:M21" si="5">+C19-G19</f>
        <v>-14088</v>
      </c>
      <c r="M19" s="41">
        <f t="shared" si="5"/>
        <v>19603</v>
      </c>
      <c r="N19" s="213">
        <f t="shared" ref="N19:N29" si="6">+L19-M19</f>
        <v>-33691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7730</v>
      </c>
      <c r="D21" s="43">
        <f>+'Q1 Mgmt Summary'!D21+'QTD Mgmt Summary'!D21</f>
        <v>39722</v>
      </c>
      <c r="E21" s="213">
        <f t="shared" si="4"/>
        <v>-31992</v>
      </c>
      <c r="F21" s="241"/>
      <c r="G21" s="268">
        <f>+'Q1 Mgmt Summary'!G21+'QTD Mgmt Summary'!G21</f>
        <v>13392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2846</v>
      </c>
      <c r="K21" s="214"/>
      <c r="L21" s="212">
        <f t="shared" si="5"/>
        <v>-5662</v>
      </c>
      <c r="M21" s="41">
        <f t="shared" si="5"/>
        <v>21112</v>
      </c>
      <c r="N21" s="213">
        <f t="shared" si="6"/>
        <v>-26774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18634</v>
      </c>
      <c r="H22" s="43">
        <f>+'Q1 Mgmt Summary'!H22+'QTD Mgmt Summary'!H22</f>
        <v>19089</v>
      </c>
      <c r="I22" s="65">
        <f>'QTD Mgmt Summary'!I22+'Q1 Mgmt Summary'!I22</f>
        <v>642</v>
      </c>
      <c r="J22" s="213">
        <f>'QTD Mgmt Summary'!J22+'Q1 Mgmt Summary'!J22</f>
        <v>-187</v>
      </c>
      <c r="K22" s="214"/>
      <c r="L22" s="212">
        <f t="shared" ref="L22:M28" si="7">+C22-G22</f>
        <v>4735</v>
      </c>
      <c r="M22" s="41">
        <f t="shared" si="7"/>
        <v>18333</v>
      </c>
      <c r="N22" s="213">
        <f>+L22-M22</f>
        <v>-13598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-963</v>
      </c>
      <c r="D23" s="43">
        <f>+'Q1 Mgmt Summary'!D23+'QTD Mgmt Summary'!D23</f>
        <v>6212</v>
      </c>
      <c r="E23" s="213">
        <f>+C23-D23</f>
        <v>-7175</v>
      </c>
      <c r="F23" s="241"/>
      <c r="G23" s="268">
        <f>+'Q1 Mgmt Summary'!G23+'QTD Mgmt Summary'!G23</f>
        <v>3316</v>
      </c>
      <c r="H23" s="43">
        <f>+'Q1 Mgmt Summary'!H23+'QTD Mgmt Summary'!H23</f>
        <v>2755</v>
      </c>
      <c r="I23" s="65">
        <f>'QTD Mgmt Summary'!I23+'Q1 Mgmt Summary'!I23</f>
        <v>114</v>
      </c>
      <c r="J23" s="213">
        <f>'QTD Mgmt Summary'!J23+'Q1 Mgmt Summary'!J23</f>
        <v>-638</v>
      </c>
      <c r="K23" s="214"/>
      <c r="L23" s="212">
        <f t="shared" si="7"/>
        <v>-4279</v>
      </c>
      <c r="M23" s="41">
        <f t="shared" si="7"/>
        <v>3457</v>
      </c>
      <c r="N23" s="213">
        <f>+L23-M23</f>
        <v>-7736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20848</v>
      </c>
      <c r="D24" s="43">
        <f>+'Q1 Mgmt Summary'!D24+'QTD Mgmt Summary'!D24</f>
        <v>23112</v>
      </c>
      <c r="E24" s="213">
        <f t="shared" si="4"/>
        <v>-2264</v>
      </c>
      <c r="F24" s="241"/>
      <c r="G24" s="268">
        <f>+'Q1 Mgmt Summary'!G24+'QTD Mgmt Summary'!G24</f>
        <v>3660</v>
      </c>
      <c r="H24" s="43">
        <f>+'Q1 Mgmt Summary'!H24+'QTD Mgmt Summary'!H24</f>
        <v>4070</v>
      </c>
      <c r="I24" s="65">
        <f>'QTD Mgmt Summary'!I24+'Q1 Mgmt Summary'!I24</f>
        <v>400</v>
      </c>
      <c r="J24" s="213">
        <f>'QTD Mgmt Summary'!J24+'Q1 Mgmt Summary'!J24</f>
        <v>10</v>
      </c>
      <c r="K24" s="214"/>
      <c r="L24" s="212">
        <f t="shared" si="7"/>
        <v>17188</v>
      </c>
      <c r="M24" s="41">
        <f t="shared" si="7"/>
        <v>19042</v>
      </c>
      <c r="N24" s="213">
        <f t="shared" si="6"/>
        <v>-1854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40851</v>
      </c>
      <c r="D25" s="43">
        <f>+'Q1 Mgmt Summary'!D25+'QTD Mgmt Summary'!D25</f>
        <v>48743</v>
      </c>
      <c r="E25" s="213">
        <f>+C25-D25</f>
        <v>-7892</v>
      </c>
      <c r="F25" s="241"/>
      <c r="G25" s="268">
        <f>+'Q1 Mgmt Summary'!G25+'QTD Mgmt Summary'!G25</f>
        <v>77403.5</v>
      </c>
      <c r="H25" s="43">
        <f>+'Q1 Mgmt Summary'!H25+'QTD Mgmt Summary'!H25</f>
        <v>70579.5</v>
      </c>
      <c r="I25" s="65">
        <f>'QTD Mgmt Summary'!I25+'Q1 Mgmt Summary'!I25</f>
        <v>1805</v>
      </c>
      <c r="J25" s="213">
        <f>'QTD Mgmt Summary'!J25+'Q1 Mgmt Summary'!J25</f>
        <v>-8629</v>
      </c>
      <c r="K25" s="214"/>
      <c r="L25" s="212">
        <f>+C25-G25</f>
        <v>-36552.5</v>
      </c>
      <c r="M25" s="41">
        <f>+D25-H25</f>
        <v>-21836.5</v>
      </c>
      <c r="N25" s="213">
        <f>+L25-M25</f>
        <v>-14716</v>
      </c>
    </row>
    <row r="26" spans="1:14" ht="12" customHeight="1" x14ac:dyDescent="0.25">
      <c r="A26" s="207" t="s">
        <v>289</v>
      </c>
      <c r="B26" s="237"/>
      <c r="C26" s="268"/>
      <c r="D26" s="43"/>
      <c r="E26" s="213">
        <f>+C26-D26</f>
        <v>0</v>
      </c>
      <c r="F26" s="241"/>
      <c r="G26" s="268"/>
      <c r="H26" s="43"/>
      <c r="I26" s="65">
        <f>'QTD Mgmt Summary'!I26+'Q1 Mgmt Summary'!I26</f>
        <v>-603</v>
      </c>
      <c r="J26" s="213">
        <f>'QTD Mgmt Summary'!J26+'Q1 Mgmt Summary'!J26</f>
        <v>-410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290</v>
      </c>
      <c r="B27" s="237"/>
      <c r="C27" s="268"/>
      <c r="D27" s="43"/>
      <c r="E27" s="213">
        <f>+C27-D27</f>
        <v>0</v>
      </c>
      <c r="F27" s="241"/>
      <c r="G27" s="268"/>
      <c r="H27" s="43"/>
      <c r="I27" s="65">
        <f>'QTD Mgmt Summary'!I27+'Q1 Mgmt Summary'!I27</f>
        <v>199</v>
      </c>
      <c r="J27" s="213">
        <f>'QTD Mgmt Summary'!J27+'Q1 Mgmt Summary'!J27</f>
        <v>31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268">
        <f>+'Q1 Mgmt Summary'!C28+'QTD Mgmt Summary'!C28</f>
        <v>671</v>
      </c>
      <c r="D28" s="43">
        <f>+'Q1 Mgmt Summary'!D28+'QTD Mgmt Summary'!D28</f>
        <v>15424</v>
      </c>
      <c r="E28" s="213">
        <f>+C28-D28</f>
        <v>-14753</v>
      </c>
      <c r="F28" s="241"/>
      <c r="G28" s="268">
        <f>+'Q1 Mgmt Summary'!G28+'QTD Mgmt Summary'!G28</f>
        <v>2262</v>
      </c>
      <c r="H28" s="43">
        <f>+'Q1 Mgmt Summary'!H28+'QTD Mgmt Summary'!H28</f>
        <v>2551</v>
      </c>
      <c r="I28" s="65">
        <f>'QTD Mgmt Summary'!I28+'Q1 Mgmt Summary'!I28</f>
        <v>704</v>
      </c>
      <c r="J28" s="213">
        <f>'QTD Mgmt Summary'!J28+'Q1 Mgmt Summary'!J28</f>
        <v>-415</v>
      </c>
      <c r="K28" s="214"/>
      <c r="L28" s="212">
        <f t="shared" si="7"/>
        <v>-1591</v>
      </c>
      <c r="M28" s="41">
        <f t="shared" si="7"/>
        <v>12873</v>
      </c>
      <c r="N28" s="213">
        <f>+L28-M28</f>
        <v>-14464</v>
      </c>
    </row>
    <row r="29" spans="1:14" ht="12" customHeight="1" x14ac:dyDescent="0.25">
      <c r="A29" s="207" t="s">
        <v>0</v>
      </c>
      <c r="B29" s="237"/>
      <c r="C29" s="269">
        <f>+'Q1 Mgmt Summary'!C29+'QTD Mgmt Summary'!C29</f>
        <v>13</v>
      </c>
      <c r="D29" s="43">
        <f>+'Q1 Mgmt Summary'!D29+'QTD Mgmt Summary'!D29</f>
        <v>9312</v>
      </c>
      <c r="E29" s="213">
        <f t="shared" si="4"/>
        <v>-9299</v>
      </c>
      <c r="F29" s="241"/>
      <c r="G29" s="269">
        <f>+'Q1 Mgmt Summary'!G29+'QTD Mgmt Summary'!G29</f>
        <v>4455</v>
      </c>
      <c r="H29" s="43">
        <f>+'Q1 Mgmt Summary'!H29+'QTD Mgmt Summary'!H29</f>
        <v>5082</v>
      </c>
      <c r="I29" s="65">
        <f>'QTD Mgmt Summary'!I29+'Q1 Mgmt Summary'!I29</f>
        <v>0</v>
      </c>
      <c r="J29" s="213">
        <f>'QTD Mgmt Summary'!J29+'Q1 Mgmt Summary'!J29</f>
        <v>627</v>
      </c>
      <c r="K29" s="214"/>
      <c r="L29" s="212">
        <f>+C29-G29</f>
        <v>-4442</v>
      </c>
      <c r="M29" s="41">
        <f>+D29-H29</f>
        <v>4230</v>
      </c>
      <c r="N29" s="213">
        <f t="shared" si="6"/>
        <v>-8672</v>
      </c>
    </row>
    <row r="30" spans="1:14" s="202" customFormat="1" ht="12" customHeight="1" x14ac:dyDescent="0.2">
      <c r="A30" s="229" t="s">
        <v>1</v>
      </c>
      <c r="B30" s="238"/>
      <c r="C30" s="259">
        <f>SUM(C19:C29)</f>
        <v>104219</v>
      </c>
      <c r="D30" s="259">
        <f>SUM(D19:D29)</f>
        <v>241153</v>
      </c>
      <c r="E30" s="232">
        <f>SUM(E19:E29)</f>
        <v>-136934</v>
      </c>
      <c r="F30" s="242">
        <v>0</v>
      </c>
      <c r="G30" s="259">
        <f>SUM(G19:G29)</f>
        <v>153552.5</v>
      </c>
      <c r="H30" s="259">
        <f>SUM(H19:H29)</f>
        <v>152599.5</v>
      </c>
      <c r="I30" s="259">
        <f>SUM(I19:I29)</f>
        <v>4379</v>
      </c>
      <c r="J30" s="232">
        <f>SUM(J19:J29)</f>
        <v>-6078</v>
      </c>
      <c r="K30" s="215"/>
      <c r="L30" s="230">
        <f>SUM(L19:L29)</f>
        <v>-49333.5</v>
      </c>
      <c r="M30" s="231">
        <f>SUM(M19:M29)</f>
        <v>88553.5</v>
      </c>
      <c r="N30" s="232">
        <f>SUM(N19:N29)</f>
        <v>-137887</v>
      </c>
    </row>
    <row r="31" spans="1:14" ht="12" customHeight="1" x14ac:dyDescent="0.25">
      <c r="A31" s="207"/>
      <c r="B31" s="237"/>
      <c r="C31" s="212"/>
      <c r="D31" s="257"/>
      <c r="E31" s="213"/>
      <c r="F31" s="241"/>
      <c r="G31" s="212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68">
        <f>+'Q1 Mgmt Summary'!C32+'QTD Mgmt Summary'!C32</f>
        <v>63999</v>
      </c>
      <c r="D32" s="43">
        <f>+'Q1 Mgmt Summary'!D32+'QTD Mgmt Summary'!D32</f>
        <v>30764</v>
      </c>
      <c r="E32" s="213">
        <f>+C32-D32</f>
        <v>33235</v>
      </c>
      <c r="F32" s="241"/>
      <c r="G32" s="268">
        <f>+'Q1 Mgmt Summary'!G32+'QTD Mgmt Summary'!G32</f>
        <v>4714</v>
      </c>
      <c r="H32" s="43">
        <f>+'Q1 Mgmt Summary'!H32+'QTD Mgmt Summary'!H32</f>
        <v>6895</v>
      </c>
      <c r="I32" s="65">
        <f>'QTD Mgmt Summary'!I32+'Q1 Mgmt Summary'!I32</f>
        <v>1995</v>
      </c>
      <c r="J32" s="213">
        <f>'QTD Mgmt Summary'!J32+'Q1 Mgmt Summary'!J32</f>
        <v>186</v>
      </c>
      <c r="K32" s="214"/>
      <c r="L32" s="212">
        <f t="shared" ref="L32:M34" si="8">+C32-G32</f>
        <v>59285</v>
      </c>
      <c r="M32" s="41">
        <f t="shared" si="8"/>
        <v>23869</v>
      </c>
      <c r="N32" s="213">
        <f>+L32-M32</f>
        <v>35416</v>
      </c>
    </row>
    <row r="33" spans="1:14" ht="12" customHeight="1" x14ac:dyDescent="0.25">
      <c r="A33" s="207" t="s">
        <v>257</v>
      </c>
      <c r="B33" s="237"/>
      <c r="C33" s="268">
        <f>+'Q1 Mgmt Summary'!C33+'QTD Mgmt Summary'!C33</f>
        <v>4434</v>
      </c>
      <c r="D33" s="43">
        <f>+'Q1 Mgmt Summary'!D33+'QTD Mgmt Summary'!D33</f>
        <v>2000</v>
      </c>
      <c r="E33" s="213">
        <f>+C33-D33</f>
        <v>2434</v>
      </c>
      <c r="F33" s="241"/>
      <c r="G33" s="268">
        <f>+'Q1 Mgmt Summary'!G33+'QTD Mgmt Summary'!G33</f>
        <v>11591</v>
      </c>
      <c r="H33" s="43">
        <f>+'Q1 Mgmt Summary'!H33+'QTD Mgmt Summary'!H33</f>
        <v>14296</v>
      </c>
      <c r="I33" s="65">
        <f>'QTD Mgmt Summary'!I33+'Q1 Mgmt Summary'!I33</f>
        <v>3312</v>
      </c>
      <c r="J33" s="213">
        <f>'QTD Mgmt Summary'!J33+'Q1 Mgmt Summary'!J33</f>
        <v>-607</v>
      </c>
      <c r="K33" s="214"/>
      <c r="L33" s="212">
        <f t="shared" si="8"/>
        <v>-7157</v>
      </c>
      <c r="M33" s="41">
        <f t="shared" si="8"/>
        <v>-12296</v>
      </c>
      <c r="N33" s="213">
        <f>+L33-M33</f>
        <v>5139</v>
      </c>
    </row>
    <row r="34" spans="1:14" x14ac:dyDescent="0.25">
      <c r="A34" s="207" t="s">
        <v>154</v>
      </c>
      <c r="B34" s="237"/>
      <c r="C34" s="269">
        <f>+'Q1 Mgmt Summary'!C34+'QTD Mgmt Summary'!C34</f>
        <v>-13491</v>
      </c>
      <c r="D34" s="51">
        <f>+'Q1 Mgmt Summary'!D34+'QTD Mgmt Summary'!D34</f>
        <v>29109</v>
      </c>
      <c r="E34" s="213">
        <f>+C34-D34</f>
        <v>-42600</v>
      </c>
      <c r="F34" s="206"/>
      <c r="G34" s="269">
        <f>+'Q1 Mgmt Summary'!G34+'QTD Mgmt Summary'!G34</f>
        <v>20629</v>
      </c>
      <c r="H34" s="51">
        <f>+'Q1 Mgmt Summary'!H34+'QTD Mgmt Summary'!H34</f>
        <v>20771</v>
      </c>
      <c r="I34" s="65">
        <f>'QTD Mgmt Summary'!I34+'Q1 Mgmt Summary'!I34</f>
        <v>-313</v>
      </c>
      <c r="J34" s="213">
        <f>'QTD Mgmt Summary'!J34+'Q1 Mgmt Summary'!J34</f>
        <v>455</v>
      </c>
      <c r="K34" s="206"/>
      <c r="L34" s="212">
        <f t="shared" si="8"/>
        <v>-34120</v>
      </c>
      <c r="M34" s="41">
        <f t="shared" si="8"/>
        <v>8338</v>
      </c>
      <c r="N34" s="213">
        <f>+L34-M34</f>
        <v>-42458</v>
      </c>
    </row>
    <row r="35" spans="1:14" s="202" customFormat="1" ht="12" customHeight="1" x14ac:dyDescent="0.2">
      <c r="A35" s="229" t="s">
        <v>87</v>
      </c>
      <c r="B35" s="238"/>
      <c r="C35" s="259">
        <f>SUM(C32:C34)</f>
        <v>54942</v>
      </c>
      <c r="D35" s="259">
        <f>SUM(D32:D34)</f>
        <v>61873</v>
      </c>
      <c r="E35" s="232">
        <f>SUM(E32:E34)</f>
        <v>-6931</v>
      </c>
      <c r="F35" s="242"/>
      <c r="G35" s="259">
        <f>SUM(G32:G34)</f>
        <v>36934</v>
      </c>
      <c r="H35" s="259">
        <f>SUM(H32:H34)</f>
        <v>41962</v>
      </c>
      <c r="I35" s="259">
        <f>SUM(I32:I34)</f>
        <v>4994</v>
      </c>
      <c r="J35" s="232">
        <f>SUM(J32:J34)</f>
        <v>34</v>
      </c>
      <c r="K35" s="215"/>
      <c r="L35" s="230">
        <f>SUM(L32:L34)</f>
        <v>18008</v>
      </c>
      <c r="M35" s="231">
        <f>SUM(M32:M34)</f>
        <v>19911</v>
      </c>
      <c r="N35" s="232">
        <f>SUM(N32:N34)</f>
        <v>-1903</v>
      </c>
    </row>
    <row r="36" spans="1:14" ht="12" customHeight="1" x14ac:dyDescent="0.25">
      <c r="A36" s="217"/>
      <c r="B36" s="237"/>
      <c r="C36" s="218"/>
      <c r="D36" s="262"/>
      <c r="E36" s="219"/>
      <c r="F36" s="241"/>
      <c r="G36" s="218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68">
        <f>+'Q1 Mgmt Summary'!C37+'QTD Mgmt Summary'!C37</f>
        <v>1719</v>
      </c>
      <c r="D37" s="43">
        <f>+'Q1 Mgmt Summary'!D37+'QTD Mgmt Summary'!D37</f>
        <v>5000</v>
      </c>
      <c r="E37" s="213">
        <f>+C37-D37</f>
        <v>-3281</v>
      </c>
      <c r="F37" s="241"/>
      <c r="G37" s="268">
        <f>+'Q1 Mgmt Summary'!G37+'QTD Mgmt Summary'!G37</f>
        <v>17664</v>
      </c>
      <c r="H37" s="43">
        <f>+'Q1 Mgmt Summary'!H37+'QTD Mgmt Summary'!H37</f>
        <v>16200</v>
      </c>
      <c r="I37" s="65">
        <f>'QTD Mgmt Summary'!I37+'Q1 Mgmt Summary'!I37</f>
        <v>0</v>
      </c>
      <c r="J37" s="213">
        <f>'QTD Mgmt Summary'!J37+'Q1 Mgmt Summary'!J37</f>
        <v>-1464</v>
      </c>
      <c r="K37" s="214"/>
      <c r="L37" s="212">
        <f t="shared" ref="L37:M39" si="9">+C37-G37</f>
        <v>-15945</v>
      </c>
      <c r="M37" s="41">
        <f t="shared" si="9"/>
        <v>-11200</v>
      </c>
      <c r="N37" s="213">
        <f>+L37-M37</f>
        <v>-4745</v>
      </c>
    </row>
    <row r="38" spans="1:14" ht="12" customHeight="1" x14ac:dyDescent="0.25">
      <c r="A38" s="217" t="s">
        <v>7</v>
      </c>
      <c r="B38" s="237"/>
      <c r="C38" s="268">
        <f>+'Q1 Mgmt Summary'!C38+'QTD Mgmt Summary'!C38</f>
        <v>-18812</v>
      </c>
      <c r="D38" s="43">
        <f>+'Q1 Mgmt Summary'!D38+'QTD Mgmt Summary'!D38</f>
        <v>0</v>
      </c>
      <c r="E38" s="213">
        <f>+C38-D38</f>
        <v>-18812</v>
      </c>
      <c r="F38" s="241"/>
      <c r="G38" s="268">
        <f>+'Q1 Mgmt Summary'!G38+'QTD Mgmt Summary'!G38</f>
        <v>17601</v>
      </c>
      <c r="H38" s="43">
        <f>+'Q1 Mgmt Summary'!H38+'QTD Mgmt Summary'!H38</f>
        <v>14751</v>
      </c>
      <c r="I38" s="65">
        <f>'QTD Mgmt Summary'!I38+'Q1 Mgmt Summary'!I38</f>
        <v>0</v>
      </c>
      <c r="J38" s="213">
        <f>'QTD Mgmt Summary'!J38+'Q1 Mgmt Summary'!J38</f>
        <v>-2850</v>
      </c>
      <c r="K38" s="214"/>
      <c r="L38" s="212">
        <f t="shared" si="9"/>
        <v>-36413</v>
      </c>
      <c r="M38" s="41">
        <f t="shared" si="9"/>
        <v>-14751</v>
      </c>
      <c r="N38" s="213">
        <f>+L38-M38</f>
        <v>-21662</v>
      </c>
    </row>
    <row r="39" spans="1:14" ht="12" customHeight="1" x14ac:dyDescent="0.25">
      <c r="A39" s="217" t="s">
        <v>19</v>
      </c>
      <c r="B39" s="237"/>
      <c r="C39" s="269">
        <f>+'Q1 Mgmt Summary'!C39+'QTD Mgmt Summary'!C39</f>
        <v>0</v>
      </c>
      <c r="D39" s="51">
        <f>+'Q1 Mgmt Summary'!D39+'QTD Mgmt Summary'!D39</f>
        <v>100909</v>
      </c>
      <c r="E39" s="213">
        <f>+C39-D39</f>
        <v>-100909</v>
      </c>
      <c r="F39" s="241"/>
      <c r="G39" s="269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13">
        <f>'QTD Mgmt Summary'!J39+'Q1 Mgmt Summary'!J39</f>
        <v>0</v>
      </c>
      <c r="K39" s="214"/>
      <c r="L39" s="212">
        <f t="shared" si="9"/>
        <v>0</v>
      </c>
      <c r="M39" s="41">
        <f t="shared" si="9"/>
        <v>100909</v>
      </c>
      <c r="N39" s="213">
        <f>+L39-M39</f>
        <v>-100909</v>
      </c>
    </row>
    <row r="40" spans="1:14" s="202" customFormat="1" ht="12" customHeight="1" x14ac:dyDescent="0.2">
      <c r="A40" s="229" t="s">
        <v>10</v>
      </c>
      <c r="B40" s="238"/>
      <c r="C40" s="259">
        <f>C39+C38+C37+C35+C30+C17</f>
        <v>907698</v>
      </c>
      <c r="D40" s="259">
        <f>D39+D38+D37+D35+D30+D17</f>
        <v>717239</v>
      </c>
      <c r="E40" s="232">
        <f>E39+E38+E37+E35+E30+E17</f>
        <v>190459</v>
      </c>
      <c r="F40" s="242"/>
      <c r="G40" s="259">
        <f>G39+G38+G37+G35+G30+G17</f>
        <v>343119.5</v>
      </c>
      <c r="H40" s="259">
        <f>H39+H38+H37+H35+H30+H17</f>
        <v>339266.5</v>
      </c>
      <c r="I40" s="259">
        <f>I39+I38+I37+I35+I30+I17</f>
        <v>10839</v>
      </c>
      <c r="J40" s="232">
        <f>J39+J38+J37+J35+J30+J17</f>
        <v>-15475</v>
      </c>
      <c r="K40" s="215"/>
      <c r="L40" s="259">
        <f>L39+L38+L37+L35+L30+L17</f>
        <v>564578.5</v>
      </c>
      <c r="M40" s="259">
        <f>M39+M38+M37+M35+M30+M17</f>
        <v>377972.5</v>
      </c>
      <c r="N40" s="232">
        <f>N39+N38+N37+N35+N30+N17</f>
        <v>186606</v>
      </c>
    </row>
    <row r="41" spans="1:14" ht="12" customHeight="1" x14ac:dyDescent="0.25">
      <c r="A41" s="217"/>
      <c r="B41" s="237"/>
      <c r="C41" s="218"/>
      <c r="D41" s="262"/>
      <c r="E41" s="219"/>
      <c r="F41" s="241"/>
      <c r="G41" s="218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68">
        <f>+'Q1 Mgmt Summary'!C42+'QTD Mgmt Summary'!C42</f>
        <v>0</v>
      </c>
      <c r="D42" s="43">
        <f>+'Q1 Mgmt Summary'!D42+'QTD Mgmt Summary'!D42</f>
        <v>0</v>
      </c>
      <c r="E42" s="213">
        <f>+C42-D42</f>
        <v>0</v>
      </c>
      <c r="F42" s="241"/>
      <c r="G42" s="268">
        <f>+'Q1 Mgmt Summary'!G42+'QTD Mgmt Summary'!G42</f>
        <v>169398</v>
      </c>
      <c r="H42" s="43">
        <f>+'Q1 Mgmt Summary'!H42+'QTD Mgmt Summary'!H42</f>
        <v>122673</v>
      </c>
      <c r="I42" s="65">
        <f>'QTD Mgmt Summary'!I42+'Q1 Mgmt Summary'!I42</f>
        <v>0</v>
      </c>
      <c r="J42" s="213">
        <f>'QTD Mgmt Summary'!J42+'Q1 Mgmt Summary'!J42</f>
        <v>-46725</v>
      </c>
      <c r="K42" s="214"/>
      <c r="L42" s="212">
        <f>+C42-G42</f>
        <v>-169398</v>
      </c>
      <c r="M42" s="41">
        <f>+D42-H42</f>
        <v>-122673</v>
      </c>
      <c r="N42" s="213">
        <f>+L42-M42</f>
        <v>-46725</v>
      </c>
    </row>
    <row r="43" spans="1:14" ht="12" customHeight="1" x14ac:dyDescent="0.25">
      <c r="A43" s="217" t="s">
        <v>237</v>
      </c>
      <c r="B43" s="237"/>
      <c r="C43" s="268">
        <f>+'Q1 Mgmt Summary'!C43+'QTD Mgmt Summary'!C43</f>
        <v>0</v>
      </c>
      <c r="D43" s="43">
        <f>+'Q1 Mgmt Summary'!D43+'QTD Mgmt Summary'!D43</f>
        <v>0</v>
      </c>
      <c r="E43" s="213">
        <f>+C43-D43</f>
        <v>0</v>
      </c>
      <c r="F43" s="241"/>
      <c r="G43" s="268">
        <f>+'Q1 Mgmt Summary'!G43+'QTD Mgmt Summary'!G43</f>
        <v>-91747</v>
      </c>
      <c r="H43" s="43">
        <f>+'Q1 Mgmt Summary'!H43+'QTD Mgmt Summary'!H43</f>
        <v>-98360</v>
      </c>
      <c r="I43" s="65">
        <f>'QTD Mgmt Summary'!I43+'Q1 Mgmt Summary'!I43</f>
        <v>0</v>
      </c>
      <c r="J43" s="213">
        <f>'QTD Mgmt Summary'!J43+'Q1 Mgmt Summary'!J43</f>
        <v>-6613</v>
      </c>
      <c r="K43" s="214"/>
      <c r="L43" s="212">
        <f t="shared" ref="L43:M45" si="10">+C43-G43</f>
        <v>91747</v>
      </c>
      <c r="M43" s="41">
        <f t="shared" si="10"/>
        <v>98360</v>
      </c>
      <c r="N43" s="213">
        <f>+L43-M43</f>
        <v>-6613</v>
      </c>
    </row>
    <row r="44" spans="1:14" ht="12" customHeight="1" x14ac:dyDescent="0.25">
      <c r="A44" s="217" t="s">
        <v>18</v>
      </c>
      <c r="B44" s="237"/>
      <c r="C44" s="268">
        <f>+'Q1 Mgmt Summary'!C44+'QTD Mgmt Summary'!C46</f>
        <v>-41336</v>
      </c>
      <c r="D44" s="43">
        <f>+'Q1 Mgmt Summary'!D44+'QTD Mgmt Summary'!D46</f>
        <v>-21590</v>
      </c>
      <c r="E44" s="213">
        <f>+C44-D44</f>
        <v>-19746</v>
      </c>
      <c r="F44" s="243"/>
      <c r="G44" s="268">
        <f>+'Q1 Mgmt Summary'!G44+'QTD Mgmt Summary'!G46</f>
        <v>37352</v>
      </c>
      <c r="H44" s="43">
        <f>+'Q1 Mgmt Summary'!H44+'QTD Mgmt Summary'!H46</f>
        <v>49287</v>
      </c>
      <c r="I44" s="65">
        <f>'QTD Mgmt Summary'!I46+'Q1 Mgmt Summary'!I44</f>
        <v>0</v>
      </c>
      <c r="J44" s="213">
        <f>'QTD Mgmt Summary'!J46+'Q1 Mgmt Summary'!J44</f>
        <v>11935</v>
      </c>
      <c r="K44" s="214"/>
      <c r="L44" s="212">
        <f t="shared" si="10"/>
        <v>-78688</v>
      </c>
      <c r="M44" s="41">
        <f t="shared" si="10"/>
        <v>-70877</v>
      </c>
      <c r="N44" s="213">
        <f>+L44-M44</f>
        <v>-7811</v>
      </c>
    </row>
    <row r="45" spans="1:14" ht="12" customHeight="1" x14ac:dyDescent="0.25">
      <c r="A45" s="217" t="s">
        <v>60</v>
      </c>
      <c r="B45" s="237"/>
      <c r="C45" s="268">
        <f>+'Q1 Mgmt Summary'!C45+'QTD Mgmt Summary'!C47</f>
        <v>0</v>
      </c>
      <c r="D45" s="43">
        <f>+'Q1 Mgmt Summary'!D45+'QTD Mgmt Summary'!D47</f>
        <v>0</v>
      </c>
      <c r="E45" s="213">
        <f>+C45-D45</f>
        <v>0</v>
      </c>
      <c r="F45" s="241"/>
      <c r="G45" s="268">
        <f>+'Q1 Mgmt Summary'!G45+'QTD Mgmt Summary'!G47</f>
        <v>-71975</v>
      </c>
      <c r="H45" s="43">
        <f>+'Q1 Mgmt Summary'!H45+'QTD Mgmt Summary'!H47</f>
        <v>-82814</v>
      </c>
      <c r="I45" s="65">
        <f>'QTD Mgmt Summary'!I47+'Q1 Mgmt Summary'!I45</f>
        <v>-10839</v>
      </c>
      <c r="J45" s="213">
        <f>'QTD Mgmt Summary'!J47+'Q1 Mgmt Summary'!J45</f>
        <v>0</v>
      </c>
      <c r="K45" s="214"/>
      <c r="L45" s="212">
        <f t="shared" si="10"/>
        <v>71975</v>
      </c>
      <c r="M45" s="41">
        <f t="shared" si="10"/>
        <v>82814</v>
      </c>
      <c r="N45" s="213">
        <f>+L45-M45</f>
        <v>-10839</v>
      </c>
    </row>
    <row r="46" spans="1:14" s="202" customFormat="1" ht="12" customHeight="1" x14ac:dyDescent="0.2">
      <c r="A46" s="229" t="s">
        <v>65</v>
      </c>
      <c r="B46" s="238"/>
      <c r="C46" s="259">
        <f>SUM(C40:C45)</f>
        <v>866362</v>
      </c>
      <c r="D46" s="259">
        <f>SUM(D40:D45)</f>
        <v>695649</v>
      </c>
      <c r="E46" s="233">
        <f>SUM(E40:E45)</f>
        <v>170713</v>
      </c>
      <c r="F46" s="242"/>
      <c r="G46" s="259">
        <f>SUM(G40:G45)</f>
        <v>386147.5</v>
      </c>
      <c r="H46" s="259">
        <f>SUM(H40:H45)</f>
        <v>330052.5</v>
      </c>
      <c r="I46" s="259">
        <f>SUM(I40:I45)</f>
        <v>0</v>
      </c>
      <c r="J46" s="233">
        <f>SUM(J40:J45)</f>
        <v>-56878</v>
      </c>
      <c r="K46" s="215"/>
      <c r="L46" s="259">
        <f>SUM(L40:L45)</f>
        <v>480214.5</v>
      </c>
      <c r="M46" s="259">
        <f>SUM(M40:M45)</f>
        <v>365596.5</v>
      </c>
      <c r="N46" s="233">
        <f>SUM(N40:N45)</f>
        <v>114618</v>
      </c>
    </row>
    <row r="47" spans="1:14" ht="12" customHeight="1" thickBot="1" x14ac:dyDescent="0.3">
      <c r="A47" s="217" t="s">
        <v>150</v>
      </c>
      <c r="B47" s="237"/>
      <c r="C47" s="212">
        <f>+'[1]1Q'!C46+'[1]2QTD'!C46</f>
        <v>0</v>
      </c>
      <c r="D47" s="257">
        <f>+'[1]1Q'!D46+'[1]2QTD'!D46</f>
        <v>0</v>
      </c>
      <c r="E47" s="213">
        <f>+C47-D47</f>
        <v>0</v>
      </c>
      <c r="F47" s="241"/>
      <c r="G47" s="212">
        <f>+'[1]1Q'!G46+'[1]2QTD'!G46</f>
        <v>9823</v>
      </c>
      <c r="H47" s="257">
        <f>+'[1]1Q'!H46+'[1]2QTD'!H46</f>
        <v>20600</v>
      </c>
      <c r="I47" s="65">
        <f>'QTD Mgmt Summary'!I49+'Q1 Mgmt Summary'!I47</f>
        <v>0</v>
      </c>
      <c r="J47" s="213">
        <f>'QTD Mgmt Summary'!J49+'Q1 Mgmt Summary'!J47</f>
        <v>4677</v>
      </c>
      <c r="K47" s="214"/>
      <c r="L47" s="212">
        <f>+C47-G47</f>
        <v>-9823</v>
      </c>
      <c r="M47" s="41">
        <f>+D47-H47</f>
        <v>-20600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50"/>
      <c r="C48" s="264">
        <f>SUM(C46:C47)</f>
        <v>866362</v>
      </c>
      <c r="D48" s="264">
        <f>SUM(D46:D47)</f>
        <v>695649</v>
      </c>
      <c r="E48" s="253">
        <f>SUM(E46:E47)</f>
        <v>170713</v>
      </c>
      <c r="F48" s="254"/>
      <c r="G48" s="264">
        <f>SUM(G46:G47)</f>
        <v>395970.5</v>
      </c>
      <c r="H48" s="264">
        <f>SUM(H46:H47)</f>
        <v>350652.5</v>
      </c>
      <c r="I48" s="264">
        <f>SUM(I46:I47)</f>
        <v>0</v>
      </c>
      <c r="J48" s="253">
        <f>SUM(J46:J47)</f>
        <v>-52201</v>
      </c>
      <c r="K48" s="254"/>
      <c r="L48" s="264">
        <f>SUM(L46:L47)</f>
        <v>470391.5</v>
      </c>
      <c r="M48" s="264">
        <f>SUM(M46:M47)</f>
        <v>344996.5</v>
      </c>
      <c r="N48" s="253">
        <f>SUM(N46:N47)</f>
        <v>125395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6"/>
  <sheetViews>
    <sheetView topLeftCell="B1" workbookViewId="0">
      <selection activeCell="E53" sqref="E53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297" t="s">
        <v>283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6123</f>
        <v>6123</v>
      </c>
      <c r="E11" s="12">
        <f>ROUND(_xll.HPVAL($A11,$A$1,$A$2,$A$3,$A$4,$A$6)/1000,0)</f>
        <v>4712</v>
      </c>
      <c r="F11" s="123">
        <f t="shared" ref="F11:F17" si="0">E11-D11</f>
        <v>-1411</v>
      </c>
      <c r="G11" s="5"/>
      <c r="H11" s="4" t="s">
        <v>316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774</v>
      </c>
      <c r="E12" s="12">
        <f>ROUND(_xll.HPVAL($A12,$A$1,$A$2,$A$3,$A$4,$A$6)*0.8577/1000,0)</f>
        <v>655</v>
      </c>
      <c r="F12" s="123">
        <f t="shared" si="0"/>
        <v>-119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f>1434-459</f>
        <v>975</v>
      </c>
      <c r="E13" s="12">
        <f>ROUND(_xll.HPVAL($A13,$A$1,$A$2,$A$3,$A$4,$A$6)/1000,0)-E12-494</f>
        <v>948</v>
      </c>
      <c r="F13" s="123">
        <f>E13-D13</f>
        <v>-27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>
        <v>1549</v>
      </c>
      <c r="E15" s="12">
        <f>ROUND(_xll.HPVAL($A15,$A$1,$A$2,$A$3,$A$4,$A$6)/1000,0)/2</f>
        <v>1224</v>
      </c>
      <c r="F15" s="123">
        <f t="shared" si="0"/>
        <v>-325</v>
      </c>
      <c r="G15" s="5"/>
      <c r="H15" s="4" t="s">
        <v>303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721</v>
      </c>
      <c r="E16" s="12">
        <f>ROUND(_xll.HPVAL($A16,$A$1,$A$2,$A$3,$A$4,$A$6)/1000,0)</f>
        <v>892</v>
      </c>
      <c r="F16" s="123">
        <f t="shared" si="0"/>
        <v>171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292</v>
      </c>
      <c r="D17" s="20">
        <v>52</v>
      </c>
      <c r="E17" s="12">
        <f>ROUND(_xll.HPVAL($A17,$A$1,$A$2,$A$3,$A$4,$A$6)/1000,0)</f>
        <v>104</v>
      </c>
      <c r="F17" s="123">
        <f t="shared" si="0"/>
        <v>52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17184</v>
      </c>
      <c r="E18" s="121">
        <f>SUM(E9:E17)</f>
        <v>14316</v>
      </c>
      <c r="F18" s="113">
        <f>SUM(F9:F17)</f>
        <v>-2868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E20+3000+541</f>
        <v>8510</v>
      </c>
      <c r="E20" s="12">
        <f>ROUND(_xll.HPVAL($A20,$A$1,$A$2,$A$3,$A$4,$A$6)/1000,0)</f>
        <v>4969</v>
      </c>
      <c r="F20" s="123">
        <f t="shared" ref="F20:F30" si="1">E20-D20</f>
        <v>-3541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282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>
        <v>4610</v>
      </c>
      <c r="E22" s="12">
        <f>ROUND(_xll.HPVAL($A22,$A$1,$A$2,$A$3,$A$4,$A$6)/1000,0)</f>
        <v>5360</v>
      </c>
      <c r="F22" s="123">
        <f t="shared" si="1"/>
        <v>750</v>
      </c>
      <c r="G22" s="5"/>
      <c r="H22" s="4" t="s">
        <v>304</v>
      </c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v>2124</v>
      </c>
      <c r="E23" s="12">
        <f>ROUND(_xll.HPVAL($A23,$A$1,$A$2,$A$3,$A$4,$A$6)/1000,0)</f>
        <v>1294</v>
      </c>
      <c r="F23" s="123">
        <f>E23-D23</f>
        <v>-830</v>
      </c>
      <c r="G23" s="5"/>
      <c r="H23" s="4" t="s">
        <v>293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v>1549</v>
      </c>
      <c r="E24" s="12">
        <f>2448/2</f>
        <v>1224</v>
      </c>
      <c r="F24" s="123">
        <f t="shared" si="1"/>
        <v>-325</v>
      </c>
      <c r="G24" s="5"/>
      <c r="H24" s="4" t="s">
        <v>303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80" t="s">
        <v>41</v>
      </c>
      <c r="B26" s="7" t="s">
        <v>299</v>
      </c>
      <c r="C26" s="72"/>
      <c r="D26" s="20">
        <v>3746</v>
      </c>
      <c r="E26" s="12">
        <f>ROUND(_xll.HPVAL($A26,$A$1,$A$2,$A$3,$A$4,$A$6)/1000,0)-E27-E28</f>
        <v>2866</v>
      </c>
      <c r="F26" s="123">
        <f>E26-D26</f>
        <v>-880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162" t="s">
        <v>289</v>
      </c>
      <c r="B27" s="7" t="s">
        <v>289</v>
      </c>
      <c r="C27" s="72"/>
      <c r="D27" s="20">
        <v>2275</v>
      </c>
      <c r="E27" s="12">
        <v>2595</v>
      </c>
      <c r="F27" s="123">
        <f>E27-D27</f>
        <v>320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162" t="s">
        <v>290</v>
      </c>
      <c r="B28" s="7" t="s">
        <v>290</v>
      </c>
      <c r="C28" s="72"/>
      <c r="D28" s="20">
        <v>65</v>
      </c>
      <c r="E28" s="12">
        <v>96</v>
      </c>
      <c r="F28" s="123">
        <f>E28-D28</f>
        <v>31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0">
        <v>1064</v>
      </c>
      <c r="E29" s="12">
        <f>ROUND(_xll.HPVAL($A29,$A$1,$A$2,$A$3,$A$4,$A$6)/1000,0)</f>
        <v>1298</v>
      </c>
      <c r="F29" s="123">
        <f t="shared" si="1"/>
        <v>234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0">
        <v>1616</v>
      </c>
      <c r="E30" s="12">
        <f>ROUND(_xll.HPVAL($A30,$A$1,$A$2,$A$3,$A$4,$A$6)/1000,0)</f>
        <v>2005</v>
      </c>
      <c r="F30" s="123">
        <f t="shared" si="1"/>
        <v>389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>
        <f>D20+D21+D22+D23+D24+D25+D30+D29+D26+D27+D28</f>
        <v>31272</v>
      </c>
      <c r="E31" s="121">
        <f>E20+E21+E22+E23+E24+E25+E30+E29+E26+E27+E28</f>
        <v>26710</v>
      </c>
      <c r="F31" s="113">
        <f>F20+F21+F22+F23+F24+F25+F26+F29+F30+F27+F28</f>
        <v>-4562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0">
        <v>459</v>
      </c>
      <c r="E34" s="12">
        <f>ROUND(_xll.HPVAL($A34,$A$1,$A$2,$A$3,$A$4,$A$6)/1000,0)</f>
        <v>735</v>
      </c>
      <c r="F34" s="123">
        <f>E34-D34</f>
        <v>276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0">
        <v>1486</v>
      </c>
      <c r="E35" s="12">
        <f>ROUND(_xll.HPVAL($A35,$A$1,$A$2,$A$3,$A$4,$A$6)/1000,0)</f>
        <v>1307</v>
      </c>
      <c r="F35" s="123">
        <f>E35-D35</f>
        <v>-179</v>
      </c>
      <c r="G35" s="5"/>
      <c r="H35" s="4" t="s">
        <v>284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0">
        <v>502</v>
      </c>
      <c r="E36" s="12">
        <f>ROUND(_xll.HPVAL($A36,$A$1,$A$2,$A$3,$A$4,$A$6)/1000,0)</f>
        <v>839</v>
      </c>
      <c r="F36" s="123">
        <f>E36-D36</f>
        <v>337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0">
        <v>10</v>
      </c>
      <c r="E37" s="12">
        <f>ROUND(_xll.HPVAL($A37,$A$1,$A$2,$A$3,$A$4,$A$6)/1000,0)</f>
        <v>0</v>
      </c>
      <c r="F37" s="123">
        <f>E37-D37</f>
        <v>-10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26">
        <f>SUM(D36:D37)</f>
        <v>512</v>
      </c>
      <c r="E38" s="227">
        <f>SUM(E36:E37)</f>
        <v>839</v>
      </c>
      <c r="F38" s="296">
        <f>SUM(F36:F37)</f>
        <v>327</v>
      </c>
      <c r="G38" s="225"/>
      <c r="K38" s="283"/>
    </row>
    <row r="39" spans="1:37" ht="11.25" customHeight="1" x14ac:dyDescent="0.2">
      <c r="B39" s="115" t="s">
        <v>87</v>
      </c>
      <c r="C39" s="114"/>
      <c r="D39" s="120">
        <f>SUM(D34:D37)</f>
        <v>2457</v>
      </c>
      <c r="E39" s="121">
        <f>SUM(E34:E37)</f>
        <v>2881</v>
      </c>
      <c r="F39" s="113">
        <f>SUM(F34:F37)</f>
        <v>424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0">
        <v>6128</v>
      </c>
      <c r="E41" s="12">
        <f>ROUND(_xll.HPVAL($A41,$A$1,$A$2,$A$3,$A$4,$A$6)/1000,0)</f>
        <v>4617</v>
      </c>
      <c r="F41" s="123">
        <f>E41-D41</f>
        <v>-1511</v>
      </c>
      <c r="G41" s="5"/>
      <c r="H41" s="4" t="s">
        <v>279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0">
        <f>3230+1800</f>
        <v>5030</v>
      </c>
      <c r="E43" s="12">
        <f>ROUND(_xll.HPVAL($A43,$A$1,$A$2,$A$3,$A$4,$A$6)/1000,0)</f>
        <v>2430</v>
      </c>
      <c r="F43" s="123">
        <f>E43-D43</f>
        <v>-2600</v>
      </c>
      <c r="G43" s="5"/>
      <c r="H43" s="4" t="s">
        <v>315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>
        <f>SUM(D39:D43)+D18+D31</f>
        <v>62071</v>
      </c>
      <c r="E45" s="121">
        <f>SUM(E39:E43)+E18+E31</f>
        <v>50954</v>
      </c>
      <c r="F45" s="113">
        <f>SUM(F39:F43)+F18+F31</f>
        <v>-11117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0">
        <f>75928-15698+30000</f>
        <v>90230</v>
      </c>
      <c r="E47" s="12">
        <f>ROUND(_xll.HPVAL($A47,$A$1,$A$2,$A$3,$A$4,$A$6)/1000,0)-13698</f>
        <v>59297</v>
      </c>
      <c r="F47" s="123">
        <f>E47-D47</f>
        <v>-30933</v>
      </c>
      <c r="G47" s="5"/>
      <c r="H47" s="4" t="s">
        <v>285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0">
        <v>13698</v>
      </c>
      <c r="E49" s="12">
        <v>13698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0">
        <v>22625</v>
      </c>
      <c r="E51" s="12">
        <f>ROUND(_xll.HPVAL($A51,$A$1,$A$2,$A$3,$A$4,$A$6)/1000,0)</f>
        <v>26684</v>
      </c>
      <c r="F51" s="123">
        <f>E51-D51</f>
        <v>4059</v>
      </c>
      <c r="G51" s="5"/>
      <c r="H51" s="4" t="s">
        <v>281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>
        <f>D45+D47+D51+D49</f>
        <v>188624</v>
      </c>
      <c r="E53" s="109">
        <f>E45+E47+E51+E49</f>
        <v>150633</v>
      </c>
      <c r="F53" s="110">
        <f>F45+F47+F51+F49</f>
        <v>-37991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181">
        <v>9900</v>
      </c>
      <c r="E58" s="182">
        <v>8789</v>
      </c>
      <c r="F58" s="179">
        <f>E58-D58</f>
        <v>-1111</v>
      </c>
      <c r="G58" s="1"/>
      <c r="H58" s="9" t="s">
        <v>297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289</v>
      </c>
      <c r="D59" s="20">
        <v>34656</v>
      </c>
      <c r="E59" s="12">
        <v>33926</v>
      </c>
      <c r="F59" s="123">
        <f>E59-D59</f>
        <v>-730</v>
      </c>
      <c r="G59" s="1"/>
      <c r="H59" s="4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1">
        <v>6741</v>
      </c>
      <c r="E60" s="15">
        <v>3072</v>
      </c>
      <c r="F60" s="180">
        <f>E60-D60</f>
        <v>-3669</v>
      </c>
      <c r="G60" s="1"/>
      <c r="H60" s="13" t="s">
        <v>271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279">
        <f>SUM(D58:D60)</f>
        <v>51297</v>
      </c>
      <c r="E61" s="279">
        <f>SUM(E58:E60)</f>
        <v>45787</v>
      </c>
      <c r="F61" s="1"/>
      <c r="G61" s="1"/>
      <c r="H61" s="1"/>
      <c r="I61" s="1"/>
      <c r="J61" s="1"/>
      <c r="K61" s="1"/>
      <c r="L61" s="1"/>
      <c r="M61" s="1" t="s">
        <v>286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6"/>
  <sheetViews>
    <sheetView topLeftCell="B24" workbookViewId="0">
      <selection activeCell="E53" sqref="E53"/>
    </sheetView>
  </sheetViews>
  <sheetFormatPr defaultRowHeight="12.75" x14ac:dyDescent="0.2"/>
  <cols>
    <col min="1" max="1" width="13.14062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Expenses!D9-[2]Expenses!D9</f>
        <v>0</v>
      </c>
      <c r="E9" s="63">
        <f>Expenses!E9-[2]Expenses!E9</f>
        <v>0</v>
      </c>
      <c r="F9" s="122">
        <f>E9-D9</f>
        <v>0</v>
      </c>
      <c r="G9" s="5"/>
      <c r="H9" s="297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400</v>
      </c>
      <c r="E11" s="294">
        <f>Expenses!E11-[2]Expenses!E11</f>
        <v>0</v>
      </c>
      <c r="F11" s="295">
        <f t="shared" ref="F11:F17" si="0">E11-D11</f>
        <v>-400</v>
      </c>
      <c r="G11" s="5"/>
      <c r="H11" s="4" t="s">
        <v>302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-289</v>
      </c>
      <c r="E12" s="294">
        <f>Expenses!E12-[2]Expenses!E12</f>
        <v>0</v>
      </c>
      <c r="F12" s="295">
        <f t="shared" si="0"/>
        <v>289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0</v>
      </c>
      <c r="F14" s="295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>
        <f>Expenses!D15-[2]Expenses!D15</f>
        <v>325</v>
      </c>
      <c r="E15" s="294">
        <f>Expenses!E15-[2]Expenses!E15</f>
        <v>0</v>
      </c>
      <c r="F15" s="295">
        <f t="shared" si="0"/>
        <v>-325</v>
      </c>
      <c r="G15" s="5"/>
      <c r="H15" s="4" t="s">
        <v>303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-171</v>
      </c>
      <c r="E16" s="294">
        <f>Expenses!E16-[2]Expenses!E16</f>
        <v>0</v>
      </c>
      <c r="F16" s="295">
        <f t="shared" si="0"/>
        <v>171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292</v>
      </c>
      <c r="D17" s="293">
        <f>Expenses!D17-[2]Expenses!D17</f>
        <v>-52</v>
      </c>
      <c r="E17" s="294">
        <f>Expenses!E17-[2]Expenses!E17</f>
        <v>0</v>
      </c>
      <c r="F17" s="295">
        <f t="shared" si="0"/>
        <v>52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213</v>
      </c>
      <c r="E18" s="121">
        <f>SUM(E9:E17)</f>
        <v>0</v>
      </c>
      <c r="F18" s="113">
        <f>SUM(F9:F17)</f>
        <v>-213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6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>
        <f>Expenses!D22-[2]Expenses!D22</f>
        <v>-750</v>
      </c>
      <c r="E22" s="294">
        <f>Expenses!E22-[2]Expenses!E22</f>
        <v>0</v>
      </c>
      <c r="F22" s="295">
        <f t="shared" si="1"/>
        <v>750</v>
      </c>
      <c r="G22" s="5"/>
      <c r="H22" s="4" t="s">
        <v>305</v>
      </c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-138</v>
      </c>
      <c r="E23" s="294">
        <f>Expenses!E23-[2]Expenses!E23</f>
        <v>0</v>
      </c>
      <c r="F23" s="295">
        <f>E23-D23</f>
        <v>138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325</v>
      </c>
      <c r="E24" s="294">
        <f>Expenses!E24-[2]Expenses!E24</f>
        <v>0</v>
      </c>
      <c r="F24" s="295">
        <f t="shared" si="1"/>
        <v>-325</v>
      </c>
      <c r="G24" s="5"/>
      <c r="H24" s="4" t="s">
        <v>303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>
        <f>Expenses!E25-[2]Expenses!E25</f>
        <v>0</v>
      </c>
      <c r="F25" s="295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41</v>
      </c>
      <c r="B26" s="7" t="s">
        <v>299</v>
      </c>
      <c r="C26" s="72"/>
      <c r="D26" s="293">
        <f>Expenses!D26-[2]Expenses!D26</f>
        <v>0</v>
      </c>
      <c r="E26" s="294">
        <f>Expenses!E26-[2]Expenses!E26</f>
        <v>0</v>
      </c>
      <c r="F26" s="295">
        <f t="shared" si="1"/>
        <v>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29" t="s">
        <v>289</v>
      </c>
      <c r="C27" s="72"/>
      <c r="D27" s="293">
        <f>Expenses!D27-[2]Expenses!D27</f>
        <v>-627</v>
      </c>
      <c r="E27" s="294">
        <f>Expenses!E27-[2]Expenses!E27</f>
        <v>0</v>
      </c>
      <c r="F27" s="295">
        <f>E27-D27</f>
        <v>627</v>
      </c>
      <c r="G27" s="5"/>
      <c r="H27" s="4" t="s">
        <v>309</v>
      </c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29" t="s">
        <v>290</v>
      </c>
      <c r="C28" s="72"/>
      <c r="D28" s="293">
        <f>Expenses!D28-[2]Expenses!D28</f>
        <v>0</v>
      </c>
      <c r="E28" s="294">
        <f>Expenses!E28-[2]Expenses!E28</f>
        <v>0</v>
      </c>
      <c r="F28" s="295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93">
        <f>Expenses!D29-[2]Expenses!D29</f>
        <v>-300</v>
      </c>
      <c r="E29" s="294">
        <f>Expenses!E29-[2]Expenses!E29</f>
        <v>0</v>
      </c>
      <c r="F29" s="295">
        <f>E29-D29</f>
        <v>300</v>
      </c>
      <c r="G29" s="5"/>
      <c r="H29" s="4" t="s">
        <v>312</v>
      </c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93">
        <f>Expenses!D30-[2]Expenses!D30</f>
        <v>0</v>
      </c>
      <c r="E30" s="294">
        <f>Expenses!E30-[2]Expenses!E30</f>
        <v>0</v>
      </c>
      <c r="F30" s="295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>
        <f>SUM(D20:D30)</f>
        <v>-1490</v>
      </c>
      <c r="E31" s="121">
        <f>SUM(E20:E30)</f>
        <v>0</v>
      </c>
      <c r="F31" s="113">
        <f>SUM(F20:F30)</f>
        <v>1490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93">
        <f>Expenses!D34-[2]Expenses!D34</f>
        <v>-176</v>
      </c>
      <c r="E34" s="294">
        <f>Expenses!E34-[2]Expenses!E34</f>
        <v>0</v>
      </c>
      <c r="F34" s="295">
        <f>E34-D34</f>
        <v>176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93">
        <f>Expenses!D35-[2]Expenses!D35</f>
        <v>53</v>
      </c>
      <c r="E35" s="294">
        <f>Expenses!E35-[2]Expenses!E35</f>
        <v>0</v>
      </c>
      <c r="F35" s="295">
        <f>E35-D35</f>
        <v>-53</v>
      </c>
      <c r="G35" s="5"/>
      <c r="H35" s="4" t="s">
        <v>313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93">
        <f>Expenses!D36-[2]Expenses!D36</f>
        <v>100</v>
      </c>
      <c r="E36" s="294">
        <f>Expenses!E36-[2]Expenses!E36</f>
        <v>0</v>
      </c>
      <c r="F36" s="295">
        <f>E36-D36</f>
        <v>-100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93">
        <f>Expenses!D37-[2]Expenses!D37</f>
        <v>10</v>
      </c>
      <c r="E37" s="294">
        <f>Expenses!E37-[2]Expenses!E37</f>
        <v>0</v>
      </c>
      <c r="F37" s="295">
        <f>E37-D37</f>
        <v>-10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93">
        <f>Expenses!D38-[2]Expenses!D38</f>
        <v>110</v>
      </c>
      <c r="E38" s="294">
        <f>Expenses!E38-[2]Expenses!E38</f>
        <v>0</v>
      </c>
      <c r="F38" s="295">
        <f>E38-D38</f>
        <v>-110</v>
      </c>
      <c r="G38" s="225"/>
      <c r="H38" s="1" t="s">
        <v>314</v>
      </c>
      <c r="K38" s="283"/>
    </row>
    <row r="39" spans="1:37" ht="11.25" customHeight="1" x14ac:dyDescent="0.2">
      <c r="B39" s="115" t="s">
        <v>87</v>
      </c>
      <c r="C39" s="114"/>
      <c r="D39" s="120">
        <f>SUM(D34:D37)</f>
        <v>-13</v>
      </c>
      <c r="E39" s="121">
        <f>SUM(E34:E37)</f>
        <v>0</v>
      </c>
      <c r="F39" s="113">
        <f>SUM(F34:F37)</f>
        <v>13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93">
        <f>Expenses!D41-[2]Expenses!D41</f>
        <v>93</v>
      </c>
      <c r="E41" s="294">
        <f>Expenses!E41-[2]Expenses!E41</f>
        <v>0</v>
      </c>
      <c r="F41" s="295">
        <f>E41-D41</f>
        <v>-93</v>
      </c>
      <c r="G41" s="5"/>
      <c r="H41" s="4" t="s">
        <v>311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93">
        <f>Expenses!D43-[2]Expenses!D43</f>
        <v>0</v>
      </c>
      <c r="E43" s="294">
        <f>Expenses!E43-[2]Expenses!E43</f>
        <v>0</v>
      </c>
      <c r="F43" s="295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>
        <f>SUM(D39:D43)+D18+D31</f>
        <v>-1197</v>
      </c>
      <c r="E45" s="121">
        <f>SUM(E39:E43)+E18+E31</f>
        <v>0</v>
      </c>
      <c r="F45" s="113">
        <f>SUM(F39:F43)+F18+F31</f>
        <v>1197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93">
        <f>Expenses!D51-[2]Expenses!D51</f>
        <v>0</v>
      </c>
      <c r="E51" s="294">
        <f>Expenses!E51-[2]Expenses!E51</f>
        <v>0</v>
      </c>
      <c r="F51" s="295">
        <f>E51-D51</f>
        <v>0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>
        <f>D45+D47+D51+D49</f>
        <v>-1197</v>
      </c>
      <c r="E53" s="109">
        <f>E45+E47+E51+E49</f>
        <v>0</v>
      </c>
      <c r="F53" s="110">
        <f>F45+F47+F51+F49</f>
        <v>1197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293">
        <f>Expenses!D58-[2]Expenses!D58</f>
        <v>15</v>
      </c>
      <c r="E58" s="294">
        <f>Expenses!E58-[2]Expenses!E58</f>
        <v>0</v>
      </c>
      <c r="F58" s="295">
        <f>E58-D58</f>
        <v>-15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289</v>
      </c>
      <c r="D59" s="293">
        <f>Expenses!D59-[2]Expenses!D59</f>
        <v>563</v>
      </c>
      <c r="E59" s="294">
        <f>Expenses!E59-[2]Expenses!E59</f>
        <v>0</v>
      </c>
      <c r="F59" s="295">
        <f>E59-D59</f>
        <v>-563</v>
      </c>
      <c r="G59" s="1"/>
      <c r="H59" s="4" t="s">
        <v>310</v>
      </c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99">
        <f>Expenses!D60-[2]Expenses!D60</f>
        <v>1086</v>
      </c>
      <c r="E60" s="300">
        <f>Expenses!E60-[2]Expenses!E60</f>
        <v>0</v>
      </c>
      <c r="F60" s="301">
        <f>E60-D60</f>
        <v>-1086</v>
      </c>
      <c r="G60" s="1"/>
      <c r="H60" s="13" t="s">
        <v>308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 t="s">
        <v>286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7:K7"/>
    <mergeCell ref="D56:F56"/>
    <mergeCell ref="H57:K57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zoomScaleNormal="100" workbookViewId="0">
      <pane xSplit="3" ySplit="9" topLeftCell="D10" activePane="bottomRight" state="frozen"/>
      <selection activeCell="E53" sqref="E53"/>
      <selection pane="topRight" activeCell="E53" sqref="E53"/>
      <selection pane="bottomLeft" activeCell="E53" sqref="E53"/>
      <selection pane="bottomRight" activeCell="E53" sqref="E53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v>7803</v>
      </c>
      <c r="E12" s="12">
        <f>ROUND(_xll.HPVAL($A12,$A$1,$A$2,$A$4,$A$5,$A$6)/1000,0)</f>
        <v>8791</v>
      </c>
      <c r="F12" s="125">
        <f t="shared" ref="F12:F18" si="0">E12-D12</f>
        <v>988</v>
      </c>
      <c r="G12" s="2"/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859</v>
      </c>
      <c r="L14" s="12">
        <f>ROUND(_xll.HPVAL("ECT_INV_IRFX",$A$1,$A$3,$A$4,$A$5,$A$6)/1000,0)-L13-195</f>
        <v>859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292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7803</v>
      </c>
      <c r="E19" s="121">
        <f>SUM(E10:E18)</f>
        <v>8791</v>
      </c>
      <c r="F19" s="121">
        <f>SUM(F10:F18)</f>
        <v>988</v>
      </c>
      <c r="G19" s="118"/>
      <c r="H19" s="118"/>
      <c r="I19" s="119"/>
      <c r="J19" s="114"/>
      <c r="K19" s="120">
        <f>SUM(K10:K18)</f>
        <v>25314</v>
      </c>
      <c r="L19" s="121">
        <f>SUM(L10:L18)</f>
        <v>24851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31" si="4">E21-D21</f>
        <v>0</v>
      </c>
      <c r="G21" s="2"/>
      <c r="H21" s="2"/>
      <c r="I21" s="3"/>
      <c r="J21" s="1"/>
      <c r="K21" s="20">
        <f>L21</f>
        <v>3601</v>
      </c>
      <c r="L21" s="12">
        <f>ROUND(_xll.HPVAL($A21,$A$1,$A$3,$A$4,$A$5,$A$6)/1000,0)</f>
        <v>3601</v>
      </c>
      <c r="M21" s="125">
        <f t="shared" ref="M21:M31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6057</v>
      </c>
      <c r="E24" s="12">
        <f>ROUND(_xll.HPVAL($A24,$A$1,$A$2,$A$4,$A$5,$A$6)/1000,0)</f>
        <v>6294</v>
      </c>
      <c r="F24" s="125">
        <f>E24-D24</f>
        <v>237</v>
      </c>
      <c r="G24" s="2" t="s">
        <v>296</v>
      </c>
      <c r="H24" s="2"/>
      <c r="I24" s="3"/>
      <c r="J24" s="1"/>
      <c r="K24" s="20">
        <f>L24</f>
        <v>897</v>
      </c>
      <c r="L24" s="12">
        <f>ROUND(_xll.HPVAL($A24,$A$1,$A$3,$A$4,$A$5,$A$6)/1000,0)</f>
        <v>897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640</v>
      </c>
      <c r="E25" s="12">
        <v>717</v>
      </c>
      <c r="F25" s="125">
        <f t="shared" si="4"/>
        <v>77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159</v>
      </c>
      <c r="E26" s="12">
        <v>376</v>
      </c>
      <c r="F26" s="125">
        <f t="shared" si="4"/>
        <v>217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41</v>
      </c>
      <c r="B27" s="7" t="s">
        <v>299</v>
      </c>
      <c r="C27" s="72"/>
      <c r="D27" s="20">
        <v>1006</v>
      </c>
      <c r="E27" s="12">
        <f>ROUND(_xll.HPVAL($A27,$A$1,$A$2,$A$4,$A$5,$A$6)/1000,0)-E28-E29</f>
        <v>467</v>
      </c>
      <c r="F27" s="125">
        <f>E27-D27</f>
        <v>-539</v>
      </c>
      <c r="G27" s="2"/>
      <c r="H27" s="2"/>
      <c r="I27" s="3"/>
      <c r="J27" s="1"/>
      <c r="K27" s="20">
        <f>L27</f>
        <v>3481.5</v>
      </c>
      <c r="L27" s="12">
        <f>ROUND(_xll.HPVAL($A27,$A$1,$A$3,$A$4,$A$5,$A$6)/1000,0)/2</f>
        <v>3481.5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306</v>
      </c>
      <c r="B28" s="7" t="s">
        <v>289</v>
      </c>
      <c r="C28" s="72"/>
      <c r="D28" s="20">
        <v>7707</v>
      </c>
      <c r="E28" s="12">
        <v>7104</v>
      </c>
      <c r="F28" s="125">
        <f>E28-D28</f>
        <v>-603</v>
      </c>
      <c r="G28" s="2"/>
      <c r="H28" s="2"/>
      <c r="I28" s="3"/>
      <c r="J28" s="1"/>
      <c r="K28" s="20">
        <f>L28</f>
        <v>3481.5</v>
      </c>
      <c r="L28" s="12">
        <f>L27</f>
        <v>3481.5</v>
      </c>
      <c r="M28" s="125">
        <f>ROUND(L28-K28,0)</f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291</v>
      </c>
      <c r="B29" s="7" t="s">
        <v>290</v>
      </c>
      <c r="C29" s="72"/>
      <c r="D29" s="20">
        <v>3295</v>
      </c>
      <c r="E29" s="12">
        <v>3494</v>
      </c>
      <c r="F29" s="125">
        <f>E29-D29</f>
        <v>199</v>
      </c>
      <c r="G29" s="2"/>
      <c r="H29" s="2"/>
      <c r="I29" s="3"/>
      <c r="J29" s="1"/>
      <c r="K29" s="20">
        <f>L29</f>
        <v>0</v>
      </c>
      <c r="L29" s="12">
        <f>ROUND(_xll.HPVAL($A29,$A$1,$A$3,$A$4,$A$5,$A$6)/1000,0)</f>
        <v>0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73</v>
      </c>
      <c r="B30" s="7" t="s">
        <v>156</v>
      </c>
      <c r="D30" s="20">
        <v>-704</v>
      </c>
      <c r="E30" s="12">
        <f>ROUND(_xll.HPVAL($A30,$A$1,$A$2,$A$4,$A$5,$A$6)/1000,0)</f>
        <v>0</v>
      </c>
      <c r="F30" s="125">
        <f>E30-D30</f>
        <v>704</v>
      </c>
      <c r="G30" s="2"/>
      <c r="H30" s="2"/>
      <c r="I30" s="3"/>
      <c r="J30" s="1"/>
      <c r="K30" s="20">
        <v>418</v>
      </c>
      <c r="L30" s="12">
        <f>ROUND(_xll.HPVAL($A30,$A$1,$A$3,$A$4,$A$5,$A$6)/1000,0)</f>
        <v>36</v>
      </c>
      <c r="M30" s="125">
        <f>ROUND(L30-K30,0)</f>
        <v>-382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36</v>
      </c>
      <c r="B31" s="7" t="s">
        <v>0</v>
      </c>
      <c r="D31" s="20">
        <f>E31</f>
        <v>0</v>
      </c>
      <c r="E31" s="12">
        <f>ROUND(_xll.HPVAL($A31,$A$1,$A$2,$A$4,$A$5,$A$6)/1000,0)</f>
        <v>0</v>
      </c>
      <c r="F31" s="125">
        <f t="shared" si="4"/>
        <v>0</v>
      </c>
      <c r="G31" s="2"/>
      <c r="H31" s="2"/>
      <c r="I31" s="3"/>
      <c r="J31" s="1"/>
      <c r="K31" s="20">
        <f>L31</f>
        <v>621</v>
      </c>
      <c r="L31" s="12">
        <f>ROUND(_xll.HPVAL($A31,$A$1,$A$3,$A$4,$A$5,$A$6)/1000,0)</f>
        <v>621</v>
      </c>
      <c r="M31" s="125">
        <f t="shared" si="5"/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B32" s="115" t="s">
        <v>1</v>
      </c>
      <c r="C32" s="114"/>
      <c r="D32" s="120">
        <f>D21+D22+D23+D24+D25+D26+D31+D30+D27+D28+D29</f>
        <v>19207</v>
      </c>
      <c r="E32" s="121">
        <f>E21+E22+E23+E24+E25+E26+E31+E30+E27+E28+E29</f>
        <v>19826</v>
      </c>
      <c r="F32" s="121">
        <f>F21+F22+F23+F24+F25+F26+F31+F30+F27+F28+F29</f>
        <v>619</v>
      </c>
      <c r="G32" s="118"/>
      <c r="H32" s="118"/>
      <c r="I32" s="119"/>
      <c r="J32" s="114"/>
      <c r="K32" s="120">
        <f>K21+K22+K23+K24+K25+K26+K31+K30+K27+K28+K29</f>
        <v>19746</v>
      </c>
      <c r="L32" s="121">
        <f>L21+L22+L23+L24+L25+L26+L31+L30+L27+L28+L29</f>
        <v>18894</v>
      </c>
      <c r="M32" s="121">
        <f>M21+M22+M23+M24+M25+M26+M31+M30+M27+M28+M29</f>
        <v>-852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3" customHeight="1" x14ac:dyDescent="0.2">
      <c r="B34" s="7"/>
      <c r="D34" s="20"/>
      <c r="E34" s="12"/>
      <c r="F34" s="125"/>
      <c r="G34" s="2"/>
      <c r="H34" s="2"/>
      <c r="I34" s="3"/>
      <c r="J34" s="1"/>
      <c r="K34" s="20"/>
      <c r="L34" s="12"/>
      <c r="M34" s="125"/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40</v>
      </c>
      <c r="B35" s="7" t="s">
        <v>9</v>
      </c>
      <c r="D35" s="20">
        <v>672</v>
      </c>
      <c r="E35" s="12">
        <f>ROUND(_xll.HPVAL($A35,$A$1,$A$2,$A$4,$A$5,$A$6)/1000,0)</f>
        <v>2042</v>
      </c>
      <c r="F35" s="125">
        <f>E35-D35</f>
        <v>1370</v>
      </c>
      <c r="G35" s="2" t="s">
        <v>192</v>
      </c>
      <c r="H35" s="2"/>
      <c r="I35" s="3"/>
      <c r="J35" s="1"/>
      <c r="K35" s="20">
        <f>L35</f>
        <v>914</v>
      </c>
      <c r="L35" s="12">
        <f>ROUND(_xll.HPVAL($A35,$A$1,$A$3,$A$4,$A$5,$A$6)/1000,0)</f>
        <v>914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0.5" customHeight="1" x14ac:dyDescent="0.2">
      <c r="A36" s="23" t="s">
        <v>39</v>
      </c>
      <c r="B36" s="7" t="s">
        <v>267</v>
      </c>
      <c r="D36" s="20">
        <v>2464</v>
      </c>
      <c r="E36" s="12">
        <f>ROUND(_xll.HPVAL($A36,$A$1,$A$2,$A$4,$A$5,$A$6)/1000,0)</f>
        <v>4237</v>
      </c>
      <c r="F36" s="125">
        <f>E36-D36</f>
        <v>1773</v>
      </c>
      <c r="G36" s="163" t="s">
        <v>258</v>
      </c>
      <c r="H36" s="2"/>
      <c r="I36" s="3"/>
      <c r="J36" s="1"/>
      <c r="K36" s="20">
        <f>L36</f>
        <v>1614</v>
      </c>
      <c r="L36" s="12">
        <f>ROUND(_xll.HPVAL($A36,$A$1,$A$3,$A$4,$A$5,$A$6)/1000,0)</f>
        <v>1614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">
      <c r="A37" s="23" t="s">
        <v>153</v>
      </c>
      <c r="B37" s="291" t="s">
        <v>180</v>
      </c>
      <c r="D37" s="20">
        <f>2251+1125</f>
        <v>3376</v>
      </c>
      <c r="E37" s="12">
        <f>ROUND(_xll.HPVAL($A37,$A$1,$A$2,$A$4,$A$5,$A$6)/1000,0)</f>
        <v>5483</v>
      </c>
      <c r="F37" s="125">
        <f>E37-D37</f>
        <v>2107</v>
      </c>
      <c r="G37" s="162" t="s">
        <v>294</v>
      </c>
      <c r="H37" s="2"/>
      <c r="I37" s="3"/>
      <c r="J37" s="1"/>
      <c r="K37" s="20">
        <f>L37</f>
        <v>1516</v>
      </c>
      <c r="L37" s="12">
        <f>ROUND(_xll.HPVAL($A37,$A$1,$A$3,$A$4,$A$5,$A$6)/1000,0)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hidden="1" customHeight="1" x14ac:dyDescent="0.2">
      <c r="A38" s="23" t="s">
        <v>157</v>
      </c>
      <c r="B38" s="291" t="s">
        <v>154</v>
      </c>
      <c r="D38" s="20">
        <v>5712</v>
      </c>
      <c r="E38" s="12">
        <f>ROUND(_xll.HPVAL($A38,$A$1,$A$2,$A$4,$A$5,$A$6)/1000,0)</f>
        <v>2561</v>
      </c>
      <c r="F38" s="125">
        <f>E38-D38</f>
        <v>-3151</v>
      </c>
      <c r="G38" s="2" t="s">
        <v>295</v>
      </c>
      <c r="H38" s="2"/>
      <c r="I38" s="3"/>
      <c r="J38" s="1"/>
      <c r="K38" s="20">
        <f>L38</f>
        <v>0</v>
      </c>
      <c r="L38" s="12">
        <f>ROUND(_xll.HPVAL($A38,$A$1,$A$3,$A$4,$A$5,$A$6)/1000,0)</f>
        <v>0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B39" s="7" t="s">
        <v>154</v>
      </c>
      <c r="D39" s="20">
        <f>SUM(D37:D38)</f>
        <v>9088</v>
      </c>
      <c r="E39" s="12">
        <f>SUM(E37:E38)</f>
        <v>8044</v>
      </c>
      <c r="F39" s="125">
        <f>SUM(F37:F38)</f>
        <v>-1044</v>
      </c>
      <c r="G39" s="2"/>
      <c r="H39" s="2"/>
      <c r="I39" s="3"/>
      <c r="J39" s="1"/>
      <c r="K39" s="20">
        <f>SUM(K37:K38)</f>
        <v>1516</v>
      </c>
      <c r="L39" s="12">
        <f>SUM(L37:L38)</f>
        <v>1516</v>
      </c>
      <c r="M39" s="12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15" t="s">
        <v>87</v>
      </c>
      <c r="C40" s="114"/>
      <c r="D40" s="120">
        <f>SUM(D35:D38)</f>
        <v>12224</v>
      </c>
      <c r="E40" s="121">
        <f>SUM(E35:E38)</f>
        <v>14323</v>
      </c>
      <c r="F40" s="121">
        <f>SUM(F35:F38)</f>
        <v>2099</v>
      </c>
      <c r="G40" s="118"/>
      <c r="H40" s="118"/>
      <c r="I40" s="119"/>
      <c r="J40" s="114"/>
      <c r="K40" s="120">
        <f>SUM(K35:K38)</f>
        <v>4044</v>
      </c>
      <c r="L40" s="121">
        <f>SUM(L35:L38)</f>
        <v>4044</v>
      </c>
      <c r="M40" s="121">
        <f>SUM(M35:M39)</f>
        <v>0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82</v>
      </c>
      <c r="B42" s="7" t="s">
        <v>8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3069</v>
      </c>
      <c r="L42" s="12">
        <f>ROUND(_xll.HPVAL($A42,$A$1,$A$3,$A$4,$A$5,$A$6)/1000,0)</f>
        <v>3069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44</v>
      </c>
      <c r="B44" s="7" t="s">
        <v>7</v>
      </c>
      <c r="C44" s="72"/>
      <c r="D44" s="20">
        <f>E44</f>
        <v>0</v>
      </c>
      <c r="E44" s="12">
        <f>ROUND(_xll.HPVAL($A44,$A$1,$A$2,$A$4,$A$5,$A$6)/1000,0)</f>
        <v>0</v>
      </c>
      <c r="F44" s="125">
        <f>E44-D44</f>
        <v>0</v>
      </c>
      <c r="G44" s="2"/>
      <c r="H44" s="2"/>
      <c r="I44" s="3"/>
      <c r="J44" s="1"/>
      <c r="K44" s="20">
        <v>4286</v>
      </c>
      <c r="L44" s="12">
        <f>ROUND(_xll.HPVAL($A44,$A$1,$A$3,$A$4,$A$5,$A$6)/1000,0)</f>
        <v>4669</v>
      </c>
      <c r="M44" s="125">
        <f>ROUND(L44-K44,0)</f>
        <v>383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60</v>
      </c>
      <c r="C46" s="72"/>
      <c r="D46" s="20">
        <f>-SUM(D40:D44,D19,D32)</f>
        <v>-39234</v>
      </c>
      <c r="E46" s="12">
        <f>-SUM(E40:E44,E19,E32)</f>
        <v>-42940</v>
      </c>
      <c r="F46" s="125">
        <f>E46-D46</f>
        <v>-3706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">
      <c r="B48" s="115" t="s">
        <v>10</v>
      </c>
      <c r="D48" s="120">
        <f>SUM(D40:D46)+D32+D19</f>
        <v>0</v>
      </c>
      <c r="E48" s="121">
        <f>SUM(E40:E46)+E32+E19</f>
        <v>0</v>
      </c>
      <c r="F48" s="121">
        <f>SUM(F40:F46)+F32+F19</f>
        <v>0</v>
      </c>
      <c r="G48" s="118"/>
      <c r="H48" s="118"/>
      <c r="I48" s="119"/>
      <c r="K48" s="120">
        <f>SUM(K40:K46)+K32+K19</f>
        <v>56459</v>
      </c>
      <c r="L48" s="121">
        <f>SUM(L40:L46)+L32+L19</f>
        <v>55527</v>
      </c>
      <c r="M48" s="121">
        <f>SUM(M40:M46)+M32+M19</f>
        <v>-932</v>
      </c>
      <c r="N48" s="118"/>
      <c r="O48" s="118"/>
      <c r="P48" s="119"/>
    </row>
    <row r="49" spans="1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45</v>
      </c>
      <c r="B50" s="7" t="s">
        <v>48</v>
      </c>
      <c r="C50" s="72"/>
      <c r="D50" s="20">
        <f>E50</f>
        <v>0</v>
      </c>
      <c r="E50" s="12">
        <f>_xll.HPVAL($A50,$A$1,$A$2,$A$4,$A$5,$A$6)/1000</f>
        <v>0</v>
      </c>
      <c r="F50" s="125">
        <f>E50-D50</f>
        <v>0</v>
      </c>
      <c r="G50" s="2"/>
      <c r="H50" s="2"/>
      <c r="I50" s="3"/>
      <c r="J50" s="1"/>
      <c r="K50" s="20">
        <f>-K48+13343</f>
        <v>-43116</v>
      </c>
      <c r="L50" s="12">
        <f>-L48+13343</f>
        <v>-42184</v>
      </c>
      <c r="M50" s="125">
        <f>ROUND(L50-K50,0)</f>
        <v>932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C51" s="72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B52" s="7" t="s">
        <v>274</v>
      </c>
      <c r="C52" s="72"/>
      <c r="D52" s="20">
        <v>0</v>
      </c>
      <c r="E52" s="12">
        <v>0</v>
      </c>
      <c r="F52" s="125">
        <v>0</v>
      </c>
      <c r="G52" s="2"/>
      <c r="H52" s="2"/>
      <c r="I52" s="3"/>
      <c r="J52" s="1"/>
      <c r="K52" s="20">
        <v>-13343</v>
      </c>
      <c r="L52" s="12">
        <v>-13343</v>
      </c>
      <c r="M52" s="12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25"/>
      <c r="G53" s="2"/>
      <c r="H53" s="2"/>
      <c r="I53" s="3"/>
      <c r="J53" s="1"/>
      <c r="K53" s="20"/>
      <c r="L53" s="12"/>
      <c r="M53" s="125"/>
      <c r="N53" s="2"/>
      <c r="O53" s="2"/>
      <c r="P53" s="3"/>
      <c r="Q53" s="1"/>
      <c r="R53" s="1"/>
      <c r="S53" s="1"/>
      <c r="T53" s="1"/>
    </row>
    <row r="54" spans="1:20" s="114" customFormat="1" ht="11.25" customHeight="1" x14ac:dyDescent="0.2">
      <c r="B54" s="115" t="s">
        <v>14</v>
      </c>
      <c r="D54" s="108">
        <f>D50+D48</f>
        <v>0</v>
      </c>
      <c r="E54" s="109">
        <f>E50+E48</f>
        <v>0</v>
      </c>
      <c r="F54" s="109">
        <f>F50+F48</f>
        <v>0</v>
      </c>
      <c r="G54" s="118"/>
      <c r="H54" s="118"/>
      <c r="I54" s="119"/>
      <c r="K54" s="108">
        <f>K50+K48+K52</f>
        <v>0</v>
      </c>
      <c r="L54" s="109">
        <f>L50+L48+L52</f>
        <v>0</v>
      </c>
      <c r="M54" s="109">
        <f>M50+M48+M52</f>
        <v>0</v>
      </c>
      <c r="N54" s="118"/>
      <c r="O54" s="118"/>
      <c r="P54" s="11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 t="s">
        <v>286</v>
      </c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hidden="1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hidden="1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J14" sqref="J14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f>35765-3252</f>
        <v>32513</v>
      </c>
      <c r="D12" s="41">
        <f>11447-2500</f>
        <v>8947</v>
      </c>
      <c r="E12" s="213">
        <f t="shared" si="1"/>
        <v>23566</v>
      </c>
      <c r="F12" s="241"/>
      <c r="G12" s="42">
        <f>1854-451-169</f>
        <v>1234</v>
      </c>
      <c r="H12" s="257">
        <f>2436-487-201</f>
        <v>1748</v>
      </c>
      <c r="I12" s="64">
        <v>0</v>
      </c>
      <c r="J12" s="213">
        <f t="shared" si="2"/>
        <v>514</v>
      </c>
      <c r="K12" s="214"/>
      <c r="L12" s="212">
        <f t="shared" si="3"/>
        <v>31279</v>
      </c>
      <c r="M12" s="41">
        <f t="shared" si="3"/>
        <v>7199</v>
      </c>
      <c r="N12" s="213">
        <f t="shared" si="4"/>
        <v>24080</v>
      </c>
    </row>
    <row r="13" spans="1:23" ht="12" customHeight="1" x14ac:dyDescent="0.25">
      <c r="A13" s="207" t="s">
        <v>251</v>
      </c>
      <c r="B13" s="237"/>
      <c r="C13" s="41">
        <f>22243-815-10405</f>
        <v>11023</v>
      </c>
      <c r="D13" s="41">
        <v>11556</v>
      </c>
      <c r="E13" s="213">
        <f t="shared" si="1"/>
        <v>-533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8017</v>
      </c>
      <c r="M13" s="41">
        <f t="shared" si="3"/>
        <v>8164</v>
      </c>
      <c r="N13" s="213">
        <f t="shared" si="4"/>
        <v>-147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292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235249</v>
      </c>
      <c r="D17" s="259">
        <f>SUM(D8:D16)</f>
        <v>138596</v>
      </c>
      <c r="E17" s="260">
        <f>SUM(E8:E16)</f>
        <v>96653</v>
      </c>
      <c r="F17" s="242">
        <v>129970</v>
      </c>
      <c r="G17" s="259">
        <f>SUM(G8:G16)</f>
        <v>57167</v>
      </c>
      <c r="H17" s="259">
        <f>SUM(H8:H16)</f>
        <v>57007</v>
      </c>
      <c r="I17" s="259">
        <f>SUM(I8:I16)</f>
        <v>478</v>
      </c>
      <c r="J17" s="260">
        <f>SUM(J8:J16)</f>
        <v>-675</v>
      </c>
      <c r="K17" s="215"/>
      <c r="L17" s="230">
        <f>SUM(L8:L16)</f>
        <v>178082</v>
      </c>
      <c r="M17" s="231">
        <f>SUM(M8:M16)</f>
        <v>81589</v>
      </c>
      <c r="N17" s="260">
        <f>SUM(N8:N16)</f>
        <v>96493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9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9" si="6">(H19-G19)-I19</f>
        <v>1748</v>
      </c>
      <c r="K19" s="214"/>
      <c r="L19" s="212">
        <f t="shared" ref="L19:M22" si="7">+C19-G19</f>
        <v>-1977</v>
      </c>
      <c r="M19" s="41">
        <f t="shared" si="7"/>
        <v>7680</v>
      </c>
      <c r="N19" s="213">
        <f t="shared" ref="N19:N29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8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f>815+10405</f>
        <v>11220</v>
      </c>
      <c r="D24" s="257">
        <v>11556</v>
      </c>
      <c r="E24" s="213">
        <f t="shared" si="5"/>
        <v>-336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9412</v>
      </c>
      <c r="M24" s="41">
        <f t="shared" si="9"/>
        <v>9386</v>
      </c>
      <c r="N24" s="213">
        <f t="shared" si="8"/>
        <v>26</v>
      </c>
    </row>
    <row r="25" spans="1:14" ht="12" customHeight="1" x14ac:dyDescent="0.25">
      <c r="A25" s="207" t="s">
        <v>248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289</v>
      </c>
      <c r="B26" s="298"/>
      <c r="C26" s="41"/>
      <c r="D26" s="41"/>
      <c r="E26" s="213">
        <f>+C26-D26</f>
        <v>0</v>
      </c>
      <c r="F26" s="241"/>
      <c r="G26" s="42"/>
      <c r="H26" s="257"/>
      <c r="I26" s="64">
        <v>0</v>
      </c>
      <c r="J26" s="213">
        <v>0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290</v>
      </c>
      <c r="B27" s="298"/>
      <c r="C27" s="41"/>
      <c r="D27" s="41"/>
      <c r="E27" s="213">
        <f>+C27-D27</f>
        <v>0</v>
      </c>
      <c r="F27" s="241"/>
      <c r="G27" s="42"/>
      <c r="H27" s="257"/>
      <c r="I27" s="64">
        <v>0</v>
      </c>
      <c r="J27" s="213">
        <v>0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41">
        <v>0</v>
      </c>
      <c r="D28" s="41">
        <v>7712</v>
      </c>
      <c r="E28" s="213">
        <f t="shared" si="5"/>
        <v>-7712</v>
      </c>
      <c r="F28" s="241"/>
      <c r="G28" s="42">
        <v>1484</v>
      </c>
      <c r="H28" s="128">
        <v>1217</v>
      </c>
      <c r="I28" s="64">
        <v>0</v>
      </c>
      <c r="J28" s="213">
        <f t="shared" si="6"/>
        <v>-267</v>
      </c>
      <c r="K28" s="214"/>
      <c r="L28" s="212">
        <f t="shared" si="9"/>
        <v>-1484</v>
      </c>
      <c r="M28" s="41">
        <f t="shared" si="9"/>
        <v>6495</v>
      </c>
      <c r="N28" s="213">
        <f t="shared" si="8"/>
        <v>-7979</v>
      </c>
    </row>
    <row r="29" spans="1:14" ht="12" customHeight="1" x14ac:dyDescent="0.25">
      <c r="A29" s="207" t="s">
        <v>0</v>
      </c>
      <c r="B29" s="261"/>
      <c r="C29" s="257">
        <v>11</v>
      </c>
      <c r="D29" s="257">
        <v>4656</v>
      </c>
      <c r="E29" s="213">
        <f t="shared" si="5"/>
        <v>-4645</v>
      </c>
      <c r="F29" s="241"/>
      <c r="G29" s="257">
        <v>2218</v>
      </c>
      <c r="H29" s="257">
        <v>2456</v>
      </c>
      <c r="I29" s="64">
        <v>0</v>
      </c>
      <c r="J29" s="213">
        <f t="shared" si="6"/>
        <v>238</v>
      </c>
      <c r="K29" s="214"/>
      <c r="L29" s="212">
        <f>+C29-G29</f>
        <v>-2207</v>
      </c>
      <c r="M29" s="41">
        <f>+D29-H29</f>
        <v>2200</v>
      </c>
      <c r="N29" s="213">
        <f t="shared" si="8"/>
        <v>-4407</v>
      </c>
    </row>
    <row r="30" spans="1:14" s="202" customFormat="1" ht="12" customHeight="1" x14ac:dyDescent="0.2">
      <c r="A30" s="229" t="s">
        <v>1</v>
      </c>
      <c r="B30" s="258"/>
      <c r="C30" s="259">
        <f>SUM(C19:C29)</f>
        <v>54825</v>
      </c>
      <c r="D30" s="259">
        <f>SUM(D19:D29)</f>
        <v>117294</v>
      </c>
      <c r="E30" s="232">
        <f>SUM(E19:E29)</f>
        <v>-62469</v>
      </c>
      <c r="F30" s="242">
        <v>0</v>
      </c>
      <c r="G30" s="259">
        <f>SUM(G19:G29)</f>
        <v>93410</v>
      </c>
      <c r="H30" s="259">
        <f>SUM(H19:H29)</f>
        <v>100868</v>
      </c>
      <c r="I30" s="259">
        <f>SUM(I19:I29)</f>
        <v>3760</v>
      </c>
      <c r="J30" s="232">
        <f>SUM(J19:J29)</f>
        <v>3735</v>
      </c>
      <c r="K30" s="215"/>
      <c r="L30" s="230">
        <f>SUM(L19:L29)</f>
        <v>-38585</v>
      </c>
      <c r="M30" s="231">
        <f>SUM(M19:M29)</f>
        <v>16426</v>
      </c>
      <c r="N30" s="232">
        <f>SUM(N19:N29)</f>
        <v>-55011</v>
      </c>
    </row>
    <row r="31" spans="1:14" ht="12" customHeight="1" x14ac:dyDescent="0.25">
      <c r="A31" s="207"/>
      <c r="B31" s="261"/>
      <c r="C31" s="257"/>
      <c r="D31" s="257"/>
      <c r="E31" s="213"/>
      <c r="F31" s="241"/>
      <c r="G31" s="257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61"/>
      <c r="C32" s="257">
        <v>93673</v>
      </c>
      <c r="D32" s="257">
        <v>15379</v>
      </c>
      <c r="E32" s="213">
        <f>+C32-D32</f>
        <v>78294</v>
      </c>
      <c r="F32" s="241"/>
      <c r="G32" s="257">
        <v>2669</v>
      </c>
      <c r="H32" s="257">
        <v>3204</v>
      </c>
      <c r="I32" s="64">
        <v>625</v>
      </c>
      <c r="J32" s="213">
        <f>(H32-G32)-I32</f>
        <v>-90</v>
      </c>
      <c r="K32" s="214"/>
      <c r="L32" s="212">
        <f t="shared" ref="L32:M34" si="10">+C32-G32</f>
        <v>91004</v>
      </c>
      <c r="M32" s="41">
        <f t="shared" si="10"/>
        <v>12175</v>
      </c>
      <c r="N32" s="213">
        <f>+L32-M32</f>
        <v>78829</v>
      </c>
    </row>
    <row r="33" spans="1:14" ht="12" customHeight="1" x14ac:dyDescent="0.25">
      <c r="A33" s="207" t="s">
        <v>257</v>
      </c>
      <c r="B33" s="261"/>
      <c r="C33" s="257">
        <v>858</v>
      </c>
      <c r="D33" s="257">
        <v>0</v>
      </c>
      <c r="E33" s="213">
        <f>+C33-D33</f>
        <v>858</v>
      </c>
      <c r="F33" s="241"/>
      <c r="G33" s="257">
        <v>6027</v>
      </c>
      <c r="H33" s="257">
        <v>7138</v>
      </c>
      <c r="I33" s="64">
        <v>1539</v>
      </c>
      <c r="J33" s="213">
        <f>(H33-G33)-I33</f>
        <v>-428</v>
      </c>
      <c r="K33" s="214"/>
      <c r="L33" s="212">
        <f t="shared" si="10"/>
        <v>-5169</v>
      </c>
      <c r="M33" s="41">
        <f t="shared" si="10"/>
        <v>-7138</v>
      </c>
      <c r="N33" s="213">
        <f>+L33-M33</f>
        <v>1969</v>
      </c>
    </row>
    <row r="34" spans="1:14" x14ac:dyDescent="0.25">
      <c r="A34" s="207" t="s">
        <v>154</v>
      </c>
      <c r="B34" s="261"/>
      <c r="C34" s="257">
        <f>26838-27505</f>
        <v>-667</v>
      </c>
      <c r="D34" s="257">
        <v>14404</v>
      </c>
      <c r="E34" s="213">
        <f>+C34-D34</f>
        <v>-15071</v>
      </c>
      <c r="F34" s="206"/>
      <c r="G34" s="257">
        <f>3379+6134</f>
        <v>9513</v>
      </c>
      <c r="H34" s="257">
        <f>2561+7811</f>
        <v>10372</v>
      </c>
      <c r="I34" s="64">
        <f>1549-818</f>
        <v>731</v>
      </c>
      <c r="J34" s="213">
        <f>(H34-G34)-I34</f>
        <v>128</v>
      </c>
      <c r="K34" s="206"/>
      <c r="L34" s="212">
        <f t="shared" si="10"/>
        <v>-10180</v>
      </c>
      <c r="M34" s="41">
        <f t="shared" si="10"/>
        <v>4032</v>
      </c>
      <c r="N34" s="213">
        <f>+L34-M34</f>
        <v>-14212</v>
      </c>
    </row>
    <row r="35" spans="1:14" s="202" customFormat="1" ht="12" customHeight="1" x14ac:dyDescent="0.2">
      <c r="A35" s="229" t="s">
        <v>87</v>
      </c>
      <c r="B35" s="258"/>
      <c r="C35" s="259">
        <f>SUM(C32:C34)</f>
        <v>93864</v>
      </c>
      <c r="D35" s="259">
        <f>SUM(D32:D34)</f>
        <v>29783</v>
      </c>
      <c r="E35" s="232">
        <f>SUM(E32:E34)</f>
        <v>64081</v>
      </c>
      <c r="F35" s="242"/>
      <c r="G35" s="259">
        <f>SUM(G32:G34)</f>
        <v>18209</v>
      </c>
      <c r="H35" s="259">
        <f>SUM(H32:H34)</f>
        <v>20714</v>
      </c>
      <c r="I35" s="259">
        <f>SUM(I32:I34)</f>
        <v>2895</v>
      </c>
      <c r="J35" s="232">
        <f>SUM(J32:J34)</f>
        <v>-390</v>
      </c>
      <c r="K35" s="215"/>
      <c r="L35" s="230">
        <f>SUM(L32:L34)</f>
        <v>75655</v>
      </c>
      <c r="M35" s="231">
        <f>SUM(M32:M34)</f>
        <v>9069</v>
      </c>
      <c r="N35" s="232">
        <f>SUM(N32:N34)</f>
        <v>66586</v>
      </c>
    </row>
    <row r="36" spans="1:14" ht="12" customHeight="1" x14ac:dyDescent="0.25">
      <c r="A36" s="217"/>
      <c r="B36" s="261"/>
      <c r="C36" s="262"/>
      <c r="D36" s="262"/>
      <c r="E36" s="219"/>
      <c r="F36" s="241"/>
      <c r="G36" s="262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61"/>
      <c r="C37" s="257">
        <v>1400</v>
      </c>
      <c r="D37" s="257">
        <v>2500</v>
      </c>
      <c r="E37" s="213">
        <f>+C37-D37</f>
        <v>-1100</v>
      </c>
      <c r="F37" s="241"/>
      <c r="G37" s="257">
        <v>8467</v>
      </c>
      <c r="H37" s="257">
        <v>8514</v>
      </c>
      <c r="I37" s="64">
        <v>0</v>
      </c>
      <c r="J37" s="213">
        <f>(H37-G37)-I37</f>
        <v>47</v>
      </c>
      <c r="K37" s="214"/>
      <c r="L37" s="212">
        <f t="shared" ref="L37:M39" si="11">+C37-G37</f>
        <v>-7067</v>
      </c>
      <c r="M37" s="41">
        <f t="shared" si="11"/>
        <v>-6014</v>
      </c>
      <c r="N37" s="213">
        <f>+L37-M37</f>
        <v>-1053</v>
      </c>
    </row>
    <row r="38" spans="1:14" ht="12" customHeight="1" x14ac:dyDescent="0.25">
      <c r="A38" s="217" t="s">
        <v>7</v>
      </c>
      <c r="B38" s="261"/>
      <c r="C38" s="262">
        <v>0</v>
      </c>
      <c r="D38" s="262">
        <v>0</v>
      </c>
      <c r="E38" s="213">
        <f>+C38-D38</f>
        <v>0</v>
      </c>
      <c r="F38" s="241"/>
      <c r="G38" s="262">
        <v>8285</v>
      </c>
      <c r="H38" s="262">
        <v>7652</v>
      </c>
      <c r="I38" s="105">
        <v>0</v>
      </c>
      <c r="J38" s="213">
        <f>(H38-G38)-I38</f>
        <v>-633</v>
      </c>
      <c r="K38" s="214"/>
      <c r="L38" s="212">
        <f t="shared" si="11"/>
        <v>-8285</v>
      </c>
      <c r="M38" s="41">
        <f t="shared" si="11"/>
        <v>-7652</v>
      </c>
      <c r="N38" s="213">
        <f>+L38-M38</f>
        <v>-633</v>
      </c>
    </row>
    <row r="39" spans="1:14" ht="12" customHeight="1" x14ac:dyDescent="0.25">
      <c r="A39" s="217" t="s">
        <v>19</v>
      </c>
      <c r="B39" s="261"/>
      <c r="C39" s="257">
        <v>0</v>
      </c>
      <c r="D39" s="257">
        <v>48693</v>
      </c>
      <c r="E39" s="213">
        <f>+C39-D39</f>
        <v>-48693</v>
      </c>
      <c r="F39" s="241"/>
      <c r="G39" s="257">
        <v>0</v>
      </c>
      <c r="H39" s="257">
        <v>0</v>
      </c>
      <c r="I39" s="64">
        <v>0</v>
      </c>
      <c r="J39" s="213">
        <f>(H39-G39)-I39</f>
        <v>0</v>
      </c>
      <c r="K39" s="214"/>
      <c r="L39" s="212">
        <f t="shared" si="11"/>
        <v>0</v>
      </c>
      <c r="M39" s="41">
        <f t="shared" si="11"/>
        <v>48693</v>
      </c>
      <c r="N39" s="213">
        <f>+L39-M39</f>
        <v>-48693</v>
      </c>
    </row>
    <row r="40" spans="1:14" s="202" customFormat="1" ht="12" customHeight="1" x14ac:dyDescent="0.2">
      <c r="A40" s="229" t="s">
        <v>10</v>
      </c>
      <c r="B40" s="258"/>
      <c r="C40" s="259">
        <f>C39+C38+C37+C35+C30+C17</f>
        <v>385338</v>
      </c>
      <c r="D40" s="259">
        <f>D39+D38+D37+D35+D30+D17</f>
        <v>336866</v>
      </c>
      <c r="E40" s="232">
        <f>E39+E38+E37+E35+E30+E17</f>
        <v>48472</v>
      </c>
      <c r="F40" s="242"/>
      <c r="G40" s="259">
        <f>G39+G38+G37+G35+G30+G17</f>
        <v>185538</v>
      </c>
      <c r="H40" s="259">
        <f>H39+H38+H37+H35+H30+H17</f>
        <v>194755</v>
      </c>
      <c r="I40" s="259">
        <f>I39+I38+I37+I35+I30+I17</f>
        <v>7133</v>
      </c>
      <c r="J40" s="232">
        <f>J39+J38+J37+J35+J30+J17</f>
        <v>2084</v>
      </c>
      <c r="K40" s="215"/>
      <c r="L40" s="259">
        <f>L39+L38+L37+L35+L30+L17</f>
        <v>199800</v>
      </c>
      <c r="M40" s="259">
        <f>M39+M38+M37+M35+M30+M17</f>
        <v>142111</v>
      </c>
      <c r="N40" s="232">
        <f>N39+N38+N37+N35+N30+N17</f>
        <v>57689</v>
      </c>
    </row>
    <row r="41" spans="1:14" ht="12" customHeight="1" x14ac:dyDescent="0.25">
      <c r="A41" s="217"/>
      <c r="B41" s="261"/>
      <c r="C41" s="262"/>
      <c r="D41" s="262"/>
      <c r="E41" s="219"/>
      <c r="F41" s="241"/>
      <c r="G41" s="262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61"/>
      <c r="C42" s="262"/>
      <c r="D42" s="262"/>
      <c r="E42" s="213">
        <f>+C42-D42</f>
        <v>0</v>
      </c>
      <c r="F42" s="241"/>
      <c r="G42" s="262">
        <v>79168</v>
      </c>
      <c r="H42" s="262">
        <v>63376</v>
      </c>
      <c r="I42" s="105"/>
      <c r="J42" s="213">
        <f>(H42-G42)-I42</f>
        <v>-15792</v>
      </c>
      <c r="K42" s="214"/>
      <c r="L42" s="212">
        <f>+C42-G42</f>
        <v>-79168</v>
      </c>
      <c r="M42" s="41">
        <f>+D42-H42</f>
        <v>-63376</v>
      </c>
      <c r="N42" s="213">
        <f>+L42-M42</f>
        <v>-15792</v>
      </c>
    </row>
    <row r="43" spans="1:14" ht="12" customHeight="1" x14ac:dyDescent="0.25">
      <c r="A43" s="217" t="s">
        <v>237</v>
      </c>
      <c r="B43" s="261"/>
      <c r="C43" s="262">
        <v>0</v>
      </c>
      <c r="D43" s="262"/>
      <c r="E43" s="213">
        <f>+C43-D43</f>
        <v>0</v>
      </c>
      <c r="F43" s="241"/>
      <c r="G43" s="262">
        <f>-48800+169</f>
        <v>-48631</v>
      </c>
      <c r="H43" s="262">
        <f>-56377+201</f>
        <v>-56176</v>
      </c>
      <c r="I43" s="105">
        <v>0</v>
      </c>
      <c r="J43" s="213">
        <f>(H43-G43)-I43</f>
        <v>-7545</v>
      </c>
      <c r="K43" s="214"/>
      <c r="L43" s="212">
        <f t="shared" ref="L43:M45" si="12">+C43-G43</f>
        <v>48631</v>
      </c>
      <c r="M43" s="41">
        <f t="shared" si="12"/>
        <v>56176</v>
      </c>
      <c r="N43" s="213">
        <f>+L43-M43</f>
        <v>-7545</v>
      </c>
    </row>
    <row r="44" spans="1:14" ht="12" customHeight="1" x14ac:dyDescent="0.25">
      <c r="A44" s="217" t="s">
        <v>18</v>
      </c>
      <c r="B44" s="261"/>
      <c r="C44" s="257">
        <v>-22158</v>
      </c>
      <c r="D44" s="257">
        <v>-10795</v>
      </c>
      <c r="E44" s="213">
        <f>+C44-D44</f>
        <v>-11363</v>
      </c>
      <c r="F44" s="243"/>
      <c r="G44" s="257">
        <v>14727</v>
      </c>
      <c r="H44" s="257">
        <v>22603</v>
      </c>
      <c r="I44" s="64">
        <v>0</v>
      </c>
      <c r="J44" s="213">
        <f>(H44-G44)-I44</f>
        <v>7876</v>
      </c>
      <c r="K44" s="214"/>
      <c r="L44" s="212">
        <f t="shared" si="12"/>
        <v>-36885</v>
      </c>
      <c r="M44" s="41">
        <f t="shared" si="12"/>
        <v>-33398</v>
      </c>
      <c r="N44" s="213">
        <f>+L44-M44</f>
        <v>-3487</v>
      </c>
    </row>
    <row r="45" spans="1:14" ht="12" customHeight="1" x14ac:dyDescent="0.25">
      <c r="A45" s="217" t="s">
        <v>60</v>
      </c>
      <c r="B45" s="261"/>
      <c r="C45" s="262">
        <f>SUM(C41)</f>
        <v>0</v>
      </c>
      <c r="D45" s="262">
        <f>SUM(D41)</f>
        <v>0</v>
      </c>
      <c r="E45" s="213">
        <f>+C45-D45</f>
        <v>0</v>
      </c>
      <c r="F45" s="241"/>
      <c r="G45" s="262">
        <v>-32741</v>
      </c>
      <c r="H45" s="262">
        <v>-39874</v>
      </c>
      <c r="I45" s="105">
        <v>-7133</v>
      </c>
      <c r="J45" s="213">
        <f>(H45-G45)-I45</f>
        <v>0</v>
      </c>
      <c r="K45" s="214"/>
      <c r="L45" s="212">
        <f t="shared" si="12"/>
        <v>32741</v>
      </c>
      <c r="M45" s="41">
        <f t="shared" si="12"/>
        <v>39874</v>
      </c>
      <c r="N45" s="213">
        <f>+L45-M45</f>
        <v>-7133</v>
      </c>
    </row>
    <row r="46" spans="1:14" s="202" customFormat="1" ht="12" customHeight="1" x14ac:dyDescent="0.2">
      <c r="A46" s="229" t="s">
        <v>65</v>
      </c>
      <c r="B46" s="258"/>
      <c r="C46" s="259">
        <f>SUM(C40:C45)</f>
        <v>363180</v>
      </c>
      <c r="D46" s="259">
        <f>SUM(D40:D45)</f>
        <v>326071</v>
      </c>
      <c r="E46" s="233">
        <f>SUM(E40:E45)</f>
        <v>37109</v>
      </c>
      <c r="F46" s="242"/>
      <c r="G46" s="259">
        <f>SUM(G40:G45)</f>
        <v>198061</v>
      </c>
      <c r="H46" s="259">
        <f>SUM(H40:H45)</f>
        <v>184684</v>
      </c>
      <c r="I46" s="259">
        <f>SUM(I40:I45)</f>
        <v>0</v>
      </c>
      <c r="J46" s="233">
        <f>SUM(J40:J45)</f>
        <v>-13377</v>
      </c>
      <c r="K46" s="215"/>
      <c r="L46" s="259">
        <f>SUM(L40:L45)</f>
        <v>165119</v>
      </c>
      <c r="M46" s="259">
        <f>SUM(M40:M45)</f>
        <v>141387</v>
      </c>
      <c r="N46" s="233">
        <f>SUM(N40:N45)</f>
        <v>23732</v>
      </c>
    </row>
    <row r="47" spans="1:14" ht="12" customHeight="1" thickBot="1" x14ac:dyDescent="0.3">
      <c r="A47" s="217" t="s">
        <v>150</v>
      </c>
      <c r="B47" s="261"/>
      <c r="C47" s="262"/>
      <c r="D47" s="262"/>
      <c r="E47" s="213">
        <f>+C47-D47</f>
        <v>0</v>
      </c>
      <c r="F47" s="241"/>
      <c r="G47" s="262">
        <v>1223</v>
      </c>
      <c r="H47" s="262">
        <v>12000</v>
      </c>
      <c r="I47" s="64">
        <v>0</v>
      </c>
      <c r="J47" s="213">
        <f>+H47-G47</f>
        <v>10777</v>
      </c>
      <c r="K47" s="214"/>
      <c r="L47" s="212">
        <f>+C47-G47</f>
        <v>-1223</v>
      </c>
      <c r="M47" s="212">
        <f>+D47-H47</f>
        <v>-12000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63"/>
      <c r="C48" s="264">
        <f>SUM(C46:C47)</f>
        <v>363180</v>
      </c>
      <c r="D48" s="264">
        <f>SUM(D46:D47)</f>
        <v>326071</v>
      </c>
      <c r="E48" s="253">
        <f>SUM(E46:E47)</f>
        <v>37109</v>
      </c>
      <c r="F48" s="254"/>
      <c r="G48" s="264">
        <f>SUM(G46:G47)</f>
        <v>199284</v>
      </c>
      <c r="H48" s="264">
        <f>SUM(H46:H47)</f>
        <v>196684</v>
      </c>
      <c r="I48" s="264">
        <f>SUM(I46:I47)</f>
        <v>0</v>
      </c>
      <c r="J48" s="253">
        <f>SUM(J46:J47)</f>
        <v>-2600</v>
      </c>
      <c r="K48" s="254"/>
      <c r="L48" s="264">
        <f>SUM(L46:L47)</f>
        <v>163896</v>
      </c>
      <c r="M48" s="264">
        <f>SUM(M46:M47)</f>
        <v>129387</v>
      </c>
      <c r="N48" s="253">
        <f>SUM(N46:N47)</f>
        <v>34509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36" workbookViewId="0">
      <selection activeCell="E53" sqref="E53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22,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238190</v>
      </c>
      <c r="D8" s="59">
        <f>GrossMargin!N10</f>
        <v>41497</v>
      </c>
      <c r="E8" s="211">
        <f t="shared" ref="E8:E16" si="0">-D8+C8</f>
        <v>196693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221358</v>
      </c>
      <c r="M8" s="59">
        <f t="shared" ref="M8:M16" si="2">D8-H8</f>
        <v>26640</v>
      </c>
      <c r="N8" s="211">
        <f t="shared" ref="N8:N16" si="3">L8-M8</f>
        <v>194718</v>
      </c>
    </row>
    <row r="9" spans="1:23" ht="12" customHeight="1" x14ac:dyDescent="0.25">
      <c r="A9" s="207" t="s">
        <v>273</v>
      </c>
      <c r="B9" s="278"/>
      <c r="C9" s="212">
        <f>GrossMargin!J11</f>
        <v>47379</v>
      </c>
      <c r="D9" s="41">
        <f>GrossMargin!N11</f>
        <v>7570</v>
      </c>
      <c r="E9" s="213">
        <f>-D9+C9</f>
        <v>39809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44282</v>
      </c>
      <c r="M9" s="41">
        <f>D9-H9</f>
        <v>4412</v>
      </c>
      <c r="N9" s="213">
        <f>L9-M9</f>
        <v>39870</v>
      </c>
    </row>
    <row r="10" spans="1:23" ht="12" customHeight="1" x14ac:dyDescent="0.25">
      <c r="A10" s="207" t="s">
        <v>106</v>
      </c>
      <c r="B10" s="237"/>
      <c r="C10" s="212">
        <f>GrossMargin!J12</f>
        <v>177806</v>
      </c>
      <c r="D10" s="41">
        <f>GrossMargin!N12</f>
        <v>67236</v>
      </c>
      <c r="E10" s="213">
        <f t="shared" si="0"/>
        <v>110570</v>
      </c>
      <c r="F10" s="241"/>
      <c r="G10" s="212">
        <f>Expenses!D11+'CapChrg-AllocExp'!D12+'CapChrg-AllocExp'!K12+Expenses!D58</f>
        <v>29768</v>
      </c>
      <c r="H10" s="41">
        <f>Expenses!E11+'CapChrg-AllocExp'!E12+'CapChrg-AllocExp'!L12+Expenses!E58</f>
        <v>28234</v>
      </c>
      <c r="I10" s="64">
        <f>'CapChrg-AllocExp'!F12</f>
        <v>988</v>
      </c>
      <c r="J10" s="213">
        <f>(H10-G10)-I10</f>
        <v>-2522</v>
      </c>
      <c r="K10" s="214"/>
      <c r="L10" s="212">
        <f t="shared" si="1"/>
        <v>148038</v>
      </c>
      <c r="M10" s="41">
        <f t="shared" si="2"/>
        <v>39002</v>
      </c>
      <c r="N10" s="213">
        <f t="shared" si="3"/>
        <v>109036</v>
      </c>
    </row>
    <row r="11" spans="1:23" ht="12" customHeight="1" x14ac:dyDescent="0.25">
      <c r="A11" s="207" t="s">
        <v>132</v>
      </c>
      <c r="B11" s="237"/>
      <c r="C11" s="212">
        <f>GrossMargin!J13</f>
        <v>34672</v>
      </c>
      <c r="D11" s="41">
        <f>GrossMargin!N13</f>
        <v>22402</v>
      </c>
      <c r="E11" s="213">
        <f t="shared" si="0"/>
        <v>12270</v>
      </c>
      <c r="F11" s="241"/>
      <c r="G11" s="212">
        <f>Expenses!D12+'CapChrg-AllocExp'!D13+'CapChrg-AllocExp'!K13</f>
        <v>1726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-119</v>
      </c>
      <c r="K11" s="214"/>
      <c r="L11" s="212">
        <f t="shared" si="1"/>
        <v>32946</v>
      </c>
      <c r="M11" s="41">
        <f t="shared" si="2"/>
        <v>20795</v>
      </c>
      <c r="N11" s="213">
        <f t="shared" si="3"/>
        <v>12151</v>
      </c>
    </row>
    <row r="12" spans="1:23" ht="12" customHeight="1" x14ac:dyDescent="0.25">
      <c r="A12" s="207" t="s">
        <v>133</v>
      </c>
      <c r="B12" s="237"/>
      <c r="C12" s="212">
        <f>GrossMargin!J14</f>
        <v>12699</v>
      </c>
      <c r="D12" s="41">
        <f>GrossMargin!N14</f>
        <v>8947</v>
      </c>
      <c r="E12" s="213">
        <f t="shared" si="0"/>
        <v>3752</v>
      </c>
      <c r="F12" s="241"/>
      <c r="G12" s="212">
        <f>Expenses!D13+'CapChrg-AllocExp'!D14+'CapChrg-AllocExp'!K14</f>
        <v>1834</v>
      </c>
      <c r="H12" s="41">
        <f>Expenses!E13+'CapChrg-AllocExp'!E14+'CapChrg-AllocExp'!L14</f>
        <v>1807</v>
      </c>
      <c r="I12" s="64">
        <f>'CapChrg-AllocExp'!F14</f>
        <v>0</v>
      </c>
      <c r="J12" s="213">
        <f t="shared" si="4"/>
        <v>-27</v>
      </c>
      <c r="K12" s="214"/>
      <c r="L12" s="212">
        <f t="shared" si="1"/>
        <v>10865</v>
      </c>
      <c r="M12" s="41">
        <f t="shared" si="2"/>
        <v>7140</v>
      </c>
      <c r="N12" s="213">
        <f t="shared" si="3"/>
        <v>3725</v>
      </c>
    </row>
    <row r="13" spans="1:23" ht="12" customHeight="1" x14ac:dyDescent="0.25">
      <c r="A13" s="207" t="s">
        <v>251</v>
      </c>
      <c r="B13" s="237"/>
      <c r="C13" s="212">
        <f>GrossMargin!J15</f>
        <v>20262</v>
      </c>
      <c r="D13" s="41">
        <f>(GrossMargin!N15)</f>
        <v>11556</v>
      </c>
      <c r="E13" s="213">
        <f t="shared" si="0"/>
        <v>8706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17920</v>
      </c>
      <c r="M13" s="41">
        <f t="shared" si="2"/>
        <v>8509</v>
      </c>
      <c r="N13" s="213">
        <f t="shared" si="3"/>
        <v>9411</v>
      </c>
    </row>
    <row r="14" spans="1:23" ht="12" customHeight="1" x14ac:dyDescent="0.25">
      <c r="A14" s="207" t="s">
        <v>275</v>
      </c>
      <c r="B14" s="237"/>
      <c r="C14" s="212">
        <f>GrossMargin!J16</f>
        <v>3212</v>
      </c>
      <c r="D14" s="41">
        <f>GrossMargin!N16</f>
        <v>6535</v>
      </c>
      <c r="E14" s="213">
        <f t="shared" si="0"/>
        <v>-3323</v>
      </c>
      <c r="F14" s="241"/>
      <c r="G14" s="212">
        <f>Expenses!D15+'CapChrg-AllocExp'!D16+'CapChrg-AllocExp'!K16</f>
        <v>2676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-638</v>
      </c>
      <c r="K14" s="214"/>
      <c r="L14" s="212">
        <f t="shared" si="1"/>
        <v>536</v>
      </c>
      <c r="M14" s="41">
        <f t="shared" si="2"/>
        <v>4497</v>
      </c>
      <c r="N14" s="213">
        <f t="shared" si="3"/>
        <v>-3961</v>
      </c>
    </row>
    <row r="15" spans="1:23" ht="12" customHeight="1" x14ac:dyDescent="0.25">
      <c r="A15" s="207" t="s">
        <v>155</v>
      </c>
      <c r="B15" s="237"/>
      <c r="C15" s="212">
        <f>GrossMargin!J17</f>
        <v>2621</v>
      </c>
      <c r="D15" s="41">
        <f>GrossMargin!N17</f>
        <v>3215</v>
      </c>
      <c r="E15" s="213">
        <f t="shared" si="0"/>
        <v>-594</v>
      </c>
      <c r="F15" s="241"/>
      <c r="G15" s="212">
        <f>Expenses!D16+'CapChrg-AllocExp'!D17+'CapChrg-AllocExp'!K17</f>
        <v>1640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21</v>
      </c>
      <c r="K15" s="214"/>
      <c r="L15" s="212">
        <f t="shared" si="1"/>
        <v>981</v>
      </c>
      <c r="M15" s="41">
        <f t="shared" si="2"/>
        <v>1554</v>
      </c>
      <c r="N15" s="213">
        <f t="shared" si="3"/>
        <v>-573</v>
      </c>
    </row>
    <row r="16" spans="1:23" ht="12" customHeight="1" x14ac:dyDescent="0.25">
      <c r="A16" s="207" t="s">
        <v>292</v>
      </c>
      <c r="B16" s="237"/>
      <c r="C16" s="212">
        <f>GrossMargin!J18</f>
        <v>-6460</v>
      </c>
      <c r="D16" s="41">
        <f>GrossMargin!N18</f>
        <v>750</v>
      </c>
      <c r="E16" s="213">
        <f t="shared" si="0"/>
        <v>-7210</v>
      </c>
      <c r="F16" s="241"/>
      <c r="G16" s="212">
        <f>Expenses!D17+'CapChrg-AllocExp'!D18+'CapChrg-AllocExp'!K18</f>
        <v>286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52</v>
      </c>
      <c r="K16" s="214"/>
      <c r="L16" s="212">
        <f t="shared" si="1"/>
        <v>-6746</v>
      </c>
      <c r="M16" s="41">
        <f t="shared" si="2"/>
        <v>412</v>
      </c>
      <c r="N16" s="213">
        <f t="shared" si="3"/>
        <v>-7158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530381</v>
      </c>
      <c r="D17" s="231">
        <f>SUM(D8:D16)</f>
        <v>169708</v>
      </c>
      <c r="E17" s="232">
        <f>SUM(E8:E16)</f>
        <v>360673</v>
      </c>
      <c r="F17" s="242">
        <f>SUM(D17:E17)</f>
        <v>530381</v>
      </c>
      <c r="G17" s="230">
        <f>SUM(G8:G16)</f>
        <v>60201</v>
      </c>
      <c r="H17" s="231">
        <f>SUM(H8:H16)</f>
        <v>56747</v>
      </c>
      <c r="I17" s="231">
        <f>SUM(I8:I16)</f>
        <v>988</v>
      </c>
      <c r="J17" s="232">
        <f>SUM(J8:J16)</f>
        <v>-4442</v>
      </c>
      <c r="K17" s="215"/>
      <c r="L17" s="230">
        <f>SUM(L8:L16)</f>
        <v>470180</v>
      </c>
      <c r="M17" s="231">
        <f>SUM(M8:M16)</f>
        <v>112961</v>
      </c>
      <c r="N17" s="232">
        <f>SUM(N8:N16)</f>
        <v>357219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9" si="5">-D19+C19</f>
        <v>-20493</v>
      </c>
      <c r="F19" s="241"/>
      <c r="G19" s="212">
        <f>Expenses!D20+'CapChrg-AllocExp'!D21+'CapChrg-AllocExp'!K21</f>
        <v>12111</v>
      </c>
      <c r="H19" s="41">
        <f>Expenses!E20+'CapChrg-AllocExp'!E21+'CapChrg-AllocExp'!L21</f>
        <v>8570</v>
      </c>
      <c r="I19" s="64">
        <f>'CapChrg-AllocExp'!F21</f>
        <v>0</v>
      </c>
      <c r="J19" s="213">
        <f t="shared" ref="J19:J29" si="6">(H19-G19)-I19</f>
        <v>-3541</v>
      </c>
      <c r="K19" s="214"/>
      <c r="L19" s="212">
        <f t="shared" ref="L19:M21" si="7">C19-G19</f>
        <v>-12111</v>
      </c>
      <c r="M19" s="41">
        <f t="shared" si="7"/>
        <v>11923</v>
      </c>
      <c r="N19" s="213">
        <f t="shared" ref="N19:N29" si="8">L19-M19</f>
        <v>-24034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5">
      <c r="A21" s="207" t="s">
        <v>233</v>
      </c>
      <c r="B21" s="237"/>
      <c r="C21" s="212">
        <f>GrossMargin!J24</f>
        <v>4500</v>
      </c>
      <c r="D21" s="41">
        <f>GrossMargin!N24</f>
        <v>22861</v>
      </c>
      <c r="E21" s="213">
        <f t="shared" si="5"/>
        <v>-18361</v>
      </c>
      <c r="F21" s="241"/>
      <c r="G21" s="212">
        <f>Expenses!D22+'CapChrg-AllocExp'!D23+'CapChrg-AllocExp'!K23</f>
        <v>7339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593</v>
      </c>
      <c r="K21" s="214"/>
      <c r="L21" s="212">
        <f t="shared" si="7"/>
        <v>-2839</v>
      </c>
      <c r="M21" s="41">
        <f t="shared" si="7"/>
        <v>13952</v>
      </c>
      <c r="N21" s="213">
        <f t="shared" si="8"/>
        <v>-16791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9078</v>
      </c>
      <c r="H22" s="41">
        <f>Expenses!E23+'CapChrg-AllocExp'!E24+'CapChrg-AllocExp'!L24</f>
        <v>8485</v>
      </c>
      <c r="I22" s="64">
        <f>'CapChrg-AllocExp'!F24</f>
        <v>237</v>
      </c>
      <c r="J22" s="213">
        <f>(H22-G22)-I22</f>
        <v>-830</v>
      </c>
      <c r="K22" s="214"/>
      <c r="L22" s="212">
        <f>C22-G22</f>
        <v>7072</v>
      </c>
      <c r="M22" s="41">
        <f>D22-H22</f>
        <v>10226</v>
      </c>
      <c r="N22" s="213">
        <f>L22-M22</f>
        <v>-3154</v>
      </c>
    </row>
    <row r="23" spans="1:14" ht="12" customHeight="1" x14ac:dyDescent="0.25">
      <c r="A23" s="207" t="s">
        <v>264</v>
      </c>
      <c r="B23" s="237"/>
      <c r="C23" s="212">
        <f>GrossMargin!J26</f>
        <v>164</v>
      </c>
      <c r="D23" s="41">
        <f>GrossMargin!N26</f>
        <v>6212</v>
      </c>
      <c r="E23" s="213">
        <f>-D23+C23</f>
        <v>-6048</v>
      </c>
      <c r="F23" s="241"/>
      <c r="G23" s="212">
        <f>Expenses!D24+'CapChrg-AllocExp'!D25+'CapChrg-AllocExp'!K25</f>
        <v>3316</v>
      </c>
      <c r="H23" s="41">
        <f>Expenses!E24+'CapChrg-AllocExp'!E25+'CapChrg-AllocExp'!L25</f>
        <v>2755</v>
      </c>
      <c r="I23" s="64">
        <f>'CapChrg-AllocExp'!F25</f>
        <v>77</v>
      </c>
      <c r="J23" s="213">
        <f>(H23-G23)-I23</f>
        <v>-638</v>
      </c>
      <c r="K23" s="214"/>
      <c r="L23" s="212">
        <f t="shared" ref="L23:M28" si="9">C23-G23</f>
        <v>-3152</v>
      </c>
      <c r="M23" s="41">
        <f t="shared" si="9"/>
        <v>3457</v>
      </c>
      <c r="N23" s="213">
        <f>L23-M23</f>
        <v>-6609</v>
      </c>
    </row>
    <row r="24" spans="1:14" ht="12" customHeight="1" x14ac:dyDescent="0.25">
      <c r="A24" s="207" t="s">
        <v>252</v>
      </c>
      <c r="B24" s="237"/>
      <c r="C24" s="212">
        <f>GrossMargin!J27</f>
        <v>9628</v>
      </c>
      <c r="D24" s="41">
        <f>GrossMargin!N27</f>
        <v>11556</v>
      </c>
      <c r="E24" s="213">
        <f t="shared" si="5"/>
        <v>-1928</v>
      </c>
      <c r="F24" s="241"/>
      <c r="G24" s="212">
        <f>Expenses!D25+'CapChrg-AllocExp'!D26+'CapChrg-AllocExp'!K26</f>
        <v>1852</v>
      </c>
      <c r="H24" s="41">
        <f>Expenses!E25+'CapChrg-AllocExp'!E26+'CapChrg-AllocExp'!L26</f>
        <v>1900</v>
      </c>
      <c r="I24" s="64">
        <f>'CapChrg-AllocExp'!F26</f>
        <v>217</v>
      </c>
      <c r="J24" s="213">
        <f t="shared" si="6"/>
        <v>-169</v>
      </c>
      <c r="K24" s="214"/>
      <c r="L24" s="212">
        <f t="shared" si="9"/>
        <v>7776</v>
      </c>
      <c r="M24" s="41">
        <f t="shared" si="9"/>
        <v>9656</v>
      </c>
      <c r="N24" s="213">
        <f t="shared" si="8"/>
        <v>-1880</v>
      </c>
    </row>
    <row r="25" spans="1:14" ht="12" customHeight="1" x14ac:dyDescent="0.25">
      <c r="A25" s="207" t="s">
        <v>299</v>
      </c>
      <c r="B25" s="278"/>
      <c r="C25" s="212">
        <f>GrossMargin!J28</f>
        <v>17773</v>
      </c>
      <c r="D25" s="41">
        <f>GrossMargin!N28</f>
        <v>18423</v>
      </c>
      <c r="E25" s="213">
        <f>-D25+C25</f>
        <v>-650</v>
      </c>
      <c r="F25" s="241"/>
      <c r="G25" s="212">
        <f>Expenses!D26+'CapChrg-AllocExp'!D27+'CapChrg-AllocExp'!K27+Expenses!D60</f>
        <v>14974.5</v>
      </c>
      <c r="H25" s="41">
        <f>Expenses!E26+'CapChrg-AllocExp'!E27+'CapChrg-AllocExp'!L27+Expenses!E60</f>
        <v>9886.5</v>
      </c>
      <c r="I25" s="64">
        <f>'CapChrg-AllocExp'!F27</f>
        <v>-539</v>
      </c>
      <c r="J25" s="213">
        <f>(H25-G25)-I25</f>
        <v>-4549</v>
      </c>
      <c r="K25" s="214"/>
      <c r="L25" s="212">
        <f t="shared" ref="L25:M27" si="10">C25-G25</f>
        <v>2798.5</v>
      </c>
      <c r="M25" s="41">
        <f t="shared" si="10"/>
        <v>8536.5</v>
      </c>
      <c r="N25" s="213">
        <f>L25-M25</f>
        <v>-5738</v>
      </c>
    </row>
    <row r="26" spans="1:14" ht="12" customHeight="1" x14ac:dyDescent="0.25">
      <c r="A26" s="207" t="s">
        <v>289</v>
      </c>
      <c r="B26" s="278"/>
      <c r="C26" s="212">
        <f>GrossMargin!J29</f>
        <v>14742</v>
      </c>
      <c r="D26" s="41">
        <f>GrossMargin!N29</f>
        <v>10746</v>
      </c>
      <c r="E26" s="213">
        <f>-D26+C26</f>
        <v>3996</v>
      </c>
      <c r="F26" s="241"/>
      <c r="G26" s="212">
        <f>Expenses!D27+'CapChrg-AllocExp'!D28+'CapChrg-AllocExp'!K28+Expenses!D59</f>
        <v>48119.5</v>
      </c>
      <c r="H26" s="41">
        <f>Expenses!E27+'CapChrg-AllocExp'!E28+'CapChrg-AllocExp'!L28+Expenses!E59</f>
        <v>47106.5</v>
      </c>
      <c r="I26" s="64">
        <f>'CapChrg-AllocExp'!F28</f>
        <v>-603</v>
      </c>
      <c r="J26" s="213">
        <f>(H26-G26)-I26</f>
        <v>-410</v>
      </c>
      <c r="K26" s="214"/>
      <c r="L26" s="212">
        <f t="shared" si="10"/>
        <v>-33377.5</v>
      </c>
      <c r="M26" s="41">
        <f t="shared" si="10"/>
        <v>-36360.5</v>
      </c>
      <c r="N26" s="213">
        <f>L26-M26</f>
        <v>2983</v>
      </c>
    </row>
    <row r="27" spans="1:14" ht="12" customHeight="1" x14ac:dyDescent="0.25">
      <c r="A27" s="207" t="s">
        <v>290</v>
      </c>
      <c r="B27" s="278"/>
      <c r="C27" s="212">
        <f>GrossMargin!J30</f>
        <v>379</v>
      </c>
      <c r="D27" s="41">
        <f>GrossMargin!N30</f>
        <v>1690</v>
      </c>
      <c r="E27" s="213">
        <f>-D27+C27</f>
        <v>-1311</v>
      </c>
      <c r="F27" s="241"/>
      <c r="G27" s="212">
        <f>Expenses!D28+'CapChrg-AllocExp'!D29+'CapChrg-AllocExp'!K29+Expenses!D62</f>
        <v>3360</v>
      </c>
      <c r="H27" s="41">
        <f>Expenses!E28+'CapChrg-AllocExp'!E29+'CapChrg-AllocExp'!L29+Expenses!E62</f>
        <v>3590</v>
      </c>
      <c r="I27" s="64">
        <f>'CapChrg-AllocExp'!F29</f>
        <v>199</v>
      </c>
      <c r="J27" s="213">
        <f>(H27-G27)-I27</f>
        <v>31</v>
      </c>
      <c r="K27" s="214"/>
      <c r="L27" s="212">
        <f t="shared" si="10"/>
        <v>-2981</v>
      </c>
      <c r="M27" s="41">
        <f t="shared" si="10"/>
        <v>-1900</v>
      </c>
      <c r="N27" s="213">
        <f>L27-M27</f>
        <v>-1081</v>
      </c>
    </row>
    <row r="28" spans="1:14" ht="12" customHeight="1" x14ac:dyDescent="0.25">
      <c r="A28" s="207" t="s">
        <v>156</v>
      </c>
      <c r="B28" s="237"/>
      <c r="C28" s="212">
        <f>GrossMargin!J31</f>
        <v>671</v>
      </c>
      <c r="D28" s="41">
        <f>GrossMargin!N31</f>
        <v>7712</v>
      </c>
      <c r="E28" s="213">
        <f>-D28+C28</f>
        <v>-7041</v>
      </c>
      <c r="F28" s="241"/>
      <c r="G28" s="212">
        <f>Expenses!D29+'CapChrg-AllocExp'!D30+'CapChrg-AllocExp'!K30</f>
        <v>778</v>
      </c>
      <c r="H28" s="41">
        <f>Expenses!E29+'CapChrg-AllocExp'!E30+'CapChrg-AllocExp'!L30</f>
        <v>1334</v>
      </c>
      <c r="I28" s="64">
        <f>'CapChrg-AllocExp'!F30</f>
        <v>704</v>
      </c>
      <c r="J28" s="213">
        <f>(H28-G28)-I28</f>
        <v>-148</v>
      </c>
      <c r="K28" s="214"/>
      <c r="L28" s="212">
        <f t="shared" si="9"/>
        <v>-107</v>
      </c>
      <c r="M28" s="41">
        <f t="shared" si="9"/>
        <v>6378</v>
      </c>
      <c r="N28" s="213">
        <f>L28-M28</f>
        <v>-6485</v>
      </c>
    </row>
    <row r="29" spans="1:14" ht="12" customHeight="1" x14ac:dyDescent="0.25">
      <c r="A29" s="207" t="s">
        <v>0</v>
      </c>
      <c r="B29" s="237"/>
      <c r="C29" s="212">
        <f>GrossMargin!J32</f>
        <v>2</v>
      </c>
      <c r="D29" s="41">
        <f>GrossMargin!N32</f>
        <v>4656</v>
      </c>
      <c r="E29" s="213">
        <f t="shared" si="5"/>
        <v>-4654</v>
      </c>
      <c r="F29" s="241"/>
      <c r="G29" s="212">
        <f>Expenses!D30+'CapChrg-AllocExp'!D31+'CapChrg-AllocExp'!K31</f>
        <v>2237</v>
      </c>
      <c r="H29" s="41">
        <f>Expenses!E30+'CapChrg-AllocExp'!E31+'CapChrg-AllocExp'!L31</f>
        <v>2626</v>
      </c>
      <c r="I29" s="64">
        <f>'CapChrg-AllocExp'!F31</f>
        <v>0</v>
      </c>
      <c r="J29" s="213">
        <f t="shared" si="6"/>
        <v>389</v>
      </c>
      <c r="K29" s="214"/>
      <c r="L29" s="212">
        <f>C29-G29</f>
        <v>-2235</v>
      </c>
      <c r="M29" s="41">
        <f>D29-H29</f>
        <v>2030</v>
      </c>
      <c r="N29" s="213">
        <f t="shared" si="8"/>
        <v>-4265</v>
      </c>
    </row>
    <row r="30" spans="1:14" s="202" customFormat="1" ht="12" customHeight="1" x14ac:dyDescent="0.2">
      <c r="A30" s="229" t="s">
        <v>1</v>
      </c>
      <c r="B30" s="238"/>
      <c r="C30" s="230">
        <f t="shared" ref="C30:J30" si="11">SUM(C19:C29)</f>
        <v>64515</v>
      </c>
      <c r="D30" s="231">
        <f t="shared" si="11"/>
        <v>136295</v>
      </c>
      <c r="E30" s="232">
        <f t="shared" si="11"/>
        <v>-71780</v>
      </c>
      <c r="F30" s="242">
        <f t="shared" si="11"/>
        <v>0</v>
      </c>
      <c r="G30" s="230">
        <f t="shared" si="11"/>
        <v>111622</v>
      </c>
      <c r="H30" s="231">
        <f t="shared" si="11"/>
        <v>102428</v>
      </c>
      <c r="I30" s="231">
        <f t="shared" si="11"/>
        <v>619</v>
      </c>
      <c r="J30" s="232">
        <f t="shared" si="11"/>
        <v>-9813</v>
      </c>
      <c r="K30" s="215"/>
      <c r="L30" s="230">
        <f>SUM(L19:L29)</f>
        <v>-47107</v>
      </c>
      <c r="M30" s="231">
        <f>SUM(M19:M29)</f>
        <v>33867</v>
      </c>
      <c r="N30" s="232">
        <f>SUM(N19:N29)</f>
        <v>-80974</v>
      </c>
    </row>
    <row r="31" spans="1:14" ht="12" customHeight="1" x14ac:dyDescent="0.25">
      <c r="A31" s="207"/>
      <c r="B31" s="237"/>
      <c r="C31" s="212"/>
      <c r="D31" s="41"/>
      <c r="E31" s="213"/>
      <c r="F31" s="241"/>
      <c r="G31" s="216"/>
      <c r="H31" s="41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12">
        <f>GrossMargin!J37</f>
        <v>-29674</v>
      </c>
      <c r="D32" s="41">
        <f>GrossMargin!N37</f>
        <v>15385</v>
      </c>
      <c r="E32" s="213">
        <f>-D32+C32</f>
        <v>-45059</v>
      </c>
      <c r="F32" s="241"/>
      <c r="G32" s="212">
        <f>Expenses!D34+'CapChrg-AllocExp'!D35+'CapChrg-AllocExp'!K35</f>
        <v>2045</v>
      </c>
      <c r="H32" s="41">
        <f>Expenses!E34+'CapChrg-AllocExp'!E35+'CapChrg-AllocExp'!L35</f>
        <v>3691</v>
      </c>
      <c r="I32" s="64">
        <f>'CapChrg-AllocExp'!F35</f>
        <v>1370</v>
      </c>
      <c r="J32" s="213">
        <f>(H32-G32)-I32</f>
        <v>276</v>
      </c>
      <c r="K32" s="214"/>
      <c r="L32" s="212">
        <f t="shared" ref="L32:M34" si="12">C32-G32</f>
        <v>-31719</v>
      </c>
      <c r="M32" s="41">
        <f t="shared" si="12"/>
        <v>11694</v>
      </c>
      <c r="N32" s="213">
        <f>L32-M32</f>
        <v>-43413</v>
      </c>
    </row>
    <row r="33" spans="1:14" ht="12" customHeight="1" x14ac:dyDescent="0.25">
      <c r="A33" s="207" t="s">
        <v>267</v>
      </c>
      <c r="B33" s="237"/>
      <c r="C33" s="212">
        <f>GrossMargin!J38</f>
        <v>3576</v>
      </c>
      <c r="D33" s="41">
        <f>GrossMargin!N38</f>
        <v>2000</v>
      </c>
      <c r="E33" s="213">
        <f>-D33+C33</f>
        <v>1576</v>
      </c>
      <c r="F33" s="241"/>
      <c r="G33" s="212">
        <f>Expenses!D35+'CapChrg-AllocExp'!D36+'CapChrg-AllocExp'!K36</f>
        <v>5564</v>
      </c>
      <c r="H33" s="41">
        <f>Expenses!E35+'CapChrg-AllocExp'!E36+'CapChrg-AllocExp'!L36</f>
        <v>7158</v>
      </c>
      <c r="I33" s="64">
        <f>'CapChrg-AllocExp'!F36</f>
        <v>1773</v>
      </c>
      <c r="J33" s="213">
        <f>(H33-G33)-I33</f>
        <v>-179</v>
      </c>
      <c r="K33" s="214"/>
      <c r="L33" s="212">
        <f t="shared" si="12"/>
        <v>-1988</v>
      </c>
      <c r="M33" s="41">
        <f t="shared" si="12"/>
        <v>-5158</v>
      </c>
      <c r="N33" s="213">
        <f>L33-M33</f>
        <v>3170</v>
      </c>
    </row>
    <row r="34" spans="1:14" x14ac:dyDescent="0.25">
      <c r="A34" s="207" t="s">
        <v>154</v>
      </c>
      <c r="B34" s="237"/>
      <c r="C34" s="212">
        <f>GrossMargin!J41</f>
        <v>-12824</v>
      </c>
      <c r="D34" s="41">
        <f>GrossMargin!N41</f>
        <v>14705</v>
      </c>
      <c r="E34" s="213">
        <f>-D34+C34</f>
        <v>-27529</v>
      </c>
      <c r="F34" s="206"/>
      <c r="G34" s="212">
        <f>Expenses!D38+'CapChrg-AllocExp'!D39+'CapChrg-AllocExp'!K39</f>
        <v>11116</v>
      </c>
      <c r="H34" s="41">
        <f>Expenses!E38+'CapChrg-AllocExp'!E39+'CapChrg-AllocExp'!L39</f>
        <v>10399</v>
      </c>
      <c r="I34" s="64">
        <f>'CapChrg-AllocExp'!F39</f>
        <v>-1044</v>
      </c>
      <c r="J34" s="213">
        <f>(H34-G34)-I34</f>
        <v>327</v>
      </c>
      <c r="K34" s="206"/>
      <c r="L34" s="212">
        <f t="shared" si="12"/>
        <v>-23940</v>
      </c>
      <c r="M34" s="41">
        <f t="shared" si="12"/>
        <v>4306</v>
      </c>
      <c r="N34" s="213">
        <f>L34-M34</f>
        <v>-28246</v>
      </c>
    </row>
    <row r="35" spans="1:14" s="202" customFormat="1" ht="12" customHeight="1" x14ac:dyDescent="0.2">
      <c r="A35" s="229" t="s">
        <v>87</v>
      </c>
      <c r="B35" s="238"/>
      <c r="C35" s="230">
        <f>C32+C33+C34</f>
        <v>-38922</v>
      </c>
      <c r="D35" s="231">
        <f>D32+D33+D34</f>
        <v>32090</v>
      </c>
      <c r="E35" s="232">
        <f>SUM(E32:E34)</f>
        <v>-71012</v>
      </c>
      <c r="F35" s="242"/>
      <c r="G35" s="230">
        <f>G32+G33+G34</f>
        <v>18725</v>
      </c>
      <c r="H35" s="231">
        <f>H32+H33+H34</f>
        <v>21248</v>
      </c>
      <c r="I35" s="231">
        <f>I32+I33+I34</f>
        <v>2099</v>
      </c>
      <c r="J35" s="232">
        <f>SUM(J32:J34)</f>
        <v>424</v>
      </c>
      <c r="K35" s="215"/>
      <c r="L35" s="230">
        <f>L32+L33+L34</f>
        <v>-57647</v>
      </c>
      <c r="M35" s="231">
        <f>M32+M33+M34</f>
        <v>10842</v>
      </c>
      <c r="N35" s="232">
        <f>SUM(N32:N34)</f>
        <v>-68489</v>
      </c>
    </row>
    <row r="36" spans="1:14" ht="12" customHeight="1" x14ac:dyDescent="0.25">
      <c r="A36" s="217"/>
      <c r="B36" s="237"/>
      <c r="C36" s="218"/>
      <c r="D36" s="104"/>
      <c r="E36" s="219"/>
      <c r="F36" s="241"/>
      <c r="G36" s="220"/>
      <c r="H36" s="104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18">
        <f>GrossMargin!J45</f>
        <v>319</v>
      </c>
      <c r="D37" s="104">
        <f>GrossMargin!N45</f>
        <v>2500</v>
      </c>
      <c r="E37" s="219">
        <f>-D37+C37</f>
        <v>-2181</v>
      </c>
      <c r="F37" s="241"/>
      <c r="G37" s="218">
        <f>Expenses!D41+'CapChrg-AllocExp'!D42+'CapChrg-AllocExp'!K42</f>
        <v>9197</v>
      </c>
      <c r="H37" s="104">
        <f>Expenses!E41+'CapChrg-AllocExp'!E42+'CapChrg-AllocExp'!L42</f>
        <v>7686</v>
      </c>
      <c r="I37" s="105">
        <f>'CapChrg-AllocExp'!F42</f>
        <v>0</v>
      </c>
      <c r="J37" s="213">
        <f>(H37-G37)-I37</f>
        <v>-1511</v>
      </c>
      <c r="K37" s="214"/>
      <c r="L37" s="218">
        <f t="shared" ref="L37:M39" si="13">C37-G37</f>
        <v>-8878</v>
      </c>
      <c r="M37" s="104">
        <f t="shared" si="13"/>
        <v>-5186</v>
      </c>
      <c r="N37" s="219">
        <f>L37-M37</f>
        <v>-3692</v>
      </c>
    </row>
    <row r="38" spans="1:14" ht="12" customHeight="1" x14ac:dyDescent="0.25">
      <c r="A38" s="217" t="s">
        <v>7</v>
      </c>
      <c r="B38" s="237"/>
      <c r="C38" s="218">
        <f>GrossMargin!J47</f>
        <v>-18812</v>
      </c>
      <c r="D38" s="104">
        <f>GrossMargin!N47</f>
        <v>0</v>
      </c>
      <c r="E38" s="219">
        <f>-D38+C38</f>
        <v>-18812</v>
      </c>
      <c r="F38" s="241"/>
      <c r="G38" s="218">
        <f>Expenses!D43+'CapChrg-AllocExp'!D44+'CapChrg-AllocExp'!K44</f>
        <v>9316</v>
      </c>
      <c r="H38" s="104">
        <f>Expenses!E43+'CapChrg-AllocExp'!E44+'CapChrg-AllocExp'!L44</f>
        <v>7099</v>
      </c>
      <c r="I38" s="105">
        <f>'CapChrg-AllocExp'!F44</f>
        <v>0</v>
      </c>
      <c r="J38" s="213">
        <f>(H38-G38)-I38</f>
        <v>-2217</v>
      </c>
      <c r="K38" s="214"/>
      <c r="L38" s="218">
        <f t="shared" si="13"/>
        <v>-28128</v>
      </c>
      <c r="M38" s="104">
        <f t="shared" si="13"/>
        <v>-7099</v>
      </c>
      <c r="N38" s="219">
        <f>L38-M38</f>
        <v>-21029</v>
      </c>
    </row>
    <row r="39" spans="1:14" ht="12" customHeight="1" x14ac:dyDescent="0.25">
      <c r="A39" s="217" t="s">
        <v>19</v>
      </c>
      <c r="B39" s="237"/>
      <c r="C39" s="218">
        <f>GrossMargin!J51</f>
        <v>0</v>
      </c>
      <c r="D39" s="104">
        <f>GrossMargin!N51</f>
        <v>52216</v>
      </c>
      <c r="E39" s="219">
        <f>-D39+C39</f>
        <v>-52216</v>
      </c>
      <c r="F39" s="241"/>
      <c r="G39" s="218">
        <f>Expenses!D55+'CapChrg-AllocExp'!D56+'CapChrg-AllocExp'!K56</f>
        <v>0</v>
      </c>
      <c r="H39" s="104">
        <f>Expenses!E55+'CapChrg-AllocExp'!E56+'CapChrg-AllocExp'!L56</f>
        <v>0</v>
      </c>
      <c r="I39" s="105">
        <v>0</v>
      </c>
      <c r="J39" s="213">
        <f>(H39-G39)-I39</f>
        <v>0</v>
      </c>
      <c r="K39" s="214"/>
      <c r="L39" s="218">
        <f t="shared" si="13"/>
        <v>0</v>
      </c>
      <c r="M39" s="104">
        <f t="shared" si="13"/>
        <v>52216</v>
      </c>
      <c r="N39" s="219">
        <f>L39-M39</f>
        <v>-52216</v>
      </c>
    </row>
    <row r="40" spans="1:14" s="202" customFormat="1" ht="12" customHeight="1" x14ac:dyDescent="0.2">
      <c r="A40" s="229" t="s">
        <v>10</v>
      </c>
      <c r="B40" s="238"/>
      <c r="C40" s="230">
        <f>SUM(C35:C39)+C17+C30</f>
        <v>537481</v>
      </c>
      <c r="D40" s="231">
        <f>SUM(D35:D39)+D17+D30</f>
        <v>392809</v>
      </c>
      <c r="E40" s="232">
        <f>SUM(E35:E39)+E17+E30</f>
        <v>144672</v>
      </c>
      <c r="F40" s="242"/>
      <c r="G40" s="230">
        <f>SUM(G35:G39)+G17+G30</f>
        <v>209061</v>
      </c>
      <c r="H40" s="231">
        <f>SUM(H35:H39)+H17+H30</f>
        <v>195208</v>
      </c>
      <c r="I40" s="231">
        <f>SUM(I35:I39)+I17+I30</f>
        <v>3706</v>
      </c>
      <c r="J40" s="232">
        <f>SUM(J35:J39)+J17+J30</f>
        <v>-17559</v>
      </c>
      <c r="K40" s="215"/>
      <c r="L40" s="230">
        <f>SUM(L35:L39)+L17+L30</f>
        <v>328420</v>
      </c>
      <c r="M40" s="231">
        <f>SUM(M35:M39)+M17+M30</f>
        <v>197601</v>
      </c>
      <c r="N40" s="232">
        <f>SUM(N35:N39)+N17+N30</f>
        <v>130819</v>
      </c>
    </row>
    <row r="41" spans="1:14" ht="12" customHeight="1" x14ac:dyDescent="0.25">
      <c r="A41" s="217"/>
      <c r="B41" s="237"/>
      <c r="C41" s="218"/>
      <c r="D41" s="104"/>
      <c r="E41" s="219"/>
      <c r="F41" s="241"/>
      <c r="G41" s="220"/>
      <c r="H41" s="104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18">
        <v>0</v>
      </c>
      <c r="D42" s="104">
        <v>0</v>
      </c>
      <c r="E42" s="219">
        <f t="shared" ref="E42:E47" si="14">-D42+C42</f>
        <v>0</v>
      </c>
      <c r="F42" s="241"/>
      <c r="G42" s="218">
        <f>Expenses!D47</f>
        <v>90230</v>
      </c>
      <c r="H42" s="104">
        <f>Expenses!E47</f>
        <v>59297</v>
      </c>
      <c r="I42" s="104">
        <v>0</v>
      </c>
      <c r="J42" s="213">
        <f t="shared" ref="J42:J47" si="15">(H42-G42)-I42</f>
        <v>-30933</v>
      </c>
      <c r="K42" s="214"/>
      <c r="L42" s="218">
        <f t="shared" ref="L42:M47" si="16">C42-G42</f>
        <v>-90230</v>
      </c>
      <c r="M42" s="104">
        <f t="shared" si="16"/>
        <v>-59297</v>
      </c>
      <c r="N42" s="219">
        <f t="shared" ref="N42:N47" si="17">L42-M42</f>
        <v>-30933</v>
      </c>
    </row>
    <row r="43" spans="1:14" ht="12" customHeight="1" x14ac:dyDescent="0.25">
      <c r="A43" s="217" t="s">
        <v>237</v>
      </c>
      <c r="B43" s="237"/>
      <c r="C43" s="218">
        <v>0</v>
      </c>
      <c r="D43" s="104">
        <v>0</v>
      </c>
      <c r="E43" s="219">
        <f t="shared" si="14"/>
        <v>0</v>
      </c>
      <c r="F43" s="241"/>
      <c r="G43" s="218">
        <f>'CapChrg-AllocExp'!K50</f>
        <v>-43116</v>
      </c>
      <c r="H43" s="104">
        <f>'CapChrg-AllocExp'!L50</f>
        <v>-42184</v>
      </c>
      <c r="I43" s="104">
        <v>0</v>
      </c>
      <c r="J43" s="213">
        <f t="shared" si="15"/>
        <v>932</v>
      </c>
      <c r="K43" s="214"/>
      <c r="L43" s="218">
        <f t="shared" si="16"/>
        <v>43116</v>
      </c>
      <c r="M43" s="104">
        <f t="shared" si="16"/>
        <v>42184</v>
      </c>
      <c r="N43" s="219">
        <f t="shared" si="17"/>
        <v>932</v>
      </c>
    </row>
    <row r="44" spans="1:14" ht="12" customHeight="1" x14ac:dyDescent="0.25">
      <c r="A44" s="217" t="s">
        <v>274</v>
      </c>
      <c r="B44" s="237"/>
      <c r="C44" s="218">
        <v>0</v>
      </c>
      <c r="D44" s="104">
        <v>0</v>
      </c>
      <c r="E44" s="219">
        <f t="shared" si="14"/>
        <v>0</v>
      </c>
      <c r="F44" s="241"/>
      <c r="G44" s="218">
        <f>Expenses!D49</f>
        <v>13698</v>
      </c>
      <c r="H44" s="104">
        <f>Expenses!E49</f>
        <v>13698</v>
      </c>
      <c r="I44" s="104">
        <v>0</v>
      </c>
      <c r="J44" s="213">
        <f t="shared" si="15"/>
        <v>0</v>
      </c>
      <c r="K44" s="214"/>
      <c r="L44" s="218">
        <f>C44-G44</f>
        <v>-13698</v>
      </c>
      <c r="M44" s="104">
        <f>D44-H44</f>
        <v>-13698</v>
      </c>
      <c r="N44" s="219">
        <f t="shared" si="17"/>
        <v>0</v>
      </c>
    </row>
    <row r="45" spans="1:14" ht="12" customHeight="1" x14ac:dyDescent="0.25">
      <c r="A45" s="217" t="s">
        <v>277</v>
      </c>
      <c r="B45" s="237"/>
      <c r="C45" s="218">
        <v>0</v>
      </c>
      <c r="D45" s="104">
        <v>0</v>
      </c>
      <c r="E45" s="219">
        <f t="shared" si="14"/>
        <v>0</v>
      </c>
      <c r="F45" s="241"/>
      <c r="G45" s="218">
        <f>'CapChrg-AllocExp'!K52</f>
        <v>-13343</v>
      </c>
      <c r="H45" s="104">
        <f>'CapChrg-AllocExp'!K52</f>
        <v>-13343</v>
      </c>
      <c r="I45" s="104">
        <v>0</v>
      </c>
      <c r="J45" s="213">
        <f t="shared" si="15"/>
        <v>0</v>
      </c>
      <c r="K45" s="214"/>
      <c r="L45" s="218">
        <f>C45-G45</f>
        <v>13343</v>
      </c>
      <c r="M45" s="104">
        <f>D45-H45</f>
        <v>13343</v>
      </c>
      <c r="N45" s="219">
        <f t="shared" si="17"/>
        <v>0</v>
      </c>
    </row>
    <row r="46" spans="1:14" ht="12" customHeight="1" x14ac:dyDescent="0.25">
      <c r="A46" s="217" t="s">
        <v>18</v>
      </c>
      <c r="B46" s="237"/>
      <c r="C46" s="218">
        <f>GrossMargin!J49</f>
        <v>-19178</v>
      </c>
      <c r="D46" s="104">
        <f>GrossMargin!N49</f>
        <v>-10795</v>
      </c>
      <c r="E46" s="219">
        <f t="shared" si="14"/>
        <v>-8383</v>
      </c>
      <c r="F46" s="243"/>
      <c r="G46" s="218">
        <f>Expenses!D51</f>
        <v>22625</v>
      </c>
      <c r="H46" s="104">
        <f>Expenses!E51</f>
        <v>26684</v>
      </c>
      <c r="I46" s="104">
        <v>0</v>
      </c>
      <c r="J46" s="213">
        <f t="shared" si="15"/>
        <v>4059</v>
      </c>
      <c r="K46" s="214"/>
      <c r="L46" s="218">
        <f t="shared" si="16"/>
        <v>-41803</v>
      </c>
      <c r="M46" s="104">
        <f t="shared" si="16"/>
        <v>-37479</v>
      </c>
      <c r="N46" s="219">
        <f t="shared" si="17"/>
        <v>-4324</v>
      </c>
    </row>
    <row r="47" spans="1:14" ht="12" customHeight="1" x14ac:dyDescent="0.25">
      <c r="A47" s="217" t="s">
        <v>60</v>
      </c>
      <c r="B47" s="237"/>
      <c r="C47" s="218">
        <v>0</v>
      </c>
      <c r="D47" s="104">
        <v>0</v>
      </c>
      <c r="E47" s="219">
        <f t="shared" si="14"/>
        <v>0</v>
      </c>
      <c r="F47" s="241"/>
      <c r="G47" s="218">
        <f>'CapChrg-AllocExp'!D46</f>
        <v>-39234</v>
      </c>
      <c r="H47" s="104">
        <f>'CapChrg-AllocExp'!E46</f>
        <v>-42940</v>
      </c>
      <c r="I47" s="104">
        <f>'CapChrg-AllocExp'!F46</f>
        <v>-3706</v>
      </c>
      <c r="J47" s="213">
        <f t="shared" si="15"/>
        <v>0</v>
      </c>
      <c r="K47" s="214"/>
      <c r="L47" s="218">
        <f t="shared" si="16"/>
        <v>39234</v>
      </c>
      <c r="M47" s="104">
        <f t="shared" si="16"/>
        <v>42940</v>
      </c>
      <c r="N47" s="219">
        <f t="shared" si="17"/>
        <v>-3706</v>
      </c>
    </row>
    <row r="48" spans="1:14" s="202" customFormat="1" ht="12" customHeight="1" x14ac:dyDescent="0.2">
      <c r="A48" s="229" t="s">
        <v>65</v>
      </c>
      <c r="B48" s="238"/>
      <c r="C48" s="230">
        <f>SUM(C40:C47)</f>
        <v>518303</v>
      </c>
      <c r="D48" s="231">
        <f>SUM(D40:D47)</f>
        <v>382014</v>
      </c>
      <c r="E48" s="233">
        <f>SUM(E40:E47)</f>
        <v>136289</v>
      </c>
      <c r="F48" s="242"/>
      <c r="G48" s="230">
        <f>SUM(G40:G47)</f>
        <v>239921</v>
      </c>
      <c r="H48" s="231">
        <f>SUM(H40:H47)</f>
        <v>196420</v>
      </c>
      <c r="I48" s="231">
        <f>SUM(I40:I47)</f>
        <v>0</v>
      </c>
      <c r="J48" s="233">
        <f>SUM(J40:J47)</f>
        <v>-43501</v>
      </c>
      <c r="K48" s="215"/>
      <c r="L48" s="230">
        <f>SUM(L40:L47)</f>
        <v>278382</v>
      </c>
      <c r="M48" s="231">
        <f>SUM(M40:M47)</f>
        <v>185594</v>
      </c>
      <c r="N48" s="233">
        <f>SUM(N40:N47)</f>
        <v>92788</v>
      </c>
    </row>
    <row r="49" spans="1:14" ht="12" customHeight="1" thickBot="1" x14ac:dyDescent="0.3">
      <c r="A49" s="217" t="s">
        <v>150</v>
      </c>
      <c r="B49" s="237"/>
      <c r="C49" s="218">
        <v>0</v>
      </c>
      <c r="D49" s="104">
        <v>0</v>
      </c>
      <c r="E49" s="219">
        <f>D49-C49</f>
        <v>0</v>
      </c>
      <c r="F49" s="241"/>
      <c r="G49" s="218">
        <f>'Old Mgmt Summary'!M61</f>
        <v>14700</v>
      </c>
      <c r="H49" s="104">
        <f>'Old Mgmt Summary'!D61</f>
        <v>8600</v>
      </c>
      <c r="I49" s="104"/>
      <c r="J49" s="219">
        <f>H49-G49</f>
        <v>-6100</v>
      </c>
      <c r="K49" s="214"/>
      <c r="L49" s="218">
        <f>C49-G49</f>
        <v>-14700</v>
      </c>
      <c r="M49" s="104">
        <f>D49-H49</f>
        <v>-8600</v>
      </c>
      <c r="N49" s="219">
        <f>L49-M49</f>
        <v>-6100</v>
      </c>
    </row>
    <row r="50" spans="1:14" s="202" customFormat="1" ht="12" customHeight="1" thickBot="1" x14ac:dyDescent="0.25">
      <c r="A50" s="249" t="s">
        <v>66</v>
      </c>
      <c r="B50" s="250"/>
      <c r="C50" s="251">
        <f>SUM(C48:C49)</f>
        <v>518303</v>
      </c>
      <c r="D50" s="252">
        <f>SUM(D48:D49)</f>
        <v>382014</v>
      </c>
      <c r="E50" s="253">
        <f>SUM(E48:E49)</f>
        <v>136289</v>
      </c>
      <c r="F50" s="254"/>
      <c r="G50" s="251">
        <f>SUM(G48:G49)</f>
        <v>254621</v>
      </c>
      <c r="H50" s="252">
        <f>SUM(H48:H49)</f>
        <v>205020</v>
      </c>
      <c r="I50" s="252">
        <f>SUM(I48:I49)</f>
        <v>0</v>
      </c>
      <c r="J50" s="253">
        <f>SUM(J48:J49)</f>
        <v>-49601</v>
      </c>
      <c r="K50" s="254"/>
      <c r="L50" s="251">
        <f>SUM(L48:L49)</f>
        <v>263682</v>
      </c>
      <c r="M50" s="252">
        <f>SUM(M48:M49)</f>
        <v>176994</v>
      </c>
      <c r="N50" s="253">
        <f>SUM(N48:N49)</f>
        <v>86688</v>
      </c>
    </row>
    <row r="51" spans="1:14" ht="3" customHeight="1" x14ac:dyDescent="0.25">
      <c r="A51" s="184"/>
      <c r="C51" s="185"/>
      <c r="D51" s="42"/>
      <c r="E51" s="184"/>
      <c r="F51" s="44"/>
      <c r="J51" s="176"/>
    </row>
    <row r="52" spans="1:14" x14ac:dyDescent="0.25">
      <c r="A52" s="176" t="s">
        <v>149</v>
      </c>
      <c r="C52" s="44"/>
      <c r="D52" s="42"/>
      <c r="E52" s="44"/>
      <c r="F52" s="44"/>
    </row>
    <row r="53" spans="1:14" ht="13.5" customHeight="1" x14ac:dyDescent="0.25">
      <c r="A53" s="176" t="s">
        <v>298</v>
      </c>
      <c r="D53" s="38"/>
      <c r="E53" s="38"/>
      <c r="F53" s="38"/>
      <c r="G53" s="38"/>
      <c r="H53" s="38"/>
      <c r="I53" s="38"/>
    </row>
    <row r="54" spans="1:14" ht="13.5" x14ac:dyDescent="0.25">
      <c r="C54" s="307" t="s">
        <v>300</v>
      </c>
      <c r="D54" s="308"/>
      <c r="E54" s="309"/>
      <c r="G54" s="307" t="s">
        <v>301</v>
      </c>
      <c r="H54" s="308"/>
      <c r="I54" s="308"/>
      <c r="J54" s="309"/>
    </row>
    <row r="55" spans="1:14" x14ac:dyDescent="0.25">
      <c r="C55" s="221" t="s">
        <v>247</v>
      </c>
      <c r="D55" s="203"/>
      <c r="E55" s="66">
        <f>'GM-WklyChnge'!C52</f>
        <v>-12622</v>
      </c>
      <c r="G55" s="221" t="s">
        <v>245</v>
      </c>
      <c r="H55" s="203"/>
      <c r="I55" s="314">
        <f>'Expense Weekly Change'!D58+'Expense Weekly Change'!D60+'Expense Weekly Change'!D59</f>
        <v>1664</v>
      </c>
      <c r="J55" s="314"/>
    </row>
    <row r="56" spans="1:14" x14ac:dyDescent="0.25">
      <c r="C56" s="221" t="s">
        <v>287</v>
      </c>
      <c r="D56" s="203"/>
      <c r="E56" s="66">
        <f>'GM-WklyChnge'!D52</f>
        <v>-7035</v>
      </c>
      <c r="G56" s="221" t="s">
        <v>270</v>
      </c>
      <c r="H56" s="203"/>
      <c r="I56" s="314">
        <f>'Expense Weekly Change'!D45</f>
        <v>-1197</v>
      </c>
      <c r="J56" s="314"/>
    </row>
    <row r="57" spans="1:14" x14ac:dyDescent="0.25">
      <c r="C57" s="221" t="s">
        <v>288</v>
      </c>
      <c r="D57" s="203"/>
      <c r="E57" s="66">
        <f>'GM-WklyChnge'!E52+'GM-WklyChnge'!F52+'GM-WklyChnge'!G52</f>
        <v>7026</v>
      </c>
      <c r="G57" s="221" t="s">
        <v>53</v>
      </c>
      <c r="H57" s="203"/>
      <c r="I57" s="265"/>
      <c r="J57" s="266">
        <f>'Expense Weekly Change'!D47+'Expense Weekly Change'!D49</f>
        <v>0</v>
      </c>
    </row>
    <row r="58" spans="1:14" x14ac:dyDescent="0.25">
      <c r="C58" s="222"/>
      <c r="D58" s="223"/>
      <c r="E58" s="224"/>
      <c r="G58" s="222"/>
      <c r="H58" s="223"/>
      <c r="I58" s="282"/>
      <c r="J58" s="281"/>
    </row>
    <row r="59" spans="1:14" ht="13.5" x14ac:dyDescent="0.25">
      <c r="C59" s="234" t="s">
        <v>182</v>
      </c>
      <c r="D59" s="235"/>
      <c r="E59" s="277">
        <f>SUM(E55:E58)</f>
        <v>-12631</v>
      </c>
      <c r="G59" s="234" t="s">
        <v>182</v>
      </c>
      <c r="H59" s="235"/>
      <c r="I59" s="315">
        <f>+J57+I56+I55+J58</f>
        <v>467</v>
      </c>
      <c r="J59" s="316"/>
    </row>
    <row r="60" spans="1:14" x14ac:dyDescent="0.25">
      <c r="M60" s="27" t="s">
        <v>286</v>
      </c>
    </row>
    <row r="62" spans="1:14" ht="13.5" x14ac:dyDescent="0.25">
      <c r="C62" s="272" t="s">
        <v>235</v>
      </c>
      <c r="D62" s="273"/>
      <c r="E62" s="274">
        <f>'[2]QTD Mgmt Summary'!$C$50</f>
        <v>530934</v>
      </c>
      <c r="G62" s="272" t="s">
        <v>235</v>
      </c>
      <c r="H62" s="273"/>
      <c r="I62" s="312">
        <f>'[2]QTD Mgmt Summary'!$G$50</f>
        <v>254154</v>
      </c>
      <c r="J62" s="312"/>
    </row>
    <row r="63" spans="1:14" s="152" customFormat="1" ht="13.5" x14ac:dyDescent="0.25">
      <c r="A63" s="27"/>
      <c r="B63" s="27"/>
      <c r="C63" s="272" t="s">
        <v>244</v>
      </c>
      <c r="D63" s="272"/>
      <c r="E63" s="276">
        <f>C50</f>
        <v>518303</v>
      </c>
      <c r="G63" s="272" t="s">
        <v>244</v>
      </c>
      <c r="H63" s="272"/>
      <c r="I63" s="313">
        <f>G50</f>
        <v>254621</v>
      </c>
      <c r="J63" s="313"/>
    </row>
    <row r="64" spans="1:14" s="152" customFormat="1" ht="6" customHeight="1" x14ac:dyDescent="0.25">
      <c r="A64" s="27"/>
      <c r="B64" s="27"/>
      <c r="C64" s="272"/>
      <c r="D64" s="272"/>
      <c r="E64" s="275"/>
      <c r="G64" s="272"/>
      <c r="H64" s="272"/>
      <c r="I64" s="275"/>
    </row>
    <row r="65" spans="1:10" s="152" customFormat="1" ht="12.75" customHeight="1" thickBot="1" x14ac:dyDescent="0.3">
      <c r="A65" s="27"/>
      <c r="B65" s="27"/>
      <c r="C65" s="286" t="s">
        <v>256</v>
      </c>
      <c r="D65" s="284"/>
      <c r="E65" s="285">
        <f>+E63-E62</f>
        <v>-12631</v>
      </c>
      <c r="G65" s="286" t="s">
        <v>256</v>
      </c>
      <c r="H65" s="284"/>
      <c r="I65" s="311">
        <f>+I63-I62</f>
        <v>467</v>
      </c>
      <c r="J65" s="311"/>
    </row>
    <row r="66" spans="1:10" ht="13.5" thickTop="1" x14ac:dyDescent="0.25"/>
  </sheetData>
  <mergeCells count="12">
    <mergeCell ref="I65:J65"/>
    <mergeCell ref="I62:J62"/>
    <mergeCell ref="I63:J63"/>
    <mergeCell ref="I55:J55"/>
    <mergeCell ref="I56:J56"/>
    <mergeCell ref="I59:J59"/>
    <mergeCell ref="C54:E54"/>
    <mergeCell ref="C5:E5"/>
    <mergeCell ref="L5:N5"/>
    <mergeCell ref="I6:J6"/>
    <mergeCell ref="G5:J5"/>
    <mergeCell ref="G54:J54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22,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3"/>
  <sheetViews>
    <sheetView topLeftCell="A36" workbookViewId="0">
      <selection activeCell="E53" sqref="E53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307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238190</v>
      </c>
      <c r="H9" s="60">
        <f>GrossMargin!K10</f>
        <v>0</v>
      </c>
      <c r="I9" s="60">
        <f>GrossMargin!L10</f>
        <v>0</v>
      </c>
      <c r="J9" s="82">
        <f>SUM(G9:I9)</f>
        <v>238190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221358</v>
      </c>
      <c r="P9" s="44"/>
      <c r="Q9" s="59">
        <f>GrossMargin!O10</f>
        <v>196693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194718</v>
      </c>
    </row>
    <row r="10" spans="1:23" ht="12" customHeight="1" x14ac:dyDescent="0.25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47379</v>
      </c>
      <c r="H10" s="42">
        <f>GrossMargin!K11</f>
        <v>0</v>
      </c>
      <c r="I10" s="42">
        <f>GrossMargin!L11</f>
        <v>0</v>
      </c>
      <c r="J10" s="83">
        <f>SUM(G10:I10)</f>
        <v>47379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44282</v>
      </c>
      <c r="P10" s="44"/>
      <c r="Q10" s="41">
        <f>GrossMargin!O11</f>
        <v>39809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39870</v>
      </c>
    </row>
    <row r="11" spans="1:23" ht="12" customHeight="1" x14ac:dyDescent="0.25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Expenses!E11+'CapChrg-AllocExp'!E12+'CapChrg-AllocExp'!L12+Expenses!E58</f>
        <v>28234</v>
      </c>
      <c r="E11" s="66">
        <f t="shared" ref="E11:E17" si="0">C11-D11</f>
        <v>39002</v>
      </c>
      <c r="F11" s="42"/>
      <c r="G11" s="41">
        <f>GrossMargin!J12</f>
        <v>177806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177806</v>
      </c>
      <c r="K11" s="42">
        <f>Expenses!D58</f>
        <v>9900</v>
      </c>
      <c r="L11" s="42">
        <f>'CapChrg-AllocExp'!D12</f>
        <v>7803</v>
      </c>
      <c r="M11" s="42">
        <f>Expenses!D11</f>
        <v>6123</v>
      </c>
      <c r="N11" s="43">
        <f>'CapChrg-AllocExp'!K12</f>
        <v>5942</v>
      </c>
      <c r="O11" s="83">
        <f t="shared" ref="O11:O18" si="2">J11-K11-M11-N11-L11</f>
        <v>148038</v>
      </c>
      <c r="P11" s="44"/>
      <c r="Q11" s="41">
        <f>GrossMargin!O12</f>
        <v>110570</v>
      </c>
      <c r="R11" s="42">
        <f>Expenses!F58</f>
        <v>-1111</v>
      </c>
      <c r="S11" s="42">
        <f>'CapChrg-AllocExp'!F12</f>
        <v>988</v>
      </c>
      <c r="T11" s="42">
        <f>Expenses!F11</f>
        <v>-1411</v>
      </c>
      <c r="U11" s="42">
        <f>'CapChrg-AllocExp'!M12</f>
        <v>0</v>
      </c>
      <c r="V11" s="66">
        <f t="shared" ref="V11:V17" si="3">ROUND(SUM(Q11:U11),0)</f>
        <v>109036</v>
      </c>
    </row>
    <row r="12" spans="1:23" ht="12" customHeight="1" x14ac:dyDescent="0.25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34672</v>
      </c>
      <c r="H12" s="42">
        <f>GrossMargin!K13</f>
        <v>0</v>
      </c>
      <c r="I12" s="42">
        <f>GrossMargin!L13</f>
        <v>0</v>
      </c>
      <c r="J12" s="83">
        <f t="shared" si="1"/>
        <v>34672</v>
      </c>
      <c r="K12" s="65"/>
      <c r="L12" s="42">
        <f>'CapChrg-AllocExp'!D13</f>
        <v>0</v>
      </c>
      <c r="M12" s="42">
        <f>Expenses!D12</f>
        <v>774</v>
      </c>
      <c r="N12" s="43">
        <f>'CapChrg-AllocExp'!K13</f>
        <v>952</v>
      </c>
      <c r="O12" s="83">
        <f t="shared" si="2"/>
        <v>32946</v>
      </c>
      <c r="P12" s="44"/>
      <c r="Q12" s="41">
        <f>GrossMargin!O13</f>
        <v>12270</v>
      </c>
      <c r="R12" s="42"/>
      <c r="S12" s="42">
        <f>'CapChrg-AllocExp'!F13</f>
        <v>0</v>
      </c>
      <c r="T12" s="42">
        <f>Expenses!F12</f>
        <v>-119</v>
      </c>
      <c r="U12" s="42">
        <f>'CapChrg-AllocExp'!M13</f>
        <v>0</v>
      </c>
      <c r="V12" s="66">
        <f t="shared" si="3"/>
        <v>12151</v>
      </c>
    </row>
    <row r="13" spans="1:23" ht="12" customHeight="1" x14ac:dyDescent="0.25">
      <c r="A13" s="29" t="s">
        <v>133</v>
      </c>
      <c r="B13" s="38"/>
      <c r="C13" s="41">
        <f>GrossMargin!N14</f>
        <v>8947</v>
      </c>
      <c r="D13" s="42">
        <f>Expenses!E13+'CapChrg-AllocExp'!E14+'CapChrg-AllocExp'!L14</f>
        <v>1807</v>
      </c>
      <c r="E13" s="66">
        <f>C13-D13</f>
        <v>7140</v>
      </c>
      <c r="F13" s="42"/>
      <c r="G13" s="41">
        <f>GrossMargin!J14</f>
        <v>12699</v>
      </c>
      <c r="H13" s="42">
        <f>GrossMargin!K14</f>
        <v>0</v>
      </c>
      <c r="I13" s="42">
        <f>GrossMargin!L14</f>
        <v>0</v>
      </c>
      <c r="J13" s="83">
        <f>SUM(G13:I13)</f>
        <v>12699</v>
      </c>
      <c r="K13" s="65"/>
      <c r="L13" s="42">
        <f>'CapChrg-AllocExp'!D14</f>
        <v>0</v>
      </c>
      <c r="M13" s="42">
        <f>Expenses!D13</f>
        <v>975</v>
      </c>
      <c r="N13" s="43">
        <f>'CapChrg-AllocExp'!K14</f>
        <v>859</v>
      </c>
      <c r="O13" s="83">
        <f>J13-K13-M13-N13-L13</f>
        <v>10865</v>
      </c>
      <c r="P13" s="44"/>
      <c r="Q13" s="41">
        <f>GrossMargin!O14</f>
        <v>3752</v>
      </c>
      <c r="R13" s="42"/>
      <c r="S13" s="42">
        <f>'CapChrg-AllocExp'!F14</f>
        <v>0</v>
      </c>
      <c r="T13" s="42">
        <f>Expenses!F13</f>
        <v>-27</v>
      </c>
      <c r="U13" s="42">
        <f>'CapChrg-AllocExp'!M14</f>
        <v>0</v>
      </c>
      <c r="V13" s="66">
        <f>ROUND(SUM(Q13:U13),0)</f>
        <v>3725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20262</v>
      </c>
      <c r="H14" s="42">
        <f>GrossMargin!K15</f>
        <v>0</v>
      </c>
      <c r="I14" s="42">
        <f>GrossMargin!L15</f>
        <v>0</v>
      </c>
      <c r="J14" s="83">
        <f>SUM(G14:I14)</f>
        <v>20262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17920</v>
      </c>
      <c r="P14" s="44"/>
      <c r="Q14" s="41">
        <f>GrossMargin!O15</f>
        <v>8706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9411</v>
      </c>
    </row>
    <row r="15" spans="1:23" ht="12" customHeight="1" x14ac:dyDescent="0.25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3212</v>
      </c>
      <c r="H15" s="42">
        <f>GrossMargin!K16</f>
        <v>0</v>
      </c>
      <c r="I15" s="42">
        <f>GrossMargin!L16</f>
        <v>0</v>
      </c>
      <c r="J15" s="83">
        <f t="shared" si="1"/>
        <v>3212</v>
      </c>
      <c r="K15" s="65"/>
      <c r="L15" s="42">
        <f>'CapChrg-AllocExp'!D16</f>
        <v>0</v>
      </c>
      <c r="M15" s="42">
        <f>Expenses!D15</f>
        <v>1549</v>
      </c>
      <c r="N15" s="43">
        <f>'CapChrg-AllocExp'!K16</f>
        <v>1127</v>
      </c>
      <c r="O15" s="83">
        <f t="shared" si="2"/>
        <v>536</v>
      </c>
      <c r="P15" s="44"/>
      <c r="Q15" s="41">
        <f>GrossMargin!O16</f>
        <v>-3323</v>
      </c>
      <c r="R15" s="42"/>
      <c r="S15" s="42">
        <f>'CapChrg-AllocExp'!F16</f>
        <v>0</v>
      </c>
      <c r="T15" s="42">
        <f>Expenses!F15</f>
        <v>-325</v>
      </c>
      <c r="U15" s="42">
        <f>'CapChrg-AllocExp'!M16</f>
        <v>-313</v>
      </c>
      <c r="V15" s="66">
        <f t="shared" si="3"/>
        <v>-3961</v>
      </c>
    </row>
    <row r="16" spans="1:23" ht="12" customHeight="1" x14ac:dyDescent="0.25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2621</v>
      </c>
      <c r="H16" s="42">
        <f>GrossMargin!K17</f>
        <v>0</v>
      </c>
      <c r="I16" s="42">
        <f>GrossMargin!L17</f>
        <v>0</v>
      </c>
      <c r="J16" s="83">
        <f t="shared" si="1"/>
        <v>2621</v>
      </c>
      <c r="K16" s="65"/>
      <c r="L16" s="42">
        <f>'CapChrg-AllocExp'!D17</f>
        <v>0</v>
      </c>
      <c r="M16" s="42">
        <f>Expenses!D16</f>
        <v>721</v>
      </c>
      <c r="N16" s="43">
        <f>'CapChrg-AllocExp'!K17</f>
        <v>919</v>
      </c>
      <c r="O16" s="83">
        <f t="shared" si="2"/>
        <v>981</v>
      </c>
      <c r="P16" s="44"/>
      <c r="Q16" s="41">
        <f>GrossMargin!O17</f>
        <v>-594</v>
      </c>
      <c r="R16" s="42"/>
      <c r="S16" s="42">
        <f>'CapChrg-AllocExp'!F17</f>
        <v>0</v>
      </c>
      <c r="T16" s="42">
        <f>Expenses!F16</f>
        <v>171</v>
      </c>
      <c r="U16" s="42">
        <f>'CapChrg-AllocExp'!M17</f>
        <v>-150</v>
      </c>
      <c r="V16" s="66">
        <f t="shared" si="3"/>
        <v>-573</v>
      </c>
    </row>
    <row r="17" spans="1:22" ht="12" customHeight="1" x14ac:dyDescent="0.25">
      <c r="A17" s="29" t="s">
        <v>292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-6460</v>
      </c>
      <c r="H17" s="42">
        <f>GrossMargin!K18</f>
        <v>0</v>
      </c>
      <c r="I17" s="42">
        <f>GrossMargin!L18</f>
        <v>0</v>
      </c>
      <c r="J17" s="83">
        <f t="shared" si="1"/>
        <v>-6460</v>
      </c>
      <c r="K17" s="65"/>
      <c r="L17" s="42">
        <f>'CapChrg-AllocExp'!D18</f>
        <v>0</v>
      </c>
      <c r="M17" s="42">
        <f>Expenses!D17</f>
        <v>52</v>
      </c>
      <c r="N17" s="43">
        <f>'CapChrg-AllocExp'!K18</f>
        <v>234</v>
      </c>
      <c r="O17" s="83">
        <f t="shared" si="2"/>
        <v>-6746</v>
      </c>
      <c r="P17" s="44"/>
      <c r="Q17" s="41">
        <f>GrossMargin!O18</f>
        <v>-7210</v>
      </c>
      <c r="R17" s="42"/>
      <c r="S17" s="42">
        <f>'CapChrg-AllocExp'!F18</f>
        <v>0</v>
      </c>
      <c r="T17" s="42">
        <f>Expenses!F17</f>
        <v>52</v>
      </c>
      <c r="U17" s="42">
        <f>'CapChrg-AllocExp'!M18</f>
        <v>0</v>
      </c>
      <c r="V17" s="66">
        <f t="shared" si="3"/>
        <v>-7158</v>
      </c>
    </row>
    <row r="18" spans="1:22" s="90" customFormat="1" ht="12" customHeight="1" x14ac:dyDescent="0.25">
      <c r="A18" s="94" t="s">
        <v>276</v>
      </c>
      <c r="B18" s="91"/>
      <c r="C18" s="99">
        <f>SUM(C9:C17)</f>
        <v>169708</v>
      </c>
      <c r="D18" s="100">
        <f>SUM(D9:D17)</f>
        <v>56747</v>
      </c>
      <c r="E18" s="101">
        <f>SUM(E9:E17)</f>
        <v>112961</v>
      </c>
      <c r="F18" s="92"/>
      <c r="G18" s="99">
        <f t="shared" ref="G18:N18" si="4">SUM(G9:G17)</f>
        <v>530381</v>
      </c>
      <c r="H18" s="100">
        <f t="shared" si="4"/>
        <v>0</v>
      </c>
      <c r="I18" s="100">
        <f t="shared" si="4"/>
        <v>0</v>
      </c>
      <c r="J18" s="102">
        <f t="shared" si="4"/>
        <v>530381</v>
      </c>
      <c r="K18" s="100">
        <f t="shared" si="4"/>
        <v>9900</v>
      </c>
      <c r="L18" s="100">
        <f t="shared" si="4"/>
        <v>7803</v>
      </c>
      <c r="M18" s="100">
        <f t="shared" si="4"/>
        <v>17184</v>
      </c>
      <c r="N18" s="101">
        <f t="shared" si="4"/>
        <v>25314</v>
      </c>
      <c r="O18" s="102">
        <f t="shared" si="2"/>
        <v>470180</v>
      </c>
      <c r="P18" s="93"/>
      <c r="Q18" s="99">
        <f t="shared" ref="Q18:V18" si="5">SUM(Q9:Q17)</f>
        <v>360673</v>
      </c>
      <c r="R18" s="100">
        <f t="shared" si="5"/>
        <v>-1111</v>
      </c>
      <c r="S18" s="100">
        <f t="shared" si="5"/>
        <v>988</v>
      </c>
      <c r="T18" s="100">
        <f t="shared" si="5"/>
        <v>-2868</v>
      </c>
      <c r="U18" s="100">
        <f t="shared" si="5"/>
        <v>-463</v>
      </c>
      <c r="V18" s="101">
        <f t="shared" si="5"/>
        <v>357219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8570</v>
      </c>
      <c r="E20" s="66">
        <f t="shared" ref="E20:E30" si="6">C20-D20</f>
        <v>11923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30" si="7">SUM(G20:I20)</f>
        <v>0</v>
      </c>
      <c r="K20" s="65"/>
      <c r="L20" s="42">
        <f>'CapChrg-AllocExp'!D21</f>
        <v>0</v>
      </c>
      <c r="M20" s="42">
        <f>Expenses!D20</f>
        <v>8510</v>
      </c>
      <c r="N20" s="43">
        <f>'CapChrg-AllocExp'!K21</f>
        <v>3601</v>
      </c>
      <c r="O20" s="83">
        <f t="shared" ref="O20:O31" si="8">J20-K20-M20-N20-L20</f>
        <v>-12111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-3541</v>
      </c>
      <c r="U20" s="42">
        <f>'CapChrg-AllocExp'!M21</f>
        <v>0</v>
      </c>
      <c r="V20" s="66">
        <f t="shared" ref="V20:V30" si="9">ROUND(SUM(Q20:U20),0)</f>
        <v>-24034</v>
      </c>
    </row>
    <row r="21" spans="1:22" ht="12" customHeight="1" x14ac:dyDescent="0.25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5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4500</v>
      </c>
      <c r="H22" s="42">
        <f>GrossMargin!K24</f>
        <v>0</v>
      </c>
      <c r="I22" s="42">
        <f>GrossMargin!L24</f>
        <v>0</v>
      </c>
      <c r="J22" s="83">
        <f t="shared" si="7"/>
        <v>4500</v>
      </c>
      <c r="K22" s="65"/>
      <c r="L22" s="42">
        <f>'CapChrg-AllocExp'!D23</f>
        <v>109</v>
      </c>
      <c r="M22" s="42">
        <f>Expenses!D22</f>
        <v>4610</v>
      </c>
      <c r="N22" s="43">
        <f>'CapChrg-AllocExp'!K23</f>
        <v>2620</v>
      </c>
      <c r="O22" s="83">
        <f t="shared" si="8"/>
        <v>-2839</v>
      </c>
      <c r="P22" s="44"/>
      <c r="Q22" s="41">
        <f>GrossMargin!O24</f>
        <v>-18361</v>
      </c>
      <c r="R22" s="42"/>
      <c r="S22" s="42">
        <f>'CapChrg-AllocExp'!F23</f>
        <v>977</v>
      </c>
      <c r="T22" s="42">
        <f>Expenses!F22</f>
        <v>750</v>
      </c>
      <c r="U22" s="42">
        <f>'CapChrg-AllocExp'!M23</f>
        <v>-157</v>
      </c>
      <c r="V22" s="66">
        <f t="shared" si="9"/>
        <v>-16791</v>
      </c>
    </row>
    <row r="23" spans="1:22" ht="12" customHeight="1" x14ac:dyDescent="0.25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8485</v>
      </c>
      <c r="E23" s="66">
        <f>C23-D23</f>
        <v>10226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6057</v>
      </c>
      <c r="M23" s="42">
        <f>Expenses!D23</f>
        <v>2124</v>
      </c>
      <c r="N23" s="43">
        <f>'CapChrg-AllocExp'!K24</f>
        <v>897</v>
      </c>
      <c r="O23" s="83">
        <f t="shared" si="8"/>
        <v>7072</v>
      </c>
      <c r="P23" s="44"/>
      <c r="Q23" s="41">
        <f>GrossMargin!O25</f>
        <v>-2561</v>
      </c>
      <c r="R23" s="42"/>
      <c r="S23" s="42">
        <f>'CapChrg-AllocExp'!F24</f>
        <v>237</v>
      </c>
      <c r="T23" s="42">
        <f>Expenses!F23</f>
        <v>-830</v>
      </c>
      <c r="U23" s="42">
        <f>'CapChrg-AllocExp'!M24</f>
        <v>0</v>
      </c>
      <c r="V23" s="66">
        <f>ROUND(SUM(Q23:U23),0)</f>
        <v>-3154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164</v>
      </c>
      <c r="H24" s="42">
        <f>GrossMargin!K26</f>
        <v>0</v>
      </c>
      <c r="I24" s="42">
        <f>GrossMargin!L26</f>
        <v>0</v>
      </c>
      <c r="J24" s="83">
        <f>SUM(G24:I24)</f>
        <v>164</v>
      </c>
      <c r="K24" s="65"/>
      <c r="L24" s="42">
        <f>'CapChrg-AllocExp'!D25</f>
        <v>640</v>
      </c>
      <c r="M24" s="42">
        <f>Expenses!D24</f>
        <v>1549</v>
      </c>
      <c r="N24" s="43">
        <f>'CapChrg-AllocExp'!K25</f>
        <v>1127</v>
      </c>
      <c r="O24" s="83">
        <f t="shared" si="8"/>
        <v>-3152</v>
      </c>
      <c r="P24" s="44"/>
      <c r="Q24" s="41">
        <f>GrossMargin!O26</f>
        <v>-6048</v>
      </c>
      <c r="R24" s="42"/>
      <c r="S24" s="42">
        <f>'CapChrg-AllocExp'!F25</f>
        <v>77</v>
      </c>
      <c r="T24" s="42">
        <f>Expenses!F24</f>
        <v>-325</v>
      </c>
      <c r="U24" s="42">
        <f>'CapChrg-AllocExp'!M25</f>
        <v>-313</v>
      </c>
      <c r="V24" s="66">
        <f>ROUND(SUM(Q24:U24),0)</f>
        <v>-6609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9628</v>
      </c>
      <c r="H25" s="42">
        <f>GrossMargin!K27</f>
        <v>0</v>
      </c>
      <c r="I25" s="42">
        <f>GrossMargin!L27</f>
        <v>0</v>
      </c>
      <c r="J25" s="83">
        <f t="shared" si="7"/>
        <v>9628</v>
      </c>
      <c r="K25" s="65"/>
      <c r="L25" s="42">
        <f>'CapChrg-AllocExp'!D26</f>
        <v>159</v>
      </c>
      <c r="M25" s="42">
        <f>Expenses!D25</f>
        <v>498</v>
      </c>
      <c r="N25" s="43">
        <f>'CapChrg-AllocExp'!K26</f>
        <v>1195</v>
      </c>
      <c r="O25" s="83">
        <f t="shared" si="8"/>
        <v>7776</v>
      </c>
      <c r="P25" s="44"/>
      <c r="Q25" s="41">
        <f>GrossMargin!O27</f>
        <v>-1928</v>
      </c>
      <c r="R25" s="42"/>
      <c r="S25" s="42">
        <f>'CapChrg-AllocExp'!F26</f>
        <v>217</v>
      </c>
      <c r="T25" s="42">
        <f>Expenses!F25</f>
        <v>-169</v>
      </c>
      <c r="U25" s="42">
        <f>'CapChrg-AllocExp'!M26</f>
        <v>0</v>
      </c>
      <c r="V25" s="66">
        <f t="shared" si="9"/>
        <v>-1880</v>
      </c>
    </row>
    <row r="26" spans="1:22" ht="12" customHeight="1" x14ac:dyDescent="0.25">
      <c r="A26" s="29" t="s">
        <v>299</v>
      </c>
      <c r="B26" s="38"/>
      <c r="C26" s="41">
        <f>GrossMargin!N28</f>
        <v>18423</v>
      </c>
      <c r="D26" s="42">
        <f>Expenses!E26+'CapChrg-AllocExp'!E27+'CapChrg-AllocExp'!L27+Expenses!E60</f>
        <v>9886.5</v>
      </c>
      <c r="E26" s="66">
        <f>C26-D26</f>
        <v>8536.5</v>
      </c>
      <c r="F26" s="42"/>
      <c r="G26" s="41">
        <f>GrossMargin!J28</f>
        <v>17773</v>
      </c>
      <c r="H26" s="42">
        <f>GrossMargin!K28</f>
        <v>0</v>
      </c>
      <c r="I26" s="42">
        <f>GrossMargin!L28</f>
        <v>0</v>
      </c>
      <c r="J26" s="83">
        <f>SUM(G26:I26)</f>
        <v>17773</v>
      </c>
      <c r="K26" s="65">
        <f>Expenses!D60</f>
        <v>6741</v>
      </c>
      <c r="L26" s="42">
        <f>'CapChrg-AllocExp'!D27</f>
        <v>1006</v>
      </c>
      <c r="M26" s="42">
        <f>Expenses!D26</f>
        <v>3746</v>
      </c>
      <c r="N26" s="43">
        <f>'CapChrg-AllocExp'!K27</f>
        <v>3481.5</v>
      </c>
      <c r="O26" s="83">
        <f t="shared" si="8"/>
        <v>2798.5</v>
      </c>
      <c r="P26" s="44"/>
      <c r="Q26" s="41">
        <f>GrossMargin!O28</f>
        <v>-650</v>
      </c>
      <c r="R26" s="42">
        <f>Expenses!F60</f>
        <v>-3669</v>
      </c>
      <c r="S26" s="42">
        <f>'CapChrg-AllocExp'!F27</f>
        <v>-539</v>
      </c>
      <c r="T26" s="42">
        <f>Expenses!F26</f>
        <v>-880</v>
      </c>
      <c r="U26" s="42">
        <f>'CapChrg-AllocExp'!M27</f>
        <v>0</v>
      </c>
      <c r="V26" s="66">
        <f>ROUND(SUM(Q26:U26),0)</f>
        <v>-5738</v>
      </c>
    </row>
    <row r="27" spans="1:22" ht="12" customHeight="1" x14ac:dyDescent="0.25">
      <c r="A27" s="29" t="s">
        <v>289</v>
      </c>
      <c r="B27" s="38"/>
      <c r="C27" s="41">
        <f>GrossMargin!N29</f>
        <v>10746</v>
      </c>
      <c r="D27" s="42">
        <f>Expenses!E27+'CapChrg-AllocExp'!E28+'CapChrg-AllocExp'!L28+Expenses!E59</f>
        <v>47106.5</v>
      </c>
      <c r="E27" s="66">
        <f>C27-D27</f>
        <v>-36360.5</v>
      </c>
      <c r="F27" s="42"/>
      <c r="G27" s="41">
        <f>GrossMargin!J29</f>
        <v>14742</v>
      </c>
      <c r="H27" s="42">
        <f>GrossMargin!K29</f>
        <v>0</v>
      </c>
      <c r="I27" s="42">
        <f>GrossMargin!L29</f>
        <v>0</v>
      </c>
      <c r="J27" s="83">
        <f>SUM(G27:I27)</f>
        <v>14742</v>
      </c>
      <c r="K27" s="65">
        <f>Expenses!D59</f>
        <v>34656</v>
      </c>
      <c r="L27" s="42">
        <f>'CapChrg-AllocExp'!D28</f>
        <v>7707</v>
      </c>
      <c r="M27" s="42">
        <f>Expenses!D27</f>
        <v>2275</v>
      </c>
      <c r="N27" s="43">
        <f>'CapChrg-AllocExp'!K28</f>
        <v>3481.5</v>
      </c>
      <c r="O27" s="83">
        <f t="shared" si="8"/>
        <v>-33377.5</v>
      </c>
      <c r="P27" s="44"/>
      <c r="Q27" s="41">
        <f>GrossMargin!O29</f>
        <v>3996</v>
      </c>
      <c r="R27" s="42">
        <f>Expenses!F59</f>
        <v>-730</v>
      </c>
      <c r="S27" s="42">
        <f>'CapChrg-AllocExp'!F28</f>
        <v>-603</v>
      </c>
      <c r="T27" s="42">
        <f>Expenses!F27</f>
        <v>320</v>
      </c>
      <c r="U27" s="42">
        <f>'CapChrg-AllocExp'!M28</f>
        <v>0</v>
      </c>
      <c r="V27" s="66">
        <f>ROUND(SUM(Q27:U27),0)</f>
        <v>2983</v>
      </c>
    </row>
    <row r="28" spans="1:22" ht="12" customHeight="1" x14ac:dyDescent="0.25">
      <c r="A28" s="29" t="s">
        <v>290</v>
      </c>
      <c r="B28" s="38"/>
      <c r="C28" s="41">
        <f>GrossMargin!N30</f>
        <v>1690</v>
      </c>
      <c r="D28" s="42">
        <f>Expenses!E28+'CapChrg-AllocExp'!E29+'CapChrg-AllocExp'!L29</f>
        <v>3590</v>
      </c>
      <c r="E28" s="66">
        <f>C28-D28</f>
        <v>-1900</v>
      </c>
      <c r="F28" s="42"/>
      <c r="G28" s="41">
        <f>GrossMargin!J30</f>
        <v>379</v>
      </c>
      <c r="H28" s="42">
        <f>GrossMargin!K30</f>
        <v>0</v>
      </c>
      <c r="I28" s="42">
        <f>GrossMargin!L30</f>
        <v>0</v>
      </c>
      <c r="J28" s="83">
        <f>SUM(G28:I28)</f>
        <v>379</v>
      </c>
      <c r="K28" s="65"/>
      <c r="L28" s="42">
        <f>'CapChrg-AllocExp'!D29</f>
        <v>3295</v>
      </c>
      <c r="M28" s="42">
        <f>Expenses!D28</f>
        <v>65</v>
      </c>
      <c r="N28" s="43">
        <f>'CapChrg-AllocExp'!K29</f>
        <v>0</v>
      </c>
      <c r="O28" s="83">
        <f t="shared" si="8"/>
        <v>-2981</v>
      </c>
      <c r="P28" s="44"/>
      <c r="Q28" s="41">
        <f>GrossMargin!O30</f>
        <v>-1311</v>
      </c>
      <c r="R28" s="42"/>
      <c r="S28" s="42">
        <f>'CapChrg-AllocExp'!F29</f>
        <v>199</v>
      </c>
      <c r="T28" s="42">
        <f>Expenses!F28</f>
        <v>31</v>
      </c>
      <c r="U28" s="42">
        <f>'CapChrg-AllocExp'!M29</f>
        <v>0</v>
      </c>
      <c r="V28" s="66">
        <f>ROUND(SUM(Q28:U28),0)</f>
        <v>-1081</v>
      </c>
    </row>
    <row r="29" spans="1:22" ht="12" customHeight="1" x14ac:dyDescent="0.25">
      <c r="A29" s="29" t="s">
        <v>156</v>
      </c>
      <c r="B29" s="38"/>
      <c r="C29" s="41">
        <f>GrossMargin!N31</f>
        <v>7712</v>
      </c>
      <c r="D29" s="42">
        <f>Expenses!E29+'CapChrg-AllocExp'!E30+'CapChrg-AllocExp'!L30</f>
        <v>1334</v>
      </c>
      <c r="E29" s="66">
        <f>C29-D29</f>
        <v>6378</v>
      </c>
      <c r="F29" s="42"/>
      <c r="G29" s="41">
        <f>GrossMargin!J31</f>
        <v>671</v>
      </c>
      <c r="H29" s="42">
        <f>GrossMargin!K31</f>
        <v>0</v>
      </c>
      <c r="I29" s="42">
        <f>GrossMargin!L31</f>
        <v>0</v>
      </c>
      <c r="J29" s="83">
        <f>SUM(G29:I29)</f>
        <v>671</v>
      </c>
      <c r="K29" s="65"/>
      <c r="L29" s="42">
        <f>'CapChrg-AllocExp'!D30</f>
        <v>-704</v>
      </c>
      <c r="M29" s="42">
        <f>Expenses!D29</f>
        <v>1064</v>
      </c>
      <c r="N29" s="43">
        <f>'CapChrg-AllocExp'!K30</f>
        <v>418</v>
      </c>
      <c r="O29" s="83">
        <f t="shared" si="8"/>
        <v>-107</v>
      </c>
      <c r="P29" s="44"/>
      <c r="Q29" s="41">
        <f>GrossMargin!O31</f>
        <v>-7041</v>
      </c>
      <c r="R29" s="42"/>
      <c r="S29" s="42">
        <f>'CapChrg-AllocExp'!F30</f>
        <v>704</v>
      </c>
      <c r="T29" s="42">
        <f>Expenses!F29</f>
        <v>234</v>
      </c>
      <c r="U29" s="42">
        <f>'CapChrg-AllocExp'!M30</f>
        <v>-382</v>
      </c>
      <c r="V29" s="66">
        <f>ROUND(SUM(Q29:U29),0)</f>
        <v>-6485</v>
      </c>
    </row>
    <row r="30" spans="1:22" ht="12" customHeight="1" x14ac:dyDescent="0.25">
      <c r="A30" s="29" t="s">
        <v>0</v>
      </c>
      <c r="B30" s="38"/>
      <c r="C30" s="41">
        <f>GrossMargin!N32</f>
        <v>4656</v>
      </c>
      <c r="D30" s="42">
        <f>Expenses!E30+'CapChrg-AllocExp'!E31+'CapChrg-AllocExp'!L31</f>
        <v>2626</v>
      </c>
      <c r="E30" s="66">
        <f t="shared" si="6"/>
        <v>2030</v>
      </c>
      <c r="F30" s="42"/>
      <c r="G30" s="41">
        <f>GrossMargin!J32</f>
        <v>2</v>
      </c>
      <c r="H30" s="42">
        <f>GrossMargin!K32</f>
        <v>0</v>
      </c>
      <c r="I30" s="42">
        <f>GrossMargin!L32</f>
        <v>0</v>
      </c>
      <c r="J30" s="83">
        <f t="shared" si="7"/>
        <v>2</v>
      </c>
      <c r="K30" s="65"/>
      <c r="L30" s="42">
        <f>'CapChrg-AllocExp'!D31</f>
        <v>0</v>
      </c>
      <c r="M30" s="42">
        <f>Expenses!D30</f>
        <v>1616</v>
      </c>
      <c r="N30" s="43">
        <f>'CapChrg-AllocExp'!K31</f>
        <v>621</v>
      </c>
      <c r="O30" s="83">
        <f t="shared" si="8"/>
        <v>-2235</v>
      </c>
      <c r="P30" s="44"/>
      <c r="Q30" s="41">
        <f>GrossMargin!O32</f>
        <v>-4654</v>
      </c>
      <c r="R30" s="42"/>
      <c r="S30" s="42">
        <f>'CapChrg-AllocExp'!F31</f>
        <v>0</v>
      </c>
      <c r="T30" s="42">
        <f>Expenses!F30</f>
        <v>389</v>
      </c>
      <c r="U30" s="42">
        <f>'CapChrg-AllocExp'!M31</f>
        <v>0</v>
      </c>
      <c r="V30" s="66">
        <f t="shared" si="9"/>
        <v>-4265</v>
      </c>
    </row>
    <row r="31" spans="1:22" s="90" customFormat="1" ht="12" customHeight="1" x14ac:dyDescent="0.25">
      <c r="A31" s="94" t="s">
        <v>1</v>
      </c>
      <c r="B31" s="91"/>
      <c r="C31" s="99">
        <f t="shared" ref="C31:N31" si="10">SUM(C20:C30)</f>
        <v>136295</v>
      </c>
      <c r="D31" s="100">
        <f t="shared" si="10"/>
        <v>102428</v>
      </c>
      <c r="E31" s="101">
        <f t="shared" si="10"/>
        <v>33867</v>
      </c>
      <c r="F31" s="92">
        <f t="shared" si="10"/>
        <v>0</v>
      </c>
      <c r="G31" s="99">
        <f t="shared" si="10"/>
        <v>64515</v>
      </c>
      <c r="H31" s="100">
        <f t="shared" si="10"/>
        <v>0</v>
      </c>
      <c r="I31" s="100">
        <f t="shared" si="10"/>
        <v>0</v>
      </c>
      <c r="J31" s="102">
        <f t="shared" si="10"/>
        <v>64515</v>
      </c>
      <c r="K31" s="100">
        <f t="shared" si="10"/>
        <v>41397</v>
      </c>
      <c r="L31" s="100">
        <f t="shared" si="10"/>
        <v>19207</v>
      </c>
      <c r="M31" s="100">
        <f t="shared" si="10"/>
        <v>31272</v>
      </c>
      <c r="N31" s="101">
        <f t="shared" si="10"/>
        <v>19746</v>
      </c>
      <c r="O31" s="102">
        <f t="shared" si="8"/>
        <v>-47107</v>
      </c>
      <c r="P31" s="93"/>
      <c r="Q31" s="99">
        <f t="shared" ref="Q31:V31" si="11">SUM(Q20:Q30)</f>
        <v>-71780</v>
      </c>
      <c r="R31" s="100">
        <f t="shared" si="11"/>
        <v>-4399</v>
      </c>
      <c r="S31" s="100">
        <f t="shared" si="11"/>
        <v>619</v>
      </c>
      <c r="T31" s="100">
        <f t="shared" si="11"/>
        <v>-4562</v>
      </c>
      <c r="U31" s="100">
        <f t="shared" si="11"/>
        <v>-852</v>
      </c>
      <c r="V31" s="101">
        <f t="shared" si="11"/>
        <v>-80974</v>
      </c>
    </row>
    <row r="32" spans="1:22" ht="3" customHeight="1" x14ac:dyDescent="0.25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3" customHeight="1" x14ac:dyDescent="0.25">
      <c r="A33" s="29"/>
      <c r="B33" s="38"/>
      <c r="C33" s="41"/>
      <c r="D33" s="42"/>
      <c r="E33" s="66"/>
      <c r="F33" s="42"/>
      <c r="G33" s="41"/>
      <c r="H33" s="42"/>
      <c r="I33" s="42"/>
      <c r="J33" s="83"/>
      <c r="K33" s="65"/>
      <c r="L33" s="65"/>
      <c r="M33" s="42" t="s">
        <v>268</v>
      </c>
      <c r="N33" s="43">
        <v>5000</v>
      </c>
      <c r="O33" s="83"/>
      <c r="P33" s="44"/>
      <c r="Q33" s="41"/>
      <c r="R33" s="42"/>
      <c r="S33" s="42"/>
      <c r="T33" s="42"/>
      <c r="U33" s="42"/>
      <c r="V33" s="66"/>
    </row>
    <row r="34" spans="1:22" ht="12" customHeight="1" x14ac:dyDescent="0.25">
      <c r="A34" s="29" t="s">
        <v>9</v>
      </c>
      <c r="B34" s="38"/>
      <c r="C34" s="41">
        <f>GrossMargin!N37</f>
        <v>15385</v>
      </c>
      <c r="D34" s="42">
        <f>Expenses!E34+'CapChrg-AllocExp'!E35+'CapChrg-AllocExp'!L35</f>
        <v>3691</v>
      </c>
      <c r="E34" s="66">
        <f>C34-D34</f>
        <v>11694</v>
      </c>
      <c r="F34" s="42"/>
      <c r="G34" s="41">
        <f>GrossMargin!J37</f>
        <v>-29674</v>
      </c>
      <c r="H34" s="42">
        <f>GrossMargin!K37</f>
        <v>0</v>
      </c>
      <c r="I34" s="42">
        <f>GrossMargin!L37</f>
        <v>0</v>
      </c>
      <c r="J34" s="83">
        <f>SUM(G34:I34)</f>
        <v>-29674</v>
      </c>
      <c r="K34" s="65"/>
      <c r="L34" s="42">
        <f>'CapChrg-AllocExp'!D35</f>
        <v>672</v>
      </c>
      <c r="M34" s="42">
        <f>Expenses!D34</f>
        <v>459</v>
      </c>
      <c r="N34" s="43">
        <f>'CapChrg-AllocExp'!K35</f>
        <v>914</v>
      </c>
      <c r="O34" s="83">
        <f>J34-K34-M34-N34-L34</f>
        <v>-31719</v>
      </c>
      <c r="P34" s="44"/>
      <c r="Q34" s="41">
        <f>GrossMargin!O37</f>
        <v>-45059</v>
      </c>
      <c r="R34" s="42"/>
      <c r="S34" s="42">
        <f>'CapChrg-AllocExp'!F35</f>
        <v>1370</v>
      </c>
      <c r="T34" s="42">
        <f>Expenses!F34</f>
        <v>276</v>
      </c>
      <c r="U34" s="42">
        <f>'CapChrg-AllocExp'!M35</f>
        <v>0</v>
      </c>
      <c r="V34" s="66">
        <f>ROUND(SUM(Q34:U34),0)</f>
        <v>-43413</v>
      </c>
    </row>
    <row r="35" spans="1:22" ht="12" customHeight="1" x14ac:dyDescent="0.25">
      <c r="A35" s="29" t="s">
        <v>267</v>
      </c>
      <c r="B35" s="38"/>
      <c r="C35" s="41">
        <f>GrossMargin!N38</f>
        <v>2000</v>
      </c>
      <c r="D35" s="42">
        <f>Expenses!E35+'CapChrg-AllocExp'!E36+'CapChrg-AllocExp'!L36</f>
        <v>7158</v>
      </c>
      <c r="E35" s="66">
        <f>C35-D35</f>
        <v>-5158</v>
      </c>
      <c r="F35" s="42"/>
      <c r="G35" s="41">
        <f>GrossMargin!J38</f>
        <v>3576</v>
      </c>
      <c r="H35" s="42">
        <f>GrossMargin!K38</f>
        <v>0</v>
      </c>
      <c r="I35" s="42">
        <f>GrossMargin!L38</f>
        <v>0</v>
      </c>
      <c r="J35" s="83">
        <f>SUM(G35:I35)</f>
        <v>3576</v>
      </c>
      <c r="K35" s="65"/>
      <c r="L35" s="42">
        <f>'CapChrg-AllocExp'!D36</f>
        <v>2464</v>
      </c>
      <c r="M35" s="42">
        <f>Expenses!D35</f>
        <v>1486</v>
      </c>
      <c r="N35" s="43">
        <f>'CapChrg-AllocExp'!K36</f>
        <v>1614</v>
      </c>
      <c r="O35" s="83">
        <f>J35-K35-M35-N35-L35</f>
        <v>-1988</v>
      </c>
      <c r="P35" s="44"/>
      <c r="Q35" s="41">
        <f>GrossMargin!O38</f>
        <v>1576</v>
      </c>
      <c r="R35" s="42"/>
      <c r="S35" s="42">
        <f>'CapChrg-AllocExp'!F36</f>
        <v>1773</v>
      </c>
      <c r="T35" s="42">
        <f>Expenses!F35</f>
        <v>-179</v>
      </c>
      <c r="U35" s="42">
        <f>'CapChrg-AllocExp'!M36</f>
        <v>0</v>
      </c>
      <c r="V35" s="66">
        <f>ROUND(SUM(Q35:U35),0)</f>
        <v>3170</v>
      </c>
    </row>
    <row r="36" spans="1:22" ht="12" customHeight="1" x14ac:dyDescent="0.25">
      <c r="A36" s="29" t="s">
        <v>154</v>
      </c>
      <c r="B36" s="38"/>
      <c r="C36" s="41">
        <f>GrossMargin!N41</f>
        <v>14705</v>
      </c>
      <c r="D36" s="42">
        <f>Expenses!E38+'CapChrg-AllocExp'!E39+'CapChrg-AllocExp'!L39</f>
        <v>10399</v>
      </c>
      <c r="E36" s="66">
        <f>C36-D36</f>
        <v>4306</v>
      </c>
      <c r="F36" s="42"/>
      <c r="G36" s="41">
        <f>GrossMargin!J41</f>
        <v>-12824</v>
      </c>
      <c r="H36" s="42">
        <f>GrossMargin!K41</f>
        <v>0</v>
      </c>
      <c r="I36" s="42">
        <f>GrossMargin!L41</f>
        <v>0</v>
      </c>
      <c r="J36" s="83">
        <f>SUM(G36:I36)</f>
        <v>-12824</v>
      </c>
      <c r="K36" s="65"/>
      <c r="L36" s="42">
        <f>'CapChrg-AllocExp'!D39</f>
        <v>9088</v>
      </c>
      <c r="M36" s="42">
        <f>Expenses!D38</f>
        <v>512</v>
      </c>
      <c r="N36" s="43">
        <f>'CapChrg-AllocExp'!K39</f>
        <v>1516</v>
      </c>
      <c r="O36" s="83">
        <f>J36-K36-M36-N36-L36</f>
        <v>-23940</v>
      </c>
      <c r="P36" s="44"/>
      <c r="Q36" s="41">
        <f>GrossMargin!O41</f>
        <v>-27529</v>
      </c>
      <c r="R36" s="42"/>
      <c r="S36" s="42">
        <f>'CapChrg-AllocExp'!F39</f>
        <v>-1044</v>
      </c>
      <c r="T36" s="42">
        <f>Expenses!F38</f>
        <v>327</v>
      </c>
      <c r="U36" s="42">
        <f>'CapChrg-AllocExp'!M39</f>
        <v>0</v>
      </c>
      <c r="V36" s="66">
        <f>ROUND(SUM(Q36:U36),0)</f>
        <v>-28246</v>
      </c>
    </row>
    <row r="37" spans="1:22" s="90" customFormat="1" ht="12" customHeight="1" x14ac:dyDescent="0.25">
      <c r="A37" s="94" t="s">
        <v>87</v>
      </c>
      <c r="B37" s="91"/>
      <c r="C37" s="99">
        <f>SUM(C34:C36)</f>
        <v>32090</v>
      </c>
      <c r="D37" s="100">
        <f>SUM(D34:D36)</f>
        <v>21248</v>
      </c>
      <c r="E37" s="101">
        <f>SUM(E34:E36)</f>
        <v>10842</v>
      </c>
      <c r="F37" s="92"/>
      <c r="G37" s="99">
        <f t="shared" ref="G37:N37" si="12">SUM(G34:G36)</f>
        <v>-38922</v>
      </c>
      <c r="H37" s="100">
        <f t="shared" si="12"/>
        <v>0</v>
      </c>
      <c r="I37" s="100">
        <f t="shared" si="12"/>
        <v>0</v>
      </c>
      <c r="J37" s="102">
        <f t="shared" si="12"/>
        <v>-38922</v>
      </c>
      <c r="K37" s="100">
        <f t="shared" si="12"/>
        <v>0</v>
      </c>
      <c r="L37" s="100">
        <f t="shared" si="12"/>
        <v>12224</v>
      </c>
      <c r="M37" s="100">
        <f t="shared" si="12"/>
        <v>2457</v>
      </c>
      <c r="N37" s="101">
        <f t="shared" si="12"/>
        <v>4044</v>
      </c>
      <c r="O37" s="102">
        <f>J37-K37-M37-N37-L37</f>
        <v>-57647</v>
      </c>
      <c r="P37" s="93"/>
      <c r="Q37" s="99">
        <f t="shared" ref="Q37:V37" si="13">SUM(Q34:Q36)</f>
        <v>-71012</v>
      </c>
      <c r="R37" s="100">
        <f t="shared" si="13"/>
        <v>0</v>
      </c>
      <c r="S37" s="100">
        <f t="shared" si="13"/>
        <v>2099</v>
      </c>
      <c r="T37" s="100">
        <f t="shared" si="13"/>
        <v>424</v>
      </c>
      <c r="U37" s="100">
        <f t="shared" si="13"/>
        <v>0</v>
      </c>
      <c r="V37" s="101">
        <f t="shared" si="13"/>
        <v>-68489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8</v>
      </c>
      <c r="B39" s="38"/>
      <c r="C39" s="41">
        <f>GrossMargin!N45</f>
        <v>2500</v>
      </c>
      <c r="D39" s="42">
        <f>Expenses!E41+'CapChrg-AllocExp'!E42+'CapChrg-AllocExp'!L42</f>
        <v>7686</v>
      </c>
      <c r="E39" s="66">
        <f>C39-D39</f>
        <v>-5186</v>
      </c>
      <c r="F39" s="42"/>
      <c r="G39" s="41">
        <f>GrossMargin!J45</f>
        <v>319</v>
      </c>
      <c r="H39" s="42">
        <f>GrossMargin!K45</f>
        <v>0</v>
      </c>
      <c r="I39" s="42">
        <f>GrossMargin!L45</f>
        <v>0</v>
      </c>
      <c r="J39" s="83">
        <f>SUM(G39:I39)</f>
        <v>319</v>
      </c>
      <c r="K39" s="65"/>
      <c r="L39" s="42">
        <f>'CapChrg-AllocExp'!D42</f>
        <v>0</v>
      </c>
      <c r="M39" s="42">
        <f>Expenses!D41</f>
        <v>6128</v>
      </c>
      <c r="N39" s="43">
        <f>'CapChrg-AllocExp'!K42</f>
        <v>3069</v>
      </c>
      <c r="O39" s="83">
        <f>J39-K39-M39-N39-L39</f>
        <v>-8878</v>
      </c>
      <c r="P39" s="44"/>
      <c r="Q39" s="41">
        <f>GrossMargin!O45</f>
        <v>-2181</v>
      </c>
      <c r="R39" s="42"/>
      <c r="S39" s="42">
        <f>'CapChrg-AllocExp'!F42</f>
        <v>0</v>
      </c>
      <c r="T39" s="42">
        <f>Expenses!F41</f>
        <v>-1511</v>
      </c>
      <c r="U39" s="42">
        <f>'CapChrg-AllocExp'!M42</f>
        <v>0</v>
      </c>
      <c r="V39" s="66">
        <f>ROUND(SUM(Q39:U39),0)</f>
        <v>-3692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19</v>
      </c>
      <c r="B41" s="38"/>
      <c r="C41" s="41">
        <f>GrossMargin!N51</f>
        <v>52216</v>
      </c>
      <c r="D41" s="42"/>
      <c r="E41" s="66">
        <f>C41-D41</f>
        <v>52216</v>
      </c>
      <c r="F41" s="42"/>
      <c r="G41" s="41">
        <f>GrossMargin!J51</f>
        <v>0</v>
      </c>
      <c r="H41" s="42"/>
      <c r="I41" s="42">
        <f>GrossMargin!L51</f>
        <v>0</v>
      </c>
      <c r="J41" s="83">
        <f>SUM(G41:I41)</f>
        <v>0</v>
      </c>
      <c r="K41" s="65"/>
      <c r="L41" s="42"/>
      <c r="M41" s="42"/>
      <c r="N41" s="43"/>
      <c r="O41" s="83">
        <f>J41-K41-M41-N41-L41</f>
        <v>0</v>
      </c>
      <c r="P41" s="44"/>
      <c r="Q41" s="41">
        <f>GrossMargin!O51</f>
        <v>-52216</v>
      </c>
      <c r="R41" s="42"/>
      <c r="S41" s="42"/>
      <c r="T41" s="42">
        <v>0</v>
      </c>
      <c r="U41" s="42"/>
      <c r="V41" s="66">
        <f>ROUND(SUM(Q41:U41),0)</f>
        <v>-52216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7</v>
      </c>
      <c r="B43" s="38"/>
      <c r="C43" s="41">
        <f>GrossMargin!N47</f>
        <v>0</v>
      </c>
      <c r="D43" s="42">
        <f>Expenses!E43+'CapChrg-AllocExp'!E44+'CapChrg-AllocExp'!L44</f>
        <v>7099</v>
      </c>
      <c r="E43" s="66">
        <f>C43-D43</f>
        <v>-7099</v>
      </c>
      <c r="F43" s="42"/>
      <c r="G43" s="41">
        <f>GrossMargin!J47</f>
        <v>-18812</v>
      </c>
      <c r="H43" s="42">
        <f>GrossMargin!K47</f>
        <v>0</v>
      </c>
      <c r="I43" s="42">
        <f>GrossMargin!L47</f>
        <v>0</v>
      </c>
      <c r="J43" s="83">
        <f>SUM(G43:I43)</f>
        <v>-18812</v>
      </c>
      <c r="K43" s="65"/>
      <c r="L43" s="42">
        <f>'CapChrg-AllocExp'!D44</f>
        <v>0</v>
      </c>
      <c r="M43" s="42">
        <f>Expenses!D43</f>
        <v>5030</v>
      </c>
      <c r="N43" s="43">
        <f>'CapChrg-AllocExp'!K44</f>
        <v>4286</v>
      </c>
      <c r="O43" s="83">
        <f>J43-K43-M43-N43-L43</f>
        <v>-28128</v>
      </c>
      <c r="P43" s="44"/>
      <c r="Q43" s="41">
        <f>GrossMargin!O47</f>
        <v>-18812</v>
      </c>
      <c r="R43" s="42"/>
      <c r="S43" s="42">
        <f>'CapChrg-AllocExp'!F44</f>
        <v>0</v>
      </c>
      <c r="T43" s="42">
        <f>Expenses!F43</f>
        <v>-2600</v>
      </c>
      <c r="U43" s="42">
        <f>'CapChrg-AllocExp'!M44</f>
        <v>383</v>
      </c>
      <c r="V43" s="66">
        <f>ROUND(SUM(Q43:U43),0)</f>
        <v>-21029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25">
      <c r="A45" s="94" t="s">
        <v>10</v>
      </c>
      <c r="B45" s="91"/>
      <c r="C45" s="99">
        <f>SUM(C37:C43)+C18+C31</f>
        <v>392809</v>
      </c>
      <c r="D45" s="100">
        <f>SUM(D37:D43)+D18+D31</f>
        <v>195208</v>
      </c>
      <c r="E45" s="101">
        <f>SUM(E37:E43)+E18+E31</f>
        <v>197601</v>
      </c>
      <c r="F45" s="92"/>
      <c r="G45" s="99">
        <f t="shared" ref="G45:N45" si="14">SUM(G37:G43)+G18+G31</f>
        <v>537481</v>
      </c>
      <c r="H45" s="100">
        <f t="shared" si="14"/>
        <v>0</v>
      </c>
      <c r="I45" s="100">
        <f t="shared" si="14"/>
        <v>0</v>
      </c>
      <c r="J45" s="102">
        <f t="shared" si="14"/>
        <v>537481</v>
      </c>
      <c r="K45" s="100">
        <f t="shared" si="14"/>
        <v>51297</v>
      </c>
      <c r="L45" s="100">
        <f t="shared" si="14"/>
        <v>39234</v>
      </c>
      <c r="M45" s="100">
        <f t="shared" si="14"/>
        <v>62071</v>
      </c>
      <c r="N45" s="101">
        <f t="shared" si="14"/>
        <v>56459</v>
      </c>
      <c r="O45" s="102">
        <f>J45-K45-M45-N45-L45</f>
        <v>328420</v>
      </c>
      <c r="P45" s="93"/>
      <c r="Q45" s="99">
        <f t="shared" ref="Q45:V45" si="15">SUM(Q37:Q43)+Q18+Q31</f>
        <v>144672</v>
      </c>
      <c r="R45" s="100">
        <f t="shared" si="15"/>
        <v>-5510</v>
      </c>
      <c r="S45" s="100">
        <f t="shared" si="15"/>
        <v>3706</v>
      </c>
      <c r="T45" s="100">
        <f t="shared" si="15"/>
        <v>-11117</v>
      </c>
      <c r="U45" s="100">
        <f t="shared" si="15"/>
        <v>-932</v>
      </c>
      <c r="V45" s="101">
        <f t="shared" si="15"/>
        <v>130819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48</v>
      </c>
      <c r="B47" s="38"/>
      <c r="C47" s="41"/>
      <c r="D47" s="42">
        <f>Expenses!E47</f>
        <v>59297</v>
      </c>
      <c r="E47" s="66">
        <f>C47-D47</f>
        <v>-59297</v>
      </c>
      <c r="F47" s="42"/>
      <c r="G47" s="41"/>
      <c r="H47" s="42"/>
      <c r="I47" s="42"/>
      <c r="J47" s="83"/>
      <c r="K47" s="65"/>
      <c r="L47" s="42"/>
      <c r="M47" s="42">
        <f>Expenses!D47</f>
        <v>90230</v>
      </c>
      <c r="O47" s="83">
        <f>J47-K47-M47-N47-L47</f>
        <v>-90230</v>
      </c>
      <c r="P47" s="44"/>
      <c r="Q47" s="41">
        <v>0</v>
      </c>
      <c r="R47" s="42"/>
      <c r="S47" s="42"/>
      <c r="T47" s="42">
        <f>Expenses!F47</f>
        <v>-30933</v>
      </c>
      <c r="U47" s="42"/>
      <c r="V47" s="66">
        <f>ROUND(SUM(Q47:U47),0)</f>
        <v>-30933</v>
      </c>
    </row>
    <row r="48" spans="1:22" ht="2.25" customHeight="1" x14ac:dyDescent="0.25">
      <c r="A48" s="29"/>
      <c r="B48" s="38"/>
      <c r="C48" s="41"/>
      <c r="D48" s="42"/>
      <c r="E48" s="66">
        <f>C48-D48</f>
        <v>0</v>
      </c>
      <c r="F48" s="42"/>
      <c r="G48" s="41"/>
      <c r="H48" s="42"/>
      <c r="I48" s="42"/>
      <c r="J48" s="83"/>
      <c r="K48" s="65"/>
      <c r="L48" s="42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237</v>
      </c>
      <c r="B49" s="38"/>
      <c r="C49" s="41"/>
      <c r="D49" s="42">
        <f>'CapChrg-AllocExp'!L50</f>
        <v>-42184</v>
      </c>
      <c r="E49" s="66">
        <f>C49-D49</f>
        <v>42184</v>
      </c>
      <c r="F49" s="42"/>
      <c r="G49" s="41"/>
      <c r="H49" s="42"/>
      <c r="I49" s="42"/>
      <c r="J49" s="83"/>
      <c r="K49" s="65"/>
      <c r="L49" s="42"/>
      <c r="M49" s="42"/>
      <c r="N49" s="43">
        <f>'CapChrg-AllocExp'!K50</f>
        <v>-43116</v>
      </c>
      <c r="O49" s="83">
        <f>J49-K49-M49-N49-L49</f>
        <v>43116</v>
      </c>
      <c r="P49" s="44"/>
      <c r="Q49" s="41"/>
      <c r="R49" s="42"/>
      <c r="S49" s="42"/>
      <c r="T49" s="42"/>
      <c r="U49" s="42">
        <f>'CapChrg-AllocExp'!M50</f>
        <v>932</v>
      </c>
      <c r="V49" s="66">
        <f>ROUND(SUM(Q49:U49),0)</f>
        <v>932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274</v>
      </c>
      <c r="B51" s="38"/>
      <c r="C51" s="41"/>
      <c r="D51" s="42">
        <f>Expenses!E49</f>
        <v>13698</v>
      </c>
      <c r="E51" s="66">
        <f>C51-D51</f>
        <v>-13698</v>
      </c>
      <c r="F51" s="42"/>
      <c r="G51" s="41"/>
      <c r="H51" s="42"/>
      <c r="I51" s="42"/>
      <c r="J51" s="83"/>
      <c r="K51" s="65"/>
      <c r="L51" s="65"/>
      <c r="M51" s="42">
        <f>Expenses!D49</f>
        <v>13698</v>
      </c>
      <c r="N51" s="43"/>
      <c r="O51" s="83">
        <f>J51-K51-M51-N51-L51</f>
        <v>-13698</v>
      </c>
      <c r="P51" s="44"/>
      <c r="Q51" s="41"/>
      <c r="R51" s="42"/>
      <c r="S51" s="42"/>
      <c r="T51" s="42">
        <f>Expenses!F49</f>
        <v>0</v>
      </c>
      <c r="U51" s="42"/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277</v>
      </c>
      <c r="B53" s="38"/>
      <c r="C53" s="41"/>
      <c r="D53" s="42">
        <f>'CapChrg-AllocExp'!L52</f>
        <v>-13343</v>
      </c>
      <c r="E53" s="66">
        <f>C53-D53</f>
        <v>13343</v>
      </c>
      <c r="F53" s="42"/>
      <c r="G53" s="41"/>
      <c r="H53" s="42"/>
      <c r="I53" s="42"/>
      <c r="J53" s="83"/>
      <c r="K53" s="65"/>
      <c r="L53" s="65"/>
      <c r="M53" s="42"/>
      <c r="N53" s="43">
        <f>'CapChrg-AllocExp'!K52</f>
        <v>-13343</v>
      </c>
      <c r="O53" s="83">
        <f>J53-K53-M53-N53-L53</f>
        <v>13343</v>
      </c>
      <c r="P53" s="44"/>
      <c r="Q53" s="41"/>
      <c r="R53" s="42"/>
      <c r="S53" s="42"/>
      <c r="T53" s="42"/>
      <c r="U53" s="42">
        <f>'CapChrg-AllocExp'!M52</f>
        <v>0</v>
      </c>
      <c r="V53" s="66">
        <f>ROUND(SUM(Q53:U53),0)</f>
        <v>0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18</v>
      </c>
      <c r="B55" s="38"/>
      <c r="C55" s="41">
        <f>GrossMargin!N49</f>
        <v>-10795</v>
      </c>
      <c r="D55" s="42">
        <f>Expenses!E51</f>
        <v>26684</v>
      </c>
      <c r="E55" s="66">
        <f>C55-D55</f>
        <v>-37479</v>
      </c>
      <c r="F55" s="65"/>
      <c r="G55" s="41">
        <f>GrossMargin!J49</f>
        <v>-19178</v>
      </c>
      <c r="H55" s="42">
        <f>GrossMargin!K49</f>
        <v>0</v>
      </c>
      <c r="I55" s="42">
        <f>GrossMargin!L49</f>
        <v>0</v>
      </c>
      <c r="J55" s="83">
        <f>SUM(G55:I55)</f>
        <v>-19178</v>
      </c>
      <c r="K55" s="65"/>
      <c r="L55" s="42"/>
      <c r="M55" s="42">
        <f>Expenses!D51</f>
        <v>22625</v>
      </c>
      <c r="N55" s="43"/>
      <c r="O55" s="83">
        <f>J55-K55-M55-N55-L55</f>
        <v>-41803</v>
      </c>
      <c r="P55" s="44"/>
      <c r="Q55" s="41">
        <f>GrossMargin!O49</f>
        <v>-8383</v>
      </c>
      <c r="R55" s="42"/>
      <c r="S55" s="42"/>
      <c r="T55" s="42">
        <f>Expenses!F51</f>
        <v>4059</v>
      </c>
      <c r="U55" s="42"/>
      <c r="V55" s="66">
        <f>ROUND(SUM(Q55:U55),0)</f>
        <v>-4324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60</v>
      </c>
      <c r="B57" s="38"/>
      <c r="C57" s="41"/>
      <c r="D57" s="42">
        <f>'CapChrg-AllocExp'!E46</f>
        <v>-42940</v>
      </c>
      <c r="E57" s="66">
        <f>C57-D57</f>
        <v>42940</v>
      </c>
      <c r="F57" s="42"/>
      <c r="G57" s="41"/>
      <c r="H57" s="42"/>
      <c r="I57" s="42"/>
      <c r="J57" s="83">
        <f>SUM(G57:I57)</f>
        <v>0</v>
      </c>
      <c r="K57" s="65"/>
      <c r="L57" s="42">
        <f>'CapChrg-AllocExp'!D46</f>
        <v>-39234</v>
      </c>
      <c r="M57" s="42"/>
      <c r="N57" s="43"/>
      <c r="O57" s="83">
        <f>J57-K57-M57-N57-L57</f>
        <v>39234</v>
      </c>
      <c r="P57" s="44"/>
      <c r="Q57" s="41"/>
      <c r="R57" s="42"/>
      <c r="S57" s="42">
        <f>'CapChrg-AllocExp'!F46</f>
        <v>-3706</v>
      </c>
      <c r="T57" s="42"/>
      <c r="U57" s="42"/>
      <c r="V57" s="66">
        <f>ROUND(SUM(Q57:U57),0)</f>
        <v>-3706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>
        <f>ROUND(SUM(Q58:U58),0)</f>
        <v>0</v>
      </c>
    </row>
    <row r="59" spans="1:22" s="90" customFormat="1" ht="12" customHeight="1" x14ac:dyDescent="0.25">
      <c r="A59" s="94" t="s">
        <v>65</v>
      </c>
      <c r="B59" s="91"/>
      <c r="C59" s="99">
        <f>SUM(C45:C58)</f>
        <v>382014</v>
      </c>
      <c r="D59" s="100">
        <f>SUM(D45:D58)</f>
        <v>196420</v>
      </c>
      <c r="E59" s="101">
        <f>SUM(E45:E58)</f>
        <v>185594</v>
      </c>
      <c r="F59" s="92"/>
      <c r="G59" s="99">
        <f t="shared" ref="G59:N59" si="16">SUM(G45:G58)</f>
        <v>518303</v>
      </c>
      <c r="H59" s="100">
        <f t="shared" si="16"/>
        <v>0</v>
      </c>
      <c r="I59" s="100">
        <f t="shared" si="16"/>
        <v>0</v>
      </c>
      <c r="J59" s="102">
        <f t="shared" si="16"/>
        <v>518303</v>
      </c>
      <c r="K59" s="100">
        <f t="shared" si="16"/>
        <v>51297</v>
      </c>
      <c r="L59" s="100">
        <f t="shared" si="16"/>
        <v>0</v>
      </c>
      <c r="M59" s="100">
        <f t="shared" si="16"/>
        <v>188624</v>
      </c>
      <c r="N59" s="101">
        <f t="shared" si="16"/>
        <v>0</v>
      </c>
      <c r="O59" s="102">
        <f>J59-K59-M59-N59-L59</f>
        <v>278382</v>
      </c>
      <c r="P59" s="93"/>
      <c r="Q59" s="99">
        <f t="shared" ref="Q59:V59" si="17">SUM(Q45:Q58)</f>
        <v>136289</v>
      </c>
      <c r="R59" s="100">
        <f t="shared" si="17"/>
        <v>-5510</v>
      </c>
      <c r="S59" s="100">
        <f t="shared" si="17"/>
        <v>0</v>
      </c>
      <c r="T59" s="100">
        <f t="shared" si="17"/>
        <v>-37991</v>
      </c>
      <c r="U59" s="100">
        <f t="shared" si="17"/>
        <v>0</v>
      </c>
      <c r="V59" s="101">
        <f t="shared" si="17"/>
        <v>92788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 t="s">
        <v>269</v>
      </c>
      <c r="H60" s="42"/>
      <c r="I60" s="42"/>
      <c r="J60" s="83"/>
      <c r="K60" s="65"/>
      <c r="L60" s="65"/>
      <c r="M60" s="42" t="s">
        <v>286</v>
      </c>
      <c r="N60" s="43"/>
      <c r="O60" s="83"/>
      <c r="P60" s="44"/>
      <c r="Q60" s="41"/>
      <c r="R60" s="42"/>
      <c r="S60" s="42"/>
      <c r="T60" s="42"/>
      <c r="U60" s="42"/>
      <c r="V60" s="66"/>
    </row>
    <row r="61" spans="1:22" ht="12" customHeight="1" x14ac:dyDescent="0.25">
      <c r="A61" s="29" t="s">
        <v>150</v>
      </c>
      <c r="B61" s="38"/>
      <c r="C61" s="41"/>
      <c r="D61" s="42">
        <v>8600</v>
      </c>
      <c r="E61" s="66">
        <f>C61-D61</f>
        <v>-8600</v>
      </c>
      <c r="F61" s="42"/>
      <c r="G61" s="41"/>
      <c r="H61" s="42"/>
      <c r="I61" s="42"/>
      <c r="J61" s="83"/>
      <c r="K61" s="65"/>
      <c r="L61" s="65"/>
      <c r="M61" s="42">
        <v>14700</v>
      </c>
      <c r="N61" s="43"/>
      <c r="O61" s="83">
        <f>J61-K61-M61-N61-L61</f>
        <v>-14700</v>
      </c>
      <c r="P61" s="44"/>
      <c r="Q61" s="41"/>
      <c r="R61" s="42"/>
      <c r="S61" s="42"/>
      <c r="T61" s="42">
        <f>D61-M61</f>
        <v>-6100</v>
      </c>
      <c r="U61" s="42"/>
      <c r="V61" s="66">
        <f>ROUND(SUM(Q61:U61),0)</f>
        <v>-6100</v>
      </c>
    </row>
    <row r="62" spans="1:22" ht="3" customHeight="1" x14ac:dyDescent="0.25">
      <c r="A62" s="29"/>
      <c r="B62" s="38"/>
      <c r="C62" s="41"/>
      <c r="D62" s="42"/>
      <c r="E62" s="66"/>
      <c r="F62" s="42"/>
      <c r="G62" s="41"/>
      <c r="H62" s="42"/>
      <c r="I62" s="42"/>
      <c r="J62" s="83"/>
      <c r="K62" s="65"/>
      <c r="L62" s="65"/>
      <c r="M62" s="42"/>
      <c r="N62" s="43"/>
      <c r="O62" s="83"/>
      <c r="P62" s="44"/>
      <c r="Q62" s="41"/>
      <c r="R62" s="42"/>
      <c r="S62" s="42"/>
      <c r="T62" s="42"/>
      <c r="U62" s="42"/>
      <c r="V62" s="66"/>
    </row>
    <row r="63" spans="1:22" s="90" customFormat="1" ht="12" customHeight="1" x14ac:dyDescent="0.25">
      <c r="A63" s="94" t="s">
        <v>66</v>
      </c>
      <c r="B63" s="91"/>
      <c r="C63" s="95">
        <f>SUM(C59:C61)</f>
        <v>382014</v>
      </c>
      <c r="D63" s="96">
        <f>SUM(D59:D61)</f>
        <v>205020</v>
      </c>
      <c r="E63" s="97">
        <f>SUM(E59:E61)</f>
        <v>176994</v>
      </c>
      <c r="F63" s="92"/>
      <c r="G63" s="95">
        <f t="shared" ref="G63:V63" si="18">SUM(G59:G61)</f>
        <v>518303</v>
      </c>
      <c r="H63" s="96">
        <f t="shared" si="18"/>
        <v>0</v>
      </c>
      <c r="I63" s="96">
        <f t="shared" si="18"/>
        <v>0</v>
      </c>
      <c r="J63" s="98">
        <f t="shared" si="18"/>
        <v>518303</v>
      </c>
      <c r="K63" s="96">
        <f t="shared" si="18"/>
        <v>51297</v>
      </c>
      <c r="L63" s="96">
        <f t="shared" si="18"/>
        <v>0</v>
      </c>
      <c r="M63" s="96">
        <f t="shared" si="18"/>
        <v>203324</v>
      </c>
      <c r="N63" s="97">
        <f t="shared" si="18"/>
        <v>0</v>
      </c>
      <c r="O63" s="98">
        <f>J63-K63-M63-N63-L63</f>
        <v>263682</v>
      </c>
      <c r="P63" s="93"/>
      <c r="Q63" s="95">
        <f t="shared" si="18"/>
        <v>136289</v>
      </c>
      <c r="R63" s="96">
        <f t="shared" si="18"/>
        <v>-5510</v>
      </c>
      <c r="S63" s="96">
        <f t="shared" si="18"/>
        <v>0</v>
      </c>
      <c r="T63" s="96">
        <f t="shared" si="18"/>
        <v>-44091</v>
      </c>
      <c r="U63" s="96">
        <f t="shared" si="18"/>
        <v>0</v>
      </c>
      <c r="V63" s="97">
        <f t="shared" si="18"/>
        <v>86688</v>
      </c>
    </row>
    <row r="64" spans="1:22" s="38" customFormat="1" ht="3" customHeight="1" x14ac:dyDescent="0.25">
      <c r="A64" s="48"/>
      <c r="B64" s="36"/>
      <c r="C64" s="49"/>
      <c r="D64" s="50"/>
      <c r="E64" s="51"/>
      <c r="F64" s="42"/>
      <c r="G64" s="52"/>
      <c r="H64" s="53"/>
      <c r="I64" s="53"/>
      <c r="J64" s="48"/>
      <c r="K64" s="53"/>
      <c r="L64" s="53"/>
      <c r="M64" s="53"/>
      <c r="N64" s="54"/>
      <c r="O64" s="48"/>
      <c r="Q64" s="52"/>
      <c r="R64" s="53"/>
      <c r="S64" s="53"/>
      <c r="T64" s="53"/>
      <c r="U64" s="53"/>
      <c r="V64" s="54"/>
    </row>
    <row r="65" spans="1:7" ht="13.5" x14ac:dyDescent="0.25">
      <c r="A65" s="184"/>
      <c r="C65" s="185"/>
      <c r="D65" s="44"/>
      <c r="E65" s="184" t="s">
        <v>136</v>
      </c>
      <c r="F65" s="44"/>
      <c r="G65" s="190">
        <f>'GM-WklyChnge'!D52</f>
        <v>-7035</v>
      </c>
    </row>
    <row r="66" spans="1:7" ht="6" customHeight="1" x14ac:dyDescent="0.25">
      <c r="C66" s="44"/>
      <c r="D66" s="44"/>
      <c r="E66" s="44"/>
      <c r="F66" s="44"/>
    </row>
    <row r="67" spans="1:7" x14ac:dyDescent="0.25">
      <c r="A67" s="176" t="s">
        <v>149</v>
      </c>
      <c r="C67" s="44"/>
      <c r="D67" s="44"/>
      <c r="E67" s="44"/>
      <c r="F67" s="44"/>
    </row>
    <row r="68" spans="1:7" x14ac:dyDescent="0.25">
      <c r="C68" s="44"/>
      <c r="D68" s="44"/>
      <c r="E68" s="44"/>
      <c r="F68" s="44"/>
    </row>
    <row r="69" spans="1:7" x14ac:dyDescent="0.25">
      <c r="C69" s="44"/>
      <c r="D69" s="44"/>
      <c r="E69" s="44"/>
      <c r="F69" s="44"/>
    </row>
    <row r="70" spans="1:7" x14ac:dyDescent="0.25">
      <c r="C70" s="44"/>
      <c r="D70" s="44"/>
      <c r="E70" s="44"/>
      <c r="F70" s="44"/>
    </row>
    <row r="71" spans="1:7" x14ac:dyDescent="0.25">
      <c r="C71" s="44"/>
      <c r="D71" s="44"/>
      <c r="E71" s="44"/>
      <c r="F71" s="44"/>
    </row>
    <row r="72" spans="1:7" x14ac:dyDescent="0.25">
      <c r="C72" s="44"/>
      <c r="D72" s="44"/>
      <c r="E72" s="44"/>
      <c r="F72" s="44"/>
    </row>
    <row r="73" spans="1:7" x14ac:dyDescent="0.25">
      <c r="C73" s="44"/>
      <c r="D73" s="44"/>
      <c r="E73" s="44"/>
      <c r="F73" s="44"/>
    </row>
    <row r="74" spans="1:7" x14ac:dyDescent="0.25">
      <c r="C74" s="44"/>
      <c r="D74" s="44"/>
      <c r="E74" s="44"/>
      <c r="F74" s="44"/>
    </row>
    <row r="75" spans="1:7" x14ac:dyDescent="0.25">
      <c r="C75" s="44"/>
      <c r="D75" s="44"/>
      <c r="E75" s="44"/>
    </row>
    <row r="76" spans="1:7" x14ac:dyDescent="0.25">
      <c r="C76" s="44"/>
      <c r="D76" s="44"/>
      <c r="E76" s="44"/>
    </row>
    <row r="77" spans="1:7" x14ac:dyDescent="0.25">
      <c r="C77" s="44"/>
      <c r="D77" s="44"/>
      <c r="E77" s="44"/>
    </row>
    <row r="78" spans="1:7" x14ac:dyDescent="0.25">
      <c r="C78" s="44"/>
      <c r="D78" s="44"/>
      <c r="E78" s="44"/>
    </row>
    <row r="79" spans="1:7" x14ac:dyDescent="0.25">
      <c r="C79" s="44"/>
      <c r="D79" s="44"/>
      <c r="E79" s="44"/>
    </row>
    <row r="80" spans="1:7" x14ac:dyDescent="0.25">
      <c r="C80" s="44"/>
      <c r="D80" s="44"/>
      <c r="E80" s="44"/>
    </row>
    <row r="81" spans="1:6" hidden="1" x14ac:dyDescent="0.25">
      <c r="C81" s="44"/>
      <c r="D81" s="44"/>
      <c r="E81" s="44"/>
      <c r="F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A86" s="44"/>
    </row>
    <row r="87" spans="1:6" hidden="1" x14ac:dyDescent="0.25">
      <c r="A87" s="44"/>
    </row>
    <row r="88" spans="1:6" hidden="1" x14ac:dyDescent="0.25">
      <c r="C88" s="44"/>
      <c r="D88" s="44"/>
      <c r="E88" s="44"/>
      <c r="F88" s="44"/>
    </row>
    <row r="89" spans="1:6" hidden="1" x14ac:dyDescent="0.25">
      <c r="C89" s="44"/>
      <c r="D89" s="44"/>
      <c r="E89" s="44"/>
      <c r="F89" s="44"/>
    </row>
    <row r="90" spans="1:6" hidden="1" x14ac:dyDescent="0.25"/>
    <row r="91" spans="1:6" hidden="1" x14ac:dyDescent="0.25"/>
    <row r="92" spans="1:6" hidden="1" x14ac:dyDescent="0.25"/>
    <row r="93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3301.0277986743076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5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528.66443079317685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5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5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544.83207227617459</v>
      </c>
    </row>
    <row r="31" spans="1:35" ht="12" customHeight="1" x14ac:dyDescent="0.25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5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5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24275.636993527238</v>
      </c>
      <c r="E47" s="66">
        <f>C47-D47</f>
        <v>-24275.636993527238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>
        <f>SUM(C45:C53)</f>
        <v>708017.94050000003</v>
      </c>
      <c r="D55" s="140">
        <f>SUM(D45:D53)</f>
        <v>381864.57764037582</v>
      </c>
      <c r="E55" s="142">
        <f>SUM(E45:E53)</f>
        <v>326153.36285962409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708017.94050000003</v>
      </c>
      <c r="D59" s="96">
        <f>SUM(D55:D57)</f>
        <v>402464.57764037582</v>
      </c>
      <c r="E59" s="97">
        <f>SUM(E55:E57)</f>
        <v>305553.36285962409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5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-4543</v>
      </c>
      <c r="E22" s="42">
        <f>ROUND(_xll.HPVAL($A22,E$1,$A$2,F$1,$A$3,$A$4)/1000,0)</f>
        <v>5263</v>
      </c>
      <c r="F22" s="66">
        <f t="shared" ref="F22:F27" si="7">ROUND(D22-E22,0)</f>
        <v>-9806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31808</v>
      </c>
      <c r="U22" s="42">
        <f t="shared" ref="U22:U27" si="12">E22+I22+M22+Q22</f>
        <v>41614</v>
      </c>
      <c r="V22" s="66">
        <f t="shared" ref="V22:V27" si="13">ROUND(T22-U22,0)</f>
        <v>-9806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5">
      <c r="A28" s="27"/>
      <c r="B28" s="75" t="s">
        <v>1</v>
      </c>
      <c r="C28" s="38"/>
      <c r="D28" s="139">
        <f>SUM(D22:D27)</f>
        <v>-6502</v>
      </c>
      <c r="E28" s="140">
        <f>SUM(E22:E27)</f>
        <v>17979</v>
      </c>
      <c r="F28" s="142">
        <f>SUM(F22:F27)</f>
        <v>-24481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131845</v>
      </c>
      <c r="U28" s="140">
        <f>SUM(U22:U27)</f>
        <v>156326</v>
      </c>
      <c r="V28" s="142">
        <f>SUM(V22:V27)</f>
        <v>-24481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-109</v>
      </c>
      <c r="E31" s="42">
        <f>ROUND(_xll.HPVAL($A31,E$1,$A$2,F$1,$A$3,$A$4)/1000,0)</f>
        <v>10524</v>
      </c>
      <c r="F31" s="66">
        <f>ROUND(D31-E31,0)</f>
        <v>-10633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30521</v>
      </c>
      <c r="U31" s="42">
        <f t="shared" si="14"/>
        <v>41154</v>
      </c>
      <c r="V31" s="66">
        <f>ROUND(T31-U31,0)</f>
        <v>-10633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5">
      <c r="B34" s="75" t="s">
        <v>86</v>
      </c>
      <c r="C34" s="38"/>
      <c r="D34" s="139">
        <f>SUM(D30:D33)</f>
        <v>-10649</v>
      </c>
      <c r="E34" s="140">
        <f>SUM(E30:E33)</f>
        <v>-31661</v>
      </c>
      <c r="F34" s="142">
        <f>SUM(F30:F33)</f>
        <v>21012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-45608</v>
      </c>
      <c r="U34" s="140">
        <f>SUM(U30:U33)</f>
        <v>-66620</v>
      </c>
      <c r="V34" s="142">
        <f>SUM(V30:V33)</f>
        <v>21012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5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1"/>
  <sheetViews>
    <sheetView workbookViewId="0">
      <selection activeCell="E53" sqref="E53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-24459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-24459</v>
      </c>
      <c r="I9" s="59"/>
      <c r="J9" s="60">
        <f>GrossMargin!K10-[2]GrossMargin!K10</f>
        <v>0</v>
      </c>
      <c r="K9" s="84">
        <f>SUM(H9:J9)</f>
        <v>-24459</v>
      </c>
    </row>
    <row r="10" spans="1:17" ht="12" customHeight="1" x14ac:dyDescent="0.25">
      <c r="A10" s="29" t="s">
        <v>272</v>
      </c>
      <c r="C10" s="41">
        <f>GrossMargin!D11-[2]GrossMargin!D11</f>
        <v>-1285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-1285</v>
      </c>
      <c r="I10" s="41"/>
      <c r="J10" s="42">
        <f>GrossMargin!K11-[2]GrossMargin!K11</f>
        <v>0</v>
      </c>
      <c r="K10" s="66">
        <f>SUM(H10:J10)</f>
        <v>-1285</v>
      </c>
    </row>
    <row r="11" spans="1:17" ht="12" customHeight="1" x14ac:dyDescent="0.25">
      <c r="A11" s="29" t="s">
        <v>106</v>
      </c>
      <c r="C11" s="41">
        <f>GrossMargin!D12-[2]GrossMargin!D12</f>
        <v>7818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GrossMargin!H12-[2]GrossMargin!H12</f>
        <v>0</v>
      </c>
      <c r="G11" s="42">
        <f>GrossMargin!H12-[2]GrossMargin!H12</f>
        <v>0</v>
      </c>
      <c r="H11" s="64">
        <f t="shared" ref="H11:H17" si="0">SUM(C11:G11)</f>
        <v>7818</v>
      </c>
      <c r="I11" s="41"/>
      <c r="J11" s="42">
        <f>GrossMargin!K12-[2]GrossMargin!K12</f>
        <v>0</v>
      </c>
      <c r="K11" s="66">
        <f t="shared" ref="K11:K17" si="1">SUM(H11:J11)</f>
        <v>7818</v>
      </c>
    </row>
    <row r="12" spans="1:17" ht="12" customHeight="1" x14ac:dyDescent="0.25">
      <c r="A12" s="29" t="s">
        <v>132</v>
      </c>
      <c r="C12" s="41">
        <f>GrossMargin!D13-[2]GrossMargin!D13</f>
        <v>3918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3918</v>
      </c>
      <c r="I12" s="41"/>
      <c r="J12" s="42">
        <f>GrossMargin!K13-[2]GrossMargin!K13</f>
        <v>0</v>
      </c>
      <c r="K12" s="66">
        <f t="shared" si="1"/>
        <v>3918</v>
      </c>
    </row>
    <row r="13" spans="1:17" ht="12" customHeight="1" x14ac:dyDescent="0.25">
      <c r="A13" s="29" t="s">
        <v>133</v>
      </c>
      <c r="C13" s="41">
        <f>GrossMargin!D14-[2]GrossMargin!D14</f>
        <v>406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406</v>
      </c>
      <c r="I13" s="41"/>
      <c r="J13" s="42">
        <f>GrossMargin!K14-[2]GrossMargin!K14</f>
        <v>0</v>
      </c>
      <c r="K13" s="66">
        <f t="shared" si="1"/>
        <v>406</v>
      </c>
    </row>
    <row r="14" spans="1:17" ht="12" customHeight="1" x14ac:dyDescent="0.25">
      <c r="A14" s="29" t="s">
        <v>251</v>
      </c>
      <c r="C14" s="41">
        <f>GrossMargin!D15-[2]GrossMargin!D15</f>
        <v>1206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1206</v>
      </c>
      <c r="I14" s="41"/>
      <c r="J14" s="42">
        <f>GrossMargin!K15-[2]GrossMargin!K15</f>
        <v>0</v>
      </c>
      <c r="K14" s="66">
        <f t="shared" si="1"/>
        <v>1206</v>
      </c>
    </row>
    <row r="15" spans="1:17" ht="12" customHeight="1" x14ac:dyDescent="0.25">
      <c r="A15" s="29" t="s">
        <v>275</v>
      </c>
      <c r="C15" s="41">
        <f>GrossMargin!D16-[2]GrossMargin!D16</f>
        <v>2017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2017</v>
      </c>
      <c r="I15" s="41"/>
      <c r="J15" s="42">
        <f>GrossMargin!K16-[2]GrossMargin!K16</f>
        <v>0</v>
      </c>
      <c r="K15" s="66">
        <f t="shared" si="1"/>
        <v>2017</v>
      </c>
    </row>
    <row r="16" spans="1:17" ht="12" customHeight="1" x14ac:dyDescent="0.25">
      <c r="A16" s="29" t="s">
        <v>155</v>
      </c>
      <c r="C16" s="41">
        <f>GrossMargin!D17-[2]GrossMargin!D17</f>
        <v>-92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-92</v>
      </c>
      <c r="I16" s="41"/>
      <c r="J16" s="42">
        <f>GrossMargin!K17-[2]GrossMargin!K17</f>
        <v>0</v>
      </c>
      <c r="K16" s="66">
        <f t="shared" si="1"/>
        <v>-92</v>
      </c>
    </row>
    <row r="17" spans="1:11" ht="12" customHeight="1" x14ac:dyDescent="0.25">
      <c r="A17" s="29" t="s">
        <v>292</v>
      </c>
      <c r="C17" s="41">
        <f>GrossMargin!D18-[2]GrossMargin!D18</f>
        <v>-3937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GrossMargin!H18-[2]GrossMargin!H18</f>
        <v>0</v>
      </c>
      <c r="G17" s="42">
        <f>GrossMargin!H18-[2]GrossMargin!H18</f>
        <v>0</v>
      </c>
      <c r="H17" s="64">
        <f t="shared" si="0"/>
        <v>-3937</v>
      </c>
      <c r="I17" s="41"/>
      <c r="J17" s="42">
        <f>GrossMargin!K18-[2]GrossMargin!K18</f>
        <v>0</v>
      </c>
      <c r="K17" s="66">
        <f t="shared" si="1"/>
        <v>-3937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-14408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-14408</v>
      </c>
      <c r="I19" s="99"/>
      <c r="J19" s="100">
        <f>SUM(J9:J17)</f>
        <v>0</v>
      </c>
      <c r="K19" s="101">
        <f>SUM(K9:K17)</f>
        <v>-14408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31" si="3">SUM(C21:G21)</f>
        <v>0</v>
      </c>
      <c r="I21" s="41"/>
      <c r="J21" s="42">
        <f>GrossMargin!K22-[2]GrossMargin!K22</f>
        <v>0</v>
      </c>
      <c r="K21" s="66">
        <f t="shared" ref="K21:K31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1211</v>
      </c>
      <c r="D23" s="42">
        <f>GrossMargin!E24-[2]GrossMargin!E24</f>
        <v>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1249</v>
      </c>
      <c r="I23" s="41"/>
      <c r="J23" s="42">
        <f>GrossMargin!K24-[2]GrossMargin!K24</f>
        <v>0</v>
      </c>
      <c r="K23" s="66">
        <f t="shared" si="4"/>
        <v>1249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14</v>
      </c>
      <c r="E25" s="42">
        <f>GrossMargin!F26-[2]GrossMargin!F26</f>
        <v>-73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-59</v>
      </c>
      <c r="I25" s="41"/>
      <c r="J25" s="42">
        <f>GrossMargin!K26-[2]GrossMargin!K26</f>
        <v>0</v>
      </c>
      <c r="K25" s="66">
        <f t="shared" si="4"/>
        <v>-59</v>
      </c>
    </row>
    <row r="26" spans="1:11" ht="12" customHeight="1" x14ac:dyDescent="0.25">
      <c r="A26" s="29" t="s">
        <v>252</v>
      </c>
      <c r="C26" s="41">
        <f>GrossMargin!D27-[2]GrossMargin!D27</f>
        <v>230</v>
      </c>
      <c r="D26" s="42">
        <f>GrossMargin!E27-[2]GrossMargin!E27</f>
        <v>227</v>
      </c>
      <c r="E26" s="42">
        <f>GrossMargin!F27-[2]GrossMargin!F27</f>
        <v>0</v>
      </c>
      <c r="F26" s="42">
        <f>GrossMargin!H27-[2]GrossMargin!H27</f>
        <v>460</v>
      </c>
      <c r="G26" s="42">
        <v>0</v>
      </c>
      <c r="H26" s="64">
        <f t="shared" si="3"/>
        <v>917</v>
      </c>
      <c r="I26" s="41"/>
      <c r="J26" s="42">
        <f>GrossMargin!K27-[2]GrossMargin!K27</f>
        <v>0</v>
      </c>
      <c r="K26" s="66">
        <f t="shared" si="4"/>
        <v>917</v>
      </c>
    </row>
    <row r="27" spans="1:11" ht="12" customHeight="1" x14ac:dyDescent="0.25">
      <c r="A27" s="29" t="s">
        <v>299</v>
      </c>
      <c r="C27" s="41">
        <f>GrossMargin!D28-[2]GrossMargin!D28</f>
        <v>56</v>
      </c>
      <c r="D27" s="42">
        <f>GrossMargin!E28-[2]GrossMargin!E28</f>
        <v>0</v>
      </c>
      <c r="E27" s="42">
        <f>GrossMargin!F28-[2]GrossMargin!F28</f>
        <v>0</v>
      </c>
      <c r="F27" s="42">
        <f>GrossMargin!H28-[2]GrossMargin!H28</f>
        <v>5847</v>
      </c>
      <c r="G27" s="42">
        <v>0</v>
      </c>
      <c r="H27" s="64">
        <f t="shared" si="3"/>
        <v>5903</v>
      </c>
      <c r="I27" s="41"/>
      <c r="J27" s="42">
        <f>GrossMargin!K28-[2]GrossMargin!K28</f>
        <v>0</v>
      </c>
      <c r="K27" s="66">
        <f t="shared" si="4"/>
        <v>5903</v>
      </c>
    </row>
    <row r="28" spans="1:11" ht="12" customHeight="1" x14ac:dyDescent="0.25">
      <c r="A28" s="29" t="s">
        <v>289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286</v>
      </c>
      <c r="F28" s="42">
        <f>GrossMargin!H29-[2]GrossMargin!H29</f>
        <v>-55</v>
      </c>
      <c r="G28" s="42">
        <v>0</v>
      </c>
      <c r="H28" s="64">
        <f t="shared" si="3"/>
        <v>231</v>
      </c>
      <c r="I28" s="41"/>
      <c r="J28" s="42">
        <f>GrossMargin!K29-[2]GrossMargin!K29</f>
        <v>0</v>
      </c>
      <c r="K28" s="66">
        <f t="shared" si="4"/>
        <v>231</v>
      </c>
    </row>
    <row r="29" spans="1:11" ht="12" customHeight="1" x14ac:dyDescent="0.25">
      <c r="A29" s="29" t="s">
        <v>290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1195</v>
      </c>
      <c r="F29" s="42">
        <f>GrossMargin!H30-[2]GrossMargin!H30</f>
        <v>0</v>
      </c>
      <c r="G29" s="42">
        <v>0</v>
      </c>
      <c r="H29" s="64">
        <f t="shared" si="3"/>
        <v>1195</v>
      </c>
      <c r="I29" s="41"/>
      <c r="J29" s="42">
        <f>GrossMargin!K30-[2]GrossMargin!K30</f>
        <v>0</v>
      </c>
      <c r="K29" s="66">
        <f t="shared" si="4"/>
        <v>1195</v>
      </c>
    </row>
    <row r="30" spans="1:11" ht="12" customHeight="1" x14ac:dyDescent="0.25">
      <c r="A30" s="29" t="s">
        <v>156</v>
      </c>
      <c r="C30" s="41">
        <f>GrossMargin!D31-[2]GrossMargin!D31</f>
        <v>0</v>
      </c>
      <c r="D30" s="42">
        <f>GrossMargin!E31-[2]GrossMargin!E31</f>
        <v>300</v>
      </c>
      <c r="E30" s="42">
        <f>GrossMargin!F31-[2]GrossMargin!F31</f>
        <v>0</v>
      </c>
      <c r="F30" s="42">
        <f>GrossMargin!H31-[2]GrossMargin!H31</f>
        <v>-282</v>
      </c>
      <c r="G30" s="42">
        <v>0</v>
      </c>
      <c r="H30" s="64">
        <f t="shared" si="3"/>
        <v>18</v>
      </c>
      <c r="I30" s="41"/>
      <c r="J30" s="42">
        <f>GrossMargin!K31-[2]GrossMargin!K29</f>
        <v>0</v>
      </c>
      <c r="K30" s="66">
        <f t="shared" si="4"/>
        <v>18</v>
      </c>
    </row>
    <row r="31" spans="1:11" ht="12" customHeight="1" x14ac:dyDescent="0.25">
      <c r="A31" s="29" t="s">
        <v>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0</v>
      </c>
      <c r="F31" s="42">
        <f>GrossMargin!H32-[2]GrossMargin!H32</f>
        <v>0</v>
      </c>
      <c r="G31" s="42">
        <v>0</v>
      </c>
      <c r="H31" s="64">
        <f t="shared" si="3"/>
        <v>0</v>
      </c>
      <c r="I31" s="41"/>
      <c r="J31" s="42">
        <f>GrossMargin!K32-[2]GrossMargin!K30</f>
        <v>0</v>
      </c>
      <c r="K31" s="66">
        <f t="shared" si="4"/>
        <v>0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12" customHeight="1" x14ac:dyDescent="0.25">
      <c r="A33" s="106" t="s">
        <v>1</v>
      </c>
      <c r="B33" s="91"/>
      <c r="C33" s="99">
        <f t="shared" ref="C33:K33" si="5">SUM(C21:C31)</f>
        <v>1497</v>
      </c>
      <c r="D33" s="100">
        <f t="shared" si="5"/>
        <v>579</v>
      </c>
      <c r="E33" s="100">
        <f t="shared" si="5"/>
        <v>1408</v>
      </c>
      <c r="F33" s="100">
        <f t="shared" si="5"/>
        <v>5970</v>
      </c>
      <c r="G33" s="100">
        <f t="shared" si="5"/>
        <v>0</v>
      </c>
      <c r="H33" s="99">
        <f t="shared" si="5"/>
        <v>9454</v>
      </c>
      <c r="I33" s="99"/>
      <c r="J33" s="100">
        <f t="shared" si="5"/>
        <v>0</v>
      </c>
      <c r="K33" s="101">
        <f t="shared" si="5"/>
        <v>9454</v>
      </c>
    </row>
    <row r="34" spans="1:11" ht="3" customHeight="1" x14ac:dyDescent="0.25">
      <c r="A34" s="29"/>
      <c r="C34" s="41"/>
      <c r="D34" s="42"/>
      <c r="E34" s="42"/>
      <c r="F34" s="42"/>
      <c r="G34" s="42"/>
      <c r="H34" s="64"/>
      <c r="I34" s="41"/>
      <c r="J34" s="42"/>
      <c r="K34" s="43"/>
    </row>
    <row r="35" spans="1:11" ht="3" customHeight="1" x14ac:dyDescent="0.25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5">
      <c r="A36" s="29" t="s">
        <v>9</v>
      </c>
      <c r="C36" s="41">
        <f>GrossMargin!D37-[2]GrossMargin!D37</f>
        <v>0</v>
      </c>
      <c r="D36" s="42">
        <f>GrossMargin!E37-[2]GrossMargin!E37</f>
        <v>-1462</v>
      </c>
      <c r="E36" s="42">
        <f>GrossMargin!F37-[2]GrossMargin!F37</f>
        <v>0</v>
      </c>
      <c r="F36" s="42">
        <f>GrossMargin!H37-[2]GrossMargin!H37</f>
        <v>0</v>
      </c>
      <c r="G36" s="42">
        <v>0</v>
      </c>
      <c r="H36" s="64">
        <f>SUM(C36:G36)</f>
        <v>-1462</v>
      </c>
      <c r="I36" s="41"/>
      <c r="J36" s="42">
        <f>GrossMargin!K37-[2]GrossMargin!K35</f>
        <v>0</v>
      </c>
      <c r="K36" s="66">
        <f>SUM(H36:J36)</f>
        <v>-1462</v>
      </c>
    </row>
    <row r="37" spans="1:11" ht="12" customHeight="1" x14ac:dyDescent="0.25">
      <c r="A37" s="29" t="s">
        <v>267</v>
      </c>
      <c r="C37" s="41">
        <f>GrossMargin!D38-[2]GrossMargin!D38</f>
        <v>0</v>
      </c>
      <c r="D37" s="42">
        <f>GrossMargin!E38-[2]GrossMargin!E38</f>
        <v>1251</v>
      </c>
      <c r="E37" s="42">
        <f>GrossMargin!F38-[2]GrossMargin!F38</f>
        <v>0</v>
      </c>
      <c r="F37" s="42">
        <f>GrossMargin!H38-[2]GrossMargin!H38</f>
        <v>0</v>
      </c>
      <c r="G37" s="42">
        <v>0</v>
      </c>
      <c r="H37" s="64">
        <f>SUM(C37:G37)</f>
        <v>1251</v>
      </c>
      <c r="I37" s="41"/>
      <c r="J37" s="42">
        <f>GrossMargin!K38-[2]GrossMargin!K36</f>
        <v>0</v>
      </c>
      <c r="K37" s="66">
        <f>SUM(H37:J37)</f>
        <v>1251</v>
      </c>
    </row>
    <row r="38" spans="1:11" ht="12" hidden="1" customHeight="1" x14ac:dyDescent="0.25">
      <c r="A38" s="45" t="s">
        <v>180</v>
      </c>
      <c r="C38" s="41">
        <f>GrossMargin!D39-[2]GrossMargin!D39</f>
        <v>0</v>
      </c>
      <c r="D38" s="42">
        <f>GrossMargin!E39-[2]GrossMargin!E39</f>
        <v>-19</v>
      </c>
      <c r="E38" s="42">
        <f>GrossMargin!F39-[2]GrossMargin!F39</f>
        <v>3</v>
      </c>
      <c r="F38" s="42">
        <f>GrossMargin!H39-[2]GrossMargin!H39</f>
        <v>0</v>
      </c>
      <c r="G38" s="42">
        <v>0</v>
      </c>
      <c r="H38" s="64">
        <f>SUM(C38:G38)</f>
        <v>-16</v>
      </c>
      <c r="I38" s="41"/>
      <c r="J38" s="42">
        <f>GrossMargin!K39-[2]GrossMargin!K37</f>
        <v>0</v>
      </c>
      <c r="K38" s="66">
        <f>SUM(H38:J38)</f>
        <v>-16</v>
      </c>
    </row>
    <row r="39" spans="1:11" ht="12" hidden="1" customHeight="1" x14ac:dyDescent="0.25">
      <c r="A39" s="45" t="s">
        <v>154</v>
      </c>
      <c r="C39" s="41">
        <f>GrossMargin!D40-[2]GrossMargin!D40</f>
        <v>0</v>
      </c>
      <c r="D39" s="42">
        <f>GrossMargin!E40-[2]GrossMargin!E40</f>
        <v>-7703</v>
      </c>
      <c r="E39" s="42">
        <f>GrossMargin!F40-[2]GrossMargin!F40</f>
        <v>-355</v>
      </c>
      <c r="F39" s="42">
        <f>GrossMargin!H40-[2]GrossMargin!H40</f>
        <v>0</v>
      </c>
      <c r="G39" s="42">
        <v>0</v>
      </c>
      <c r="H39" s="64">
        <f>SUM(C39:G39)</f>
        <v>-8058</v>
      </c>
      <c r="I39" s="41"/>
      <c r="J39" s="42">
        <f>GrossMargin!K40-[2]GrossMargin!K38</f>
        <v>0</v>
      </c>
      <c r="K39" s="66">
        <f>SUM(H39:J39)</f>
        <v>-8058</v>
      </c>
    </row>
    <row r="40" spans="1:11" x14ac:dyDescent="0.25">
      <c r="A40" s="29" t="s">
        <v>154</v>
      </c>
      <c r="B40" s="29"/>
      <c r="C40" s="41">
        <f>GrossMargin!D41-[2]GrossMargin!D41</f>
        <v>0</v>
      </c>
      <c r="D40" s="42">
        <f>GrossMargin!E41-[2]GrossMargin!E41</f>
        <v>-7722</v>
      </c>
      <c r="E40" s="42">
        <f>GrossMargin!F41-[2]GrossMargin!F41</f>
        <v>-352</v>
      </c>
      <c r="F40" s="42">
        <f>GrossMargin!H41-[2]GrossMargin!H41</f>
        <v>0</v>
      </c>
      <c r="G40" s="42">
        <v>0</v>
      </c>
      <c r="H40" s="64">
        <f>SUM(C40:G40)</f>
        <v>-8074</v>
      </c>
      <c r="I40" s="41"/>
      <c r="J40" s="42">
        <f>GrossMargin!K41-[2]GrossMargin!K39</f>
        <v>0</v>
      </c>
      <c r="K40" s="66">
        <f>SUM(H40:J40)</f>
        <v>-8074</v>
      </c>
    </row>
    <row r="41" spans="1:11" ht="3" customHeight="1" x14ac:dyDescent="0.25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25">
      <c r="A42" s="106" t="s">
        <v>87</v>
      </c>
      <c r="B42" s="91"/>
      <c r="C42" s="99">
        <f t="shared" ref="C42:K42" si="6">SUM(C36:C39)</f>
        <v>0</v>
      </c>
      <c r="D42" s="100">
        <f t="shared" si="6"/>
        <v>-7933</v>
      </c>
      <c r="E42" s="100">
        <f t="shared" si="6"/>
        <v>-352</v>
      </c>
      <c r="F42" s="100">
        <f t="shared" si="6"/>
        <v>0</v>
      </c>
      <c r="G42" s="100">
        <f t="shared" si="6"/>
        <v>0</v>
      </c>
      <c r="H42" s="99">
        <f t="shared" si="6"/>
        <v>-8285</v>
      </c>
      <c r="I42" s="99"/>
      <c r="J42" s="100">
        <f t="shared" si="6"/>
        <v>0</v>
      </c>
      <c r="K42" s="101">
        <f t="shared" si="6"/>
        <v>-8285</v>
      </c>
    </row>
    <row r="43" spans="1:11" ht="3" customHeight="1" x14ac:dyDescent="0.25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5">
      <c r="A44" s="29" t="s">
        <v>8</v>
      </c>
      <c r="C44" s="41">
        <f>GrossMargin!D45-[2]GrossMargin!D45</f>
        <v>0</v>
      </c>
      <c r="D44" s="42">
        <f>GrossMargin!E45-[2]GrossMargin!E45</f>
        <v>319</v>
      </c>
      <c r="E44" s="42">
        <f>GrossMargin!F45-[2]GrossMargin!F45</f>
        <v>0</v>
      </c>
      <c r="F44" s="42">
        <f>GrossMargin!H45-[2]GrossMargin!H45</f>
        <v>0</v>
      </c>
      <c r="G44" s="42">
        <v>0</v>
      </c>
      <c r="H44" s="64">
        <f>SUM(C44:G44)</f>
        <v>319</v>
      </c>
      <c r="I44" s="41"/>
      <c r="J44" s="42">
        <f>GrossMargin!K45-[2]GrossMargin!K43</f>
        <v>0</v>
      </c>
      <c r="K44" s="66">
        <f>SUM(H44:J44)</f>
        <v>319</v>
      </c>
    </row>
    <row r="45" spans="1:11" ht="3" customHeight="1" x14ac:dyDescent="0.25">
      <c r="A45" s="29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7</v>
      </c>
      <c r="C46" s="41">
        <f>GrossMargin!D47-[2]GrossMargin!D47</f>
        <v>289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GrossMargin!H47-[2]GrossMargin!H47</f>
        <v>0</v>
      </c>
      <c r="G46" s="42">
        <v>0</v>
      </c>
      <c r="H46" s="64">
        <f>SUM(C46:G46)</f>
        <v>289</v>
      </c>
      <c r="I46" s="41"/>
      <c r="J46" s="42">
        <f>GrossMargin!K47-[2]GrossMargin!K45</f>
        <v>0</v>
      </c>
      <c r="K46" s="66">
        <f>SUM(H46:J46)</f>
        <v>289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18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GrossMargin!H49-[2]GrossMargin!H49</f>
        <v>0</v>
      </c>
      <c r="G48" s="42">
        <v>0</v>
      </c>
      <c r="H48" s="64">
        <f>SUM(C48:G48)</f>
        <v>0</v>
      </c>
      <c r="I48" s="41"/>
      <c r="J48" s="42">
        <f>GrossMargin!K49-[2]GrossMargin!K47</f>
        <v>0</v>
      </c>
      <c r="K48" s="66">
        <f>SUM(H48:J48)</f>
        <v>0</v>
      </c>
    </row>
    <row r="49" spans="1:14" ht="3" customHeight="1" x14ac:dyDescent="0.25">
      <c r="A49" s="76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GrossMargin!H51-[2]GrossMargin!H51</f>
        <v>0</v>
      </c>
      <c r="G50" s="42">
        <v>0</v>
      </c>
      <c r="H50" s="64">
        <f>SUM(C50:G50)</f>
        <v>0</v>
      </c>
      <c r="I50" s="41"/>
      <c r="J50" s="42">
        <f>GrossMargin!K51-[2]GrossMargin!K49</f>
        <v>0</v>
      </c>
      <c r="K50" s="66">
        <f>SUM(H50:J50)</f>
        <v>0</v>
      </c>
    </row>
    <row r="51" spans="1:14" ht="3" customHeight="1" x14ac:dyDescent="0.25">
      <c r="A51" s="29"/>
      <c r="C51" s="46"/>
      <c r="D51" s="47"/>
      <c r="E51" s="47"/>
      <c r="F51" s="47"/>
      <c r="G51" s="47"/>
      <c r="H51" s="46"/>
      <c r="I51" s="46"/>
      <c r="J51" s="47"/>
      <c r="K51" s="132"/>
    </row>
    <row r="52" spans="1:14" ht="12" customHeight="1" x14ac:dyDescent="0.25">
      <c r="A52" s="75" t="s">
        <v>14</v>
      </c>
      <c r="C52" s="95">
        <f t="shared" ref="C52:H52" si="7">SUM(C42:C50)+C19+C33</f>
        <v>-12622</v>
      </c>
      <c r="D52" s="96">
        <f t="shared" si="7"/>
        <v>-7035</v>
      </c>
      <c r="E52" s="96">
        <f t="shared" si="7"/>
        <v>1056</v>
      </c>
      <c r="F52" s="96">
        <f t="shared" si="7"/>
        <v>5970</v>
      </c>
      <c r="G52" s="96">
        <f t="shared" si="7"/>
        <v>0</v>
      </c>
      <c r="H52" s="95">
        <f t="shared" si="7"/>
        <v>-12631</v>
      </c>
      <c r="I52" s="95"/>
      <c r="J52" s="96">
        <f>SUM(J42:J50)+J19+J33</f>
        <v>0</v>
      </c>
      <c r="K52" s="97">
        <f>SUM(K42:K50)+K19+K33</f>
        <v>-12631</v>
      </c>
    </row>
    <row r="53" spans="1:14" ht="3" customHeight="1" x14ac:dyDescent="0.25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5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5">
      <c r="C55" s="44"/>
      <c r="D55" s="74"/>
      <c r="E55" s="138" t="s">
        <v>76</v>
      </c>
      <c r="F55" s="40"/>
      <c r="G55" s="164"/>
      <c r="H55" s="164"/>
      <c r="I55" s="136"/>
      <c r="J55" s="42"/>
      <c r="K55" s="44"/>
      <c r="L55" s="38"/>
      <c r="M55" s="186"/>
      <c r="N55" s="38"/>
    </row>
    <row r="56" spans="1:14" hidden="1" x14ac:dyDescent="0.25">
      <c r="C56" s="44"/>
      <c r="D56" s="74"/>
      <c r="E56" s="138" t="s">
        <v>111</v>
      </c>
      <c r="F56" s="40"/>
      <c r="G56" s="164"/>
      <c r="H56" s="187"/>
      <c r="I56" s="136"/>
      <c r="J56" s="42"/>
      <c r="K56" s="44"/>
      <c r="L56" s="38"/>
      <c r="M56" s="186"/>
      <c r="N56" s="38"/>
    </row>
    <row r="57" spans="1:14" hidden="1" x14ac:dyDescent="0.25">
      <c r="C57" s="44"/>
      <c r="D57" s="74"/>
      <c r="E57" s="138" t="s">
        <v>75</v>
      </c>
      <c r="F57" s="191"/>
      <c r="G57" s="164"/>
      <c r="H57" s="187"/>
      <c r="I57" s="136"/>
      <c r="J57" s="42"/>
      <c r="K57" s="44"/>
      <c r="L57" s="38"/>
      <c r="M57" s="186"/>
      <c r="N57" s="38"/>
    </row>
    <row r="58" spans="1:14" hidden="1" x14ac:dyDescent="0.25">
      <c r="D58" s="39"/>
      <c r="E58" s="138" t="s">
        <v>77</v>
      </c>
      <c r="F58" s="40"/>
      <c r="G58" s="187"/>
      <c r="H58" s="187"/>
      <c r="I58" s="136"/>
      <c r="J58" s="38"/>
      <c r="L58" s="38"/>
      <c r="M58" s="186"/>
      <c r="N58" s="38"/>
    </row>
    <row r="59" spans="1:14" ht="4.5" hidden="1" customHeight="1" x14ac:dyDescent="0.25">
      <c r="D59" s="52"/>
      <c r="E59" s="54"/>
      <c r="F59" s="53"/>
      <c r="G59" s="53"/>
      <c r="H59" s="53"/>
      <c r="I59" s="51"/>
      <c r="J59" s="38"/>
      <c r="L59" s="38"/>
      <c r="M59" s="186"/>
      <c r="N59" s="38"/>
    </row>
    <row r="60" spans="1:14" ht="13.5" hidden="1" thickBot="1" x14ac:dyDescent="0.3">
      <c r="I60" s="137">
        <f>SUM(I55:I59)</f>
        <v>0</v>
      </c>
      <c r="J60" s="135" t="str">
        <f>IF(I60=I52,"","error")</f>
        <v/>
      </c>
      <c r="L60" s="38"/>
      <c r="M60" s="38" t="s">
        <v>286</v>
      </c>
      <c r="N60" s="38"/>
    </row>
    <row r="61" spans="1:14" ht="13.5" hidden="1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B24" workbookViewId="0">
      <selection activeCell="E53" sqref="E53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22,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f>238190</f>
        <v>238190</v>
      </c>
      <c r="E10" s="60"/>
      <c r="F10" s="60"/>
      <c r="G10" s="60"/>
      <c r="H10" s="60"/>
      <c r="I10" s="60"/>
      <c r="J10" s="103">
        <f>SUM(D10:I10)</f>
        <v>238190</v>
      </c>
      <c r="K10" s="59"/>
      <c r="L10" s="60"/>
      <c r="M10" s="60">
        <f t="shared" ref="M10:M18" si="0">SUM(J10:L10)</f>
        <v>238190</v>
      </c>
      <c r="N10" s="60">
        <f>ROUND(_xll.HPVAL($A10,$A$1,$A$2,$A$3,$A$4,$A$6)/1000,0)</f>
        <v>41497</v>
      </c>
      <c r="O10" s="82">
        <f>M10-N10</f>
        <v>196693</v>
      </c>
      <c r="R10" s="73">
        <f>N10-Expenses!E9-'CapChrg-AllocExp'!E10</f>
        <v>38285</v>
      </c>
      <c r="S10" s="73">
        <f>J10+K10-Expenses!D9-'CapChrg-AllocExp'!D10</f>
        <v>233003</v>
      </c>
      <c r="T10" s="73">
        <f>R10-S10</f>
        <v>-194718</v>
      </c>
    </row>
    <row r="11" spans="1:20" ht="12" customHeight="1" x14ac:dyDescent="0.25">
      <c r="A11" s="25" t="s">
        <v>42</v>
      </c>
      <c r="B11" s="29" t="s">
        <v>272</v>
      </c>
      <c r="D11" s="41">
        <v>47379</v>
      </c>
      <c r="E11" s="42"/>
      <c r="F11" s="42"/>
      <c r="G11" s="42"/>
      <c r="H11" s="42"/>
      <c r="I11" s="42"/>
      <c r="J11" s="64">
        <f>SUM(D11:I11)</f>
        <v>47379</v>
      </c>
      <c r="K11" s="41"/>
      <c r="L11" s="42"/>
      <c r="M11" s="42">
        <f>SUM(J11:L11)</f>
        <v>47379</v>
      </c>
      <c r="N11" s="42">
        <f>ROUND(_xll.HPVAL($A11,$A$1,$A$2,$A$3,$A$4,$A$6)/1000,0)</f>
        <v>7570</v>
      </c>
      <c r="O11" s="83">
        <f>M11-N11</f>
        <v>39809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5">
      <c r="A12" s="25" t="s">
        <v>105</v>
      </c>
      <c r="B12" s="29" t="s">
        <v>106</v>
      </c>
      <c r="D12" s="41">
        <f>156617+9900+7803+5048</f>
        <v>179368</v>
      </c>
      <c r="E12" s="42"/>
      <c r="F12" s="42"/>
      <c r="G12" s="42"/>
      <c r="H12" s="42">
        <v>-1562</v>
      </c>
      <c r="I12" s="42"/>
      <c r="J12" s="64">
        <f t="shared" ref="J12:J18" si="1">SUM(D12:I12)</f>
        <v>177806</v>
      </c>
      <c r="K12" s="41"/>
      <c r="L12" s="42"/>
      <c r="M12" s="42">
        <f t="shared" si="0"/>
        <v>177806</v>
      </c>
      <c r="N12" s="42">
        <f>ROUND(_xll.HPVAL($A12,$A$1,$A$2,$A$3,$A$4,$A$6)/1000,0)+Expenses!E58</f>
        <v>67236</v>
      </c>
      <c r="O12" s="83">
        <f t="shared" ref="O12:O18" si="2">M12-N12</f>
        <v>110570</v>
      </c>
      <c r="R12" s="44">
        <f>N12-Expenses!E11-'CapChrg-AllocExp'!E12</f>
        <v>53733</v>
      </c>
      <c r="S12" s="44">
        <f>J12+K12-Expenses!D11-'CapChrg-AllocExp'!D12</f>
        <v>163880</v>
      </c>
      <c r="T12" s="44">
        <f t="shared" ref="T12:T18" si="3">R12-S12</f>
        <v>-110147</v>
      </c>
    </row>
    <row r="13" spans="1:20" ht="12" customHeight="1" x14ac:dyDescent="0.25">
      <c r="A13" s="25" t="s">
        <v>27</v>
      </c>
      <c r="B13" s="29" t="s">
        <v>132</v>
      </c>
      <c r="D13" s="41">
        <v>34672</v>
      </c>
      <c r="E13" s="42"/>
      <c r="F13" s="42"/>
      <c r="G13" s="42"/>
      <c r="H13" s="42"/>
      <c r="I13" s="42"/>
      <c r="J13" s="64">
        <f>SUM(D13:I13)</f>
        <v>34672</v>
      </c>
      <c r="K13" s="41"/>
      <c r="L13" s="42"/>
      <c r="M13" s="42">
        <f t="shared" si="0"/>
        <v>34672</v>
      </c>
      <c r="N13" s="42">
        <f>ROUND((_xll.HPVAL($A13,$A$1,"other",$A$3,$A$4,$A$6)+_xll.HPVAL($A13,$A$1,"overview",$A$3,$A$4,$A$6))/1000,0)</f>
        <v>22402</v>
      </c>
      <c r="O13" s="83">
        <f t="shared" si="2"/>
        <v>12270</v>
      </c>
      <c r="R13" s="44">
        <f>N13-Expenses!E12-'CapChrg-AllocExp'!E13</f>
        <v>21747</v>
      </c>
      <c r="S13" s="44">
        <f>J13+K13-Expenses!D12-'CapChrg-AllocExp'!D13</f>
        <v>33898</v>
      </c>
      <c r="T13" s="44">
        <f t="shared" si="3"/>
        <v>-12151</v>
      </c>
    </row>
    <row r="14" spans="1:20" ht="12" customHeight="1" x14ac:dyDescent="0.25">
      <c r="A14" s="25" t="s">
        <v>134</v>
      </c>
      <c r="B14" s="29" t="s">
        <v>133</v>
      </c>
      <c r="D14" s="41">
        <f>1522+11177</f>
        <v>12699</v>
      </c>
      <c r="E14" s="42"/>
      <c r="F14" s="42"/>
      <c r="G14" s="42"/>
      <c r="H14" s="42"/>
      <c r="I14" s="42"/>
      <c r="J14" s="64">
        <f>SUM(D14:I14)</f>
        <v>12699</v>
      </c>
      <c r="K14" s="41"/>
      <c r="L14" s="42"/>
      <c r="M14" s="42">
        <f>SUM(J14:L14)</f>
        <v>12699</v>
      </c>
      <c r="N14" s="42">
        <f>ROUND(_xll.HPVAL($A14,$A$1,$A$2,$A$3,$A$4,$A$6)/1000,0)-N13-2500</f>
        <v>8947</v>
      </c>
      <c r="O14" s="83">
        <f>M14-N14</f>
        <v>3752</v>
      </c>
      <c r="R14" s="44">
        <f>N14-Expenses!E13-'CapChrg-AllocExp'!E14</f>
        <v>7999</v>
      </c>
      <c r="S14" s="44">
        <f>J14+K14-Expenses!D13-'CapChrg-AllocExp'!D14</f>
        <v>11724</v>
      </c>
      <c r="T14" s="44">
        <f>R14-S14</f>
        <v>-3725</v>
      </c>
    </row>
    <row r="15" spans="1:20" ht="12" customHeight="1" x14ac:dyDescent="0.25">
      <c r="A15" s="25" t="s">
        <v>74</v>
      </c>
      <c r="B15" s="29" t="s">
        <v>251</v>
      </c>
      <c r="D15" s="41">
        <f>20492-230</f>
        <v>20262</v>
      </c>
      <c r="E15" s="81"/>
      <c r="F15" s="81"/>
      <c r="G15" s="81"/>
      <c r="H15" s="42"/>
      <c r="I15" s="42"/>
      <c r="J15" s="64">
        <f>SUM(D15:I15)</f>
        <v>20262</v>
      </c>
      <c r="K15" s="41"/>
      <c r="L15" s="42"/>
      <c r="M15" s="42">
        <f t="shared" si="0"/>
        <v>20262</v>
      </c>
      <c r="N15" s="42">
        <v>11556</v>
      </c>
      <c r="O15" s="83">
        <f t="shared" si="2"/>
        <v>8706</v>
      </c>
      <c r="R15" s="44">
        <f>N15-Expenses!E14-'CapChrg-AllocExp'!E15</f>
        <v>9704</v>
      </c>
      <c r="S15" s="44">
        <f>J15+K15-Expenses!D14-'CapChrg-AllocExp'!D15</f>
        <v>19115</v>
      </c>
      <c r="T15" s="44">
        <f t="shared" si="3"/>
        <v>-9411</v>
      </c>
    </row>
    <row r="16" spans="1:20" ht="12" customHeight="1" x14ac:dyDescent="0.25">
      <c r="A16" s="25" t="s">
        <v>28</v>
      </c>
      <c r="B16" s="29" t="s">
        <v>275</v>
      </c>
      <c r="D16" s="41">
        <v>3212</v>
      </c>
      <c r="E16" s="42"/>
      <c r="F16" s="42"/>
      <c r="G16" s="42"/>
      <c r="H16" s="42"/>
      <c r="I16" s="42"/>
      <c r="J16" s="64">
        <f t="shared" si="1"/>
        <v>3212</v>
      </c>
      <c r="K16" s="41"/>
      <c r="L16" s="42"/>
      <c r="M16" s="42">
        <f t="shared" si="0"/>
        <v>3212</v>
      </c>
      <c r="N16" s="42">
        <f>ROUND(_xll.HPVAL($A16,$A$1,$A$2,$A$3,$A$4,$A$6)/1000,0)-1212-5000</f>
        <v>6535</v>
      </c>
      <c r="O16" s="83">
        <f t="shared" si="2"/>
        <v>-3323</v>
      </c>
      <c r="R16" s="44">
        <f>N16-Expenses!E15-'CapChrg-AllocExp'!E16</f>
        <v>5311</v>
      </c>
      <c r="S16" s="44">
        <f>J16+K16-Expenses!D15-'CapChrg-AllocExp'!D16</f>
        <v>1663</v>
      </c>
      <c r="T16" s="44">
        <f t="shared" si="3"/>
        <v>3648</v>
      </c>
    </row>
    <row r="17" spans="1:20" ht="12" customHeight="1" x14ac:dyDescent="0.25">
      <c r="A17" s="25" t="s">
        <v>30</v>
      </c>
      <c r="B17" s="29" t="s">
        <v>155</v>
      </c>
      <c r="D17" s="41">
        <v>2621</v>
      </c>
      <c r="E17" s="42"/>
      <c r="F17" s="42"/>
      <c r="G17" s="42"/>
      <c r="H17" s="42"/>
      <c r="I17" s="42"/>
      <c r="J17" s="64">
        <f t="shared" si="1"/>
        <v>2621</v>
      </c>
      <c r="K17" s="41"/>
      <c r="L17" s="42"/>
      <c r="M17" s="42">
        <f t="shared" si="0"/>
        <v>2621</v>
      </c>
      <c r="N17" s="42">
        <f>ROUND(_xll.HPVAL($A17,$A$1,$A$2,$A$3,$A$4,$A$6)/1000,0)</f>
        <v>3215</v>
      </c>
      <c r="O17" s="83">
        <f t="shared" si="2"/>
        <v>-594</v>
      </c>
      <c r="R17" s="44">
        <f>N17-Expenses!E16-'CapChrg-AllocExp'!E17</f>
        <v>2323</v>
      </c>
      <c r="S17" s="44">
        <f>J17+K17-Expenses!D16-'CapChrg-AllocExp'!D17</f>
        <v>1900</v>
      </c>
      <c r="T17" s="44">
        <f t="shared" si="3"/>
        <v>423</v>
      </c>
    </row>
    <row r="18" spans="1:20" ht="12" customHeight="1" x14ac:dyDescent="0.25">
      <c r="A18" s="25" t="s">
        <v>4</v>
      </c>
      <c r="B18" s="29" t="s">
        <v>292</v>
      </c>
      <c r="D18" s="41">
        <v>-8022</v>
      </c>
      <c r="E18" s="42"/>
      <c r="F18" s="42"/>
      <c r="G18" s="42"/>
      <c r="H18" s="42">
        <v>1562</v>
      </c>
      <c r="I18" s="42"/>
      <c r="J18" s="64">
        <f t="shared" si="1"/>
        <v>-6460</v>
      </c>
      <c r="K18" s="41"/>
      <c r="L18" s="42"/>
      <c r="M18" s="42">
        <f t="shared" si="0"/>
        <v>-6460</v>
      </c>
      <c r="N18" s="42">
        <f>ROUND(_xll.HPVAL($A18,$A$1,$A$2,$A$3,$A$4,$A$6)/1000,0)</f>
        <v>750</v>
      </c>
      <c r="O18" s="83">
        <f t="shared" si="2"/>
        <v>-7210</v>
      </c>
      <c r="R18" s="44">
        <f>N18-Expenses!E17-'CapChrg-AllocExp'!E18</f>
        <v>646</v>
      </c>
      <c r="S18" s="44">
        <f>J18+K18-Expenses!D17-'CapChrg-AllocExp'!D18</f>
        <v>-6512</v>
      </c>
      <c r="T18" s="44">
        <f t="shared" si="3"/>
        <v>7158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530381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530381</v>
      </c>
      <c r="K20" s="99">
        <f t="shared" si="4"/>
        <v>0</v>
      </c>
      <c r="L20" s="100">
        <f t="shared" si="4"/>
        <v>0</v>
      </c>
      <c r="M20" s="100">
        <f t="shared" si="4"/>
        <v>530381</v>
      </c>
      <c r="N20" s="100">
        <f t="shared" si="4"/>
        <v>169708</v>
      </c>
      <c r="O20" s="102">
        <f t="shared" si="4"/>
        <v>360673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2" si="5">SUM(D22:I22)</f>
        <v>0</v>
      </c>
      <c r="K22" s="41"/>
      <c r="L22" s="42"/>
      <c r="M22" s="42">
        <f t="shared" ref="M22:M32" si="6">SUM(J22:L22)</f>
        <v>0</v>
      </c>
      <c r="N22" s="42">
        <f>ROUND(_xll.HPVAL($A22,$A$1,$A$2,$A$3,$A$4,$A$6)/1000,0)</f>
        <v>20493</v>
      </c>
      <c r="O22" s="83">
        <f t="shared" ref="O22:O32" si="7">M22-N22</f>
        <v>-20493</v>
      </c>
      <c r="R22" s="134">
        <f>N22-Expenses!E20-'CapChrg-AllocExp'!E21</f>
        <v>15524</v>
      </c>
      <c r="S22" s="134">
        <f>J22+K22-Expenses!D20-'CapChrg-AllocExp'!D21</f>
        <v>-8510</v>
      </c>
      <c r="T22" s="44">
        <f>R22-S22</f>
        <v>24034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5">
      <c r="A24" s="25" t="s">
        <v>230</v>
      </c>
      <c r="B24" s="29" t="s">
        <v>229</v>
      </c>
      <c r="D24" s="41">
        <f>4551+63</f>
        <v>4614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4500</v>
      </c>
      <c r="K24" s="41"/>
      <c r="L24" s="42"/>
      <c r="M24" s="42">
        <f t="shared" si="6"/>
        <v>4500</v>
      </c>
      <c r="N24" s="42">
        <f>ROUND(_xll.HPVAL($A24,$A$1,$A$2,$A$3,$A$4,$A$6)/1000,0)</f>
        <v>22861</v>
      </c>
      <c r="O24" s="83">
        <f t="shared" si="7"/>
        <v>-18361</v>
      </c>
      <c r="R24" s="44">
        <f>N24-Expenses!E22-'CapChrg-AllocExp'!E23</f>
        <v>16415</v>
      </c>
      <c r="S24" s="44">
        <f>J24+K24-Expenses!D22-'CapChrg-AllocExp'!D23</f>
        <v>-219</v>
      </c>
      <c r="T24" s="44">
        <f>R24-S24</f>
        <v>16634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5">
      <c r="B26" s="29" t="s">
        <v>263</v>
      </c>
      <c r="D26" s="41"/>
      <c r="E26" s="81">
        <v>134</v>
      </c>
      <c r="F26" s="81">
        <v>30</v>
      </c>
      <c r="G26" s="81"/>
      <c r="H26" s="42"/>
      <c r="I26" s="42"/>
      <c r="J26" s="64">
        <f t="shared" si="5"/>
        <v>164</v>
      </c>
      <c r="K26" s="41"/>
      <c r="L26" s="42"/>
      <c r="M26" s="42">
        <f t="shared" si="6"/>
        <v>164</v>
      </c>
      <c r="N26" s="42">
        <f>12747-6468-67</f>
        <v>6212</v>
      </c>
      <c r="O26" s="83">
        <f t="shared" si="7"/>
        <v>-6048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230</v>
      </c>
      <c r="E27" s="81">
        <v>2698</v>
      </c>
      <c r="F27" s="81"/>
      <c r="G27" s="81"/>
      <c r="H27" s="42">
        <f>6930-230</f>
        <v>6700</v>
      </c>
      <c r="I27" s="42"/>
      <c r="J27" s="64">
        <f t="shared" si="5"/>
        <v>9628</v>
      </c>
      <c r="K27" s="41"/>
      <c r="L27" s="42"/>
      <c r="M27" s="42">
        <f t="shared" si="6"/>
        <v>9628</v>
      </c>
      <c r="N27" s="42">
        <v>11556</v>
      </c>
      <c r="O27" s="83">
        <f t="shared" si="7"/>
        <v>-1928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299</v>
      </c>
      <c r="D28" s="41">
        <v>2244</v>
      </c>
      <c r="E28" s="42">
        <v>115</v>
      </c>
      <c r="F28" s="42">
        <v>8179</v>
      </c>
      <c r="G28" s="42"/>
      <c r="H28" s="42">
        <v>7235</v>
      </c>
      <c r="I28" s="42"/>
      <c r="J28" s="64">
        <f>SUM(D28:I28)</f>
        <v>17773</v>
      </c>
      <c r="K28" s="41"/>
      <c r="L28" s="42"/>
      <c r="M28" s="42">
        <f>SUM(J28:L28)</f>
        <v>17773</v>
      </c>
      <c r="N28" s="42">
        <f>ROUND(_xll.HPVAL($A28,$A$1,$A$2,$A$3,$A$4,$A$6)/1000,0)+Expenses!E60--23180-1690</f>
        <v>18423</v>
      </c>
      <c r="O28" s="83">
        <f>M28-N28</f>
        <v>-650</v>
      </c>
      <c r="R28" s="44" t="e">
        <f>N28-Expenses!#REF!-Expenses!E53-'CapChrg-AllocExp'!#REF!</f>
        <v>#REF!</v>
      </c>
      <c r="S28" s="44" t="e">
        <f>J28+K28-Expenses!#REF!-Expenses!D53-'CapChrg-AllocExp'!#REF!</f>
        <v>#REF!</v>
      </c>
      <c r="T28" s="44" t="e">
        <f>R28-S28</f>
        <v>#REF!</v>
      </c>
    </row>
    <row r="29" spans="1:20" ht="12" customHeight="1" x14ac:dyDescent="0.25">
      <c r="B29" s="29" t="s">
        <v>289</v>
      </c>
      <c r="D29" s="41"/>
      <c r="E29" s="42"/>
      <c r="F29" s="42">
        <v>9970</v>
      </c>
      <c r="G29" s="42"/>
      <c r="H29" s="42">
        <v>4772</v>
      </c>
      <c r="I29" s="42"/>
      <c r="J29" s="64">
        <f>SUM(D29:I29)</f>
        <v>14742</v>
      </c>
      <c r="K29" s="41"/>
      <c r="L29" s="42"/>
      <c r="M29" s="42">
        <f>SUM(J29:L29)</f>
        <v>14742</v>
      </c>
      <c r="N29" s="42">
        <f>-23180+Expenses!E59</f>
        <v>10746</v>
      </c>
      <c r="O29" s="83">
        <f>M29-N29</f>
        <v>3996</v>
      </c>
      <c r="R29" s="44"/>
      <c r="S29" s="44"/>
      <c r="T29" s="44"/>
    </row>
    <row r="30" spans="1:20" ht="12" customHeight="1" x14ac:dyDescent="0.25">
      <c r="B30" s="29" t="s">
        <v>290</v>
      </c>
      <c r="D30" s="41"/>
      <c r="E30" s="42"/>
      <c r="F30" s="42">
        <v>379</v>
      </c>
      <c r="G30" s="42"/>
      <c r="H30" s="42">
        <v>0</v>
      </c>
      <c r="I30" s="42"/>
      <c r="J30" s="64">
        <f>SUM(D30:I30)</f>
        <v>379</v>
      </c>
      <c r="K30" s="41"/>
      <c r="L30" s="42"/>
      <c r="M30" s="42">
        <f>SUM(J30:L30)</f>
        <v>379</v>
      </c>
      <c r="N30" s="42">
        <f>1690</f>
        <v>1690</v>
      </c>
      <c r="O30" s="83">
        <f>M30-N30</f>
        <v>-1311</v>
      </c>
      <c r="R30" s="44"/>
      <c r="S30" s="44"/>
      <c r="T30" s="44"/>
    </row>
    <row r="31" spans="1:20" ht="12" customHeight="1" x14ac:dyDescent="0.25">
      <c r="A31" s="25" t="s">
        <v>73</v>
      </c>
      <c r="B31" s="29" t="s">
        <v>156</v>
      </c>
      <c r="D31" s="41"/>
      <c r="E31" s="42">
        <v>300</v>
      </c>
      <c r="F31" s="42"/>
      <c r="G31" s="42"/>
      <c r="H31" s="42">
        <v>371</v>
      </c>
      <c r="I31" s="42"/>
      <c r="J31" s="64">
        <f t="shared" si="5"/>
        <v>671</v>
      </c>
      <c r="K31" s="41"/>
      <c r="L31" s="42"/>
      <c r="M31" s="42">
        <f t="shared" si="6"/>
        <v>671</v>
      </c>
      <c r="N31" s="42">
        <f>ROUND(_xll.HPVAL($A31,$A$1,$A$2,$A$3,$A$4,$A$6)/1000,0)</f>
        <v>7712</v>
      </c>
      <c r="O31" s="83">
        <f t="shared" si="7"/>
        <v>-7041</v>
      </c>
      <c r="R31" s="44" t="e">
        <f>N31-Expenses!#REF!-'CapChrg-AllocExp'!#REF!</f>
        <v>#REF!</v>
      </c>
      <c r="S31" s="44" t="e">
        <f>J31+K31-Expenses!#REF!-'CapChrg-AllocExp'!#REF!</f>
        <v>#REF!</v>
      </c>
      <c r="T31" s="44" t="e">
        <f>R31-S31</f>
        <v>#REF!</v>
      </c>
    </row>
    <row r="32" spans="1:20" ht="12" customHeight="1" x14ac:dyDescent="0.25">
      <c r="A32" s="25" t="s">
        <v>36</v>
      </c>
      <c r="B32" s="29" t="s">
        <v>0</v>
      </c>
      <c r="D32" s="41"/>
      <c r="E32" s="42"/>
      <c r="F32" s="42"/>
      <c r="G32" s="42"/>
      <c r="H32" s="42">
        <v>2</v>
      </c>
      <c r="I32" s="42"/>
      <c r="J32" s="64">
        <f t="shared" si="5"/>
        <v>2</v>
      </c>
      <c r="K32" s="41"/>
      <c r="L32" s="42"/>
      <c r="M32" s="42">
        <f t="shared" si="6"/>
        <v>2</v>
      </c>
      <c r="N32" s="42">
        <f>ROUND(_xll.HPVAL($A32,$A$1,$A$2,$A$3,$A$4,$A$6)/1000,0)</f>
        <v>4656</v>
      </c>
      <c r="O32" s="83">
        <f t="shared" si="7"/>
        <v>-4654</v>
      </c>
      <c r="R32" s="44">
        <f>N32-Expenses!E30-'CapChrg-AllocExp'!E31</f>
        <v>2651</v>
      </c>
      <c r="S32" s="44">
        <f>J32+K32-Expenses!D30-'CapChrg-AllocExp'!D31</f>
        <v>-1614</v>
      </c>
      <c r="T32" s="44">
        <f>R32-S32</f>
        <v>4265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12" customHeight="1" x14ac:dyDescent="0.25">
      <c r="B34" s="106" t="s">
        <v>1</v>
      </c>
      <c r="C34" s="91"/>
      <c r="D34" s="99">
        <f>D22+D23+D24+D25+D26+D27+D32+D31+D28+D29+D30</f>
        <v>7088</v>
      </c>
      <c r="E34" s="100">
        <f>E22+E23+E24+E25+E26+E27+E32+E31+E28+E29+E30</f>
        <v>19789</v>
      </c>
      <c r="F34" s="100">
        <f>F22+F23+F24+F25+F26+F27+F32+F31+F28+F29+F30</f>
        <v>18558</v>
      </c>
      <c r="G34" s="100" t="e">
        <f>G22+G23+G24+#REF!+G26+G27+G32</f>
        <v>#REF!</v>
      </c>
      <c r="H34" s="100">
        <f t="shared" ref="H34:O34" si="8">H22+H23+H24+H25+H26+H27+H32+H31+H28+H29+H30</f>
        <v>19080</v>
      </c>
      <c r="I34" s="100">
        <f t="shared" si="8"/>
        <v>0</v>
      </c>
      <c r="J34" s="99">
        <f t="shared" si="8"/>
        <v>64515</v>
      </c>
      <c r="K34" s="99">
        <f t="shared" si="8"/>
        <v>0</v>
      </c>
      <c r="L34" s="100">
        <f t="shared" si="8"/>
        <v>0</v>
      </c>
      <c r="M34" s="100">
        <f t="shared" si="8"/>
        <v>64515</v>
      </c>
      <c r="N34" s="100">
        <f t="shared" si="8"/>
        <v>136295</v>
      </c>
      <c r="O34" s="102">
        <f t="shared" si="8"/>
        <v>-71780</v>
      </c>
      <c r="R34" s="100" t="e">
        <f>SUM(R22:R32)</f>
        <v>#REF!</v>
      </c>
      <c r="S34" s="100" t="e">
        <f>SUM(S22:S32)</f>
        <v>#REF!</v>
      </c>
      <c r="T34" s="100" t="e">
        <f>SUM(T22:T32)</f>
        <v>#REF!</v>
      </c>
    </row>
    <row r="35" spans="1:20" ht="3" customHeight="1" x14ac:dyDescent="0.25">
      <c r="B35" s="29"/>
      <c r="D35" s="41"/>
      <c r="E35" s="42"/>
      <c r="F35" s="42"/>
      <c r="G35" s="42"/>
      <c r="H35" s="42"/>
      <c r="I35" s="42"/>
      <c r="J35" s="64"/>
      <c r="K35" s="41"/>
      <c r="L35" s="42"/>
      <c r="M35" s="42"/>
      <c r="N35" s="42"/>
      <c r="O35" s="83"/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5">
      <c r="A37" s="25" t="s">
        <v>40</v>
      </c>
      <c r="B37" s="29" t="s">
        <v>9</v>
      </c>
      <c r="D37" s="41"/>
      <c r="E37" s="81">
        <v>-29675</v>
      </c>
      <c r="F37" s="81">
        <v>1</v>
      </c>
      <c r="G37" s="81"/>
      <c r="H37" s="42"/>
      <c r="I37" s="42"/>
      <c r="J37" s="64">
        <f>SUM(D37:I37)</f>
        <v>-29674</v>
      </c>
      <c r="K37" s="41"/>
      <c r="L37" s="42"/>
      <c r="M37" s="42">
        <f>SUM(J37:L37)</f>
        <v>-29674</v>
      </c>
      <c r="N37" s="42">
        <f>ROUND(_xll.HPVAL($A37,$A$1,$A$2,$A$3,$A$4,$A$6)/1000,0)</f>
        <v>15385</v>
      </c>
      <c r="O37" s="83">
        <f>M37-N37</f>
        <v>-45059</v>
      </c>
      <c r="R37" s="134">
        <f>N37-Expenses!E34-'CapChrg-AllocExp'!E35</f>
        <v>12608</v>
      </c>
      <c r="S37" s="134">
        <f>J37+K37-Expenses!D34-'CapChrg-AllocExp'!D35</f>
        <v>-30805</v>
      </c>
      <c r="T37" s="44">
        <f>R37-S37</f>
        <v>43413</v>
      </c>
    </row>
    <row r="38" spans="1:20" ht="12" customHeight="1" x14ac:dyDescent="0.25">
      <c r="A38" s="25" t="s">
        <v>39</v>
      </c>
      <c r="B38" s="29" t="s">
        <v>267</v>
      </c>
      <c r="D38" s="41"/>
      <c r="E38" s="81">
        <v>3576</v>
      </c>
      <c r="F38" s="81"/>
      <c r="G38" s="81"/>
      <c r="H38" s="42"/>
      <c r="I38" s="42"/>
      <c r="J38" s="64">
        <f>SUM(D38:I38)</f>
        <v>3576</v>
      </c>
      <c r="K38" s="41"/>
      <c r="L38" s="42"/>
      <c r="M38" s="42">
        <f>SUM(J38:L38)</f>
        <v>3576</v>
      </c>
      <c r="N38" s="42">
        <f>ROUND(_xll.HPVAL($A38,$A$1,$A$2,$A$3,$A$4,$A$6)/1000,0)</f>
        <v>2000</v>
      </c>
      <c r="O38" s="83">
        <f>M38-N38</f>
        <v>1576</v>
      </c>
      <c r="R38" s="44">
        <f>N38-Expenses!E35-'CapChrg-AllocExp'!E36</f>
        <v>-3544</v>
      </c>
      <c r="S38" s="44">
        <f>J38+K38-Expenses!D35-'CapChrg-AllocExp'!D36</f>
        <v>-374</v>
      </c>
      <c r="T38" s="44">
        <f>R38-S38</f>
        <v>-3170</v>
      </c>
    </row>
    <row r="39" spans="1:20" ht="12.75" hidden="1" customHeight="1" x14ac:dyDescent="0.25">
      <c r="A39" s="25" t="s">
        <v>153</v>
      </c>
      <c r="B39" s="45" t="s">
        <v>180</v>
      </c>
      <c r="D39" s="41"/>
      <c r="E39" s="81">
        <f>3621-1049</f>
        <v>2572</v>
      </c>
      <c r="F39" s="81">
        <v>5</v>
      </c>
      <c r="G39" s="81"/>
      <c r="H39" s="42"/>
      <c r="I39" s="42"/>
      <c r="J39" s="64">
        <f>SUM(D39:I39)</f>
        <v>2577</v>
      </c>
      <c r="K39" s="41">
        <f>Greensheet!M88</f>
        <v>0</v>
      </c>
      <c r="L39" s="42"/>
      <c r="M39" s="42">
        <f>SUM(J39:L39)</f>
        <v>2577</v>
      </c>
      <c r="N39" s="42">
        <f>ROUND(_xll.HPVAL($A39,$A$1,$A$2,$A$3,$A$4,$A$6)/1000,0)</f>
        <v>8222</v>
      </c>
      <c r="O39" s="83">
        <f>M39-N39</f>
        <v>-5645</v>
      </c>
      <c r="R39" s="44">
        <f>N39-Expenses!E36-'CapChrg-AllocExp'!E37</f>
        <v>1900</v>
      </c>
      <c r="S39" s="44">
        <f>J39+K39-Expenses!D36-'CapChrg-AllocExp'!D37</f>
        <v>-1301</v>
      </c>
      <c r="T39" s="44">
        <f>R39-S39</f>
        <v>3201</v>
      </c>
    </row>
    <row r="40" spans="1:20" ht="12.75" hidden="1" customHeight="1" x14ac:dyDescent="0.25">
      <c r="A40" s="25" t="s">
        <v>157</v>
      </c>
      <c r="B40" s="45" t="s">
        <v>154</v>
      </c>
      <c r="D40" s="41"/>
      <c r="E40" s="81">
        <v>-15032</v>
      </c>
      <c r="F40" s="81">
        <v>-369</v>
      </c>
      <c r="G40" s="81"/>
      <c r="H40" s="42">
        <v>0</v>
      </c>
      <c r="I40" s="42"/>
      <c r="J40" s="64">
        <f>SUM(D40:I40)</f>
        <v>-15401</v>
      </c>
      <c r="K40" s="41"/>
      <c r="L40" s="42"/>
      <c r="M40" s="42">
        <f>SUM(J40:L40)</f>
        <v>-15401</v>
      </c>
      <c r="N40" s="42">
        <f>ROUND(_xll.HPVAL($A40,$A$1,$A$2,$A$3,$A$4,$A$6)/1000,0)</f>
        <v>6483</v>
      </c>
      <c r="O40" s="83">
        <f>M40-N40</f>
        <v>-21884</v>
      </c>
      <c r="R40" s="134">
        <f>N40-Expenses!E37-'CapChrg-AllocExp'!E39</f>
        <v>-1561</v>
      </c>
      <c r="S40" s="134">
        <f>J40+K40-Expenses!D37-'CapChrg-AllocExp'!D39</f>
        <v>-24499</v>
      </c>
      <c r="T40" s="44">
        <f>R40-S40</f>
        <v>22938</v>
      </c>
    </row>
    <row r="41" spans="1:20" ht="12" customHeight="1" x14ac:dyDescent="0.25">
      <c r="B41" s="29" t="s">
        <v>154</v>
      </c>
      <c r="D41" s="41">
        <f>SUM(D39:D40)</f>
        <v>0</v>
      </c>
      <c r="E41" s="81">
        <f>SUM(E39:E40)</f>
        <v>-12460</v>
      </c>
      <c r="F41" s="81">
        <f>SUM(F39:F40)</f>
        <v>-364</v>
      </c>
      <c r="G41" s="81"/>
      <c r="H41" s="81">
        <f>SUM(H39:H40)</f>
        <v>0</v>
      </c>
      <c r="I41" s="42">
        <f>SUM(I39:I40)</f>
        <v>0</v>
      </c>
      <c r="J41" s="64">
        <f>SUM(D41:I41)</f>
        <v>-12824</v>
      </c>
      <c r="K41" s="41"/>
      <c r="L41" s="42">
        <f>SUM(L39:L40)</f>
        <v>0</v>
      </c>
      <c r="M41" s="42">
        <f>SUM(J41:L41)</f>
        <v>-12824</v>
      </c>
      <c r="N41" s="42">
        <f>SUM(N39:N40)</f>
        <v>14705</v>
      </c>
      <c r="O41" s="83">
        <f>SUM(O39:O40)</f>
        <v>-27529</v>
      </c>
      <c r="R41" s="44"/>
      <c r="S41" s="44"/>
      <c r="T41" s="44"/>
    </row>
    <row r="42" spans="1:20" ht="3" customHeight="1" x14ac:dyDescent="0.25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25">
      <c r="B43" s="106" t="s">
        <v>87</v>
      </c>
      <c r="C43" s="91"/>
      <c r="D43" s="99">
        <f t="shared" ref="D43:O43" si="9">SUM(D37:D40)</f>
        <v>0</v>
      </c>
      <c r="E43" s="100">
        <f>E37+E38+E41</f>
        <v>-38559</v>
      </c>
      <c r="F43" s="100">
        <f>F37+F38+F41</f>
        <v>-363</v>
      </c>
      <c r="G43" s="100"/>
      <c r="H43" s="100">
        <f t="shared" si="9"/>
        <v>0</v>
      </c>
      <c r="I43" s="100">
        <f t="shared" si="9"/>
        <v>0</v>
      </c>
      <c r="J43" s="99">
        <f t="shared" si="9"/>
        <v>-38922</v>
      </c>
      <c r="K43" s="99">
        <f t="shared" si="9"/>
        <v>0</v>
      </c>
      <c r="L43" s="100">
        <f t="shared" si="9"/>
        <v>0</v>
      </c>
      <c r="M43" s="100">
        <f>M37+M38+M41</f>
        <v>-38922</v>
      </c>
      <c r="N43" s="100">
        <f>N37+N38+N41</f>
        <v>32090</v>
      </c>
      <c r="O43" s="102">
        <f t="shared" si="9"/>
        <v>-71012</v>
      </c>
      <c r="R43" s="100">
        <f>SUM(R37:R41)</f>
        <v>9403</v>
      </c>
      <c r="S43" s="100">
        <f>SUM(S37:S41)</f>
        <v>-56979</v>
      </c>
      <c r="T43" s="100">
        <f>SUM(T37:T41)</f>
        <v>66382</v>
      </c>
    </row>
    <row r="44" spans="1:20" ht="3" customHeight="1" x14ac:dyDescent="0.25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5">
      <c r="A45" s="25" t="s">
        <v>82</v>
      </c>
      <c r="B45" s="29" t="s">
        <v>8</v>
      </c>
      <c r="D45" s="41"/>
      <c r="E45" s="42">
        <v>319</v>
      </c>
      <c r="F45" s="42"/>
      <c r="G45" s="42"/>
      <c r="H45" s="42"/>
      <c r="I45" s="42"/>
      <c r="J45" s="64">
        <f>SUM(D45:I45)</f>
        <v>319</v>
      </c>
      <c r="K45" s="41"/>
      <c r="L45" s="42"/>
      <c r="M45" s="42">
        <f>SUM(J45:L45)</f>
        <v>319</v>
      </c>
      <c r="N45" s="42">
        <f>ROUND(_xll.HPVAL($A45,$A$1,$A$2,$A$3,$A$4,$A$6)/1000,0)</f>
        <v>2500</v>
      </c>
      <c r="O45" s="83">
        <f>M45-N45</f>
        <v>-2181</v>
      </c>
      <c r="R45" s="134">
        <f>N45-Expenses!E41-'CapChrg-AllocExp'!E42</f>
        <v>-2117</v>
      </c>
      <c r="S45" s="134">
        <f>J45+K45-Expenses!D41-'CapChrg-AllocExp'!D42</f>
        <v>-5809</v>
      </c>
      <c r="T45" s="44">
        <f>R45-S45</f>
        <v>3692</v>
      </c>
    </row>
    <row r="46" spans="1:20" ht="3" customHeight="1" x14ac:dyDescent="0.25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5">
      <c r="A47" s="25" t="s">
        <v>44</v>
      </c>
      <c r="B47" s="29" t="s">
        <v>7</v>
      </c>
      <c r="D47" s="41">
        <v>-18812</v>
      </c>
      <c r="E47" s="42"/>
      <c r="F47" s="42"/>
      <c r="G47" s="42"/>
      <c r="H47" s="42"/>
      <c r="I47" s="42"/>
      <c r="J47" s="64">
        <f>SUM(D47:I47)</f>
        <v>-18812</v>
      </c>
      <c r="K47" s="41"/>
      <c r="L47" s="42"/>
      <c r="M47" s="42">
        <f>SUM(J47:L47)</f>
        <v>-18812</v>
      </c>
      <c r="N47" s="42"/>
      <c r="O47" s="83">
        <f>M47-N47</f>
        <v>-18812</v>
      </c>
      <c r="R47" s="44"/>
      <c r="S47" s="44"/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5">
      <c r="A49" s="25" t="s">
        <v>46</v>
      </c>
      <c r="B49" s="29" t="s">
        <v>18</v>
      </c>
      <c r="D49" s="41"/>
      <c r="E49" s="42">
        <v>-3777</v>
      </c>
      <c r="F49" s="42">
        <v>-15401</v>
      </c>
      <c r="G49" s="42"/>
      <c r="H49" s="42"/>
      <c r="I49" s="42"/>
      <c r="J49" s="64">
        <f>SUM(D49:I49)</f>
        <v>-19178</v>
      </c>
      <c r="K49" s="41"/>
      <c r="L49" s="42"/>
      <c r="M49" s="42">
        <f>SUM(J49:L49)</f>
        <v>-19178</v>
      </c>
      <c r="N49" s="42">
        <f>ROUND(_xll.HPVAL($A49,$A$1,$A$2,$A$3,$A$4,$A$6)/1000,0)</f>
        <v>-10795</v>
      </c>
      <c r="O49" s="83">
        <f>M49-N49</f>
        <v>-8383</v>
      </c>
      <c r="T49" s="44"/>
    </row>
    <row r="50" spans="1:20" ht="3" customHeight="1" x14ac:dyDescent="0.25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5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44888+7328</f>
        <v>52216</v>
      </c>
      <c r="O51" s="83">
        <f>M51-N51</f>
        <v>-52216</v>
      </c>
      <c r="T51" s="44"/>
    </row>
    <row r="52" spans="1:20" ht="3" customHeight="1" x14ac:dyDescent="0.25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25">
      <c r="B53" s="75" t="s">
        <v>14</v>
      </c>
      <c r="D53" s="95">
        <f>SUM(D43:D51)+D34+D20</f>
        <v>518657</v>
      </c>
      <c r="E53" s="96">
        <f>SUM(E43:E51)+E34+E20</f>
        <v>-22228</v>
      </c>
      <c r="F53" s="96">
        <f>SUM(F43:F51)+F34+F20</f>
        <v>2794</v>
      </c>
      <c r="G53" s="96" t="s">
        <v>269</v>
      </c>
      <c r="H53" s="96">
        <f t="shared" ref="H53:O53" si="10">SUM(H43:H51)+H34+H20</f>
        <v>19080</v>
      </c>
      <c r="I53" s="96">
        <f t="shared" si="10"/>
        <v>0</v>
      </c>
      <c r="J53" s="95">
        <f t="shared" si="10"/>
        <v>518303</v>
      </c>
      <c r="K53" s="95">
        <f t="shared" si="10"/>
        <v>0</v>
      </c>
      <c r="L53" s="96">
        <f t="shared" si="10"/>
        <v>0</v>
      </c>
      <c r="M53" s="96">
        <f t="shared" si="10"/>
        <v>518303</v>
      </c>
      <c r="N53" s="96">
        <f t="shared" si="10"/>
        <v>382014</v>
      </c>
      <c r="O53" s="98">
        <f t="shared" si="10"/>
        <v>136289</v>
      </c>
    </row>
    <row r="54" spans="1:20" ht="3" customHeight="1" x14ac:dyDescent="0.25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5">
      <c r="B55" s="287" t="s">
        <v>260</v>
      </c>
      <c r="C55" s="1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5">
      <c r="B56" s="287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5">
      <c r="B57" s="28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176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 t="s">
        <v>286</v>
      </c>
      <c r="N60" s="44"/>
      <c r="O60" s="44"/>
    </row>
    <row r="61" spans="1:20" x14ac:dyDescent="0.25">
      <c r="B61" s="27" t="s">
        <v>3</v>
      </c>
      <c r="D61" s="44">
        <f>D10+D15+D11+D28+D27</f>
        <v>308305</v>
      </c>
    </row>
    <row r="62" spans="1:20" x14ac:dyDescent="0.25">
      <c r="B62" s="27" t="s">
        <v>128</v>
      </c>
      <c r="D62" s="44">
        <f>D16+D17+D18+D24</f>
        <v>2425</v>
      </c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2000-06-23T17:44:50Z</cp:lastPrinted>
  <dcterms:created xsi:type="dcterms:W3CDTF">1999-10-18T12:36:30Z</dcterms:created>
  <dcterms:modified xsi:type="dcterms:W3CDTF">2023-09-17T00:21:23Z</dcterms:modified>
</cp:coreProperties>
</file>