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727AE-201F-4572-9D68-990287AF2B6A}" xr6:coauthVersionLast="47" xr6:coauthVersionMax="47" xr10:uidLastSave="{00000000-0000-0000-0000-000000000000}"/>
  <bookViews>
    <workbookView xWindow="-120" yWindow="-120" windowWidth="38640" windowHeight="15720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K10" i="4"/>
  <c r="L10" i="4"/>
  <c r="M10" i="4"/>
  <c r="D11" i="4"/>
  <c r="E11" i="4"/>
  <c r="F11" i="4"/>
  <c r="K11" i="4"/>
  <c r="L11" i="4"/>
  <c r="M11" i="4"/>
  <c r="E12" i="4"/>
  <c r="F12" i="4"/>
  <c r="K12" i="4"/>
  <c r="L12" i="4"/>
  <c r="M12" i="4"/>
  <c r="D13" i="4"/>
  <c r="E13" i="4"/>
  <c r="F13" i="4"/>
  <c r="K13" i="4"/>
  <c r="L13" i="4"/>
  <c r="M13" i="4"/>
  <c r="D14" i="4"/>
  <c r="E14" i="4"/>
  <c r="F14" i="4"/>
  <c r="K14" i="4"/>
  <c r="L14" i="4"/>
  <c r="M14" i="4"/>
  <c r="F15" i="4"/>
  <c r="K15" i="4"/>
  <c r="L15" i="4"/>
  <c r="M15" i="4"/>
  <c r="F16" i="4"/>
  <c r="L16" i="4"/>
  <c r="M16" i="4"/>
  <c r="D17" i="4"/>
  <c r="E17" i="4"/>
  <c r="F17" i="4"/>
  <c r="L17" i="4"/>
  <c r="M17" i="4"/>
  <c r="D18" i="4"/>
  <c r="E18" i="4"/>
  <c r="F18" i="4"/>
  <c r="K18" i="4"/>
  <c r="L18" i="4"/>
  <c r="M18" i="4"/>
  <c r="D19" i="4"/>
  <c r="E19" i="4"/>
  <c r="F19" i="4"/>
  <c r="K19" i="4"/>
  <c r="L19" i="4"/>
  <c r="M19" i="4"/>
  <c r="D21" i="4"/>
  <c r="E21" i="4"/>
  <c r="F21" i="4"/>
  <c r="K21" i="4"/>
  <c r="L21" i="4"/>
  <c r="M21" i="4"/>
  <c r="E22" i="4"/>
  <c r="F22" i="4"/>
  <c r="K22" i="4"/>
  <c r="L22" i="4"/>
  <c r="M22" i="4"/>
  <c r="D23" i="4"/>
  <c r="E23" i="4"/>
  <c r="F23" i="4"/>
  <c r="L23" i="4"/>
  <c r="M23" i="4"/>
  <c r="E24" i="4"/>
  <c r="F24" i="4"/>
  <c r="K24" i="4"/>
  <c r="L24" i="4"/>
  <c r="M24" i="4"/>
  <c r="F25" i="4"/>
  <c r="M25" i="4"/>
  <c r="F26" i="4"/>
  <c r="K26" i="4"/>
  <c r="M26" i="4"/>
  <c r="E27" i="4"/>
  <c r="F27" i="4"/>
  <c r="K27" i="4"/>
  <c r="L27" i="4"/>
  <c r="M27" i="4"/>
  <c r="F28" i="4"/>
  <c r="K28" i="4"/>
  <c r="L28" i="4"/>
  <c r="M28" i="4"/>
  <c r="F29" i="4"/>
  <c r="K29" i="4"/>
  <c r="L29" i="4"/>
  <c r="M29" i="4"/>
  <c r="E30" i="4"/>
  <c r="F30" i="4"/>
  <c r="L30" i="4"/>
  <c r="M30" i="4"/>
  <c r="D31" i="4"/>
  <c r="E31" i="4"/>
  <c r="F31" i="4"/>
  <c r="K31" i="4"/>
  <c r="L31" i="4"/>
  <c r="M31" i="4"/>
  <c r="D32" i="4"/>
  <c r="E32" i="4"/>
  <c r="F32" i="4"/>
  <c r="K32" i="4"/>
  <c r="L32" i="4"/>
  <c r="M32" i="4"/>
  <c r="E35" i="4"/>
  <c r="F35" i="4"/>
  <c r="K35" i="4"/>
  <c r="L35" i="4"/>
  <c r="M35" i="4"/>
  <c r="E36" i="4"/>
  <c r="F36" i="4"/>
  <c r="K36" i="4"/>
  <c r="L36" i="4"/>
  <c r="M36" i="4"/>
  <c r="D37" i="4"/>
  <c r="E37" i="4"/>
  <c r="F37" i="4"/>
  <c r="K37" i="4"/>
  <c r="L37" i="4"/>
  <c r="M37" i="4"/>
  <c r="E38" i="4"/>
  <c r="F38" i="4"/>
  <c r="K38" i="4"/>
  <c r="L38" i="4"/>
  <c r="M38" i="4"/>
  <c r="D39" i="4"/>
  <c r="E39" i="4"/>
  <c r="F39" i="4"/>
  <c r="K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M52" i="4"/>
  <c r="D54" i="4"/>
  <c r="E54" i="4"/>
  <c r="F54" i="4"/>
  <c r="K54" i="4"/>
  <c r="L54" i="4"/>
  <c r="M54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1" i="19"/>
  <c r="E41" i="19"/>
  <c r="F41" i="19"/>
  <c r="D43" i="19"/>
  <c r="E43" i="19"/>
  <c r="F43" i="19"/>
  <c r="D45" i="19"/>
  <c r="E45" i="19"/>
  <c r="F45" i="19"/>
  <c r="D47" i="19"/>
  <c r="E47" i="19"/>
  <c r="F47" i="19"/>
  <c r="D49" i="19"/>
  <c r="E49" i="19"/>
  <c r="F49" i="19"/>
  <c r="D51" i="19"/>
  <c r="E51" i="19"/>
  <c r="F51" i="19"/>
  <c r="D53" i="19"/>
  <c r="E53" i="19"/>
  <c r="F53" i="19"/>
  <c r="D58" i="19"/>
  <c r="E58" i="19"/>
  <c r="F58" i="19"/>
  <c r="D59" i="19"/>
  <c r="E59" i="19"/>
  <c r="F59" i="19"/>
  <c r="D60" i="19"/>
  <c r="E60" i="19"/>
  <c r="F60" i="19"/>
  <c r="B4" i="3"/>
  <c r="D9" i="3"/>
  <c r="E9" i="3"/>
  <c r="F9" i="3"/>
  <c r="E10" i="3"/>
  <c r="F10" i="3"/>
  <c r="D11" i="3"/>
  <c r="E11" i="3"/>
  <c r="F11" i="3"/>
  <c r="E12" i="3"/>
  <c r="F12" i="3"/>
  <c r="E13" i="3"/>
  <c r="F13" i="3"/>
  <c r="E14" i="3"/>
  <c r="F14" i="3"/>
  <c r="D15" i="3"/>
  <c r="E15" i="3"/>
  <c r="F15" i="3"/>
  <c r="E16" i="3"/>
  <c r="F16" i="3"/>
  <c r="D17" i="3"/>
  <c r="E17" i="3"/>
  <c r="F17" i="3"/>
  <c r="D18" i="3"/>
  <c r="E18" i="3"/>
  <c r="F18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F27" i="3"/>
  <c r="F28" i="3"/>
  <c r="E29" i="3"/>
  <c r="F29" i="3"/>
  <c r="E30" i="3"/>
  <c r="F30" i="3"/>
  <c r="D31" i="3"/>
  <c r="E31" i="3"/>
  <c r="F31" i="3"/>
  <c r="E34" i="3"/>
  <c r="F34" i="3"/>
  <c r="E35" i="3"/>
  <c r="F35" i="3"/>
  <c r="E36" i="3"/>
  <c r="F36" i="3"/>
  <c r="D37" i="3"/>
  <c r="E37" i="3"/>
  <c r="F37" i="3"/>
  <c r="D38" i="3"/>
  <c r="E38" i="3"/>
  <c r="F38" i="3"/>
  <c r="D39" i="3"/>
  <c r="E39" i="3"/>
  <c r="F39" i="3"/>
  <c r="E41" i="3"/>
  <c r="F41" i="3"/>
  <c r="D43" i="3"/>
  <c r="E43" i="3"/>
  <c r="F43" i="3"/>
  <c r="D45" i="3"/>
  <c r="E45" i="3"/>
  <c r="F45" i="3"/>
  <c r="D47" i="3"/>
  <c r="E47" i="3"/>
  <c r="F47" i="3"/>
  <c r="F49" i="3"/>
  <c r="E51" i="3"/>
  <c r="F51" i="3"/>
  <c r="D53" i="3"/>
  <c r="E53" i="3"/>
  <c r="F53" i="3"/>
  <c r="F58" i="3"/>
  <c r="F59" i="3"/>
  <c r="F60" i="3"/>
  <c r="D61" i="3"/>
  <c r="E61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9" i="9"/>
  <c r="D19" i="9"/>
  <c r="E19" i="9"/>
  <c r="F19" i="9"/>
  <c r="G19" i="9"/>
  <c r="H19" i="9"/>
  <c r="J19" i="9"/>
  <c r="K19" i="9"/>
  <c r="C21" i="9"/>
  <c r="D21" i="9"/>
  <c r="E21" i="9"/>
  <c r="F21" i="9"/>
  <c r="G21" i="9"/>
  <c r="H21" i="9"/>
  <c r="J21" i="9"/>
  <c r="K21" i="9"/>
  <c r="C22" i="9"/>
  <c r="D22" i="9"/>
  <c r="E22" i="9"/>
  <c r="F22" i="9"/>
  <c r="G22" i="9"/>
  <c r="H22" i="9"/>
  <c r="J22" i="9"/>
  <c r="K22" i="9"/>
  <c r="C23" i="9"/>
  <c r="D23" i="9"/>
  <c r="E23" i="9"/>
  <c r="F23" i="9"/>
  <c r="G23" i="9"/>
  <c r="H23" i="9"/>
  <c r="J23" i="9"/>
  <c r="K23" i="9"/>
  <c r="C24" i="9"/>
  <c r="D24" i="9"/>
  <c r="E24" i="9"/>
  <c r="F24" i="9"/>
  <c r="G24" i="9"/>
  <c r="H24" i="9"/>
  <c r="J24" i="9"/>
  <c r="K24" i="9"/>
  <c r="C25" i="9"/>
  <c r="D25" i="9"/>
  <c r="E25" i="9"/>
  <c r="F25" i="9"/>
  <c r="G25" i="9"/>
  <c r="H25" i="9"/>
  <c r="J25" i="9"/>
  <c r="K25" i="9"/>
  <c r="C26" i="9"/>
  <c r="D26" i="9"/>
  <c r="E26" i="9"/>
  <c r="F26" i="9"/>
  <c r="H26" i="9"/>
  <c r="J26" i="9"/>
  <c r="K26" i="9"/>
  <c r="C27" i="9"/>
  <c r="D27" i="9"/>
  <c r="E27" i="9"/>
  <c r="F27" i="9"/>
  <c r="H27" i="9"/>
  <c r="J27" i="9"/>
  <c r="K27" i="9"/>
  <c r="C28" i="9"/>
  <c r="D28" i="9"/>
  <c r="E28" i="9"/>
  <c r="F28" i="9"/>
  <c r="H28" i="9"/>
  <c r="J28" i="9"/>
  <c r="K28" i="9"/>
  <c r="C29" i="9"/>
  <c r="D29" i="9"/>
  <c r="E29" i="9"/>
  <c r="F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3" i="9"/>
  <c r="D33" i="9"/>
  <c r="E33" i="9"/>
  <c r="F33" i="9"/>
  <c r="G33" i="9"/>
  <c r="H33" i="9"/>
  <c r="J33" i="9"/>
  <c r="K33" i="9"/>
  <c r="C36" i="9"/>
  <c r="D36" i="9"/>
  <c r="E36" i="9"/>
  <c r="F36" i="9"/>
  <c r="H36" i="9"/>
  <c r="J36" i="9"/>
  <c r="K36" i="9"/>
  <c r="C37" i="9"/>
  <c r="D37" i="9"/>
  <c r="E37" i="9"/>
  <c r="F37" i="9"/>
  <c r="H37" i="9"/>
  <c r="J37" i="9"/>
  <c r="K37" i="9"/>
  <c r="C38" i="9"/>
  <c r="D38" i="9"/>
  <c r="E38" i="9"/>
  <c r="F38" i="9"/>
  <c r="H38" i="9"/>
  <c r="J38" i="9"/>
  <c r="K38" i="9"/>
  <c r="C39" i="9"/>
  <c r="D39" i="9"/>
  <c r="E39" i="9"/>
  <c r="F39" i="9"/>
  <c r="H39" i="9"/>
  <c r="J39" i="9"/>
  <c r="K39" i="9"/>
  <c r="C40" i="9"/>
  <c r="D40" i="9"/>
  <c r="E40" i="9"/>
  <c r="F40" i="9"/>
  <c r="H40" i="9"/>
  <c r="J40" i="9"/>
  <c r="K40" i="9"/>
  <c r="C42" i="9"/>
  <c r="D42" i="9"/>
  <c r="E42" i="9"/>
  <c r="F42" i="9"/>
  <c r="G42" i="9"/>
  <c r="H42" i="9"/>
  <c r="J42" i="9"/>
  <c r="K42" i="9"/>
  <c r="C44" i="9"/>
  <c r="D44" i="9"/>
  <c r="E44" i="9"/>
  <c r="F44" i="9"/>
  <c r="H44" i="9"/>
  <c r="J44" i="9"/>
  <c r="K44" i="9"/>
  <c r="C46" i="9"/>
  <c r="D46" i="9"/>
  <c r="E46" i="9"/>
  <c r="F46" i="9"/>
  <c r="H46" i="9"/>
  <c r="J46" i="9"/>
  <c r="K46" i="9"/>
  <c r="C48" i="9"/>
  <c r="D48" i="9"/>
  <c r="E48" i="9"/>
  <c r="F48" i="9"/>
  <c r="H48" i="9"/>
  <c r="J48" i="9"/>
  <c r="K48" i="9"/>
  <c r="C50" i="9"/>
  <c r="D50" i="9"/>
  <c r="E50" i="9"/>
  <c r="F50" i="9"/>
  <c r="H50" i="9"/>
  <c r="J50" i="9"/>
  <c r="K50" i="9"/>
  <c r="C52" i="9"/>
  <c r="D52" i="9"/>
  <c r="E52" i="9"/>
  <c r="F52" i="9"/>
  <c r="G52" i="9"/>
  <c r="H52" i="9"/>
  <c r="J52" i="9"/>
  <c r="K52" i="9"/>
  <c r="I60" i="9"/>
  <c r="J60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J12" i="2"/>
  <c r="M12" i="2"/>
  <c r="N12" i="2"/>
  <c r="O12" i="2"/>
  <c r="R12" i="2"/>
  <c r="S12" i="2"/>
  <c r="T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J15" i="2"/>
  <c r="M15" i="2"/>
  <c r="O15" i="2"/>
  <c r="R15" i="2"/>
  <c r="S15" i="2"/>
  <c r="T15" i="2"/>
  <c r="J16" i="2"/>
  <c r="M16" i="2"/>
  <c r="N16" i="2"/>
  <c r="O16" i="2"/>
  <c r="R16" i="2"/>
  <c r="S16" i="2"/>
  <c r="T16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D20" i="2"/>
  <c r="E20" i="2"/>
  <c r="F20" i="2"/>
  <c r="H20" i="2"/>
  <c r="I20" i="2"/>
  <c r="J20" i="2"/>
  <c r="K20" i="2"/>
  <c r="L20" i="2"/>
  <c r="M20" i="2"/>
  <c r="N20" i="2"/>
  <c r="O20" i="2"/>
  <c r="R20" i="2"/>
  <c r="S20" i="2"/>
  <c r="T20" i="2"/>
  <c r="J22" i="2"/>
  <c r="M22" i="2"/>
  <c r="N22" i="2"/>
  <c r="O22" i="2"/>
  <c r="R22" i="2"/>
  <c r="S22" i="2"/>
  <c r="T22" i="2"/>
  <c r="J23" i="2"/>
  <c r="M23" i="2"/>
  <c r="N23" i="2"/>
  <c r="O23" i="2"/>
  <c r="R23" i="2"/>
  <c r="S23" i="2"/>
  <c r="T23" i="2"/>
  <c r="D24" i="2"/>
  <c r="E24" i="2"/>
  <c r="J24" i="2"/>
  <c r="M24" i="2"/>
  <c r="N24" i="2"/>
  <c r="O24" i="2"/>
  <c r="R24" i="2"/>
  <c r="S24" i="2"/>
  <c r="T24" i="2"/>
  <c r="J25" i="2"/>
  <c r="M25" i="2"/>
  <c r="N25" i="2"/>
  <c r="O25" i="2"/>
  <c r="R25" i="2"/>
  <c r="S25" i="2"/>
  <c r="T25" i="2"/>
  <c r="J26" i="2"/>
  <c r="M26" i="2"/>
  <c r="N26" i="2"/>
  <c r="O26" i="2"/>
  <c r="H27" i="2"/>
  <c r="J27" i="2"/>
  <c r="M27" i="2"/>
  <c r="O27" i="2"/>
  <c r="J28" i="2"/>
  <c r="M28" i="2"/>
  <c r="N28" i="2"/>
  <c r="O28" i="2"/>
  <c r="R28" i="2"/>
  <c r="S28" i="2"/>
  <c r="T28" i="2"/>
  <c r="H29" i="2"/>
  <c r="J29" i="2"/>
  <c r="M29" i="2"/>
  <c r="N29" i="2"/>
  <c r="O29" i="2"/>
  <c r="J30" i="2"/>
  <c r="M30" i="2"/>
  <c r="N30" i="2"/>
  <c r="O30" i="2"/>
  <c r="J31" i="2"/>
  <c r="M31" i="2"/>
  <c r="N31" i="2"/>
  <c r="O31" i="2"/>
  <c r="R31" i="2"/>
  <c r="S31" i="2"/>
  <c r="T31" i="2"/>
  <c r="J32" i="2"/>
  <c r="M32" i="2"/>
  <c r="N32" i="2"/>
  <c r="O32" i="2"/>
  <c r="R32" i="2"/>
  <c r="S32" i="2"/>
  <c r="T32" i="2"/>
  <c r="D34" i="2"/>
  <c r="E34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J37" i="2"/>
  <c r="M37" i="2"/>
  <c r="N37" i="2"/>
  <c r="O37" i="2"/>
  <c r="R37" i="2"/>
  <c r="S37" i="2"/>
  <c r="T37" i="2"/>
  <c r="J38" i="2"/>
  <c r="M38" i="2"/>
  <c r="N38" i="2"/>
  <c r="O38" i="2"/>
  <c r="R38" i="2"/>
  <c r="S38" i="2"/>
  <c r="T38" i="2"/>
  <c r="E39" i="2"/>
  <c r="F39" i="2"/>
  <c r="J39" i="2"/>
  <c r="K39" i="2"/>
  <c r="M39" i="2"/>
  <c r="N39" i="2"/>
  <c r="O39" i="2"/>
  <c r="R39" i="2"/>
  <c r="S39" i="2"/>
  <c r="T39" i="2"/>
  <c r="J40" i="2"/>
  <c r="M40" i="2"/>
  <c r="N40" i="2"/>
  <c r="O40" i="2"/>
  <c r="R40" i="2"/>
  <c r="S40" i="2"/>
  <c r="T40" i="2"/>
  <c r="D41" i="2"/>
  <c r="E41" i="2"/>
  <c r="F41" i="2"/>
  <c r="H41" i="2"/>
  <c r="I41" i="2"/>
  <c r="J41" i="2"/>
  <c r="L41" i="2"/>
  <c r="M41" i="2"/>
  <c r="N41" i="2"/>
  <c r="O41" i="2"/>
  <c r="D43" i="2"/>
  <c r="E43" i="2"/>
  <c r="F43" i="2"/>
  <c r="H43" i="2"/>
  <c r="I43" i="2"/>
  <c r="J43" i="2"/>
  <c r="K43" i="2"/>
  <c r="L43" i="2"/>
  <c r="M43" i="2"/>
  <c r="N43" i="2"/>
  <c r="O43" i="2"/>
  <c r="R43" i="2"/>
  <c r="S43" i="2"/>
  <c r="T43" i="2"/>
  <c r="J45" i="2"/>
  <c r="M45" i="2"/>
  <c r="N45" i="2"/>
  <c r="O45" i="2"/>
  <c r="R45" i="2"/>
  <c r="S45" i="2"/>
  <c r="T45" i="2"/>
  <c r="J47" i="2"/>
  <c r="M47" i="2"/>
  <c r="O47" i="2"/>
  <c r="J49" i="2"/>
  <c r="M49" i="2"/>
  <c r="N49" i="2"/>
  <c r="O49" i="2"/>
  <c r="J51" i="2"/>
  <c r="M51" i="2"/>
  <c r="N51" i="2"/>
  <c r="O51" i="2"/>
  <c r="D53" i="2"/>
  <c r="E53" i="2"/>
  <c r="F53" i="2"/>
  <c r="H53" i="2"/>
  <c r="I53" i="2"/>
  <c r="J53" i="2"/>
  <c r="K53" i="2"/>
  <c r="L53" i="2"/>
  <c r="M53" i="2"/>
  <c r="N53" i="2"/>
  <c r="O53" i="2"/>
  <c r="D61" i="2"/>
  <c r="D62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D34" i="8"/>
  <c r="E34" i="8"/>
  <c r="F34" i="8"/>
  <c r="H34" i="8"/>
  <c r="I34" i="8"/>
  <c r="J34" i="8"/>
  <c r="L34" i="8"/>
  <c r="M34" i="8"/>
  <c r="N34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K11" i="1"/>
  <c r="L11" i="1"/>
  <c r="M11" i="1"/>
  <c r="N11" i="1"/>
  <c r="O11" i="1"/>
  <c r="Q11" i="1"/>
  <c r="R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C27" i="1"/>
  <c r="D27" i="1"/>
  <c r="E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L29" i="1"/>
  <c r="M29" i="1"/>
  <c r="N29" i="1"/>
  <c r="O29" i="1"/>
  <c r="Q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4" i="1"/>
  <c r="D34" i="1"/>
  <c r="E34" i="1"/>
  <c r="G34" i="1"/>
  <c r="H34" i="1"/>
  <c r="I34" i="1"/>
  <c r="J34" i="1"/>
  <c r="L34" i="1"/>
  <c r="M34" i="1"/>
  <c r="N34" i="1"/>
  <c r="O34" i="1"/>
  <c r="Q34" i="1"/>
  <c r="S34" i="1"/>
  <c r="T34" i="1"/>
  <c r="U34" i="1"/>
  <c r="V34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1" i="1"/>
  <c r="E41" i="1"/>
  <c r="G41" i="1"/>
  <c r="I41" i="1"/>
  <c r="J41" i="1"/>
  <c r="O41" i="1"/>
  <c r="Q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O47" i="1"/>
  <c r="T47" i="1"/>
  <c r="V47" i="1"/>
  <c r="E48" i="1"/>
  <c r="D49" i="1"/>
  <c r="E49" i="1"/>
  <c r="N49" i="1"/>
  <c r="O49" i="1"/>
  <c r="U49" i="1"/>
  <c r="V49" i="1"/>
  <c r="D51" i="1"/>
  <c r="E51" i="1"/>
  <c r="M51" i="1"/>
  <c r="O51" i="1"/>
  <c r="T51" i="1"/>
  <c r="V51" i="1"/>
  <c r="D53" i="1"/>
  <c r="E53" i="1"/>
  <c r="N53" i="1"/>
  <c r="O53" i="1"/>
  <c r="U53" i="1"/>
  <c r="V53" i="1"/>
  <c r="C55" i="1"/>
  <c r="D55" i="1"/>
  <c r="E55" i="1"/>
  <c r="G55" i="1"/>
  <c r="H55" i="1"/>
  <c r="I55" i="1"/>
  <c r="J55" i="1"/>
  <c r="M55" i="1"/>
  <c r="O55" i="1"/>
  <c r="Q55" i="1"/>
  <c r="T55" i="1"/>
  <c r="V55" i="1"/>
  <c r="D57" i="1"/>
  <c r="E57" i="1"/>
  <c r="J57" i="1"/>
  <c r="L57" i="1"/>
  <c r="O57" i="1"/>
  <c r="S57" i="1"/>
  <c r="V57" i="1"/>
  <c r="V58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E61" i="1"/>
  <c r="O61" i="1"/>
  <c r="T61" i="1"/>
  <c r="V61" i="1"/>
  <c r="C63" i="1"/>
  <c r="D63" i="1"/>
  <c r="E63" i="1"/>
  <c r="G63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G65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F17" i="13"/>
  <c r="G17" i="13"/>
  <c r="H17" i="13"/>
  <c r="I17" i="13"/>
  <c r="J17" i="13"/>
  <c r="L17" i="13"/>
  <c r="M17" i="13"/>
  <c r="N17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G20" i="13"/>
  <c r="H20" i="13"/>
  <c r="I20" i="13"/>
  <c r="J20" i="13"/>
  <c r="L20" i="13"/>
  <c r="M20" i="13"/>
  <c r="N20" i="13"/>
  <c r="C21" i="13"/>
  <c r="D21" i="13"/>
  <c r="E21" i="13"/>
  <c r="G21" i="13"/>
  <c r="H21" i="13"/>
  <c r="I21" i="13"/>
  <c r="J21" i="13"/>
  <c r="L21" i="13"/>
  <c r="M21" i="13"/>
  <c r="N21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F30" i="13"/>
  <c r="G30" i="13"/>
  <c r="H30" i="13"/>
  <c r="I30" i="13"/>
  <c r="J30" i="13"/>
  <c r="L30" i="13"/>
  <c r="M30" i="13"/>
  <c r="N30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G33" i="13"/>
  <c r="H33" i="13"/>
  <c r="I33" i="13"/>
  <c r="J33" i="13"/>
  <c r="L33" i="13"/>
  <c r="M33" i="13"/>
  <c r="N33" i="13"/>
  <c r="C34" i="13"/>
  <c r="D34" i="13"/>
  <c r="E34" i="13"/>
  <c r="G34" i="13"/>
  <c r="H34" i="13"/>
  <c r="I34" i="13"/>
  <c r="J34" i="13"/>
  <c r="L34" i="13"/>
  <c r="M34" i="13"/>
  <c r="N34" i="13"/>
  <c r="C35" i="13"/>
  <c r="D35" i="13"/>
  <c r="E35" i="13"/>
  <c r="G35" i="13"/>
  <c r="H35" i="13"/>
  <c r="I35" i="13"/>
  <c r="J35" i="13"/>
  <c r="L35" i="13"/>
  <c r="M35" i="13"/>
  <c r="N35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39" i="13"/>
  <c r="D39" i="13"/>
  <c r="E39" i="13"/>
  <c r="G39" i="13"/>
  <c r="H39" i="13"/>
  <c r="J39" i="13"/>
  <c r="L39" i="13"/>
  <c r="M39" i="13"/>
  <c r="N39" i="13"/>
  <c r="C40" i="13"/>
  <c r="D40" i="13"/>
  <c r="E40" i="13"/>
  <c r="G40" i="13"/>
  <c r="H40" i="13"/>
  <c r="I40" i="13"/>
  <c r="J40" i="13"/>
  <c r="L40" i="13"/>
  <c r="M40" i="13"/>
  <c r="N40" i="13"/>
  <c r="E42" i="13"/>
  <c r="G42" i="13"/>
  <c r="H42" i="13"/>
  <c r="J42" i="13"/>
  <c r="L42" i="13"/>
  <c r="M42" i="13"/>
  <c r="N42" i="13"/>
  <c r="E43" i="13"/>
  <c r="G43" i="13"/>
  <c r="H43" i="13"/>
  <c r="J43" i="13"/>
  <c r="L43" i="13"/>
  <c r="M43" i="13"/>
  <c r="N43" i="13"/>
  <c r="E44" i="13"/>
  <c r="G44" i="13"/>
  <c r="H44" i="13"/>
  <c r="J44" i="13"/>
  <c r="L44" i="13"/>
  <c r="M44" i="13"/>
  <c r="N44" i="13"/>
  <c r="E45" i="13"/>
  <c r="G45" i="13"/>
  <c r="H45" i="13"/>
  <c r="J45" i="13"/>
  <c r="L45" i="13"/>
  <c r="M45" i="13"/>
  <c r="N45" i="13"/>
  <c r="C46" i="13"/>
  <c r="D46" i="13"/>
  <c r="E46" i="13"/>
  <c r="G46" i="13"/>
  <c r="H46" i="13"/>
  <c r="J46" i="13"/>
  <c r="L46" i="13"/>
  <c r="M46" i="13"/>
  <c r="N46" i="13"/>
  <c r="E47" i="13"/>
  <c r="G47" i="13"/>
  <c r="H47" i="13"/>
  <c r="I47" i="13"/>
  <c r="J47" i="13"/>
  <c r="L47" i="13"/>
  <c r="M47" i="13"/>
  <c r="N47" i="13"/>
  <c r="C48" i="13"/>
  <c r="D48" i="13"/>
  <c r="E48" i="13"/>
  <c r="G48" i="13"/>
  <c r="H48" i="13"/>
  <c r="I48" i="13"/>
  <c r="J48" i="13"/>
  <c r="L48" i="13"/>
  <c r="M48" i="13"/>
  <c r="N48" i="13"/>
  <c r="E49" i="13"/>
  <c r="G49" i="13"/>
  <c r="H49" i="13"/>
  <c r="J49" i="13"/>
  <c r="L49" i="13"/>
  <c r="M49" i="13"/>
  <c r="N49" i="13"/>
  <c r="C50" i="13"/>
  <c r="D50" i="13"/>
  <c r="E50" i="13"/>
  <c r="G50" i="13"/>
  <c r="H50" i="13"/>
  <c r="I50" i="13"/>
  <c r="J50" i="13"/>
  <c r="L50" i="13"/>
  <c r="M50" i="13"/>
  <c r="N50" i="13"/>
  <c r="E55" i="13"/>
  <c r="I55" i="13"/>
  <c r="E56" i="13"/>
  <c r="I56" i="13"/>
  <c r="E57" i="13"/>
  <c r="J57" i="13"/>
  <c r="E59" i="13"/>
  <c r="I59" i="13"/>
  <c r="E62" i="13"/>
  <c r="I62" i="13"/>
  <c r="E63" i="13"/>
  <c r="I63" i="13"/>
  <c r="E65" i="13"/>
  <c r="I65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<sst xmlns="http://schemas.openxmlformats.org/spreadsheetml/2006/main" count="1137" uniqueCount="312">
  <si>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</si>
  <si>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</si>
  <si>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</si>
  <si>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</si>
  <si>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</si>
  <si>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</si>
  <si>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</si>
  <si>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</si>
  <si>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</si>
  <si>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</si>
  <si>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</si>
  <si>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</si>
  <si>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</si>
  <si>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</si>
  <si>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</si>
  <si>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</si>
  <si>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</si>
  <si>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</si>
  <si>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</si>
  <si>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</si>
  <si>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</si>
  <si>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</si>
  <si>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</si>
  <si>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</si>
  <si>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</si>
  <si>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</si>
  <si>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</si>
  <si>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</si>
  <si>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</si>
  <si>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</si>
  <si>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</si>
  <si>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</si>
  <si>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</si>
  <si>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</si>
  <si>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</si>
  <si>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</si>
  <si>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</si>
  <si>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</si>
  <si>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</si>
  <si>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</si>
  <si>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</si>
  <si>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</si>
  <si>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</si>
  <si>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</si>
  <si>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</si>
  <si>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</si>
  <si>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</si>
  <si>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</si>
  <si>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</si>
  <si>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</si>
  <si>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</si>
  <si>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</si>
  <si>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</si>
  <si>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</si>
  <si>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</si>
  <si>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</si>
  <si>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</si>
  <si>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</si>
  <si>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</si>
  <si>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</si>
  <si>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</si>
  <si>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</si>
  <si>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</si>
  <si>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</si>
  <si>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</si>
  <si>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</si>
  <si>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</si>
  <si>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</si>
  <si>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</si>
  <si>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</si>
  <si>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</si>
  <si>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</si>
  <si>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</si>
  <si>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</si>
  <si>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</si>
  <si>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</si>
  <si>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</si>
  <si>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</si>
  <si>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</si>
  <si>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</si>
  <si>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</si>
  <si>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</si>
  <si>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</si>
  <si>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</si>
  <si>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</si>
  <si>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</si>
  <si>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</si>
  <si>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</si>
  <si>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</si>
  <si>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</si>
  <si>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</si>
  <si>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</si>
  <si>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</si>
  <si>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</si>
  <si>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</si>
  <si>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</si>
  <si>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</si>
  <si>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</si>
  <si>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</si>
  <si>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</si>
  <si>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</si>
  <si>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</si>
  <si>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</si>
  <si>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</si>
  <si>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</si>
  <si>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</si>
  <si>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</si>
  <si>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</si>
  <si>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</si>
  <si>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</si>
  <si>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</si>
  <si>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</si>
  <si>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</si>
  <si>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</si>
  <si>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</si>
  <si>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</si>
  <si>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</si>
  <si>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</si>
  <si>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</si>
  <si>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</si>
  <si>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</si>
  <si>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</si>
  <si>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</si>
  <si>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</si>
  <si>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</si>
  <si>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</si>
  <si>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</si>
  <si>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</si>
  <si>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</si>
  <si>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</si>
  <si>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</si>
  <si>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</si>
  <si>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</si>
  <si>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</si>
  <si>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</si>
  <si>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</si>
  <si>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</si>
  <si>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</si>
  <si>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</si>
  <si>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</si>
  <si>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</si>
  <si>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</si>
  <si>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</si>
  <si>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</si>
  <si>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</si>
  <si>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</si>
  <si>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</si>
  <si>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</si>
  <si>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</si>
  <si>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</si>
  <si>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</si>
  <si>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</si>
  <si>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</si>
  <si>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</si>
  <si>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</si>
  <si>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</si>
  <si>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</si>
  <si>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</si>
  <si>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</si>
  <si>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</si>
  <si>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</si>
  <si>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</si>
  <si>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</si>
  <si>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</si>
  <si>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</si>
  <si>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</si>
  <si>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</si>
  <si>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</si>
  <si>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</si>
  <si>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</si>
  <si>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</si>
  <si>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</si>
  <si>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</si>
  <si>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</si>
  <si>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</si>
  <si>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</si>
  <si>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</si>
  <si>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</si>
  <si>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</si>
  <si>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</si>
  <si>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</si>
  <si>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</si>
  <si>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</si>
  <si>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</si>
  <si>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</si>
  <si>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</si>
  <si>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</si>
  <si>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</si>
  <si>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</si>
  <si>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</si>
  <si>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</si>
  <si>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</si>
  <si>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</si>
  <si>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</si>
  <si>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</si>
  <si>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</si>
  <si>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</si>
  <si>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</si>
  <si>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</si>
  <si>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</si>
  <si>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</si>
  <si>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</si>
  <si>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</si>
  <si>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</si>
  <si>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</si>
  <si>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</si>
  <si>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</si>
  <si>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</si>
  <si>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</si>
  <si>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</si>
  <si>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</si>
  <si>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</si>
  <si>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</si>
  <si>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</si>
  <si>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</si>
  <si>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</si>
  <si>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</si>
  <si>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</si>
  <si>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</si>
  <si>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</si>
  <si>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</si>
  <si>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</si>
  <si>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</si>
  <si>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</si>
  <si>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</si>
  <si>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</si>
  <si>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</si>
  <si>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</si>
  <si>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</si>
  <si>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</si>
  <si>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</si>
  <si>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</si>
  <si>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</si>
  <si>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</si>
  <si>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</si>
  <si>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</si>
  <si>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</si>
  <si>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</si>
  <si>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</si>
  <si>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</si>
  <si>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</si>
  <si>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</si>
  <si>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</si>
  <si>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</si>
  <si>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</si>
  <si>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</si>
  <si>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</si>
  <si>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</si>
  <si>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</si>
  <si>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</si>
  <si>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</si>
  <si>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</si>
  <si>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</si>
  <si>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</si>
  <si>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</si>
  <si>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</si>
  <si>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</si>
  <si>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</si>
  <si>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</si>
  <si>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</si>
  <si>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</si>
  <si>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</si>
  <si>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</si>
  <si>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</si>
  <si>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</si>
  <si>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</si>
  <si>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</si>
  <si>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</si>
  <si>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</si>
  <si>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</si>
  <si>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</si>
  <si>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</si>
  <si>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</si>
  <si>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</si>
  <si>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</si>
  <si>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</si>
  <si>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</si>
  <si>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</si>
  <si>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</si>
  <si>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</si>
  <si>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</si>
  <si>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</si>
  <si>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</si>
  <si>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</si>
  <si>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</si>
  <si>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</si>
  <si>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</si>
  <si>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</si>
  <si>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</si>
  <si>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</si>
  <si>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</si>
  <si>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</si>
  <si>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</si>
  <si>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hpl</t>
  </si>
  <si>
    <t>lrc</t>
  </si>
  <si>
    <t>Emissions (Coal)</t>
  </si>
  <si>
    <t>Results based on Activity through June 15, 2000</t>
  </si>
  <si>
    <t>Special Pay in April &amp; May, &amp; Turbines</t>
  </si>
  <si>
    <t>Turbine Expense Reclass</t>
  </si>
  <si>
    <t>Turbine expense Reclass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</si>
  <si>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</si>
  <si>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</si>
  <si>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</si>
  <si>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</si>
  <si>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Pulled out of DPR and listed Separately on the Expense page.</t>
  </si>
  <si>
    <t>Higher Fuel Prices</t>
  </si>
  <si>
    <t>Powder River/Wind River Debt &amp; Equity interest paid by trust.</t>
  </si>
  <si>
    <t>Severence pay in May</t>
  </si>
  <si>
    <t>Margin change from: 06/09/00</t>
  </si>
  <si>
    <t>Expense changes from: 06/09/00</t>
  </si>
  <si>
    <t>** Emissions Losses of $1.6M are reflected in Power Trading Margin</t>
  </si>
  <si>
    <t>Upstream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</si>
</sst>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203C1E2B-8767-127D-2505-C1D71A9A9CFA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79D3F02E-CFAE-232E-9033-3CA77D80B2E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CFC9160D-CF04-1A52-8A43-DD852A3C26A5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44BDF5DD-3FFB-C9BD-3948-89544C935BA4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76B15498-600A-EAD8-1E8F-971076101266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692D3C52-C431-3AEF-FDD8-6303791B5947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1FB1438F-F2CD-DE62-CE92-9894C184B0F4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4E50F490-7997-B056-B2F6-6C4B3A6D1CA6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13AF7806-95C5-E569-8CC8-5361E9EC6570}"/>
            </a:ext>
          </a:extLst>
        </xdr:cNvPr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9A0EC123-B4BA-5EE4-2F26-1DECA3D563F8}"/>
            </a:ext>
          </a:extLst>
        </xdr:cNvPr>
        <xdr:cNvSpPr txBox="1">
          <a:spLocks noChangeArrowheads="1"/>
        </xdr:cNvSpPr>
      </xdr:nvSpPr>
      <xdr:spPr bwMode="auto">
        <a:xfrm>
          <a:off x="682942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8DBC11E0-0C61-5C2A-093F-33E92BE88788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C00F2FCE-2805-24DB-4B89-136EFF71479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CEC5556B-C16A-4656-2DCA-61C9DD650081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FFD68A9-4926-7D78-579A-2B65A10EF292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6129FEE5-704C-4AFE-9A99-9B4F4CB0656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AB71FDD3-65D7-F418-6930-ECD7C1241BF2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DBD79917-EED2-DF1E-AEBB-3673B4F8E500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255B822E-FA5C-18D9-8346-FEB4E284768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49E1BA35-6A09-C4D1-98C6-73E801A92C5D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DE944FA6-5488-A3EF-F03E-48648388229A}"/>
            </a:ext>
          </a:extLst>
        </xdr:cNvPr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E9209990-DC64-B729-F803-628FBDFBA86C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62EA9717-283B-53A3-C0CD-D4ED25711C90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F3610895-D628-7BBF-5607-75EEABBCAEB4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955ADC77-B604-A123-E280-08A0B941F368}"/>
            </a:ext>
          </a:extLst>
        </xdr:cNvPr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F5165574-905B-C048-8BB8-E4E157920A7E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65937D7F-B63C-B3F4-CD7E-F84A879DD4CF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471A1203-6FB1-325C-7660-2BD7878102DE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34E6D5D-973B-56B1-6DFF-2E439A9F452E}"/>
            </a:ext>
          </a:extLst>
        </xdr:cNvPr>
        <xdr:cNvSpPr txBox="1">
          <a:spLocks noChangeArrowheads="1"/>
        </xdr:cNvSpPr>
      </xdr:nvSpPr>
      <xdr:spPr bwMode="auto">
        <a:xfrm>
          <a:off x="6076950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2-0609_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437995.5</v>
          </cell>
          <cell r="G50">
            <v>244769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206743</v>
          </cell>
        </row>
        <row r="11">
          <cell r="D11">
            <v>46648</v>
          </cell>
        </row>
        <row r="12">
          <cell r="D12">
            <v>138753</v>
          </cell>
          <cell r="H12">
            <v>-1562</v>
          </cell>
        </row>
        <row r="13">
          <cell r="D13">
            <v>27181</v>
          </cell>
        </row>
        <row r="14">
          <cell r="D14">
            <v>9591</v>
          </cell>
        </row>
        <row r="15">
          <cell r="D15">
            <v>15194</v>
          </cell>
        </row>
        <row r="16">
          <cell r="D16">
            <v>1086</v>
          </cell>
        </row>
        <row r="17">
          <cell r="D17">
            <v>2608</v>
          </cell>
        </row>
        <row r="18">
          <cell r="D18">
            <v>-3689</v>
          </cell>
          <cell r="H18">
            <v>1562</v>
          </cell>
        </row>
        <row r="23">
          <cell r="E23">
            <v>506</v>
          </cell>
        </row>
        <row r="24">
          <cell r="D24">
            <v>2730</v>
          </cell>
          <cell r="E24">
            <v>-114</v>
          </cell>
          <cell r="F24">
            <v>0</v>
          </cell>
        </row>
        <row r="25">
          <cell r="E25">
            <v>16150</v>
          </cell>
        </row>
        <row r="26">
          <cell r="E26">
            <v>182</v>
          </cell>
          <cell r="F26">
            <v>115</v>
          </cell>
        </row>
        <row r="27">
          <cell r="D27">
            <v>230</v>
          </cell>
          <cell r="E27">
            <v>1901</v>
          </cell>
          <cell r="H27">
            <v>6240</v>
          </cell>
        </row>
        <row r="28">
          <cell r="D28">
            <v>2102</v>
          </cell>
          <cell r="E28">
            <v>115</v>
          </cell>
          <cell r="F28">
            <v>7870</v>
          </cell>
          <cell r="H28">
            <v>5850</v>
          </cell>
        </row>
        <row r="29">
          <cell r="F29">
            <v>9139</v>
          </cell>
        </row>
        <row r="30">
          <cell r="F30">
            <v>-243</v>
          </cell>
        </row>
        <row r="31">
          <cell r="H31">
            <v>653</v>
          </cell>
        </row>
        <row r="37">
          <cell r="E37">
            <v>-29338</v>
          </cell>
          <cell r="F37">
            <v>0</v>
          </cell>
        </row>
        <row r="38">
          <cell r="E38">
            <v>2861</v>
          </cell>
          <cell r="F38">
            <v>0</v>
          </cell>
        </row>
        <row r="39">
          <cell r="E39">
            <v>-21333</v>
          </cell>
          <cell r="F39">
            <v>-485</v>
          </cell>
          <cell r="K39">
            <v>0</v>
          </cell>
        </row>
        <row r="40">
          <cell r="E40">
            <v>7096</v>
          </cell>
          <cell r="F40">
            <v>830</v>
          </cell>
          <cell r="H40">
            <v>0</v>
          </cell>
        </row>
        <row r="41">
          <cell r="D41">
            <v>0</v>
          </cell>
          <cell r="E41">
            <v>-14237</v>
          </cell>
          <cell r="F41">
            <v>345</v>
          </cell>
          <cell r="H41">
            <v>0</v>
          </cell>
        </row>
        <row r="43">
          <cell r="K43">
            <v>0</v>
          </cell>
        </row>
        <row r="45">
          <cell r="E45">
            <v>0.5</v>
          </cell>
        </row>
        <row r="49">
          <cell r="E49">
            <v>-3776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1721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3168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3230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0</v>
          </cell>
          <cell r="E58">
            <v>8789</v>
          </cell>
        </row>
        <row r="59">
          <cell r="D59">
            <v>32694</v>
          </cell>
          <cell r="E59">
            <v>33926</v>
          </cell>
        </row>
        <row r="60">
          <cell r="D60">
            <v>7673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315372</v>
      </c>
      <c r="D8" s="60">
        <f>'Q1 Mgmt Summary'!D8+'QTD Mgmt Summary'!D8</f>
        <v>83089</v>
      </c>
      <c r="E8" s="211">
        <f>+C8-D8</f>
        <v>232283</v>
      </c>
      <c r="F8" s="241"/>
      <c r="G8" s="267">
        <f>'Q1 Mgmt Summary'!G8+'QTD Mgmt Summary'!G8</f>
        <v>31914</v>
      </c>
      <c r="H8" s="60">
        <f>'Q1 Mgmt Summary'!H8+'QTD Mgmt Summary'!H8</f>
        <v>31131</v>
      </c>
      <c r="I8" s="82">
        <f>'QTD Mgmt Summary'!I8+'Q1 Mgmt Summary'!I8</f>
        <v>0</v>
      </c>
      <c r="J8" s="211">
        <f>'QTD Mgmt Summary'!J8+'Q1 Mgmt Summary'!J8</f>
        <v>-783</v>
      </c>
      <c r="K8" s="214"/>
      <c r="L8" s="210">
        <f t="shared" ref="L8:M10" si="0">+C8-G8</f>
        <v>283458</v>
      </c>
      <c r="M8" s="59">
        <f t="shared" si="0"/>
        <v>51958</v>
      </c>
      <c r="N8" s="211">
        <f>+L8-M8</f>
        <v>231500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65857</v>
      </c>
      <c r="D9" s="43">
        <f>+'Q1 Mgmt Summary'!D9+'QTD Mgmt Summary'!D9</f>
        <v>15006</v>
      </c>
      <c r="E9" s="213">
        <f>+C9-D9</f>
        <v>50851</v>
      </c>
      <c r="F9" s="241"/>
      <c r="G9" s="268">
        <f>+'Q1 Mgmt Summary'!G9+'QTD Mgmt Summary'!G9</f>
        <v>5972</v>
      </c>
      <c r="H9" s="43">
        <f>+'Q1 Mgmt Summary'!H9+'QTD Mgmt Summary'!H9</f>
        <v>6513</v>
      </c>
      <c r="I9" s="65">
        <f>'QTD Mgmt Summary'!I9+'Q1 Mgmt Summary'!I9</f>
        <v>0</v>
      </c>
      <c r="J9" s="213">
        <f>'QTD Mgmt Summary'!J9+'Q1 Mgmt Summary'!J9</f>
        <v>541</v>
      </c>
      <c r="K9" s="214"/>
      <c r="L9" s="212">
        <f t="shared" si="0"/>
        <v>59885</v>
      </c>
      <c r="M9" s="41">
        <f t="shared" si="0"/>
        <v>8493</v>
      </c>
      <c r="N9" s="213">
        <f>+L9-M9</f>
        <v>51392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253082</v>
      </c>
      <c r="D10" s="43">
        <f>+'Q1 Mgmt Summary'!D10+'QTD Mgmt Summary'!D10</f>
        <v>97187</v>
      </c>
      <c r="E10" s="213">
        <f>+C10-D10</f>
        <v>155895</v>
      </c>
      <c r="F10" s="241"/>
      <c r="G10" s="268">
        <f>+'Q1 Mgmt Summary'!G10+'QTD Mgmt Summary'!G10</f>
        <v>55021</v>
      </c>
      <c r="H10" s="43">
        <f>+'Q1 Mgmt Summary'!H10+'QTD Mgmt Summary'!H10</f>
        <v>52050</v>
      </c>
      <c r="I10" s="65">
        <f>'QTD Mgmt Summary'!I10+'Q1 Mgmt Summary'!I10</f>
        <v>1466</v>
      </c>
      <c r="J10" s="213">
        <f>'QTD Mgmt Summary'!J10+'Q1 Mgmt Summary'!J10</f>
        <v>-4437</v>
      </c>
      <c r="K10" s="214"/>
      <c r="L10" s="212">
        <f t="shared" si="0"/>
        <v>198061</v>
      </c>
      <c r="M10" s="41">
        <f t="shared" si="0"/>
        <v>45137</v>
      </c>
      <c r="N10" s="213">
        <f>+L10-M10</f>
        <v>152924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56719</v>
      </c>
      <c r="D11" s="43">
        <f>+'Q1 Mgmt Summary'!D11+'QTD Mgmt Summary'!D11</f>
        <v>44804</v>
      </c>
      <c r="E11" s="213">
        <f t="shared" ref="E11:E16" si="1">+C11-D11</f>
        <v>11915</v>
      </c>
      <c r="F11" s="241"/>
      <c r="G11" s="268">
        <f>+'Q1 Mgmt Summary'!G11+'QTD Mgmt Summary'!G11</f>
        <v>3849</v>
      </c>
      <c r="H11" s="43">
        <f>+'Q1 Mgmt Summary'!H11+'QTD Mgmt Summary'!H11</f>
        <v>3237</v>
      </c>
      <c r="I11" s="65">
        <f>'QTD Mgmt Summary'!I11+'Q1 Mgmt Summary'!I11</f>
        <v>0</v>
      </c>
      <c r="J11" s="213">
        <f>'QTD Mgmt Summary'!J11+'Q1 Mgmt Summary'!J11</f>
        <v>-612</v>
      </c>
      <c r="K11" s="214"/>
      <c r="L11" s="212">
        <f t="shared" ref="L11:M16" si="2">+C11-G11</f>
        <v>52870</v>
      </c>
      <c r="M11" s="41">
        <f t="shared" si="2"/>
        <v>41567</v>
      </c>
      <c r="N11" s="213">
        <f t="shared" ref="N11:N16" si="3">+L11-M11</f>
        <v>11303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46036</v>
      </c>
      <c r="D12" s="43">
        <f>+'Q1 Mgmt Summary'!D12+'QTD Mgmt Summary'!D12</f>
        <v>22894</v>
      </c>
      <c r="E12" s="213">
        <f t="shared" si="1"/>
        <v>23142</v>
      </c>
      <c r="F12" s="241"/>
      <c r="G12" s="268">
        <f>+'Q1 Mgmt Summary'!G12+'QTD Mgmt Summary'!G12</f>
        <v>4342</v>
      </c>
      <c r="H12" s="43">
        <f>+'Q1 Mgmt Summary'!H12+'QTD Mgmt Summary'!H12</f>
        <v>4932</v>
      </c>
      <c r="I12" s="65">
        <f>'QTD Mgmt Summary'!I12+'Q1 Mgmt Summary'!I12</f>
        <v>0</v>
      </c>
      <c r="J12" s="213">
        <f>'QTD Mgmt Summary'!J12+'Q1 Mgmt Summary'!J12</f>
        <v>590</v>
      </c>
      <c r="K12" s="214"/>
      <c r="L12" s="212">
        <f t="shared" si="2"/>
        <v>41694</v>
      </c>
      <c r="M12" s="41">
        <f t="shared" si="2"/>
        <v>17962</v>
      </c>
      <c r="N12" s="213">
        <f t="shared" si="3"/>
        <v>23732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40484</v>
      </c>
      <c r="D13" s="43">
        <f>+'Q1 Mgmt Summary'!D13+'QTD Mgmt Summary'!D13</f>
        <v>34668</v>
      </c>
      <c r="E13" s="213">
        <f t="shared" si="1"/>
        <v>5816</v>
      </c>
      <c r="F13" s="241"/>
      <c r="G13" s="268">
        <f>+'Q1 Mgmt Summary'!G13+'QTD Mgmt Summary'!G13</f>
        <v>5348</v>
      </c>
      <c r="H13" s="43">
        <f>+'Q1 Mgmt Summary'!H13+'QTD Mgmt Summary'!H13</f>
        <v>6439</v>
      </c>
      <c r="I13" s="65">
        <f>'QTD Mgmt Summary'!I13+'Q1 Mgmt Summary'!I13</f>
        <v>0</v>
      </c>
      <c r="J13" s="213">
        <f>'QTD Mgmt Summary'!J13+'Q1 Mgmt Summary'!J13</f>
        <v>1091</v>
      </c>
      <c r="K13" s="214"/>
      <c r="L13" s="212">
        <f t="shared" si="2"/>
        <v>35136</v>
      </c>
      <c r="M13" s="41">
        <f t="shared" si="2"/>
        <v>28229</v>
      </c>
      <c r="N13" s="213">
        <f t="shared" si="3"/>
        <v>6907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4593</v>
      </c>
      <c r="D14" s="43">
        <f>+'Q1 Mgmt Summary'!D14+'QTD Mgmt Summary'!D14</f>
        <v>19282</v>
      </c>
      <c r="E14" s="213">
        <f t="shared" si="1"/>
        <v>-14689</v>
      </c>
      <c r="F14" s="241"/>
      <c r="G14" s="268">
        <f>+'Q1 Mgmt Summary'!G14+'QTD Mgmt Summary'!G14</f>
        <v>8744</v>
      </c>
      <c r="H14" s="43">
        <f>+'Q1 Mgmt Summary'!H14+'QTD Mgmt Summary'!H14</f>
        <v>6766</v>
      </c>
      <c r="I14" s="65">
        <f>'QTD Mgmt Summary'!I14+'Q1 Mgmt Summary'!I14</f>
        <v>0</v>
      </c>
      <c r="J14" s="213">
        <f>'QTD Mgmt Summary'!J14+'Q1 Mgmt Summary'!J14</f>
        <v>-2015</v>
      </c>
      <c r="K14" s="214"/>
      <c r="L14" s="212">
        <f t="shared" si="2"/>
        <v>-4151</v>
      </c>
      <c r="M14" s="41">
        <f t="shared" si="2"/>
        <v>12516</v>
      </c>
      <c r="N14" s="213">
        <f t="shared" si="3"/>
        <v>-16667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8379</v>
      </c>
      <c r="D15" s="43">
        <f>+'Q1 Mgmt Summary'!D15+'QTD Mgmt Summary'!D15</f>
        <v>6430</v>
      </c>
      <c r="E15" s="213">
        <f t="shared" si="1"/>
        <v>1949</v>
      </c>
      <c r="F15" s="241"/>
      <c r="G15" s="268">
        <f>+'Q1 Mgmt Summary'!G15+'QTD Mgmt Summary'!G15</f>
        <v>4420</v>
      </c>
      <c r="H15" s="43">
        <f>+'Q1 Mgmt Summary'!H15+'QTD Mgmt Summary'!H15</f>
        <v>3383</v>
      </c>
      <c r="I15" s="65">
        <f>'QTD Mgmt Summary'!I15+'Q1 Mgmt Summary'!I15</f>
        <v>0</v>
      </c>
      <c r="J15" s="213">
        <f>'QTD Mgmt Summary'!J15+'Q1 Mgmt Summary'!J15</f>
        <v>-1037</v>
      </c>
      <c r="K15" s="214"/>
      <c r="L15" s="212">
        <f t="shared" si="2"/>
        <v>3959</v>
      </c>
      <c r="M15" s="41">
        <f t="shared" si="2"/>
        <v>3047</v>
      </c>
      <c r="N15" s="213">
        <f t="shared" si="3"/>
        <v>912</v>
      </c>
    </row>
    <row r="16" spans="1:23" ht="12" customHeight="1" x14ac:dyDescent="0.25">
      <c r="A16" s="207" t="s">
        <v>295</v>
      </c>
      <c r="B16" s="237"/>
      <c r="C16" s="268">
        <f>+'Q1 Mgmt Summary'!C16+'QTD Mgmt Summary'!C16</f>
        <v>1151</v>
      </c>
      <c r="D16" s="43">
        <f>+'Q1 Mgmt Summary'!D16+'QTD Mgmt Summary'!D16</f>
        <v>1500</v>
      </c>
      <c r="E16" s="213">
        <f t="shared" si="1"/>
        <v>-349</v>
      </c>
      <c r="F16" s="241"/>
      <c r="G16" s="268">
        <f>+'Q1 Mgmt Summary'!G16+'QTD Mgmt Summary'!G16</f>
        <v>604</v>
      </c>
      <c r="H16" s="43">
        <f>+'Q1 Mgmt Summary'!H16+'QTD Mgmt Summary'!H16</f>
        <v>680</v>
      </c>
      <c r="I16" s="65">
        <f>'QTD Mgmt Summary'!I16+'Q1 Mgmt Summary'!I16</f>
        <v>0</v>
      </c>
      <c r="J16" s="213">
        <f>'QTD Mgmt Summary'!J16+'Q1 Mgmt Summary'!J16</f>
        <v>76</v>
      </c>
      <c r="K16" s="214"/>
      <c r="L16" s="212">
        <f t="shared" si="2"/>
        <v>547</v>
      </c>
      <c r="M16" s="41">
        <f t="shared" si="2"/>
        <v>820</v>
      </c>
      <c r="N16" s="213">
        <f t="shared" si="3"/>
        <v>-273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791673</v>
      </c>
      <c r="D17" s="259">
        <f>SUM(D8:D16)</f>
        <v>324860</v>
      </c>
      <c r="E17" s="260">
        <f>SUM(E8:E16)</f>
        <v>466813</v>
      </c>
      <c r="F17" s="242">
        <v>129970</v>
      </c>
      <c r="G17" s="259">
        <f>SUM(G8:G16)</f>
        <v>120214</v>
      </c>
      <c r="H17" s="259">
        <f>SUM(H8:H16)</f>
        <v>115131</v>
      </c>
      <c r="I17" s="259">
        <f>SUM(I8:I16)</f>
        <v>1466</v>
      </c>
      <c r="J17" s="260">
        <f>SUM(J8:J16)</f>
        <v>-6586</v>
      </c>
      <c r="K17" s="215"/>
      <c r="L17" s="230">
        <f>SUM(L8:L16)</f>
        <v>671459</v>
      </c>
      <c r="M17" s="231">
        <f>SUM(M8:M16)</f>
        <v>209729</v>
      </c>
      <c r="N17" s="260">
        <f>SUM(N8:N16)</f>
        <v>461730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>
        <f>+'Q1 Mgmt Summary'!D19+'QTD Mgmt Summary'!D19</f>
        <v>34736</v>
      </c>
      <c r="E19" s="213">
        <f t="shared" ref="E19:E29" si="4">+C19-D19</f>
        <v>-31898</v>
      </c>
      <c r="F19" s="241"/>
      <c r="G19" s="268">
        <f>+'Q1 Mgmt Summary'!G19+'QTD Mgmt Summary'!G19</f>
        <v>17162</v>
      </c>
      <c r="H19" s="43">
        <f>+'Q1 Mgmt Summary'!H19+'QTD Mgmt Summary'!H19</f>
        <v>15369</v>
      </c>
      <c r="I19" s="65">
        <f>'QTD Mgmt Summary'!I19+'Q1 Mgmt Summary'!I19</f>
        <v>0</v>
      </c>
      <c r="J19" s="213">
        <f>'QTD Mgmt Summary'!J19+'Q1 Mgmt Summary'!J19</f>
        <v>-1793</v>
      </c>
      <c r="K19" s="214"/>
      <c r="L19" s="212">
        <f t="shared" ref="L19:M21" si="5">+C19-G19</f>
        <v>-14324</v>
      </c>
      <c r="M19" s="41">
        <f t="shared" si="5"/>
        <v>19367</v>
      </c>
      <c r="N19" s="213">
        <f t="shared" ref="N19:N29" si="6">+L19-M19</f>
        <v>-33691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>
        <f>+'Q1 Mgmt Summary'!D20+'QTD Mgmt Summary'!D20</f>
        <v>26470</v>
      </c>
      <c r="E20" s="213">
        <f t="shared" si="4"/>
        <v>-17608</v>
      </c>
      <c r="F20" s="241"/>
      <c r="G20" s="268">
        <f>+'Q1 Mgmt Summary'!G20+'QTD Mgmt Summary'!G20</f>
        <v>13504</v>
      </c>
      <c r="H20" s="43">
        <f>+'Q1 Mgmt Summary'!H20+'QTD Mgmt Summary'!H20</f>
        <v>14730</v>
      </c>
      <c r="I20" s="65">
        <f>'QTD Mgmt Summary'!I20+'Q1 Mgmt Summary'!I20</f>
        <v>-1254</v>
      </c>
      <c r="J20" s="213">
        <f>'QTD Mgmt Summary'!J20+'Q1 Mgmt Summary'!J20</f>
        <v>2480</v>
      </c>
      <c r="K20" s="214"/>
      <c r="L20" s="212">
        <f t="shared" si="5"/>
        <v>-4642</v>
      </c>
      <c r="M20" s="41">
        <f t="shared" si="5"/>
        <v>11740</v>
      </c>
      <c r="N20" s="213">
        <f t="shared" si="6"/>
        <v>-16382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6481</v>
      </c>
      <c r="D21" s="43">
        <f>+'Q1 Mgmt Summary'!D21+'QTD Mgmt Summary'!D21</f>
        <v>39722</v>
      </c>
      <c r="E21" s="213">
        <f t="shared" si="4"/>
        <v>-33241</v>
      </c>
      <c r="F21" s="241"/>
      <c r="G21" s="268">
        <f>+'Q1 Mgmt Summary'!G21+'QTD Mgmt Summary'!G21</f>
        <v>14142</v>
      </c>
      <c r="H21" s="43">
        <f>+'Q1 Mgmt Summary'!H21+'QTD Mgmt Summary'!H21</f>
        <v>18610</v>
      </c>
      <c r="I21" s="65">
        <f>'QTD Mgmt Summary'!I21+'Q1 Mgmt Summary'!I21</f>
        <v>2372</v>
      </c>
      <c r="J21" s="213">
        <f>'QTD Mgmt Summary'!J21+'Q1 Mgmt Summary'!J21</f>
        <v>2096</v>
      </c>
      <c r="K21" s="214"/>
      <c r="L21" s="212">
        <f t="shared" si="5"/>
        <v>-7661</v>
      </c>
      <c r="M21" s="41">
        <f t="shared" si="5"/>
        <v>21112</v>
      </c>
      <c r="N21" s="213">
        <f t="shared" si="6"/>
        <v>-28773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>
        <f>+'Q1 Mgmt Summary'!D22+'QTD Mgmt Summary'!D22</f>
        <v>37422</v>
      </c>
      <c r="E22" s="213">
        <f>+C22-D22</f>
        <v>-14053</v>
      </c>
      <c r="F22" s="241"/>
      <c r="G22" s="268">
        <f>+'Q1 Mgmt Summary'!G22+'QTD Mgmt Summary'!G22</f>
        <v>18535</v>
      </c>
      <c r="H22" s="43">
        <f>+'Q1 Mgmt Summary'!H22+'QTD Mgmt Summary'!H22</f>
        <v>18852</v>
      </c>
      <c r="I22" s="65">
        <f>'QTD Mgmt Summary'!I22+'Q1 Mgmt Summary'!I22</f>
        <v>642</v>
      </c>
      <c r="J22" s="213">
        <f>'QTD Mgmt Summary'!J22+'Q1 Mgmt Summary'!J22</f>
        <v>-325</v>
      </c>
      <c r="K22" s="214"/>
      <c r="L22" s="212">
        <f t="shared" ref="L22:M28" si="7">+C22-G22</f>
        <v>4834</v>
      </c>
      <c r="M22" s="41">
        <f t="shared" si="7"/>
        <v>18570</v>
      </c>
      <c r="N22" s="213">
        <f>+L22-M22</f>
        <v>-13736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-904</v>
      </c>
      <c r="D23" s="43">
        <f>+'Q1 Mgmt Summary'!D23+'QTD Mgmt Summary'!D23</f>
        <v>6212</v>
      </c>
      <c r="E23" s="213">
        <f>+C23-D23</f>
        <v>-7116</v>
      </c>
      <c r="F23" s="241"/>
      <c r="G23" s="268">
        <f>+'Q1 Mgmt Summary'!G23+'QTD Mgmt Summary'!G23</f>
        <v>2991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-313</v>
      </c>
      <c r="K23" s="214"/>
      <c r="L23" s="212">
        <f t="shared" si="7"/>
        <v>-3895</v>
      </c>
      <c r="M23" s="41">
        <f t="shared" si="7"/>
        <v>3457</v>
      </c>
      <c r="N23" s="213">
        <f>+L23-M23</f>
        <v>-7352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9526</v>
      </c>
      <c r="D24" s="43">
        <f>+'Q1 Mgmt Summary'!D24+'QTD Mgmt Summary'!D24</f>
        <v>11556</v>
      </c>
      <c r="E24" s="213">
        <f t="shared" si="4"/>
        <v>-2030</v>
      </c>
      <c r="F24" s="241"/>
      <c r="G24" s="268">
        <f>+'Q1 Mgmt Summary'!G24+'QTD Mgmt Summary'!G24</f>
        <v>3660</v>
      </c>
      <c r="H24" s="43">
        <f>+'Q1 Mgmt Summary'!H24+'QTD Mgmt Summary'!H24</f>
        <v>4070</v>
      </c>
      <c r="I24" s="65">
        <f>'QTD Mgmt Summary'!I24+'Q1 Mgmt Summary'!I24</f>
        <v>400</v>
      </c>
      <c r="J24" s="213">
        <f>'QTD Mgmt Summary'!J24+'Q1 Mgmt Summary'!J24</f>
        <v>10</v>
      </c>
      <c r="K24" s="214"/>
      <c r="L24" s="212">
        <f t="shared" si="7"/>
        <v>5866</v>
      </c>
      <c r="M24" s="41">
        <f t="shared" si="7"/>
        <v>7486</v>
      </c>
      <c r="N24" s="213">
        <f t="shared" si="6"/>
        <v>-1620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34948</v>
      </c>
      <c r="D25" s="43">
        <f>+'Q1 Mgmt Summary'!D25+'QTD Mgmt Summary'!D25</f>
        <v>48743</v>
      </c>
      <c r="E25" s="213">
        <f>+C25-D25</f>
        <v>-13795</v>
      </c>
      <c r="F25" s="241"/>
      <c r="G25" s="268">
        <f>+'Q1 Mgmt Summary'!G25+'QTD Mgmt Summary'!G25</f>
        <v>76317.5</v>
      </c>
      <c r="H25" s="43">
        <f>+'Q1 Mgmt Summary'!H25+'QTD Mgmt Summary'!H25</f>
        <v>70579.5</v>
      </c>
      <c r="I25" s="65">
        <f>'QTD Mgmt Summary'!I25+'Q1 Mgmt Summary'!I25</f>
        <v>1805</v>
      </c>
      <c r="J25" s="213">
        <f>'QTD Mgmt Summary'!J25+'Q1 Mgmt Summary'!J25</f>
        <v>-7543</v>
      </c>
      <c r="K25" s="214"/>
      <c r="L25" s="212">
        <f>+C25-G25</f>
        <v>-41369.5</v>
      </c>
      <c r="M25" s="41">
        <f>+D25-H25</f>
        <v>-21836.5</v>
      </c>
      <c r="N25" s="213">
        <f>+L25-M25</f>
        <v>-19533</v>
      </c>
    </row>
    <row r="26" spans="1:14" ht="12" customHeight="1" x14ac:dyDescent="0.25">
      <c r="A26" s="207" t="s">
        <v>291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>
        <f>'QTD Mgmt Summary'!J26+'Q1 Mgmt Summary'!J26</f>
        <v>-474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292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>
        <f>'QTD Mgmt Summary'!J27+'Q1 Mgmt Summary'!J27</f>
        <v>31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268">
        <f>+'Q1 Mgmt Summary'!C28+'QTD Mgmt Summary'!C28</f>
        <v>653</v>
      </c>
      <c r="D28" s="43">
        <f>+'Q1 Mgmt Summary'!D28+'QTD Mgmt Summary'!D28</f>
        <v>15424</v>
      </c>
      <c r="E28" s="213">
        <f>+C28-D28</f>
        <v>-14771</v>
      </c>
      <c r="F28" s="241"/>
      <c r="G28" s="268">
        <f>+'Q1 Mgmt Summary'!G28+'QTD Mgmt Summary'!G28</f>
        <v>2611</v>
      </c>
      <c r="H28" s="43">
        <f>+'Q1 Mgmt Summary'!H28+'QTD Mgmt Summary'!H28</f>
        <v>2551</v>
      </c>
      <c r="I28" s="65">
        <f>'QTD Mgmt Summary'!I28+'Q1 Mgmt Summary'!I28</f>
        <v>655</v>
      </c>
      <c r="J28" s="213">
        <f>'QTD Mgmt Summary'!J28+'Q1 Mgmt Summary'!J28</f>
        <v>-715</v>
      </c>
      <c r="K28" s="214"/>
      <c r="L28" s="212">
        <f t="shared" si="7"/>
        <v>-1958</v>
      </c>
      <c r="M28" s="41">
        <f t="shared" si="7"/>
        <v>12873</v>
      </c>
      <c r="N28" s="213">
        <f>+L28-M28</f>
        <v>-14831</v>
      </c>
    </row>
    <row r="29" spans="1:14" ht="12" customHeight="1" x14ac:dyDescent="0.25">
      <c r="A29" s="207" t="s">
        <v>0</v>
      </c>
      <c r="B29" s="237"/>
      <c r="C29" s="269">
        <f>+'Q1 Mgmt Summary'!C29+'QTD Mgmt Summary'!C29</f>
        <v>13</v>
      </c>
      <c r="D29" s="43">
        <f>+'Q1 Mgmt Summary'!D29+'QTD Mgmt Summary'!D29</f>
        <v>9312</v>
      </c>
      <c r="E29" s="213">
        <f t="shared" si="4"/>
        <v>-9299</v>
      </c>
      <c r="F29" s="241"/>
      <c r="G29" s="269">
        <f>+'Q1 Mgmt Summary'!G29+'QTD Mgmt Summary'!G29</f>
        <v>4455</v>
      </c>
      <c r="H29" s="43">
        <f>+'Q1 Mgmt Summary'!H29+'QTD Mgmt Summary'!H29</f>
        <v>5082</v>
      </c>
      <c r="I29" s="65">
        <f>'QTD Mgmt Summary'!I29+'Q1 Mgmt Summary'!I29</f>
        <v>0</v>
      </c>
      <c r="J29" s="213">
        <f>'QTD Mgmt Summary'!J29+'Q1 Mgmt Summary'!J29</f>
        <v>627</v>
      </c>
      <c r="K29" s="214"/>
      <c r="L29" s="212">
        <f>+C29-G29</f>
        <v>-4442</v>
      </c>
      <c r="M29" s="41">
        <f>+D29-H29</f>
        <v>4230</v>
      </c>
      <c r="N29" s="213">
        <f t="shared" si="6"/>
        <v>-8672</v>
      </c>
    </row>
    <row r="30" spans="1:14" s="202" customFormat="1" ht="12" customHeight="1" x14ac:dyDescent="0.2">
      <c r="A30" s="229" t="s">
        <v>1</v>
      </c>
      <c r="B30" s="238"/>
      <c r="C30" s="259">
        <f>SUM(C19:C29)</f>
        <v>85786</v>
      </c>
      <c r="D30" s="259">
        <f>SUM(D19:D29)</f>
        <v>229597</v>
      </c>
      <c r="E30" s="232">
        <f>SUM(E19:E29)</f>
        <v>-143811</v>
      </c>
      <c r="F30" s="242">
        <v>0</v>
      </c>
      <c r="G30" s="259">
        <f>SUM(G19:G29)</f>
        <v>153377.5</v>
      </c>
      <c r="H30" s="259">
        <f>SUM(H19:H29)</f>
        <v>152598.5</v>
      </c>
      <c r="I30" s="259">
        <f>SUM(I19:I29)</f>
        <v>4330</v>
      </c>
      <c r="J30" s="232">
        <f>SUM(J19:J29)</f>
        <v>-5919</v>
      </c>
      <c r="K30" s="215"/>
      <c r="L30" s="230">
        <f>SUM(L19:L29)</f>
        <v>-67591.5</v>
      </c>
      <c r="M30" s="231">
        <f>SUM(M19:M29)</f>
        <v>76998.5</v>
      </c>
      <c r="N30" s="232">
        <f>SUM(N19:N29)</f>
        <v>-144590</v>
      </c>
    </row>
    <row r="31" spans="1:14" ht="12" customHeight="1" x14ac:dyDescent="0.25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68">
        <f>+'Q1 Mgmt Summary'!C32+'QTD Mgmt Summary'!C32</f>
        <v>65461</v>
      </c>
      <c r="D32" s="43">
        <f>+'Q1 Mgmt Summary'!D32+'QTD Mgmt Summary'!D32</f>
        <v>30764</v>
      </c>
      <c r="E32" s="213">
        <f>+C32-D32</f>
        <v>34697</v>
      </c>
      <c r="F32" s="241"/>
      <c r="G32" s="268">
        <f>+'Q1 Mgmt Summary'!G32+'QTD Mgmt Summary'!G32</f>
        <v>4873</v>
      </c>
      <c r="H32" s="43">
        <f>+'Q1 Mgmt Summary'!H32+'QTD Mgmt Summary'!H32</f>
        <v>6895</v>
      </c>
      <c r="I32" s="65">
        <f>'QTD Mgmt Summary'!I32+'Q1 Mgmt Summary'!I32</f>
        <v>2012</v>
      </c>
      <c r="J32" s="213">
        <f>'QTD Mgmt Summary'!J32+'Q1 Mgmt Summary'!J32</f>
        <v>10</v>
      </c>
      <c r="K32" s="214"/>
      <c r="L32" s="212">
        <f t="shared" ref="L32:M34" si="8">+C32-G32</f>
        <v>60588</v>
      </c>
      <c r="M32" s="41">
        <f t="shared" si="8"/>
        <v>23869</v>
      </c>
      <c r="N32" s="213">
        <f>+L32-M32</f>
        <v>36719</v>
      </c>
    </row>
    <row r="33" spans="1:14" ht="12" customHeight="1" x14ac:dyDescent="0.25">
      <c r="A33" s="207" t="s">
        <v>257</v>
      </c>
      <c r="B33" s="237"/>
      <c r="C33" s="268">
        <f>+'Q1 Mgmt Summary'!C33+'QTD Mgmt Summary'!C33</f>
        <v>3183</v>
      </c>
      <c r="D33" s="43">
        <f>+'Q1 Mgmt Summary'!D33+'QTD Mgmt Summary'!D33</f>
        <v>2000</v>
      </c>
      <c r="E33" s="213">
        <f>+C33-D33</f>
        <v>1183</v>
      </c>
      <c r="F33" s="241"/>
      <c r="G33" s="268">
        <f>+'Q1 Mgmt Summary'!G33+'QTD Mgmt Summary'!G33</f>
        <v>11536</v>
      </c>
      <c r="H33" s="43">
        <f>+'Q1 Mgmt Summary'!H33+'QTD Mgmt Summary'!H33</f>
        <v>14296</v>
      </c>
      <c r="I33" s="65">
        <f>'QTD Mgmt Summary'!I33+'Q1 Mgmt Summary'!I33</f>
        <v>3314</v>
      </c>
      <c r="J33" s="213">
        <f>'QTD Mgmt Summary'!J33+'Q1 Mgmt Summary'!J33</f>
        <v>-554</v>
      </c>
      <c r="K33" s="214"/>
      <c r="L33" s="212">
        <f t="shared" si="8"/>
        <v>-8353</v>
      </c>
      <c r="M33" s="41">
        <f t="shared" si="8"/>
        <v>-12296</v>
      </c>
      <c r="N33" s="213">
        <f>+L33-M33</f>
        <v>3943</v>
      </c>
    </row>
    <row r="34" spans="1:14" x14ac:dyDescent="0.25">
      <c r="A34" s="207" t="s">
        <v>154</v>
      </c>
      <c r="B34" s="237"/>
      <c r="C34" s="269">
        <f>+'Q1 Mgmt Summary'!C34+'QTD Mgmt Summary'!C34</f>
        <v>-5417</v>
      </c>
      <c r="D34" s="51">
        <f>+'Q1 Mgmt Summary'!D34+'QTD Mgmt Summary'!D34</f>
        <v>29109</v>
      </c>
      <c r="E34" s="213">
        <f>+C34-D34</f>
        <v>-34526</v>
      </c>
      <c r="F34" s="206"/>
      <c r="G34" s="269">
        <f>+'Q1 Mgmt Summary'!G34+'QTD Mgmt Summary'!G34</f>
        <v>20519</v>
      </c>
      <c r="H34" s="51">
        <f>+'Q1 Mgmt Summary'!H34+'QTD Mgmt Summary'!H34</f>
        <v>20771</v>
      </c>
      <c r="I34" s="65">
        <f>'QTD Mgmt Summary'!I34+'Q1 Mgmt Summary'!I34</f>
        <v>-313</v>
      </c>
      <c r="J34" s="213">
        <f>'QTD Mgmt Summary'!J34+'Q1 Mgmt Summary'!J34</f>
        <v>565</v>
      </c>
      <c r="K34" s="206"/>
      <c r="L34" s="212">
        <f t="shared" si="8"/>
        <v>-25936</v>
      </c>
      <c r="M34" s="41">
        <f t="shared" si="8"/>
        <v>8338</v>
      </c>
      <c r="N34" s="213">
        <f>+L34-M34</f>
        <v>-34274</v>
      </c>
    </row>
    <row r="35" spans="1:14" s="202" customFormat="1" ht="12" customHeight="1" x14ac:dyDescent="0.2">
      <c r="A35" s="229" t="s">
        <v>87</v>
      </c>
      <c r="B35" s="238"/>
      <c r="C35" s="259">
        <f>SUM(C32:C34)</f>
        <v>63227</v>
      </c>
      <c r="D35" s="259">
        <f>SUM(D32:D34)</f>
        <v>61873</v>
      </c>
      <c r="E35" s="232">
        <f>SUM(E32:E34)</f>
        <v>1354</v>
      </c>
      <c r="F35" s="242"/>
      <c r="G35" s="259">
        <f>SUM(G32:G34)</f>
        <v>36928</v>
      </c>
      <c r="H35" s="259">
        <f>SUM(H32:H34)</f>
        <v>41962</v>
      </c>
      <c r="I35" s="259">
        <f>SUM(I32:I34)</f>
        <v>5013</v>
      </c>
      <c r="J35" s="232">
        <f>SUM(J32:J34)</f>
        <v>21</v>
      </c>
      <c r="K35" s="215"/>
      <c r="L35" s="230">
        <f>SUM(L32:L34)</f>
        <v>26299</v>
      </c>
      <c r="M35" s="231">
        <f>SUM(M32:M34)</f>
        <v>19911</v>
      </c>
      <c r="N35" s="232">
        <f>SUM(N32:N34)</f>
        <v>6388</v>
      </c>
    </row>
    <row r="36" spans="1:14" ht="12" customHeight="1" x14ac:dyDescent="0.25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68">
        <f>+'Q1 Mgmt Summary'!C37+'QTD Mgmt Summary'!C37</f>
        <v>1400</v>
      </c>
      <c r="D37" s="43">
        <f>+'Q1 Mgmt Summary'!D37+'QTD Mgmt Summary'!D37</f>
        <v>5000</v>
      </c>
      <c r="E37" s="213">
        <f>+C37-D37</f>
        <v>-3600</v>
      </c>
      <c r="F37" s="241"/>
      <c r="G37" s="268">
        <f>+'Q1 Mgmt Summary'!G37+'QTD Mgmt Summary'!G37</f>
        <v>17571</v>
      </c>
      <c r="H37" s="43">
        <f>+'Q1 Mgmt Summary'!H37+'QTD Mgmt Summary'!H37</f>
        <v>16200</v>
      </c>
      <c r="I37" s="65">
        <f>'QTD Mgmt Summary'!I37+'Q1 Mgmt Summary'!I37</f>
        <v>0</v>
      </c>
      <c r="J37" s="213">
        <f>'QTD Mgmt Summary'!J37+'Q1 Mgmt Summary'!J37</f>
        <v>-1371</v>
      </c>
      <c r="K37" s="214"/>
      <c r="L37" s="212">
        <f t="shared" ref="L37:M39" si="9">+C37-G37</f>
        <v>-16171</v>
      </c>
      <c r="M37" s="41">
        <f t="shared" si="9"/>
        <v>-11200</v>
      </c>
      <c r="N37" s="213">
        <f>+L37-M37</f>
        <v>-4971</v>
      </c>
    </row>
    <row r="38" spans="1:14" ht="12" customHeight="1" x14ac:dyDescent="0.25">
      <c r="A38" s="217" t="s">
        <v>7</v>
      </c>
      <c r="B38" s="237"/>
      <c r="C38" s="268">
        <f>+'Q1 Mgmt Summary'!C38+'QTD Mgmt Summary'!C38</f>
        <v>-19101</v>
      </c>
      <c r="D38" s="43">
        <f>+'Q1 Mgmt Summary'!D38+'QTD Mgmt Summary'!D38</f>
        <v>0</v>
      </c>
      <c r="E38" s="213">
        <f>+C38-D38</f>
        <v>-19101</v>
      </c>
      <c r="F38" s="241"/>
      <c r="G38" s="268">
        <f>+'Q1 Mgmt Summary'!G38+'QTD Mgmt Summary'!G38</f>
        <v>15801</v>
      </c>
      <c r="H38" s="43">
        <f>+'Q1 Mgmt Summary'!H38+'QTD Mgmt Summary'!H38</f>
        <v>14751</v>
      </c>
      <c r="I38" s="65">
        <f>'QTD Mgmt Summary'!I38+'Q1 Mgmt Summary'!I38</f>
        <v>0</v>
      </c>
      <c r="J38" s="213">
        <f>'QTD Mgmt Summary'!J38+'Q1 Mgmt Summary'!J38</f>
        <v>-1050</v>
      </c>
      <c r="K38" s="214"/>
      <c r="L38" s="212">
        <f t="shared" si="9"/>
        <v>-34902</v>
      </c>
      <c r="M38" s="41">
        <f t="shared" si="9"/>
        <v>-14751</v>
      </c>
      <c r="N38" s="213">
        <f>+L38-M38</f>
        <v>-20151</v>
      </c>
    </row>
    <row r="39" spans="1:14" ht="12" customHeight="1" x14ac:dyDescent="0.25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">
      <c r="A40" s="229" t="s">
        <v>10</v>
      </c>
      <c r="B40" s="238"/>
      <c r="C40" s="259">
        <f>C39+C38+C37+C35+C30+C17</f>
        <v>922985</v>
      </c>
      <c r="D40" s="259">
        <f>D39+D38+D37+D35+D30+D17</f>
        <v>722239</v>
      </c>
      <c r="E40" s="232">
        <f>E39+E38+E37+E35+E30+E17</f>
        <v>200746</v>
      </c>
      <c r="F40" s="242"/>
      <c r="G40" s="259">
        <f>G39+G38+G37+G35+G30+G17</f>
        <v>343891.5</v>
      </c>
      <c r="H40" s="259">
        <f>H39+H38+H37+H35+H30+H17</f>
        <v>340642.5</v>
      </c>
      <c r="I40" s="259">
        <f>I39+I38+I37+I35+I30+I17</f>
        <v>10809</v>
      </c>
      <c r="J40" s="232">
        <f>J39+J38+J37+J35+J30+J17</f>
        <v>-14905</v>
      </c>
      <c r="K40" s="215"/>
      <c r="L40" s="259">
        <f>L39+L38+L37+L35+L30+L17</f>
        <v>579093.5</v>
      </c>
      <c r="M40" s="259">
        <f>M39+M38+M37+M35+M30+M17</f>
        <v>381596.5</v>
      </c>
      <c r="N40" s="232">
        <f>N39+N38+N37+N35+N30+N17</f>
        <v>197497</v>
      </c>
    </row>
    <row r="41" spans="1:14" ht="12" customHeight="1" x14ac:dyDescent="0.25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>
        <f>+'Q1 Mgmt Summary'!H42+'QTD Mgmt Summary'!H42</f>
        <v>122673</v>
      </c>
      <c r="I42" s="65">
        <f>'QTD Mgmt Summary'!I42+'Q1 Mgmt Summary'!I42</f>
        <v>0</v>
      </c>
      <c r="J42" s="213">
        <f>'QTD Mgmt Summary'!J42+'Q1 Mgmt Summary'!J42</f>
        <v>-46725</v>
      </c>
      <c r="K42" s="214"/>
      <c r="L42" s="212">
        <f>+C42-G42</f>
        <v>-169398</v>
      </c>
      <c r="M42" s="41">
        <f>+D42-H42</f>
        <v>-122673</v>
      </c>
      <c r="N42" s="213">
        <f>+L42-M42</f>
        <v>-46725</v>
      </c>
    </row>
    <row r="43" spans="1:14" ht="12" customHeight="1" x14ac:dyDescent="0.25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>
        <f>+'Q1 Mgmt Summary'!G43+'QTD Mgmt Summary'!G43</f>
        <v>-92110</v>
      </c>
      <c r="H43" s="43">
        <f>+'Q1 Mgmt Summary'!H43+'QTD Mgmt Summary'!H43</f>
        <v>-98755</v>
      </c>
      <c r="I43" s="65">
        <f>'QTD Mgmt Summary'!I43+'Q1 Mgmt Summary'!I43</f>
        <v>0</v>
      </c>
      <c r="J43" s="213">
        <f>'QTD Mgmt Summary'!J43+'Q1 Mgmt Summary'!J43</f>
        <v>-6645</v>
      </c>
      <c r="K43" s="214"/>
      <c r="L43" s="212">
        <f t="shared" ref="L43:M45" si="10">+C43-G43</f>
        <v>92110</v>
      </c>
      <c r="M43" s="41">
        <f t="shared" si="10"/>
        <v>98755</v>
      </c>
      <c r="N43" s="213">
        <f>+L43-M43</f>
        <v>-6645</v>
      </c>
    </row>
    <row r="44" spans="1:14" ht="12" customHeight="1" x14ac:dyDescent="0.25">
      <c r="A44" s="217" t="s">
        <v>18</v>
      </c>
      <c r="B44" s="237"/>
      <c r="C44" s="268">
        <f>+'Q1 Mgmt Summary'!C44+'QTD Mgmt Summary'!C46</f>
        <v>-41336</v>
      </c>
      <c r="D44" s="43">
        <f>+'Q1 Mgmt Summary'!D44+'QTD Mgmt Summary'!D46</f>
        <v>-21590</v>
      </c>
      <c r="E44" s="213">
        <f>+C44-D44</f>
        <v>-19746</v>
      </c>
      <c r="F44" s="243"/>
      <c r="G44" s="268">
        <f>+'Q1 Mgmt Summary'!G44+'QTD Mgmt Summary'!G46</f>
        <v>37352</v>
      </c>
      <c r="H44" s="43">
        <f>+'Q1 Mgmt Summary'!H44+'QTD Mgmt Summary'!H46</f>
        <v>49287</v>
      </c>
      <c r="I44" s="65">
        <f>'QTD Mgmt Summary'!I46+'Q1 Mgmt Summary'!I44</f>
        <v>0</v>
      </c>
      <c r="J44" s="213">
        <f>'QTD Mgmt Summary'!J46+'Q1 Mgmt Summary'!J44</f>
        <v>11935</v>
      </c>
      <c r="K44" s="214"/>
      <c r="L44" s="212">
        <f t="shared" si="10"/>
        <v>-78688</v>
      </c>
      <c r="M44" s="41">
        <f t="shared" si="10"/>
        <v>-70877</v>
      </c>
      <c r="N44" s="213">
        <f>+L44-M44</f>
        <v>-7811</v>
      </c>
    </row>
    <row r="45" spans="1:14" ht="12" customHeight="1" x14ac:dyDescent="0.25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>
        <f>+'Q1 Mgmt Summary'!G45+'QTD Mgmt Summary'!G47</f>
        <v>-72005</v>
      </c>
      <c r="H45" s="43">
        <f>+'Q1 Mgmt Summary'!H45+'QTD Mgmt Summary'!H47</f>
        <v>-82814</v>
      </c>
      <c r="I45" s="65">
        <f>'QTD Mgmt Summary'!I47+'Q1 Mgmt Summary'!I45</f>
        <v>-10809</v>
      </c>
      <c r="J45" s="213">
        <f>'QTD Mgmt Summary'!J47+'Q1 Mgmt Summary'!J45</f>
        <v>0</v>
      </c>
      <c r="K45" s="214"/>
      <c r="L45" s="212">
        <f t="shared" si="10"/>
        <v>72005</v>
      </c>
      <c r="M45" s="41">
        <f t="shared" si="10"/>
        <v>82814</v>
      </c>
      <c r="N45" s="213">
        <f>+L45-M45</f>
        <v>-10809</v>
      </c>
    </row>
    <row r="46" spans="1:14" s="202" customFormat="1" ht="12" customHeight="1" x14ac:dyDescent="0.2">
      <c r="A46" s="229" t="s">
        <v>65</v>
      </c>
      <c r="B46" s="238"/>
      <c r="C46" s="259">
        <f>SUM(C40:C45)</f>
        <v>881649</v>
      </c>
      <c r="D46" s="259">
        <f>SUM(D40:D45)</f>
        <v>700649</v>
      </c>
      <c r="E46" s="233">
        <f>SUM(E40:E45)</f>
        <v>181000</v>
      </c>
      <c r="F46" s="242"/>
      <c r="G46" s="259">
        <f>SUM(G40:G45)</f>
        <v>386526.5</v>
      </c>
      <c r="H46" s="259">
        <f>SUM(H40:H45)</f>
        <v>331033.5</v>
      </c>
      <c r="I46" s="259">
        <f>SUM(I40:I45)</f>
        <v>0</v>
      </c>
      <c r="J46" s="233">
        <f>SUM(J40:J45)</f>
        <v>-56340</v>
      </c>
      <c r="K46" s="215"/>
      <c r="L46" s="259">
        <f>SUM(L40:L45)</f>
        <v>495122.5</v>
      </c>
      <c r="M46" s="259">
        <f>SUM(M40:M45)</f>
        <v>369615.5</v>
      </c>
      <c r="N46" s="233">
        <f>SUM(N40:N45)</f>
        <v>125507</v>
      </c>
    </row>
    <row r="47" spans="1:14" ht="12" customHeight="1" thickBot="1" x14ac:dyDescent="0.3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50"/>
      <c r="C48" s="264">
        <f>SUM(C46:C47)</f>
        <v>881649</v>
      </c>
      <c r="D48" s="264">
        <f>SUM(D46:D47)</f>
        <v>700649</v>
      </c>
      <c r="E48" s="253">
        <f>SUM(E46:E47)</f>
        <v>181000</v>
      </c>
      <c r="F48" s="254"/>
      <c r="G48" s="264">
        <f>SUM(G46:G47)</f>
        <v>396349.5</v>
      </c>
      <c r="H48" s="264">
        <f>SUM(H46:H47)</f>
        <v>351633.5</v>
      </c>
      <c r="I48" s="264">
        <f>SUM(I46:I47)</f>
        <v>0</v>
      </c>
      <c r="J48" s="253">
        <f>SUM(J46:J47)</f>
        <v>-51663</v>
      </c>
      <c r="K48" s="254"/>
      <c r="L48" s="264">
        <f>SUM(L46:L47)</f>
        <v>485299.5</v>
      </c>
      <c r="M48" s="264">
        <f>SUM(M46:M47)</f>
        <v>349015.5</v>
      </c>
      <c r="N48" s="253">
        <f>SUM(N46:N47)</f>
        <v>136284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4" workbookViewId="0">
      <selection activeCell="C16" sqref="C16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E9+1975</f>
        <v>5187</v>
      </c>
      <c r="E9" s="63">
        <f>ROUND(_xll.HPVAL($A9,$A$1,$A$2,$A$3,$A$4,$A$6)/1000,0)</f>
        <v>3212</v>
      </c>
      <c r="F9" s="122">
        <f>E9-D9</f>
        <v>-1975</v>
      </c>
      <c r="G9" s="5"/>
      <c r="H9" s="297" t="s">
        <v>285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>
        <f>ROUND(_xll.HPVAL($A10,$A$1,$A$2,$A$3,$A$4,$A$6)/1000,0)</f>
        <v>717</v>
      </c>
      <c r="F10" s="123">
        <f>E10-D10</f>
        <v>61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5723+1800</f>
        <v>7523</v>
      </c>
      <c r="E11" s="12">
        <f>ROUND(_xll.HPVAL($A11,$A$1,$A$2,$A$3,$A$4,$A$6)/1000,0)</f>
        <v>4712</v>
      </c>
      <c r="F11" s="123">
        <f t="shared" ref="F11:F17" si="0">E11-D11</f>
        <v>-2811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1063</v>
      </c>
      <c r="E12" s="12">
        <f>ROUND(_xll.HPVAL($A12,$A$1,$A$2,$A$3,$A$4,$A$6)*0.8577/1000,0)</f>
        <v>655</v>
      </c>
      <c r="F12" s="123">
        <f t="shared" si="0"/>
        <v>-408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v>1434</v>
      </c>
      <c r="E13" s="12">
        <f>ROUND(_xll.HPVAL($A13,$A$1,$A$2,$A$3,$A$4,$A$6)/1000,0)-E12</f>
        <v>1442</v>
      </c>
      <c r="F13" s="123">
        <f>E13-D13</f>
        <v>8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>
        <f>ROUND(_xll.HPVAL($A14,$A$1,$A$2,$A$3,$A$4,$A$6)/1000,0)</f>
        <v>1852</v>
      </c>
      <c r="F14" s="123">
        <f>E14-D14</f>
        <v>705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>
        <f>E15</f>
        <v>1224</v>
      </c>
      <c r="E15" s="12">
        <f>ROUND(_xll.HPVAL($A15,$A$1,$A$2,$A$3,$A$4,$A$6)/1000,0)/2</f>
        <v>1224</v>
      </c>
      <c r="F15" s="123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892</v>
      </c>
      <c r="E16" s="12">
        <f>ROUND(_xll.HPVAL($A16,$A$1,$A$2,$A$3,$A$4,$A$6)/1000,0)</f>
        <v>892</v>
      </c>
      <c r="F16" s="123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295</v>
      </c>
      <c r="D17" s="20">
        <f>E17</f>
        <v>104</v>
      </c>
      <c r="E17" s="12">
        <f>ROUND(_xll.HPVAL($A17,$A$1,$A$2,$A$3,$A$4,$A$6)/1000,0)</f>
        <v>104</v>
      </c>
      <c r="F17" s="123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19230</v>
      </c>
      <c r="E18" s="121">
        <f>SUM(E9:E17)</f>
        <v>14810</v>
      </c>
      <c r="F18" s="113">
        <f>SUM(F9:F17)</f>
        <v>-4420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>
        <f>E20+3000+541</f>
        <v>8510</v>
      </c>
      <c r="E20" s="12">
        <f>ROUND(_xll.HPVAL($A20,$A$1,$A$2,$A$3,$A$4,$A$6)/1000,0)</f>
        <v>4969</v>
      </c>
      <c r="F20" s="123">
        <f t="shared" ref="F20:F30" si="1">E20-D20</f>
        <v>-3541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>
        <f>E21+541</f>
        <v>5215</v>
      </c>
      <c r="E21" s="12">
        <f>ROUND(_xll.HPVAL($A21,$A$1,$A$2,$A$3,$A$4,$A$6)/1000,0)</f>
        <v>4674</v>
      </c>
      <c r="F21" s="123">
        <f t="shared" si="1"/>
        <v>-541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>
        <f>E22</f>
        <v>5360</v>
      </c>
      <c r="E22" s="12">
        <f>ROUND(_xll.HPVAL($A22,$A$1,$A$2,$A$3,$A$4,$A$6)/1000,0)</f>
        <v>5360</v>
      </c>
      <c r="F22" s="123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f>1721+541</f>
        <v>2262</v>
      </c>
      <c r="E23" s="12">
        <f>ROUND(_xll.HPVAL($A23,$A$1,$A$2,$A$3,$A$4,$A$6)/1000,0)</f>
        <v>1294</v>
      </c>
      <c r="F23" s="123">
        <f>E23-D23</f>
        <v>-968</v>
      </c>
      <c r="G23" s="5"/>
      <c r="H23" s="4" t="s">
        <v>297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>
        <f>ROUND(_xll.HPVAL($A25,$A$1,$A$2,$A$3,$A$4,$A$6)/1000,0)</f>
        <v>329</v>
      </c>
      <c r="F25" s="123">
        <f t="shared" si="1"/>
        <v>-169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80" t="s">
        <v>41</v>
      </c>
      <c r="B26" s="7" t="s">
        <v>311</v>
      </c>
      <c r="C26" s="72"/>
      <c r="D26" s="20">
        <v>3746</v>
      </c>
      <c r="E26" s="12">
        <f>ROUND(_xll.HPVAL($A26,$A$1,$A$2,$A$3,$A$4,$A$6)/1000,0)-E27-E28</f>
        <v>2866</v>
      </c>
      <c r="F26" s="123">
        <f>E26-D26</f>
        <v>-880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162" t="s">
        <v>291</v>
      </c>
      <c r="B27" s="7" t="s">
        <v>291</v>
      </c>
      <c r="C27" s="72"/>
      <c r="D27" s="20">
        <v>2902</v>
      </c>
      <c r="E27" s="12">
        <v>2595</v>
      </c>
      <c r="F27" s="123">
        <f>E27-D27</f>
        <v>-307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162" t="s">
        <v>292</v>
      </c>
      <c r="B28" s="7" t="s">
        <v>292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0">
        <v>1364</v>
      </c>
      <c r="E29" s="12">
        <f>ROUND(_xll.HPVAL($A29,$A$1,$A$2,$A$3,$A$4,$A$6)/1000,0)</f>
        <v>1298</v>
      </c>
      <c r="F29" s="123">
        <f t="shared" si="1"/>
        <v>-66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0">
        <v>1616</v>
      </c>
      <c r="E30" s="12">
        <f>ROUND(_xll.HPVAL($A30,$A$1,$A$2,$A$3,$A$4,$A$6)/1000,0)</f>
        <v>2005</v>
      </c>
      <c r="F30" s="123">
        <f t="shared" si="1"/>
        <v>389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>
        <f>D20+D21+D22+D23+D24+D25+D30+D29+D26+D27+D28</f>
        <v>32762</v>
      </c>
      <c r="E31" s="121">
        <f>E20+E21+E22+E23+E24+E25+E30+E29+E26+E27+E28</f>
        <v>26710</v>
      </c>
      <c r="F31" s="113">
        <f>F20+F21+F22+F23+F24+F25+F26+F29+F30+F27+F28</f>
        <v>-6052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0">
        <v>635</v>
      </c>
      <c r="E34" s="12">
        <f>ROUND(_xll.HPVAL($A34,$A$1,$A$2,$A$3,$A$4,$A$6)/1000,0)</f>
        <v>735</v>
      </c>
      <c r="F34" s="123">
        <f>E34-D34</f>
        <v>100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0">
        <v>1433</v>
      </c>
      <c r="E35" s="12">
        <f>ROUND(_xll.HPVAL($A35,$A$1,$A$2,$A$3,$A$4,$A$6)/1000,0)</f>
        <v>1307</v>
      </c>
      <c r="F35" s="123">
        <f>E35-D35</f>
        <v>-126</v>
      </c>
      <c r="G35" s="5"/>
      <c r="H35" s="4" t="s">
        <v>286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0">
        <v>402</v>
      </c>
      <c r="E36" s="12">
        <f>ROUND(_xll.HPVAL($A36,$A$1,$A$2,$A$3,$A$4,$A$6)/1000,0)</f>
        <v>839</v>
      </c>
      <c r="F36" s="123">
        <f>E36-D36</f>
        <v>437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0">
        <f>E37</f>
        <v>0</v>
      </c>
      <c r="E37" s="12">
        <f>ROUND(_xll.HPVAL($A37,$A$1,$A$2,$A$3,$A$4,$A$6)/1000,0)</f>
        <v>0</v>
      </c>
      <c r="F37" s="123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26">
        <f>SUM(D36:D37)</f>
        <v>402</v>
      </c>
      <c r="E38" s="227">
        <f>SUM(E36:E37)</f>
        <v>839</v>
      </c>
      <c r="F38" s="296">
        <f>SUM(F36:F37)</f>
        <v>437</v>
      </c>
      <c r="G38" s="225"/>
      <c r="K38" s="283"/>
    </row>
    <row r="39" spans="1:37" ht="11.25" customHeight="1" x14ac:dyDescent="0.2">
      <c r="B39" s="115" t="s">
        <v>87</v>
      </c>
      <c r="C39" s="114"/>
      <c r="D39" s="120">
        <f>SUM(D34:D37)</f>
        <v>2470</v>
      </c>
      <c r="E39" s="121">
        <f>SUM(E34:E37)</f>
        <v>2881</v>
      </c>
      <c r="F39" s="113">
        <f>SUM(F34:F37)</f>
        <v>411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>
        <v>6035</v>
      </c>
      <c r="E41" s="12">
        <f>ROUND(_xll.HPVAL($A41,$A$1,$A$2,$A$3,$A$4,$A$6)/1000,0)</f>
        <v>4617</v>
      </c>
      <c r="F41" s="123">
        <f>E41-D41</f>
        <v>-1418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>
        <f>23130-17600-2300</f>
        <v>3230</v>
      </c>
      <c r="E43" s="12">
        <f>ROUND(_xll.HPVAL($A43,$A$1,$A$2,$A$3,$A$4,$A$6)/1000,0)</f>
        <v>2430</v>
      </c>
      <c r="F43" s="123">
        <f>E43-D43</f>
        <v>-800</v>
      </c>
      <c r="G43" s="5"/>
      <c r="H43" s="4" t="s">
        <v>282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>
        <f>SUM(D39:D43)+D18+D31</f>
        <v>63727</v>
      </c>
      <c r="E45" s="121">
        <f>SUM(E39:E43)+E18+E31</f>
        <v>51448</v>
      </c>
      <c r="F45" s="113">
        <f>SUM(F39:F43)+F18+F31</f>
        <v>-12279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>
        <f>75928-15698+30000</f>
        <v>90230</v>
      </c>
      <c r="E47" s="12">
        <f>ROUND(_xll.HPVAL($A47,$A$1,$A$2,$A$3,$A$4,$A$6)/1000,0)-13698</f>
        <v>59297</v>
      </c>
      <c r="F47" s="123">
        <f>E47-D47</f>
        <v>-30933</v>
      </c>
      <c r="G47" s="5"/>
      <c r="H47" s="4" t="s">
        <v>287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0">
        <v>22625</v>
      </c>
      <c r="E51" s="12">
        <f>ROUND(_xll.HPVAL($A51,$A$1,$A$2,$A$3,$A$4,$A$6)/1000,0)</f>
        <v>26684</v>
      </c>
      <c r="F51" s="123">
        <f>E51-D51</f>
        <v>4059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>
        <f>D45+D47+D51+D49</f>
        <v>190280</v>
      </c>
      <c r="E53" s="109">
        <f>E45+E47+E51+E49</f>
        <v>151127</v>
      </c>
      <c r="F53" s="110">
        <f>F45+F47+F51+F49</f>
        <v>-39153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181">
        <v>9885</v>
      </c>
      <c r="E58" s="182">
        <v>8789</v>
      </c>
      <c r="F58" s="179">
        <f>E58-D58</f>
        <v>-1096</v>
      </c>
      <c r="G58" s="1"/>
      <c r="H58" s="9" t="s">
        <v>303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291</v>
      </c>
      <c r="D59" s="20">
        <v>34093</v>
      </c>
      <c r="E59" s="12">
        <v>33926</v>
      </c>
      <c r="F59" s="123">
        <f>E59-D59</f>
        <v>-167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1">
        <v>5655</v>
      </c>
      <c r="E60" s="15">
        <v>3072</v>
      </c>
      <c r="F60" s="180">
        <f>E60-D60</f>
        <v>-2583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279">
        <f>SUM(D58:D60)</f>
        <v>49633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1" workbookViewId="0">
      <selection activeCell="C16" sqref="C16"/>
    </sheetView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>
        <f>Expenses!D9-[2]Expenses!D9</f>
        <v>0</v>
      </c>
      <c r="E9" s="63">
        <f>Expenses!E9-[2]Expenses!E9</f>
        <v>0</v>
      </c>
      <c r="F9" s="122">
        <f>E9-D9</f>
        <v>0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>
        <f>Expenses!E10-[2]Expenses!E10</f>
        <v>0</v>
      </c>
      <c r="F10" s="295">
        <f>E10-D10</f>
        <v>0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0</v>
      </c>
      <c r="E11" s="294">
        <f>Expenses!E11-[2]Expenses!E11</f>
        <v>0</v>
      </c>
      <c r="F11" s="295">
        <f t="shared" ref="F11:F17" si="0"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0</v>
      </c>
      <c r="E12" s="294">
        <f>Expenses!E12-[2]Expenses!E12</f>
        <v>0</v>
      </c>
      <c r="F12" s="295">
        <f t="shared" si="0"/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>
        <f>Expenses!E13-[2]Expenses!E13</f>
        <v>0</v>
      </c>
      <c r="F13" s="295">
        <f t="shared" si="0"/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>
        <f>Expenses!E14-[2]Expenses!E14</f>
        <v>0</v>
      </c>
      <c r="F14" s="295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>
        <f>Expenses!D15-[2]Expenses!D15</f>
        <v>0</v>
      </c>
      <c r="E15" s="294">
        <f>Expenses!E15-[2]Expenses!E15</f>
        <v>0</v>
      </c>
      <c r="F15" s="295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0</v>
      </c>
      <c r="E16" s="294">
        <f>Expenses!E16-[2]Expenses!E16</f>
        <v>0</v>
      </c>
      <c r="F16" s="295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295</v>
      </c>
      <c r="D17" s="293">
        <f>Expenses!D17-[2]Expenses!D17</f>
        <v>0</v>
      </c>
      <c r="E17" s="294">
        <f>Expenses!E17-[2]Expenses!E17</f>
        <v>0</v>
      </c>
      <c r="F17" s="295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>
        <f>SUM(D9:D17)</f>
        <v>0</v>
      </c>
      <c r="E18" s="121">
        <f>SUM(E9:E17)</f>
        <v>0</v>
      </c>
      <c r="F18" s="113">
        <f>SUM(F9:F17)</f>
        <v>0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>
        <f>Expenses!D20-[2]Expenses!D20</f>
        <v>-541</v>
      </c>
      <c r="E20" s="294">
        <f>Expenses!E20-[2]Expenses!E20</f>
        <v>0</v>
      </c>
      <c r="F20" s="295">
        <f t="shared" ref="F20:F26" si="1">E20-D20</f>
        <v>541</v>
      </c>
      <c r="G20" s="5"/>
      <c r="H20" s="4" t="s">
        <v>298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>
        <f>Expenses!D21-[2]Expenses!D21</f>
        <v>0</v>
      </c>
      <c r="E21" s="294">
        <f>Expenses!E21-[2]Expenses!E21</f>
        <v>0</v>
      </c>
      <c r="F21" s="295">
        <f t="shared" si="1"/>
        <v>0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>
        <f>Expenses!D22-[2]Expenses!D22</f>
        <v>0</v>
      </c>
      <c r="E22" s="294">
        <f>Expenses!E22-[2]Expenses!E22</f>
        <v>0</v>
      </c>
      <c r="F22" s="295">
        <f t="shared" si="1"/>
        <v>0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541</v>
      </c>
      <c r="E23" s="294">
        <f>Expenses!E23-[2]Expenses!E23</f>
        <v>0</v>
      </c>
      <c r="F23" s="295">
        <f>E23-D23</f>
        <v>-541</v>
      </c>
      <c r="G23" s="5"/>
      <c r="H23" s="4" t="s">
        <v>299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>
        <f>Expenses!E25-[2]Expenses!E25</f>
        <v>0</v>
      </c>
      <c r="F25" s="295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41</v>
      </c>
      <c r="B26" s="7" t="s">
        <v>311</v>
      </c>
      <c r="C26" s="72"/>
      <c r="D26" s="293">
        <f>Expenses!D26-[2]Expenses!D26</f>
        <v>578</v>
      </c>
      <c r="E26" s="294">
        <f>Expenses!E26-[2]Expenses!E26</f>
        <v>0</v>
      </c>
      <c r="F26" s="295">
        <f t="shared" si="1"/>
        <v>-578</v>
      </c>
      <c r="G26" s="5"/>
      <c r="H26" s="4" t="s">
        <v>307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291</v>
      </c>
      <c r="C27" s="72"/>
      <c r="D27" s="293">
        <f>Expenses!D27-[2]Expenses!D27</f>
        <v>0</v>
      </c>
      <c r="E27" s="294">
        <f>Expenses!E27-[2]Expenses!E27</f>
        <v>0</v>
      </c>
      <c r="F27" s="295">
        <f>E27-D27</f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292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93">
        <f>Expenses!D29-[2]Expenses!D29</f>
        <v>0</v>
      </c>
      <c r="E29" s="294">
        <f>Expenses!E29-[2]Expenses!E29</f>
        <v>0</v>
      </c>
      <c r="F29" s="295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93">
        <f>Expenses!D30-[2]Expenses!D30</f>
        <v>0</v>
      </c>
      <c r="E30" s="294">
        <f>Expenses!E30-[2]Expenses!E30</f>
        <v>0</v>
      </c>
      <c r="F30" s="295">
        <f>E30-D30</f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>
        <f>SUM(D20:D30)</f>
        <v>578</v>
      </c>
      <c r="E31" s="121">
        <f>SUM(E20:E30)</f>
        <v>0</v>
      </c>
      <c r="F31" s="113">
        <f>SUM(F20:F30)</f>
        <v>-578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93">
        <f>Expenses!D34-[2]Expenses!D34</f>
        <v>0</v>
      </c>
      <c r="E34" s="294">
        <f>Expenses!E34-[2]Expenses!E34</f>
        <v>0</v>
      </c>
      <c r="F34" s="295">
        <f>E34-D34</f>
        <v>0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93">
        <f>Expenses!D35-[2]Expenses!D35</f>
        <v>0</v>
      </c>
      <c r="E35" s="294">
        <f>Expenses!E35-[2]Expenses!E35</f>
        <v>0</v>
      </c>
      <c r="F35" s="295">
        <f>E35-D35</f>
        <v>0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93">
        <f>Expenses!D36-[2]Expenses!D36</f>
        <v>0</v>
      </c>
      <c r="E36" s="294">
        <f>Expenses!E36-[2]Expenses!E36</f>
        <v>0</v>
      </c>
      <c r="F36" s="295">
        <f>E36-D36</f>
        <v>0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93">
        <f>Expenses!D37-[2]Expenses!D37</f>
        <v>0</v>
      </c>
      <c r="E37" s="294">
        <f>Expenses!E37-[2]Expenses!E37</f>
        <v>0</v>
      </c>
      <c r="F37" s="295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93">
        <f>Expenses!D38-[2]Expenses!D38</f>
        <v>0</v>
      </c>
      <c r="E38" s="294">
        <f>Expenses!E38-[2]Expenses!E38</f>
        <v>0</v>
      </c>
      <c r="F38" s="295">
        <f>E38-D38</f>
        <v>0</v>
      </c>
      <c r="G38" s="225"/>
      <c r="K38" s="283"/>
    </row>
    <row r="39" spans="1:37" ht="11.25" customHeight="1" x14ac:dyDescent="0.2">
      <c r="B39" s="115" t="s">
        <v>87</v>
      </c>
      <c r="C39" s="114"/>
      <c r="D39" s="120">
        <f>SUM(D34:D37)</f>
        <v>0</v>
      </c>
      <c r="E39" s="121">
        <f>SUM(E34:E37)</f>
        <v>0</v>
      </c>
      <c r="F39" s="113">
        <f>SUM(F34:F37)</f>
        <v>0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93">
        <f>Expenses!D41-[2]Expenses!D41</f>
        <v>0</v>
      </c>
      <c r="E41" s="294">
        <f>Expenses!E41-[2]Expenses!E41</f>
        <v>0</v>
      </c>
      <c r="F41" s="295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93">
        <f>Expenses!D43-[2]Expenses!D43</f>
        <v>0</v>
      </c>
      <c r="E43" s="294">
        <f>Expenses!E43-[2]Expenses!E43</f>
        <v>0</v>
      </c>
      <c r="F43" s="295">
        <f>E43-D43</f>
        <v>0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>
        <f>SUM(D39:D43)+D18+D31</f>
        <v>578</v>
      </c>
      <c r="E45" s="121">
        <f>SUM(E39:E43)+E18+E31</f>
        <v>0</v>
      </c>
      <c r="F45" s="113">
        <f>SUM(F39:F43)+F18+F31</f>
        <v>-578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93">
        <f>Expenses!D47-[2]Expenses!D47</f>
        <v>0</v>
      </c>
      <c r="E47" s="294">
        <f>Expenses!E47-[2]Expenses!E47</f>
        <v>0</v>
      </c>
      <c r="F47" s="295">
        <f>E47-D47</f>
        <v>0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93">
        <f>Expenses!D51-[2]Expenses!D51</f>
        <v>0</v>
      </c>
      <c r="E51" s="294">
        <f>Expenses!E51-[2]Expenses!E51</f>
        <v>0</v>
      </c>
      <c r="F51" s="295">
        <f>E51-D51</f>
        <v>0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>
        <f>D45+D47+D51+D49</f>
        <v>578</v>
      </c>
      <c r="E53" s="109">
        <f>E45+E47+E51+E49</f>
        <v>0</v>
      </c>
      <c r="F53" s="110">
        <f>F45+F47+F51+F49</f>
        <v>-578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293">
        <f>Expenses!D58-[2]Expenses!D58</f>
        <v>9885</v>
      </c>
      <c r="E58" s="294">
        <f>Expenses!E58-[2]Expenses!E58</f>
        <v>0</v>
      </c>
      <c r="F58" s="295">
        <f>E58-D58</f>
        <v>-9885</v>
      </c>
      <c r="G58" s="1"/>
      <c r="H58" s="9" t="s">
        <v>304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291</v>
      </c>
      <c r="D59" s="293">
        <f>Expenses!D59-[2]Expenses!D59</f>
        <v>1399</v>
      </c>
      <c r="E59" s="294">
        <f>Expenses!E59-[2]Expenses!E59</f>
        <v>0</v>
      </c>
      <c r="F59" s="295">
        <f>E59-D59</f>
        <v>-1399</v>
      </c>
      <c r="G59" s="1"/>
      <c r="H59" s="4" t="s">
        <v>305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99">
        <f>Expenses!D60-[2]Expenses!D60</f>
        <v>-2018</v>
      </c>
      <c r="E60" s="300">
        <f>Expenses!E60-[2]Expenses!E60</f>
        <v>0</v>
      </c>
      <c r="F60" s="301">
        <f>E60-D60</f>
        <v>2018</v>
      </c>
      <c r="G60" s="1"/>
      <c r="H60" s="13" t="s">
        <v>306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C16" sqref="C16"/>
      <selection pane="topRight" activeCell="C16" sqref="C16"/>
      <selection pane="bottomLeft" activeCell="C16" sqref="C16"/>
      <selection pane="bottomRight" activeCell="C16" sqref="C16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>
        <f>ROUND(_xll.HPVAL($A10,$A$1,$A$2,$A$4,$A$5,$A$6)/1000,0)</f>
        <v>0</v>
      </c>
      <c r="F10" s="124">
        <f>E10-D10</f>
        <v>0</v>
      </c>
      <c r="G10" s="2"/>
      <c r="H10" s="2"/>
      <c r="I10" s="3"/>
      <c r="J10" s="1"/>
      <c r="K10" s="62">
        <f>L10</f>
        <v>11645</v>
      </c>
      <c r="L10" s="63">
        <f>ROUND(_xll.HPVAL($A10,$A$1,$A$3,$A$4,$A$5,$A$6)/1000,0)</f>
        <v>11645</v>
      </c>
      <c r="M10" s="124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>
        <f>E11</f>
        <v>0</v>
      </c>
      <c r="E11" s="12">
        <f>ROUND(_xll.HPVAL($A11,$A$1,$A$2,$A$4,$A$5,$A$6)/1000,0)</f>
        <v>0</v>
      </c>
      <c r="F11" s="125">
        <f>E11-D11</f>
        <v>0</v>
      </c>
      <c r="G11" s="2"/>
      <c r="H11" s="2"/>
      <c r="I11" s="3"/>
      <c r="J11" s="1"/>
      <c r="K11" s="20">
        <f>L11</f>
        <v>2441</v>
      </c>
      <c r="L11" s="12">
        <f>ROUND(_xll.HPVAL($A11,$A$1,$A$3,$A$4,$A$5,$A$6)/1000,0)</f>
        <v>2441</v>
      </c>
      <c r="M11" s="125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v>7803</v>
      </c>
      <c r="E12" s="12">
        <f>ROUND(_xll.HPVAL($A12,$A$1,$A$2,$A$4,$A$5,$A$6)/1000,0)</f>
        <v>8791</v>
      </c>
      <c r="F12" s="125">
        <f t="shared" ref="F12:F18" si="0">E12-D12</f>
        <v>988</v>
      </c>
      <c r="G12" s="2"/>
      <c r="H12" s="2"/>
      <c r="I12" s="3"/>
      <c r="J12" s="1"/>
      <c r="K12" s="20">
        <f t="shared" ref="K12:K18" si="1">L12</f>
        <v>5942</v>
      </c>
      <c r="L12" s="12">
        <f>ROUND(_xll.HPVAL($A12,$A$1,$A$3,$A$4,$A$5,$A$6)/1000,0)</f>
        <v>5942</v>
      </c>
      <c r="M12" s="125">
        <f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>
        <f t="shared" ref="D13:D18" si="2">E13</f>
        <v>0</v>
      </c>
      <c r="E13" s="12">
        <f>ROUND(_xll.HPVAL($A13,$A$1,$A$2,$A$4,$A$5,$A$6)/1000,0)</f>
        <v>0</v>
      </c>
      <c r="F13" s="125">
        <f t="shared" si="0"/>
        <v>0</v>
      </c>
      <c r="G13" s="2"/>
      <c r="H13" s="2"/>
      <c r="I13" s="3"/>
      <c r="J13" s="1"/>
      <c r="K13" s="20">
        <f t="shared" si="1"/>
        <v>952</v>
      </c>
      <c r="L13" s="12">
        <f>ROUND(_xll.HPVAL($A13,$A$1,$A$3,$A$4,$A$5,$A$6)*0.8577/1000,0)</f>
        <v>952</v>
      </c>
      <c r="M13" s="125">
        <f t="shared" ref="M13:M18" si="3"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>
        <f t="shared" si="2"/>
        <v>0</v>
      </c>
      <c r="E14" s="12">
        <f>ROUND(_xll.HPVAL($A14,$A$1,$A$2,$A$4,$A$5,$A$6)/1000,0)</f>
        <v>0</v>
      </c>
      <c r="F14" s="125">
        <f>E14-D14</f>
        <v>0</v>
      </c>
      <c r="G14" s="2"/>
      <c r="H14" s="2"/>
      <c r="I14" s="3"/>
      <c r="J14" s="1"/>
      <c r="K14" s="20">
        <f>L14</f>
        <v>1054</v>
      </c>
      <c r="L14" s="12">
        <f>ROUND(_xll.HPVAL("ECT_INV_IRFX",$A$1,$A$3,$A$4,$A$5,$A$6)/1000,0)-L13</f>
        <v>1054</v>
      </c>
      <c r="M14" s="125">
        <f>ROUND(L14-K14,0)</f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>
        <f t="shared" si="1"/>
        <v>1195</v>
      </c>
      <c r="L15" s="12">
        <f>ROUND(_xll.HPVAL($A15,$A$1,$A$3,$A$4,$A$5,$A$6)/1000,0)/2</f>
        <v>1195</v>
      </c>
      <c r="M15" s="125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>
        <f>ROUND(_xll.HPVAL($A16,$A$1,$A$3,$A$4,$A$5,$A$6)/1000,0)/2</f>
        <v>814</v>
      </c>
      <c r="M16" s="125">
        <f t="shared" si="3"/>
        <v>-313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>
        <f t="shared" si="2"/>
        <v>0</v>
      </c>
      <c r="E17" s="12">
        <f>ROUND(_xll.HPVAL($A17,$A$1,$A$2,$A$4,$A$5,$A$6)/1000,0)</f>
        <v>0</v>
      </c>
      <c r="F17" s="125">
        <f t="shared" si="0"/>
        <v>0</v>
      </c>
      <c r="G17" s="2"/>
      <c r="H17" s="2"/>
      <c r="I17" s="3"/>
      <c r="J17" s="1"/>
      <c r="K17" s="20">
        <v>919</v>
      </c>
      <c r="L17" s="12">
        <f>ROUND(_xll.HPVAL($A17,$A$1,$A$3,$A$4,$A$5,$A$6)/1000,0)</f>
        <v>769</v>
      </c>
      <c r="M17" s="125">
        <f t="shared" si="3"/>
        <v>-150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295</v>
      </c>
      <c r="D18" s="20">
        <f t="shared" si="2"/>
        <v>0</v>
      </c>
      <c r="E18" s="12">
        <f>ROUND(_xll.HPVAL($A18,$A$1,$A$2,$A$4,$A$5,$A$6)/1000,0)</f>
        <v>0</v>
      </c>
      <c r="F18" s="125">
        <f t="shared" si="0"/>
        <v>0</v>
      </c>
      <c r="G18" s="2"/>
      <c r="H18" s="2"/>
      <c r="I18" s="3"/>
      <c r="J18" s="1"/>
      <c r="K18" s="20">
        <f t="shared" si="1"/>
        <v>234</v>
      </c>
      <c r="L18" s="12">
        <f>ROUND(_xll.HPVAL($A18,$A$1,$A$3,$A$4,$A$5,$A$6)/1000,0)</f>
        <v>234</v>
      </c>
      <c r="M18" s="125">
        <f t="shared" si="3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>
        <f>SUM(D10:D18)</f>
        <v>7803</v>
      </c>
      <c r="E19" s="121">
        <f>SUM(E10:E18)</f>
        <v>8791</v>
      </c>
      <c r="F19" s="121">
        <f>SUM(F10:F18)</f>
        <v>988</v>
      </c>
      <c r="G19" s="118"/>
      <c r="H19" s="118"/>
      <c r="I19" s="119"/>
      <c r="J19" s="114"/>
      <c r="K19" s="120">
        <f>SUM(K10:K18)</f>
        <v>25509</v>
      </c>
      <c r="L19" s="121">
        <f>SUM(L10:L18)</f>
        <v>25046</v>
      </c>
      <c r="M19" s="121">
        <f>SUM(M10:M18)</f>
        <v>-463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>
        <f>E21</f>
        <v>0</v>
      </c>
      <c r="E21" s="12">
        <f>ROUND(_xll.HPVAL($A21,$A$1,$A$2,$A$4,$A$5,$A$6)/1000,0)</f>
        <v>0</v>
      </c>
      <c r="F21" s="125">
        <f t="shared" ref="F21:F31" si="4">E21-D21</f>
        <v>0</v>
      </c>
      <c r="G21" s="2"/>
      <c r="H21" s="2"/>
      <c r="I21" s="3"/>
      <c r="J21" s="1"/>
      <c r="K21" s="20">
        <f>L21</f>
        <v>3837</v>
      </c>
      <c r="L21" s="12">
        <f>ROUND(_xll.HPVAL($A21,$A$1,$A$3,$A$4,$A$5,$A$6)/1000,0)</f>
        <v>3837</v>
      </c>
      <c r="M21" s="125">
        <f t="shared" ref="M21:M31" si="5">ROUND(L21-K21,0)</f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>
        <f>ROUND(_xll.HPVAL($A22,$A$1,$A$2,$A$4,$A$5,$A$6)/1000,0)</f>
        <v>288</v>
      </c>
      <c r="F22" s="125">
        <f t="shared" si="4"/>
        <v>-650</v>
      </c>
      <c r="G22" s="2" t="s">
        <v>190</v>
      </c>
      <c r="H22" s="2"/>
      <c r="I22" s="3"/>
      <c r="J22" s="1"/>
      <c r="K22" s="20">
        <f>L22</f>
        <v>2304</v>
      </c>
      <c r="L22" s="12">
        <f>ROUND(_xll.HPVAL($A22,$A$1,$A$3,$A$4,$A$5,$A$6)/1000,0)</f>
        <v>2304</v>
      </c>
      <c r="M22" s="125">
        <f t="shared" si="5"/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>
        <f>ROUND(_xll.HPVAL($A23,$A$1,$A$2,$A$4,$A$5,$A$6)/1000,0)</f>
        <v>1086</v>
      </c>
      <c r="F23" s="125">
        <f t="shared" si="4"/>
        <v>977</v>
      </c>
      <c r="G23" s="2" t="s">
        <v>191</v>
      </c>
      <c r="H23" s="2"/>
      <c r="I23" s="3"/>
      <c r="J23" s="1"/>
      <c r="K23" s="20">
        <v>2620</v>
      </c>
      <c r="L23" s="12">
        <f>ROUND(_xll.HPVAL($A23,$A$1,$A$3,$A$4,$A$5,$A$6)/1000,0)</f>
        <v>2463</v>
      </c>
      <c r="M23" s="125">
        <f t="shared" si="5"/>
        <v>-157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6057</v>
      </c>
      <c r="E24" s="12">
        <f>ROUND(_xll.HPVAL($A24,$A$1,$A$2,$A$4,$A$5,$A$6)/1000,0)</f>
        <v>6294</v>
      </c>
      <c r="F24" s="125">
        <f>E24-D24</f>
        <v>237</v>
      </c>
      <c r="G24" s="2" t="s">
        <v>302</v>
      </c>
      <c r="H24" s="2"/>
      <c r="I24" s="3"/>
      <c r="J24" s="1"/>
      <c r="K24" s="20">
        <f>L24</f>
        <v>660</v>
      </c>
      <c r="L24" s="12">
        <f>ROUND(_xll.HPVAL($A24,$A$1,$A$3,$A$4,$A$5,$A$6)/1000,0)</f>
        <v>660</v>
      </c>
      <c r="M24" s="125">
        <f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41</v>
      </c>
      <c r="B27" s="7" t="s">
        <v>311</v>
      </c>
      <c r="C27" s="72"/>
      <c r="D27" s="20">
        <v>1006</v>
      </c>
      <c r="E27" s="12">
        <f>ROUND(_xll.HPVAL($A27,$A$1,$A$2,$A$4,$A$5,$A$6)/1000,0)-E28-E29</f>
        <v>467</v>
      </c>
      <c r="F27" s="125">
        <f>E27-D27</f>
        <v>-539</v>
      </c>
      <c r="G27" s="2"/>
      <c r="H27" s="2"/>
      <c r="I27" s="3"/>
      <c r="J27" s="1"/>
      <c r="K27" s="20">
        <f>L27</f>
        <v>3481.5</v>
      </c>
      <c r="L27" s="12">
        <f>ROUND(_xll.HPVAL($A27,$A$1,$A$3,$A$4,$A$5,$A$6)/1000,0)/2</f>
        <v>3481.5</v>
      </c>
      <c r="M27" s="125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293</v>
      </c>
      <c r="B28" s="7" t="s">
        <v>291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>
        <f>L28</f>
        <v>3481.5</v>
      </c>
      <c r="L28" s="12">
        <f>L27</f>
        <v>3481.5</v>
      </c>
      <c r="M28" s="125">
        <f>ROUND(L28-K28,0)</f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294</v>
      </c>
      <c r="B29" s="7" t="s">
        <v>292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>
        <f>L29</f>
        <v>0</v>
      </c>
      <c r="L29" s="12">
        <f>ROUND(_xll.HPVAL($A29,$A$1,$A$3,$A$4,$A$5,$A$6)/1000,0)</f>
        <v>0</v>
      </c>
      <c r="M29" s="125">
        <f>ROUND(L29-K29,0)</f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73</v>
      </c>
      <c r="B30" s="7" t="s">
        <v>156</v>
      </c>
      <c r="D30" s="20">
        <v>-655</v>
      </c>
      <c r="E30" s="12">
        <f>ROUND(_xll.HPVAL($A30,$A$1,$A$2,$A$4,$A$5,$A$6)/1000,0)</f>
        <v>0</v>
      </c>
      <c r="F30" s="125">
        <f>E30-D30</f>
        <v>655</v>
      </c>
      <c r="G30" s="2"/>
      <c r="H30" s="2"/>
      <c r="I30" s="3"/>
      <c r="J30" s="1"/>
      <c r="K30" s="20">
        <v>418</v>
      </c>
      <c r="L30" s="12">
        <f>ROUND(_xll.HPVAL($A30,$A$1,$A$3,$A$4,$A$5,$A$6)/1000,0)</f>
        <v>36</v>
      </c>
      <c r="M30" s="125">
        <f>ROUND(L30-K30,0)</f>
        <v>-382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36</v>
      </c>
      <c r="B31" s="7" t="s">
        <v>0</v>
      </c>
      <c r="D31" s="20">
        <f>E31</f>
        <v>0</v>
      </c>
      <c r="E31" s="12">
        <f>ROUND(_xll.HPVAL($A31,$A$1,$A$2,$A$4,$A$5,$A$6)/1000,0)</f>
        <v>0</v>
      </c>
      <c r="F31" s="125">
        <f t="shared" si="4"/>
        <v>0</v>
      </c>
      <c r="G31" s="2"/>
      <c r="H31" s="2"/>
      <c r="I31" s="3"/>
      <c r="J31" s="1"/>
      <c r="K31" s="20">
        <f>L31</f>
        <v>621</v>
      </c>
      <c r="L31" s="12">
        <f>ROUND(_xll.HPVAL($A31,$A$1,$A$3,$A$4,$A$5,$A$6)/1000,0)</f>
        <v>621</v>
      </c>
      <c r="M31" s="125">
        <f t="shared" si="5"/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1</v>
      </c>
      <c r="C32" s="114"/>
      <c r="D32" s="120">
        <f>D21+D22+D23+D24+D25+D26+D31+D30+D27+D28+D29</f>
        <v>19256</v>
      </c>
      <c r="E32" s="121">
        <f>E21+E22+E23+E24+E25+E26+E31+E30+E27+E28+E29</f>
        <v>19826</v>
      </c>
      <c r="F32" s="121">
        <f>F21+F22+F23+F24+F25+F26+F31+F30+F27+F28+F29</f>
        <v>570</v>
      </c>
      <c r="G32" s="118"/>
      <c r="H32" s="118"/>
      <c r="I32" s="119"/>
      <c r="J32" s="114"/>
      <c r="K32" s="120">
        <f>K21+K22+K23+K24+K25+K26+K31+K30+K27+K28+K29</f>
        <v>19745</v>
      </c>
      <c r="L32" s="121">
        <f>L21+L22+L23+L24+L25+L26+L31+L30+L27+L28+L29</f>
        <v>18893</v>
      </c>
      <c r="M32" s="121">
        <f>M21+M22+M23+M24+M25+M26+M31+M30+M27+M28+M29</f>
        <v>-852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40</v>
      </c>
      <c r="B35" s="7" t="s">
        <v>9</v>
      </c>
      <c r="D35" s="20">
        <v>655</v>
      </c>
      <c r="E35" s="12">
        <f>ROUND(_xll.HPVAL($A35,$A$1,$A$2,$A$4,$A$5,$A$6)/1000,0)</f>
        <v>2042</v>
      </c>
      <c r="F35" s="125">
        <f>E35-D35</f>
        <v>1387</v>
      </c>
      <c r="G35" s="2" t="s">
        <v>192</v>
      </c>
      <c r="H35" s="2"/>
      <c r="I35" s="3"/>
      <c r="J35" s="1"/>
      <c r="K35" s="20">
        <f>L35</f>
        <v>914</v>
      </c>
      <c r="L35" s="12">
        <f>ROUND(_xll.HPVAL($A35,$A$1,$A$3,$A$4,$A$5,$A$6)/1000,0)</f>
        <v>914</v>
      </c>
      <c r="M35" s="125">
        <f>ROUND(L35-K35,0)</f>
        <v>0</v>
      </c>
      <c r="N35" s="2"/>
      <c r="O35" s="2"/>
      <c r="P35" s="3"/>
      <c r="Q35" s="1"/>
      <c r="R35" s="1"/>
      <c r="S35" s="1"/>
      <c r="T35" s="1"/>
    </row>
    <row r="36" spans="1:20" ht="10.5" customHeight="1" x14ac:dyDescent="0.2">
      <c r="A36" s="23" t="s">
        <v>39</v>
      </c>
      <c r="B36" s="7" t="s">
        <v>267</v>
      </c>
      <c r="D36" s="20">
        <v>2462</v>
      </c>
      <c r="E36" s="12">
        <f>ROUND(_xll.HPVAL($A36,$A$1,$A$2,$A$4,$A$5,$A$6)/1000,0)</f>
        <v>4237</v>
      </c>
      <c r="F36" s="125">
        <f>E36-D36</f>
        <v>1775</v>
      </c>
      <c r="G36" s="163" t="s">
        <v>258</v>
      </c>
      <c r="H36" s="2"/>
      <c r="I36" s="3"/>
      <c r="J36" s="1"/>
      <c r="K36" s="20">
        <f>L36</f>
        <v>1614</v>
      </c>
      <c r="L36" s="12">
        <f>ROUND(_xll.HPVAL($A36,$A$1,$A$3,$A$4,$A$5,$A$6)/1000,0)</f>
        <v>1614</v>
      </c>
      <c r="M36" s="125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153</v>
      </c>
      <c r="B37" s="291" t="s">
        <v>180</v>
      </c>
      <c r="D37" s="20">
        <f>2251+1125</f>
        <v>3376</v>
      </c>
      <c r="E37" s="12">
        <f>ROUND(_xll.HPVAL($A37,$A$1,$A$2,$A$4,$A$5,$A$6)/1000,0)</f>
        <v>5483</v>
      </c>
      <c r="F37" s="125">
        <f>E37-D37</f>
        <v>2107</v>
      </c>
      <c r="G37" s="162" t="s">
        <v>300</v>
      </c>
      <c r="H37" s="2"/>
      <c r="I37" s="3"/>
      <c r="J37" s="1"/>
      <c r="K37" s="20">
        <f>L37</f>
        <v>1516</v>
      </c>
      <c r="L37" s="12">
        <f>ROUND(_xll.HPVAL($A37,$A$1,$A$3,$A$4,$A$5,$A$6)/1000,0)</f>
        <v>1516</v>
      </c>
      <c r="M37" s="125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">
      <c r="A38" s="23" t="s">
        <v>157</v>
      </c>
      <c r="B38" s="291" t="s">
        <v>154</v>
      </c>
      <c r="D38" s="20">
        <v>5712</v>
      </c>
      <c r="E38" s="12">
        <f>ROUND(_xll.HPVAL($A38,$A$1,$A$2,$A$4,$A$5,$A$6)/1000,0)</f>
        <v>2561</v>
      </c>
      <c r="F38" s="125">
        <f>E38-D38</f>
        <v>-3151</v>
      </c>
      <c r="G38" s="2" t="s">
        <v>301</v>
      </c>
      <c r="H38" s="2"/>
      <c r="I38" s="3"/>
      <c r="J38" s="1"/>
      <c r="K38" s="20">
        <f>L38</f>
        <v>0</v>
      </c>
      <c r="L38" s="12">
        <f>ROUND(_xll.HPVAL($A38,$A$1,$A$3,$A$4,$A$5,$A$6)/1000,0)</f>
        <v>0</v>
      </c>
      <c r="M38" s="125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7" t="s">
        <v>154</v>
      </c>
      <c r="D39" s="20">
        <f>SUM(D37:D38)</f>
        <v>9088</v>
      </c>
      <c r="E39" s="12">
        <f>SUM(E37:E38)</f>
        <v>8044</v>
      </c>
      <c r="F39" s="125">
        <f>SUM(F37:F38)</f>
        <v>-1044</v>
      </c>
      <c r="G39" s="2"/>
      <c r="H39" s="2"/>
      <c r="I39" s="3"/>
      <c r="J39" s="1"/>
      <c r="K39" s="20">
        <f>SUM(K37:K38)</f>
        <v>1516</v>
      </c>
      <c r="L39" s="12">
        <f>SUM(L37:L38)</f>
        <v>1516</v>
      </c>
      <c r="M39" s="125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SUM(D35:D38)</f>
        <v>12205</v>
      </c>
      <c r="E40" s="121">
        <f>SUM(E35:E38)</f>
        <v>14323</v>
      </c>
      <c r="F40" s="121">
        <f>SUM(F35:F38)</f>
        <v>2118</v>
      </c>
      <c r="G40" s="118"/>
      <c r="H40" s="118"/>
      <c r="I40" s="119"/>
      <c r="J40" s="114"/>
      <c r="K40" s="120">
        <f>SUM(K35:K38)</f>
        <v>4044</v>
      </c>
      <c r="L40" s="121">
        <f>SUM(L35:L38)</f>
        <v>4044</v>
      </c>
      <c r="M40" s="121">
        <f>SUM(M35:M39)</f>
        <v>0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>
        <f>E42</f>
        <v>0</v>
      </c>
      <c r="E42" s="12">
        <f>ROUND(_xll.HPVAL($A42,$A$1,$A$2,$A$4,$A$5,$A$6)/1000,0)</f>
        <v>0</v>
      </c>
      <c r="F42" s="125">
        <f>E42-D42</f>
        <v>0</v>
      </c>
      <c r="G42" s="2"/>
      <c r="H42" s="2"/>
      <c r="I42" s="3"/>
      <c r="J42" s="1"/>
      <c r="K42" s="20">
        <f>L42</f>
        <v>3069</v>
      </c>
      <c r="L42" s="12">
        <f>ROUND(_xll.HPVAL($A42,$A$1,$A$3,$A$4,$A$5,$A$6)/1000,0)</f>
        <v>3069</v>
      </c>
      <c r="M42" s="125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>
        <f>E44</f>
        <v>0</v>
      </c>
      <c r="E44" s="12">
        <f>ROUND(_xll.HPVAL($A44,$A$1,$A$2,$A$4,$A$5,$A$6)/1000,0)</f>
        <v>0</v>
      </c>
      <c r="F44" s="125">
        <f>E44-D44</f>
        <v>0</v>
      </c>
      <c r="G44" s="2"/>
      <c r="H44" s="2"/>
      <c r="I44" s="3"/>
      <c r="J44" s="1"/>
      <c r="K44" s="20">
        <v>4286</v>
      </c>
      <c r="L44" s="12">
        <f>ROUND(_xll.HPVAL($A44,$A$1,$A$3,$A$4,$A$5,$A$6)/1000,0)</f>
        <v>4669</v>
      </c>
      <c r="M44" s="125">
        <f>ROUND(L44-K44,0)</f>
        <v>383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>
        <f>-SUM(D40:D44,D19,D32)</f>
        <v>-39264</v>
      </c>
      <c r="E46" s="12">
        <f>-SUM(E40:E44,E19,E32)</f>
        <v>-42940</v>
      </c>
      <c r="F46" s="125">
        <f>E46-D46</f>
        <v>-3676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>
        <f>SUM(D40:D46)+D32+D19</f>
        <v>0</v>
      </c>
      <c r="E48" s="121">
        <f>SUM(E40:E46)+E32+E19</f>
        <v>0</v>
      </c>
      <c r="F48" s="121">
        <f>SUM(F40:F46)+F32+F19</f>
        <v>0</v>
      </c>
      <c r="G48" s="118"/>
      <c r="H48" s="118"/>
      <c r="I48" s="119"/>
      <c r="K48" s="120">
        <f>SUM(K40:K46)+K32+K19</f>
        <v>56653</v>
      </c>
      <c r="L48" s="121">
        <f>SUM(L40:L46)+L32+L19</f>
        <v>55721</v>
      </c>
      <c r="M48" s="121">
        <f>SUM(M40:M46)+M32+M19</f>
        <v>-932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>
        <f>E50</f>
        <v>0</v>
      </c>
      <c r="E50" s="12">
        <f>_xll.HPVAL($A50,$A$1,$A$2,$A$4,$A$5,$A$6)/1000</f>
        <v>0</v>
      </c>
      <c r="F50" s="125">
        <f>E50-D50</f>
        <v>0</v>
      </c>
      <c r="G50" s="2"/>
      <c r="H50" s="2"/>
      <c r="I50" s="3"/>
      <c r="J50" s="1"/>
      <c r="K50" s="20">
        <f>-K48+13343</f>
        <v>-43310</v>
      </c>
      <c r="L50" s="12">
        <f>-L48+13343</f>
        <v>-42378</v>
      </c>
      <c r="M50" s="125">
        <f>ROUND(L50-K50,0)</f>
        <v>932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">
      <c r="B54" s="115" t="s">
        <v>14</v>
      </c>
      <c r="D54" s="108">
        <f>D50+D48</f>
        <v>0</v>
      </c>
      <c r="E54" s="109">
        <f>E50+E48</f>
        <v>0</v>
      </c>
      <c r="F54" s="109">
        <f>F50+F48</f>
        <v>0</v>
      </c>
      <c r="G54" s="118"/>
      <c r="H54" s="118"/>
      <c r="I54" s="119"/>
      <c r="K54" s="108">
        <f>K50+K48+K52</f>
        <v>0</v>
      </c>
      <c r="L54" s="109">
        <f>L50+L48+L52</f>
        <v>0</v>
      </c>
      <c r="M54" s="109">
        <f>M50+M48+M52</f>
        <v>0</v>
      </c>
      <c r="N54" s="118"/>
      <c r="O54" s="118"/>
      <c r="P54" s="11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 t="s">
        <v>288</v>
      </c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>
        <f>_xll.HPVAL($A9,$A$49,$A$2,$A$5,$A$6,$A$7)</f>
        <v>55</v>
      </c>
      <c r="E9" s="88">
        <f>_xll.HPVAL($A9,$A$49,$A$3,$A$5,$A$6,$A$7)</f>
        <v>24</v>
      </c>
      <c r="F9" s="89">
        <f>+D9+E9</f>
        <v>79</v>
      </c>
      <c r="G9" s="5"/>
      <c r="H9" s="87">
        <f>_xll.HPVAL($A9,$A$1,$A$2,$A$5,$A$6,$A$7)</f>
        <v>52</v>
      </c>
      <c r="I9" s="88">
        <f>_xll.HPVAL($A9,$A$1,$A$3,$A$5,$A$6,$A$7)</f>
        <v>11</v>
      </c>
      <c r="J9" s="89">
        <f>+H9+I9</f>
        <v>63</v>
      </c>
      <c r="K9" s="1"/>
      <c r="L9" s="87">
        <f>+D9-H9</f>
        <v>3</v>
      </c>
      <c r="M9" s="88">
        <f>+E9-I9</f>
        <v>13</v>
      </c>
      <c r="N9" s="89">
        <f>+L9+M9</f>
        <v>16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>
        <f>_xll.HPVAL($A10,$A$49,$A$2,$A$5,$A$6,$A$7)</f>
        <v>47</v>
      </c>
      <c r="E10" s="88">
        <f>_xll.HPVAL($A10,$A$49,$A$3,$A$5,$A$6,$A$7)</f>
        <v>86.8</v>
      </c>
      <c r="F10" s="89">
        <f t="shared" ref="F10:F17" si="0">+D10+E10</f>
        <v>133.80000000000001</v>
      </c>
      <c r="G10" s="5"/>
      <c r="H10" s="87">
        <f>_xll.HPVAL($A10,$A$1,$A$2,$A$5,$A$6,$A$7)</f>
        <v>48</v>
      </c>
      <c r="I10" s="88">
        <f>_xll.HPVAL($A10,$A$1,$A$3,$A$5,$A$6,$A$7)</f>
        <v>75</v>
      </c>
      <c r="J10" s="89">
        <f t="shared" ref="J10:J17" si="1">+H10+I10</f>
        <v>123</v>
      </c>
      <c r="K10" s="1"/>
      <c r="L10" s="87">
        <f t="shared" ref="L10:L17" si="2">+D10-H10</f>
        <v>-1</v>
      </c>
      <c r="M10" s="88">
        <f t="shared" ref="M10:M17" si="3">+E10-I10</f>
        <v>11.799999999999997</v>
      </c>
      <c r="N10" s="89">
        <f t="shared" ref="N10:N17" si="4">+L10+M10</f>
        <v>10.799999999999997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>
        <f>_xll.HPVAL($A11,$A$49,$A$2,$A$5,$A$6,$A$7)</f>
        <v>10</v>
      </c>
      <c r="E11" s="88">
        <f>_xll.HPVAL($A11,$A$49,$A$3,$A$5,$A$6,$A$7)</f>
        <v>6</v>
      </c>
      <c r="F11" s="89">
        <f t="shared" si="0"/>
        <v>16</v>
      </c>
      <c r="G11" s="5"/>
      <c r="H11" s="87">
        <f>_xll.HPVAL($A11,$A$1,$A$2,$A$5,$A$6,$A$7)</f>
        <v>10</v>
      </c>
      <c r="I11" s="88">
        <f>_xll.HPVAL($A11,$A$1,$A$3,$A$5,$A$6,$A$7)</f>
        <v>3</v>
      </c>
      <c r="J11" s="89">
        <f t="shared" si="1"/>
        <v>13</v>
      </c>
      <c r="K11" s="1"/>
      <c r="L11" s="87">
        <f t="shared" si="2"/>
        <v>0</v>
      </c>
      <c r="M11" s="88">
        <f t="shared" si="3"/>
        <v>3</v>
      </c>
      <c r="N11" s="89">
        <f t="shared" si="4"/>
        <v>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>
        <f>_xll.HPVAL($A12,$A$49,$A$2,$A$5,$A$6,$A$7)</f>
        <v>8</v>
      </c>
      <c r="E12" s="88">
        <f>_xll.HPVAL($A12,$A$49,$A$3,$A$5,$A$6,$A$7)</f>
        <v>10</v>
      </c>
      <c r="F12" s="89">
        <f>+D12+E12</f>
        <v>18</v>
      </c>
      <c r="G12" s="5"/>
      <c r="H12" s="87">
        <f>_xll.HPVAL($A12,$A$1,$A$2,$A$5,$A$6,$A$7)</f>
        <v>10</v>
      </c>
      <c r="I12" s="88">
        <f>_xll.HPVAL($A12,$A$1,$A$3,$A$5,$A$6,$A$7)</f>
        <v>8</v>
      </c>
      <c r="J12" s="89">
        <f>+H12+I12</f>
        <v>18</v>
      </c>
      <c r="K12" s="1"/>
      <c r="L12" s="87">
        <f>+D12-H12</f>
        <v>-2</v>
      </c>
      <c r="M12" s="88">
        <f>+E12-I12</f>
        <v>2</v>
      </c>
      <c r="N12" s="89">
        <f>+L12+M12</f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>
        <f>_xll.HPVAL($A13,$A$49,$A$2,$A$5,$A$6,$A$7)</f>
        <v>19</v>
      </c>
      <c r="E13" s="88">
        <f>_xll.HPVAL($A13,$A$49,$A$3,$A$5,$A$6,$A$7)</f>
        <v>20</v>
      </c>
      <c r="F13" s="89">
        <f t="shared" si="0"/>
        <v>39</v>
      </c>
      <c r="G13" s="5"/>
      <c r="H13" s="87">
        <f>_xll.HPVAL($A13,$A$1,$A$2,$A$5,$A$6,$A$7)</f>
        <v>15.5</v>
      </c>
      <c r="I13" s="88">
        <f>_xll.HPVAL($A13,$A$1,$A$3,$A$5,$A$6,$A$7)</f>
        <v>29</v>
      </c>
      <c r="J13" s="89">
        <f t="shared" si="1"/>
        <v>44.5</v>
      </c>
      <c r="K13" s="1"/>
      <c r="L13" s="87">
        <f t="shared" si="2"/>
        <v>3.5</v>
      </c>
      <c r="M13" s="88">
        <f t="shared" si="3"/>
        <v>-9</v>
      </c>
      <c r="N13" s="89">
        <f t="shared" si="4"/>
        <v>-5.5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>
        <f>_xll.HPVAL($A14,$A$49,$A$2,$A$5,$A$6,$A$7)</f>
        <v>15</v>
      </c>
      <c r="E14" s="88">
        <f>_xll.HPVAL($A14,$A$49,$A$3,$A$5,$A$6,$A$7)</f>
        <v>7</v>
      </c>
      <c r="F14" s="89">
        <f t="shared" si="0"/>
        <v>22</v>
      </c>
      <c r="G14" s="5"/>
      <c r="H14" s="87">
        <f>_xll.HPVAL($A14,$A$1,$A$2,$A$5,$A$6,$A$7)</f>
        <v>24</v>
      </c>
      <c r="I14" s="88">
        <f>_xll.HPVAL($A14,$A$1,$A$3,$A$5,$A$6,$A$7)</f>
        <v>17</v>
      </c>
      <c r="J14" s="89">
        <f t="shared" si="1"/>
        <v>41</v>
      </c>
      <c r="K14" s="1"/>
      <c r="L14" s="87">
        <f t="shared" si="2"/>
        <v>-9</v>
      </c>
      <c r="M14" s="88">
        <f t="shared" si="3"/>
        <v>-10</v>
      </c>
      <c r="N14" s="89">
        <f t="shared" si="4"/>
        <v>-19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>
        <f>_xll.HPVAL($A15,$A$49,$A$2,$A$5,$A$6,$A$7)</f>
        <v>6</v>
      </c>
      <c r="E15" s="88">
        <f>_xll.HPVAL($A15,$A$49,$A$3,$A$5,$A$6,$A$7)</f>
        <v>8</v>
      </c>
      <c r="F15" s="89">
        <f t="shared" si="0"/>
        <v>14</v>
      </c>
      <c r="G15" s="5"/>
      <c r="H15" s="87">
        <f>_xll.HPVAL($A15,$A$1,$A$2,$A$5,$A$6,$A$7)</f>
        <v>9</v>
      </c>
      <c r="I15" s="88">
        <f>_xll.HPVAL($A15,$A$1,$A$3,$A$5,$A$6,$A$7)</f>
        <v>14</v>
      </c>
      <c r="J15" s="89">
        <f t="shared" si="1"/>
        <v>23</v>
      </c>
      <c r="K15" s="1"/>
      <c r="L15" s="87">
        <f t="shared" si="2"/>
        <v>-3</v>
      </c>
      <c r="M15" s="88">
        <f t="shared" si="3"/>
        <v>-6</v>
      </c>
      <c r="N15" s="89">
        <f t="shared" si="4"/>
        <v>-9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>
        <f>_xll.HPVAL($A16,$A$49,$A$2,$A$5,$A$6,$A$7)</f>
        <v>0</v>
      </c>
      <c r="E16" s="88">
        <f>_xll.HPVAL($A16,$A$49,$A$3,$A$5,$A$6,$A$7)</f>
        <v>1</v>
      </c>
      <c r="F16" s="89">
        <f t="shared" si="0"/>
        <v>1</v>
      </c>
      <c r="G16" s="5"/>
      <c r="H16" s="87">
        <f>_xll.HPVAL($A16,$A$1,$A$2,$A$5,$A$6,$A$7)</f>
        <v>1</v>
      </c>
      <c r="I16" s="88">
        <f>_xll.HPVAL($A16,$A$1,$A$3,$A$5,$A$6,$A$7)</f>
        <v>1</v>
      </c>
      <c r="J16" s="89">
        <f t="shared" si="1"/>
        <v>2</v>
      </c>
      <c r="K16" s="1"/>
      <c r="L16" s="87">
        <f t="shared" si="2"/>
        <v>-1</v>
      </c>
      <c r="M16" s="88">
        <f t="shared" si="3"/>
        <v>0</v>
      </c>
      <c r="N16" s="89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>
        <f>_xll.HPVAL($A17,$A$49,$A$2,$A$5,$A$6,$A$7)</f>
        <v>8</v>
      </c>
      <c r="E17" s="88">
        <f>_xll.HPVAL($A17,$A$49,$A$3,$A$5,$A$6,$A$7)</f>
        <v>8</v>
      </c>
      <c r="F17" s="89">
        <f t="shared" si="0"/>
        <v>16</v>
      </c>
      <c r="G17" s="5"/>
      <c r="H17" s="87">
        <f>_xll.HPVAL($A17,$A$1,$A$2,$A$5,$A$6,$A$7)</f>
        <v>10</v>
      </c>
      <c r="I17" s="88">
        <f>_xll.HPVAL($A17,$A$1,$A$3,$A$5,$A$6,$A$7)</f>
        <v>13</v>
      </c>
      <c r="J17" s="89">
        <f t="shared" si="1"/>
        <v>23</v>
      </c>
      <c r="K17" s="1"/>
      <c r="L17" s="87">
        <f t="shared" si="2"/>
        <v>-2</v>
      </c>
      <c r="M17" s="88">
        <f t="shared" si="3"/>
        <v>-5</v>
      </c>
      <c r="N17" s="89">
        <f t="shared" si="4"/>
        <v>-7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>
        <f>SUM(D9:D17)</f>
        <v>168</v>
      </c>
      <c r="E18" s="112">
        <f>SUM(E9:E17)</f>
        <v>170.8</v>
      </c>
      <c r="F18" s="130">
        <f>SUM(F9:F17)</f>
        <v>338.8</v>
      </c>
      <c r="G18" s="116"/>
      <c r="H18" s="111">
        <f>SUM(H9:H17)</f>
        <v>179.5</v>
      </c>
      <c r="I18" s="112">
        <f>SUM(I9:I17)</f>
        <v>171</v>
      </c>
      <c r="J18" s="130">
        <f>SUM(J9:J17)</f>
        <v>350.5</v>
      </c>
      <c r="K18" s="114"/>
      <c r="L18" s="111">
        <f>SUM(L9:L17)</f>
        <v>-11.5</v>
      </c>
      <c r="M18" s="112">
        <f>SUM(M9:M17)</f>
        <v>-0.20000000000000284</v>
      </c>
      <c r="N18" s="130">
        <f>SUM(N9:N17)</f>
        <v>-11.700000000000003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>
        <f>_xll.HPVAL($A20,$A$49,$A$2,$A$5,$A$6,$A$7)</f>
        <v>33.5</v>
      </c>
      <c r="E20" s="88">
        <f>_xll.HPVAL($A20,$A$49,$A$3,$A$5,$A$6,$A$7)</f>
        <v>13</v>
      </c>
      <c r="F20" s="89">
        <f>+D20+E20</f>
        <v>46.5</v>
      </c>
      <c r="G20" s="5"/>
      <c r="H20" s="87">
        <f>_xll.HPVAL($A20,$A$1,$A$2,$A$5,$A$6,$A$7)</f>
        <v>45</v>
      </c>
      <c r="I20" s="88">
        <f>_xll.HPVAL($A20,$A$1,$A$3,$A$5,$A$6,$A$7)</f>
        <v>21</v>
      </c>
      <c r="J20" s="89">
        <f>+H20+I20</f>
        <v>66</v>
      </c>
      <c r="K20" s="1"/>
      <c r="L20" s="87">
        <f t="shared" ref="L20:M26" si="5">+D20-H20</f>
        <v>-11.5</v>
      </c>
      <c r="M20" s="88">
        <f t="shared" si="5"/>
        <v>-8</v>
      </c>
      <c r="N20" s="89">
        <f>+L20+M20</f>
        <v>-19.5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>
        <f>_xll.HPVAL($A21,$A$49,$A$2,$A$5,$A$6,$A$7)</f>
        <v>14</v>
      </c>
      <c r="E21" s="88">
        <f>_xll.HPVAL($A21,$A$49,$A$3,$A$5,$A$6,$A$7)</f>
        <v>16.8</v>
      </c>
      <c r="F21" s="89">
        <f>+D21+E21</f>
        <v>30.8</v>
      </c>
      <c r="G21" s="5"/>
      <c r="H21" s="87">
        <f>_xll.HPVAL($A21,$A$1,$A$2,$A$5,$A$6,$A$7)</f>
        <v>23</v>
      </c>
      <c r="I21" s="88">
        <f>_xll.HPVAL($A21,$A$1,$A$3,$A$5,$A$6,$A$7)</f>
        <v>15</v>
      </c>
      <c r="J21" s="89">
        <f>+H21+I21</f>
        <v>38</v>
      </c>
      <c r="K21" s="1"/>
      <c r="L21" s="87">
        <f t="shared" si="5"/>
        <v>-9</v>
      </c>
      <c r="M21" s="88">
        <f t="shared" si="5"/>
        <v>1.8000000000000007</v>
      </c>
      <c r="N21" s="89">
        <f>+L21+M21</f>
        <v>-7.1999999999999993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>
        <f>_xll.HPVAL($A22,$A$49,$A$2,$A$5,$A$6,$A$7)</f>
        <v>41</v>
      </c>
      <c r="E22" s="88">
        <f>_xll.HPVAL($A22,$A$49,$A$3,$A$5,$A$6,$A$7)</f>
        <v>10</v>
      </c>
      <c r="F22" s="89">
        <f>+D22+E22</f>
        <v>51</v>
      </c>
      <c r="G22" s="5"/>
      <c r="H22" s="87">
        <f>_xll.HPVAL($A22,$A$1,$A$2,$A$5,$A$6,$A$7)</f>
        <v>56</v>
      </c>
      <c r="I22" s="88">
        <f>_xll.HPVAL($A22,$A$1,$A$3,$A$5,$A$6,$A$7)</f>
        <v>18</v>
      </c>
      <c r="J22" s="89">
        <f>+H22+I22</f>
        <v>74</v>
      </c>
      <c r="K22" s="1"/>
      <c r="L22" s="87">
        <f t="shared" si="5"/>
        <v>-15</v>
      </c>
      <c r="M22" s="88">
        <f t="shared" si="5"/>
        <v>-8</v>
      </c>
      <c r="N22" s="89">
        <f>+L22+M22</f>
        <v>-23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>
        <f>_xll.HPVAL($A23,$A$49,$A$2,$A$5,$A$6,$A$7)</f>
        <v>13</v>
      </c>
      <c r="E23" s="88">
        <f>_xll.HPVAL($A23,$A$49,$A$3,$A$5,$A$6,$A$7)</f>
        <v>6</v>
      </c>
      <c r="F23" s="89">
        <f>+D23+E23</f>
        <v>19</v>
      </c>
      <c r="G23" s="5"/>
      <c r="H23" s="87">
        <f>_xll.HPVAL($A23,$A$1,$A$2,$A$5,$A$6,$A$7)</f>
        <v>14</v>
      </c>
      <c r="I23" s="88">
        <f>_xll.HPVAL($A23,$A$1,$A$3,$A$5,$A$6,$A$7)</f>
        <v>9</v>
      </c>
      <c r="J23" s="89">
        <f>+H23+I23</f>
        <v>23</v>
      </c>
      <c r="K23" s="1"/>
      <c r="L23" s="87">
        <f t="shared" si="5"/>
        <v>-1</v>
      </c>
      <c r="M23" s="88">
        <f t="shared" si="5"/>
        <v>-3</v>
      </c>
      <c r="N23" s="89">
        <f>+L23+M23</f>
        <v>-4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>
        <f>_xll.HPVAL($A26,$A$49,$A$2,$A$5,$A$6,$A$7)</f>
        <v>3</v>
      </c>
      <c r="E26" s="88">
        <f>_xll.HPVAL($A26,$A$49,$A$3,$A$5,$A$6,$A$7)</f>
        <v>2</v>
      </c>
      <c r="F26" s="89">
        <f>+D26+E26</f>
        <v>5</v>
      </c>
      <c r="G26" s="5"/>
      <c r="H26" s="87">
        <f>_xll.HPVAL($A26,$A$1,$A$2,$A$5,$A$6,$A$7)</f>
        <v>11</v>
      </c>
      <c r="I26" s="88">
        <f>_xll.HPVAL($A26,$A$1,$A$3,$A$5,$A$6,$A$7)</f>
        <v>11</v>
      </c>
      <c r="J26" s="89">
        <f>+H26+I26</f>
        <v>22</v>
      </c>
      <c r="K26" s="1"/>
      <c r="L26" s="87">
        <f t="shared" si="5"/>
        <v>-8</v>
      </c>
      <c r="M26" s="88">
        <f t="shared" si="5"/>
        <v>-9</v>
      </c>
      <c r="N26" s="89">
        <f>+L26+M26</f>
        <v>-17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>
        <f>SUM(D20:D26)</f>
        <v>104.5</v>
      </c>
      <c r="E27" s="112">
        <f>SUM(E20:E26)</f>
        <v>47.8</v>
      </c>
      <c r="F27" s="130">
        <f>SUM(F20:F26)</f>
        <v>152.30000000000001</v>
      </c>
      <c r="G27" s="116"/>
      <c r="H27" s="111">
        <f>SUM(H20:H26)</f>
        <v>149</v>
      </c>
      <c r="I27" s="112">
        <f>SUM(I20:I26)</f>
        <v>74</v>
      </c>
      <c r="J27" s="130">
        <f>SUM(J20:J26)</f>
        <v>223</v>
      </c>
      <c r="K27" s="114"/>
      <c r="L27" s="111">
        <f>SUM(L20:L26)</f>
        <v>-44.5</v>
      </c>
      <c r="M27" s="112">
        <f>SUM(M20:M26)</f>
        <v>-26.2</v>
      </c>
      <c r="N27" s="130">
        <f>SUM(N20:N26)</f>
        <v>-70.7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>
        <f>_xll.HPVAL($A29,$A$49,$A$2,$A$5,$A$6,$A$7)</f>
        <v>6</v>
      </c>
      <c r="E29" s="88">
        <f>_xll.HPVAL($A29,$A$49,$A$3,$A$5,$A$6,$A$7)</f>
        <v>3</v>
      </c>
      <c r="F29" s="89">
        <f>+D29+E29</f>
        <v>9</v>
      </c>
      <c r="G29" s="5"/>
      <c r="H29" s="87">
        <f>_xll.HPVAL($A29,$A$1,$A$2,$A$5,$A$6,$A$7)</f>
        <v>8</v>
      </c>
      <c r="I29" s="88">
        <f>_xll.HPVAL($A29,$A$1,$A$3,$A$5,$A$6,$A$7)</f>
        <v>6</v>
      </c>
      <c r="J29" s="89">
        <f>+H29+I29</f>
        <v>14</v>
      </c>
      <c r="K29" s="1"/>
      <c r="L29" s="87">
        <f t="shared" ref="L29:M31" si="6">+D29-H29</f>
        <v>-2</v>
      </c>
      <c r="M29" s="88">
        <f t="shared" si="6"/>
        <v>-3</v>
      </c>
      <c r="N29" s="89">
        <f>+L29+M29</f>
        <v>-5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>
        <f>_xll.HPVAL($A30,$A$49,$A$2,$A$5,$A$6,$A$7)</f>
        <v>55</v>
      </c>
      <c r="E30" s="88">
        <f>_xll.HPVAL($A30,$A$49,$A$3,$A$5,$A$6,$A$7)</f>
        <v>88</v>
      </c>
      <c r="F30" s="89">
        <f>+D30+E30</f>
        <v>143</v>
      </c>
      <c r="G30" s="5"/>
      <c r="H30" s="87">
        <f>_xll.HPVAL($A30,$A$1,$A$2,$A$5,$A$6,$A$7)</f>
        <v>58</v>
      </c>
      <c r="I30" s="88">
        <f>_xll.HPVAL($A30,$A$1,$A$3,$A$5,$A$6,$A$7)</f>
        <v>107</v>
      </c>
      <c r="J30" s="89">
        <f>+H30+I30</f>
        <v>165</v>
      </c>
      <c r="K30" s="1"/>
      <c r="L30" s="87">
        <f t="shared" si="6"/>
        <v>-3</v>
      </c>
      <c r="M30" s="88">
        <f t="shared" si="6"/>
        <v>-19</v>
      </c>
      <c r="N30" s="89">
        <f>+L30+M30</f>
        <v>-22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>
        <f>_xll.HPVAL($A31,$A$49,$A$2,$A$5,$A$6,$A$7)</f>
        <v>4</v>
      </c>
      <c r="E31" s="88">
        <f>_xll.HPVAL($A31,$A$49,$A$3,$A$5,$A$6,$A$7)</f>
        <v>13</v>
      </c>
      <c r="F31" s="89">
        <f>+D31+E31</f>
        <v>17</v>
      </c>
      <c r="G31" s="5"/>
      <c r="H31" s="87">
        <f>_xll.HPVAL($A31,$A$1,$A$2,$A$5,$A$6,$A$7)</f>
        <v>6</v>
      </c>
      <c r="I31" s="88">
        <f>_xll.HPVAL($A31,$A$1,$A$3,$A$5,$A$6,$A$7)</f>
        <v>18</v>
      </c>
      <c r="J31" s="89">
        <f>+H31+I31</f>
        <v>24</v>
      </c>
      <c r="K31" s="1"/>
      <c r="L31" s="87">
        <f t="shared" si="6"/>
        <v>-2</v>
      </c>
      <c r="M31" s="88">
        <f t="shared" si="6"/>
        <v>-5</v>
      </c>
      <c r="N31" s="89">
        <f>+L31+M31</f>
        <v>-7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>
        <f>SUM(D29:D31)</f>
        <v>65</v>
      </c>
      <c r="E32" s="112">
        <f>SUM(E29:E31)</f>
        <v>104</v>
      </c>
      <c r="F32" s="130">
        <f>SUM(F29:F31)</f>
        <v>169</v>
      </c>
      <c r="G32" s="116"/>
      <c r="H32" s="111">
        <f>SUM(H29:H31)</f>
        <v>72</v>
      </c>
      <c r="I32" s="112">
        <f>SUM(I29:I31)</f>
        <v>131</v>
      </c>
      <c r="J32" s="130">
        <f>SUM(J29:J31)</f>
        <v>203</v>
      </c>
      <c r="K32" s="114"/>
      <c r="L32" s="111">
        <f>SUM(L29:L31)</f>
        <v>-7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>
        <f>_xll.HPVAL($A34,$A$49,$A$2,$A$5,$A$6,$A$7)</f>
        <v>5.5</v>
      </c>
      <c r="E34" s="88">
        <f>_xll.HPVAL($A34,$A$49,$A$3,$A$5,$A$6,$A$7)</f>
        <v>6</v>
      </c>
      <c r="F34" s="89">
        <f>+D34+E34</f>
        <v>11.5</v>
      </c>
      <c r="G34" s="5"/>
      <c r="H34" s="87">
        <f>_xll.HPVAL($A34,$A$1,$A$2,$A$5,$A$6,$A$7)</f>
        <v>9</v>
      </c>
      <c r="I34" s="88">
        <f>_xll.HPVAL($A34,$A$1,$A$3,$A$5,$A$6,$A$7)</f>
        <v>8</v>
      </c>
      <c r="J34" s="89">
        <f>+H34+I34</f>
        <v>17</v>
      </c>
      <c r="K34" s="1"/>
      <c r="L34" s="87">
        <f t="shared" ref="L34:M36" si="7">+D34-H34</f>
        <v>-3.5</v>
      </c>
      <c r="M34" s="88">
        <f t="shared" si="7"/>
        <v>-2</v>
      </c>
      <c r="N34" s="89">
        <f>+L34+M34</f>
        <v>-5.5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>
        <f>_xll.HPVAL($A35,$A$49,$A$2,$A$5,$A$6,$A$7)</f>
        <v>6</v>
      </c>
      <c r="E35" s="88">
        <f>_xll.HPVAL($A35,$A$49,$A$3,$A$5,$A$6,$A$7)</f>
        <v>12</v>
      </c>
      <c r="F35" s="89">
        <f>+D35+E35</f>
        <v>18</v>
      </c>
      <c r="G35" s="5"/>
      <c r="H35" s="87">
        <f>_xll.HPVAL($A35,$A$1,$A$2,$A$5,$A$6,$A$7)</f>
        <v>7</v>
      </c>
      <c r="I35" s="88">
        <f>_xll.HPVAL($A35,$A$1,$A$3,$A$5,$A$6,$A$7)</f>
        <v>8</v>
      </c>
      <c r="J35" s="89">
        <f>+H35+I35</f>
        <v>15</v>
      </c>
      <c r="K35" s="1"/>
      <c r="L35" s="87">
        <f t="shared" si="7"/>
        <v>-1</v>
      </c>
      <c r="M35" s="88">
        <f t="shared" si="7"/>
        <v>4</v>
      </c>
      <c r="N35" s="89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>
        <f>_xll.HPVAL($A36,$A$49,$A$2,$A$5,$A$6,$A$7)</f>
        <v>5</v>
      </c>
      <c r="E36" s="88">
        <f>_xll.HPVAL($A36,$A$49,$A$3,$A$5,$A$6,$A$7)</f>
        <v>3</v>
      </c>
      <c r="F36" s="89">
        <f>+D36+E36</f>
        <v>8</v>
      </c>
      <c r="G36" s="5"/>
      <c r="H36" s="87">
        <f>_xll.HPVAL($A36,$A$1,$A$2,$A$5,$A$6,$A$7)</f>
        <v>12</v>
      </c>
      <c r="I36" s="88">
        <f>_xll.HPVAL($A36,$A$1,$A$3,$A$5,$A$6,$A$7)</f>
        <v>8</v>
      </c>
      <c r="J36" s="89">
        <f>+H36+I36</f>
        <v>20</v>
      </c>
      <c r="K36" s="1"/>
      <c r="L36" s="87">
        <f t="shared" si="7"/>
        <v>-7</v>
      </c>
      <c r="M36" s="88">
        <f t="shared" si="7"/>
        <v>-5</v>
      </c>
      <c r="N36" s="89">
        <f>+L36+M36</f>
        <v>-12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>
        <f>_xll.HPVAL($A37,$A$49,$A$2,$A$5,$A$6,$A$7)</f>
        <v>0</v>
      </c>
      <c r="E37" s="88">
        <f>_xll.HPVAL($A37,$A$49,$A$3,$A$5,$A$6,$A$7)</f>
        <v>0</v>
      </c>
      <c r="F37" s="89">
        <f>+D37+E37</f>
        <v>0</v>
      </c>
      <c r="G37" s="5"/>
      <c r="H37" s="87">
        <f>_xll.HPVAL($A37,$A$1,$A$2,$A$5,$A$6,$A$7)</f>
        <v>0</v>
      </c>
      <c r="I37" s="88">
        <f>_xll.HPVAL($A37,$A$1,$A$3,$A$5,$A$6,$A$7)</f>
        <v>0</v>
      </c>
      <c r="J37" s="89">
        <f>+H37+I37</f>
        <v>0</v>
      </c>
      <c r="K37" s="1"/>
      <c r="L37" s="87">
        <f>+D37-H37</f>
        <v>0</v>
      </c>
      <c r="M37" s="88">
        <f>+E37-I37</f>
        <v>0</v>
      </c>
      <c r="N37" s="89">
        <f>+L37+M37</f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>
        <f>SUM(D36:D37)</f>
        <v>5</v>
      </c>
      <c r="E38" s="88">
        <f>SUM(E36:E37)</f>
        <v>3</v>
      </c>
      <c r="F38" s="89">
        <f>SUM(F36:F37)</f>
        <v>8</v>
      </c>
      <c r="G38" s="5"/>
      <c r="H38" s="87">
        <f>SUM(H36:H37)</f>
        <v>12</v>
      </c>
      <c r="I38" s="88">
        <f>SUM(I36:I37)</f>
        <v>8</v>
      </c>
      <c r="J38" s="89">
        <f>SUM(J36:J37)</f>
        <v>20</v>
      </c>
      <c r="K38" s="1"/>
      <c r="L38" s="87">
        <f>SUM(L36:L37)</f>
        <v>-7</v>
      </c>
      <c r="M38" s="88">
        <f>SUM(M36:M37)</f>
        <v>-5</v>
      </c>
      <c r="N38" s="89">
        <f>SUM(N36:N37)</f>
        <v>-12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>
        <f>SUM(D34:D37)</f>
        <v>16.5</v>
      </c>
      <c r="E39" s="112">
        <f>SUM(E34:E37)</f>
        <v>21</v>
      </c>
      <c r="F39" s="130">
        <f>SUM(F34:F37)</f>
        <v>37.5</v>
      </c>
      <c r="G39" s="116"/>
      <c r="H39" s="111">
        <f>SUM(H34:H37)</f>
        <v>28</v>
      </c>
      <c r="I39" s="112">
        <f>SUM(I34:I37)</f>
        <v>24</v>
      </c>
      <c r="J39" s="130">
        <f>SUM(J34:J37)</f>
        <v>52</v>
      </c>
      <c r="K39" s="114"/>
      <c r="L39" s="111">
        <f>SUM(L34:L37)</f>
        <v>-11.5</v>
      </c>
      <c r="M39" s="112">
        <f>SUM(M34:M37)</f>
        <v>-3</v>
      </c>
      <c r="N39" s="130">
        <f>SUM(N34:N37)</f>
        <v>-14.5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>
        <f>_xll.HPVAL($A41,$A$49,$A$2,$A$5,$A$6,$A$7)</f>
        <v>66.5</v>
      </c>
      <c r="E41" s="88">
        <f>_xll.HPVAL($A41,$A$49,$A$3,$A$5,$A$6,$A$7)</f>
        <v>89</v>
      </c>
      <c r="F41" s="89">
        <f>+D41+E41</f>
        <v>155.5</v>
      </c>
      <c r="G41" s="5"/>
      <c r="H41" s="87">
        <f>_xll.HPVAL($A41,$A$1,$A$2,$A$5,$A$6,$A$7)</f>
        <v>62</v>
      </c>
      <c r="I41" s="88">
        <f>_xll.HPVAL($A41,$A$1,$A$3,$A$5,$A$6,$A$7)</f>
        <v>67</v>
      </c>
      <c r="J41" s="89">
        <f>+H41+I41</f>
        <v>129</v>
      </c>
      <c r="K41" s="1"/>
      <c r="L41" s="87">
        <f>+D41-H41</f>
        <v>4.5</v>
      </c>
      <c r="M41" s="88">
        <f>+E41-I41</f>
        <v>22</v>
      </c>
      <c r="N41" s="89">
        <f>+L41+M41</f>
        <v>26.5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>
        <f>_xll.HPVAL($A43,$A$49,$A$2,$A$5,$A$6,$A$7)</f>
        <v>21</v>
      </c>
      <c r="E43" s="88">
        <f>_xll.HPVAL($A43,$A$49,$A$3,$A$5,$A$6,$A$7)</f>
        <v>35</v>
      </c>
      <c r="F43" s="89">
        <f>+D43+E43</f>
        <v>56</v>
      </c>
      <c r="G43" s="5"/>
      <c r="H43" s="87">
        <f>_xll.HPVAL($A43,$A$1,$A$2,$A$5,$A$6,$A$7)</f>
        <v>18</v>
      </c>
      <c r="I43" s="88">
        <f>_xll.HPVAL($A43,$A$1,$A$3,$A$5,$A$6,$A$7)</f>
        <v>30</v>
      </c>
      <c r="J43" s="89">
        <f>+H43+I43</f>
        <v>48</v>
      </c>
      <c r="K43" s="1"/>
      <c r="L43" s="87">
        <f>+D43-H43</f>
        <v>3</v>
      </c>
      <c r="M43" s="88">
        <f>+E43-I43</f>
        <v>5</v>
      </c>
      <c r="N43" s="89">
        <f>+L43+M43</f>
        <v>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>
        <f>SUM(D39:D43)+D18+D27+D32</f>
        <v>441.5</v>
      </c>
      <c r="E45" s="112">
        <f>SUM(E39:E43)+E18+E27+E32</f>
        <v>467.6</v>
      </c>
      <c r="F45" s="130">
        <f>SUM(F39:F43)+F18+F27+F32</f>
        <v>909.09999999999991</v>
      </c>
      <c r="G45" s="116"/>
      <c r="H45" s="111">
        <f>SUM(H39:H43)+H18+H27+H32</f>
        <v>508.5</v>
      </c>
      <c r="I45" s="112">
        <f>SUM(I39:I43)+I18+I27+I32</f>
        <v>497</v>
      </c>
      <c r="J45" s="130">
        <f>SUM(J39:J43)+J18+J27+J32</f>
        <v>1005.5</v>
      </c>
      <c r="L45" s="111">
        <f>SUM(L39:L43)+L18+L27+L32</f>
        <v>-67</v>
      </c>
      <c r="M45" s="112" t="e">
        <f>SUM(M39:M43)+M18+M27+M32</f>
        <v>#VALUE!</v>
      </c>
      <c r="N45" s="130">
        <f>SUM(N39:N43)+N18+N27+N32</f>
        <v>4937.6000000000004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>
        <f>_xll.HPVAL($A47,$A$49,"total_headcount",$A$5,$A$6,$A$7)</f>
        <v>881</v>
      </c>
      <c r="F47" s="89">
        <f>+D47+E47</f>
        <v>881</v>
      </c>
      <c r="G47" s="5"/>
      <c r="H47" s="87"/>
      <c r="I47" s="88">
        <f>_xll.HPVAL($A47,$A$1,"total_headcount",$A$5,$A$6,$A$7)</f>
        <v>971.55</v>
      </c>
      <c r="J47" s="89">
        <f>+H47+I47</f>
        <v>971.55</v>
      </c>
      <c r="K47" s="1"/>
      <c r="L47" s="87">
        <f>+D47-H47</f>
        <v>0</v>
      </c>
      <c r="M47" s="88">
        <f>+E47-I47</f>
        <v>-90.549999999999955</v>
      </c>
      <c r="N47" s="89">
        <f>+L47+M47</f>
        <v>-90.549999999999955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>
        <f>D45+D47</f>
        <v>441.5</v>
      </c>
      <c r="E49" s="112">
        <f>E45+E47</f>
        <v>1348.6</v>
      </c>
      <c r="F49" s="130">
        <f>F45+F47</f>
        <v>1790.1</v>
      </c>
      <c r="G49" s="5"/>
      <c r="H49" s="111">
        <f>H45+H47</f>
        <v>508.5</v>
      </c>
      <c r="I49" s="112">
        <f>I45+I47</f>
        <v>1468.55</v>
      </c>
      <c r="J49" s="130">
        <f>J45+J47</f>
        <v>1977.05</v>
      </c>
      <c r="K49" s="1"/>
      <c r="L49" s="111">
        <f>L45+L47</f>
        <v>-67</v>
      </c>
      <c r="M49" s="112" t="e">
        <f>M45+M47</f>
        <v>#VALUE!</v>
      </c>
      <c r="N49" s="130">
        <f>N45+N47</f>
        <v>4847.05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A25" sqref="A2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5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295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5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291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292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5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">
      <c r="A30" s="229" t="s">
        <v>1</v>
      </c>
      <c r="B30" s="258"/>
      <c r="C30" s="259">
        <f>SUM(C19:C29)</f>
        <v>44420</v>
      </c>
      <c r="D30" s="259">
        <f>SUM(D19:D29)</f>
        <v>105738</v>
      </c>
      <c r="E30" s="232">
        <f>SUM(E19:E29)</f>
        <v>-61318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-48990</v>
      </c>
      <c r="M30" s="231">
        <f>SUM(M19:M29)</f>
        <v>4870</v>
      </c>
      <c r="N30" s="232">
        <f>SUM(N19:N29)</f>
        <v>-53860</v>
      </c>
    </row>
    <row r="31" spans="1:14" ht="12" customHeight="1" x14ac:dyDescent="0.25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5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5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5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5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5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">
      <c r="A40" s="229" t="s">
        <v>10</v>
      </c>
      <c r="B40" s="258"/>
      <c r="C40" s="259">
        <f>C39+C38+C37+C35+C30+C17</f>
        <v>388590</v>
      </c>
      <c r="D40" s="259">
        <f>D39+D38+D37+D35+D30+D17</f>
        <v>339366</v>
      </c>
      <c r="E40" s="232">
        <f>E39+E38+E37+E35+E30+E17</f>
        <v>49224</v>
      </c>
      <c r="F40" s="242"/>
      <c r="G40" s="259">
        <f>G39+G38+G37+G35+G30+G17</f>
        <v>186158</v>
      </c>
      <c r="H40" s="259">
        <f>H39+H38+H37+H35+H30+H17</f>
        <v>195443</v>
      </c>
      <c r="I40" s="259">
        <f>I39+I38+I37+I35+I30+I17</f>
        <v>7133</v>
      </c>
      <c r="J40" s="232">
        <f>J39+J38+J37+J35+J30+J17</f>
        <v>2152</v>
      </c>
      <c r="K40" s="215"/>
      <c r="L40" s="259">
        <f>L39+L38+L37+L35+L30+L17</f>
        <v>202432</v>
      </c>
      <c r="M40" s="259">
        <f>M39+M38+M37+M35+M30+M17</f>
        <v>143923</v>
      </c>
      <c r="N40" s="232">
        <f>N39+N38+N37+N35+N30+N17</f>
        <v>58509</v>
      </c>
    </row>
    <row r="41" spans="1:14" ht="12" customHeight="1" x14ac:dyDescent="0.25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5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v>-48800</v>
      </c>
      <c r="H43" s="262">
        <v>-56377</v>
      </c>
      <c r="I43" s="105">
        <v>0</v>
      </c>
      <c r="J43" s="213">
        <f>(H43-G43)-I43</f>
        <v>-7577</v>
      </c>
      <c r="K43" s="214"/>
      <c r="L43" s="212">
        <f t="shared" ref="L43:M45" si="12">+C43-G43</f>
        <v>48800</v>
      </c>
      <c r="M43" s="41">
        <f t="shared" si="12"/>
        <v>56377</v>
      </c>
      <c r="N43" s="213">
        <f>+L43-M43</f>
        <v>-7577</v>
      </c>
    </row>
    <row r="44" spans="1:14" ht="12" customHeight="1" x14ac:dyDescent="0.25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5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">
      <c r="A46" s="229" t="s">
        <v>65</v>
      </c>
      <c r="B46" s="258"/>
      <c r="C46" s="259">
        <f>SUM(C40:C45)</f>
        <v>366432</v>
      </c>
      <c r="D46" s="259">
        <f>SUM(D40:D45)</f>
        <v>328571</v>
      </c>
      <c r="E46" s="233">
        <f>SUM(E40:E45)</f>
        <v>37861</v>
      </c>
      <c r="F46" s="242"/>
      <c r="G46" s="259">
        <f>SUM(G40:G45)</f>
        <v>198512</v>
      </c>
      <c r="H46" s="259">
        <f>SUM(H40:H45)</f>
        <v>185171</v>
      </c>
      <c r="I46" s="259">
        <f>SUM(I40:I45)</f>
        <v>0</v>
      </c>
      <c r="J46" s="233">
        <f>SUM(J40:J45)</f>
        <v>-13341</v>
      </c>
      <c r="K46" s="215"/>
      <c r="L46" s="259">
        <f>SUM(L40:L45)</f>
        <v>167920</v>
      </c>
      <c r="M46" s="259">
        <f>SUM(M40:M45)</f>
        <v>143400</v>
      </c>
      <c r="N46" s="233">
        <f>SUM(N40:N45)</f>
        <v>24520</v>
      </c>
    </row>
    <row r="47" spans="1:14" ht="12" customHeight="1" thickBot="1" x14ac:dyDescent="0.3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63"/>
      <c r="C48" s="264">
        <f>SUM(C46:C47)</f>
        <v>366432</v>
      </c>
      <c r="D48" s="264">
        <f>SUM(D46:D47)</f>
        <v>328571</v>
      </c>
      <c r="E48" s="253">
        <f>SUM(E46:E47)</f>
        <v>37861</v>
      </c>
      <c r="F48" s="254"/>
      <c r="G48" s="264">
        <f>SUM(G46:G47)</f>
        <v>199735</v>
      </c>
      <c r="H48" s="264">
        <f>SUM(H46:H47)</f>
        <v>197171</v>
      </c>
      <c r="I48" s="264">
        <f>SUM(I46:I47)</f>
        <v>0</v>
      </c>
      <c r="J48" s="253">
        <f>SUM(J46:J47)</f>
        <v>-2564</v>
      </c>
      <c r="K48" s="254"/>
      <c r="L48" s="264">
        <f>SUM(L46:L47)</f>
        <v>166697</v>
      </c>
      <c r="M48" s="264">
        <f>SUM(M46:M47)</f>
        <v>131400</v>
      </c>
      <c r="N48" s="253">
        <f>SUM(N46:N47)</f>
        <v>35297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27" workbookViewId="0">
      <selection activeCell="C16" sqref="C16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262649</v>
      </c>
      <c r="D8" s="59">
        <f>GrossMargin!N10</f>
        <v>41497</v>
      </c>
      <c r="E8" s="211">
        <f t="shared" ref="E8:E16" si="0">-D8+C8</f>
        <v>221152</v>
      </c>
      <c r="F8" s="241"/>
      <c r="G8" s="212">
        <f>Expenses!D9+'CapChrg-AllocExp'!D10+'CapChrg-AllocExp'!K10</f>
        <v>16832</v>
      </c>
      <c r="H8" s="41">
        <f>Expenses!E9+'CapChrg-AllocExp'!E10+'CapChrg-AllocExp'!L10</f>
        <v>14857</v>
      </c>
      <c r="I8" s="64">
        <f>'CapChrg-AllocExp'!F10</f>
        <v>0</v>
      </c>
      <c r="J8" s="213">
        <f>(H8-G8)-I8</f>
        <v>-1975</v>
      </c>
      <c r="K8" s="214"/>
      <c r="L8" s="210">
        <f t="shared" ref="L8:L16" si="1">C8-G8</f>
        <v>245817</v>
      </c>
      <c r="M8" s="59">
        <f t="shared" ref="M8:M16" si="2">D8-H8</f>
        <v>26640</v>
      </c>
      <c r="N8" s="211">
        <f t="shared" ref="N8:N16" si="3">L8-M8</f>
        <v>219177</v>
      </c>
    </row>
    <row r="9" spans="1:23" ht="12" customHeight="1" x14ac:dyDescent="0.25">
      <c r="A9" s="207" t="s">
        <v>273</v>
      </c>
      <c r="B9" s="278"/>
      <c r="C9" s="212">
        <f>GrossMargin!J11</f>
        <v>48664</v>
      </c>
      <c r="D9" s="41">
        <f>GrossMargin!N11</f>
        <v>7570</v>
      </c>
      <c r="E9" s="213">
        <f>-D9+C9</f>
        <v>41094</v>
      </c>
      <c r="F9" s="241"/>
      <c r="G9" s="212">
        <f>Expenses!D10+'CapChrg-AllocExp'!D11+'CapChrg-AllocExp'!K11</f>
        <v>3097</v>
      </c>
      <c r="H9" s="41">
        <f>Expenses!E10+'CapChrg-AllocExp'!E11+'CapChrg-AllocExp'!L11</f>
        <v>3158</v>
      </c>
      <c r="I9" s="64">
        <f>'CapChrg-AllocExp'!F11</f>
        <v>0</v>
      </c>
      <c r="J9" s="213">
        <f>(H9-G9)-I9</f>
        <v>61</v>
      </c>
      <c r="K9" s="214"/>
      <c r="L9" s="212">
        <f>C9-G9</f>
        <v>45567</v>
      </c>
      <c r="M9" s="41">
        <f>D9-H9</f>
        <v>4412</v>
      </c>
      <c r="N9" s="213">
        <f>L9-M9</f>
        <v>41155</v>
      </c>
    </row>
    <row r="10" spans="1:23" ht="12" customHeight="1" x14ac:dyDescent="0.25">
      <c r="A10" s="207" t="s">
        <v>106</v>
      </c>
      <c r="B10" s="237"/>
      <c r="C10" s="212">
        <f>GrossMargin!J12</f>
        <v>169988</v>
      </c>
      <c r="D10" s="41">
        <f>GrossMargin!N12</f>
        <v>67236</v>
      </c>
      <c r="E10" s="213">
        <f t="shared" si="0"/>
        <v>102752</v>
      </c>
      <c r="F10" s="241"/>
      <c r="G10" s="212">
        <f>Expenses!D11+'CapChrg-AllocExp'!D12+'CapChrg-AllocExp'!K12+Expenses!D58</f>
        <v>31153</v>
      </c>
      <c r="H10" s="41">
        <f>Expenses!E11+'CapChrg-AllocExp'!E12+'CapChrg-AllocExp'!L12+Expenses!E58</f>
        <v>28234</v>
      </c>
      <c r="I10" s="64">
        <f>'CapChrg-AllocExp'!F12</f>
        <v>988</v>
      </c>
      <c r="J10" s="213">
        <f>(H10-G10)-I10</f>
        <v>-3907</v>
      </c>
      <c r="K10" s="214"/>
      <c r="L10" s="212">
        <f t="shared" si="1"/>
        <v>138835</v>
      </c>
      <c r="M10" s="41">
        <f t="shared" si="2"/>
        <v>39002</v>
      </c>
      <c r="N10" s="213">
        <f t="shared" si="3"/>
        <v>99833</v>
      </c>
    </row>
    <row r="11" spans="1:23" ht="12" customHeight="1" x14ac:dyDescent="0.25">
      <c r="A11" s="207" t="s">
        <v>132</v>
      </c>
      <c r="B11" s="237"/>
      <c r="C11" s="212">
        <f>GrossMargin!J13</f>
        <v>30754</v>
      </c>
      <c r="D11" s="41">
        <f>GrossMargin!N13</f>
        <v>22402</v>
      </c>
      <c r="E11" s="213">
        <f t="shared" si="0"/>
        <v>8352</v>
      </c>
      <c r="F11" s="241"/>
      <c r="G11" s="212">
        <f>Expenses!D12+'CapChrg-AllocExp'!D13+'CapChrg-AllocExp'!K13</f>
        <v>2015</v>
      </c>
      <c r="H11" s="41">
        <f>Expenses!E12+'CapChrg-AllocExp'!E13+'CapChrg-AllocExp'!L13</f>
        <v>1607</v>
      </c>
      <c r="I11" s="64">
        <f>'CapChrg-AllocExp'!F13</f>
        <v>0</v>
      </c>
      <c r="J11" s="213">
        <f t="shared" ref="J11:J16" si="4">(H11-G11)-I11</f>
        <v>-408</v>
      </c>
      <c r="K11" s="214"/>
      <c r="L11" s="212">
        <f t="shared" si="1"/>
        <v>28739</v>
      </c>
      <c r="M11" s="41">
        <f t="shared" si="2"/>
        <v>20795</v>
      </c>
      <c r="N11" s="213">
        <f t="shared" si="3"/>
        <v>7944</v>
      </c>
    </row>
    <row r="12" spans="1:23" ht="12" customHeight="1" x14ac:dyDescent="0.25">
      <c r="A12" s="207" t="s">
        <v>133</v>
      </c>
      <c r="B12" s="237"/>
      <c r="C12" s="212">
        <f>GrossMargin!J14</f>
        <v>10271</v>
      </c>
      <c r="D12" s="41">
        <f>GrossMargin!N14</f>
        <v>11447</v>
      </c>
      <c r="E12" s="213">
        <f t="shared" si="0"/>
        <v>-1176</v>
      </c>
      <c r="F12" s="241"/>
      <c r="G12" s="212">
        <f>Expenses!D13+'CapChrg-AllocExp'!D14+'CapChrg-AllocExp'!K14</f>
        <v>2488</v>
      </c>
      <c r="H12" s="41">
        <f>Expenses!E13+'CapChrg-AllocExp'!E14+'CapChrg-AllocExp'!L14</f>
        <v>2496</v>
      </c>
      <c r="I12" s="64">
        <f>'CapChrg-AllocExp'!F14</f>
        <v>0</v>
      </c>
      <c r="J12" s="213">
        <f t="shared" si="4"/>
        <v>8</v>
      </c>
      <c r="K12" s="214"/>
      <c r="L12" s="212">
        <f t="shared" si="1"/>
        <v>7783</v>
      </c>
      <c r="M12" s="41">
        <f t="shared" si="2"/>
        <v>8951</v>
      </c>
      <c r="N12" s="213">
        <f t="shared" si="3"/>
        <v>-1168</v>
      </c>
    </row>
    <row r="13" spans="1:23" ht="12" customHeight="1" x14ac:dyDescent="0.25">
      <c r="A13" s="207" t="s">
        <v>251</v>
      </c>
      <c r="B13" s="237"/>
      <c r="C13" s="212">
        <f>GrossMargin!J15</f>
        <v>19056</v>
      </c>
      <c r="D13" s="41">
        <f>(GrossMargin!N15)</f>
        <v>11556</v>
      </c>
      <c r="E13" s="213">
        <f t="shared" si="0"/>
        <v>7500</v>
      </c>
      <c r="F13" s="241"/>
      <c r="G13" s="212">
        <f>Expenses!D14+'CapChrg-AllocExp'!D15+'CapChrg-AllocExp'!K15</f>
        <v>2342</v>
      </c>
      <c r="H13" s="41">
        <f>(Expenses!E14+'CapChrg-AllocExp'!E15+'CapChrg-AllocExp'!L15)</f>
        <v>3047</v>
      </c>
      <c r="I13" s="64">
        <f>'CapChrg-AllocExp'!F15</f>
        <v>0</v>
      </c>
      <c r="J13" s="213">
        <f t="shared" si="4"/>
        <v>705</v>
      </c>
      <c r="K13" s="214"/>
      <c r="L13" s="212">
        <f t="shared" si="1"/>
        <v>16714</v>
      </c>
      <c r="M13" s="41">
        <f t="shared" si="2"/>
        <v>8509</v>
      </c>
      <c r="N13" s="213">
        <f t="shared" si="3"/>
        <v>8205</v>
      </c>
    </row>
    <row r="14" spans="1:23" ht="12" customHeight="1" x14ac:dyDescent="0.25">
      <c r="A14" s="207" t="s">
        <v>275</v>
      </c>
      <c r="B14" s="237"/>
      <c r="C14" s="212">
        <f>GrossMargin!J16</f>
        <v>1195</v>
      </c>
      <c r="D14" s="41">
        <f>GrossMargin!N16</f>
        <v>6535</v>
      </c>
      <c r="E14" s="213">
        <f t="shared" si="0"/>
        <v>-5340</v>
      </c>
      <c r="F14" s="241"/>
      <c r="G14" s="212">
        <f>Expenses!D15+'CapChrg-AllocExp'!D16+'CapChrg-AllocExp'!K16</f>
        <v>2351</v>
      </c>
      <c r="H14" s="41">
        <f>Expenses!E15+'CapChrg-AllocExp'!E16+'CapChrg-AllocExp'!L16</f>
        <v>2038</v>
      </c>
      <c r="I14" s="64">
        <f>'CapChrg-AllocExp'!F16</f>
        <v>0</v>
      </c>
      <c r="J14" s="213">
        <f t="shared" si="4"/>
        <v>-313</v>
      </c>
      <c r="K14" s="214"/>
      <c r="L14" s="212">
        <f t="shared" si="1"/>
        <v>-1156</v>
      </c>
      <c r="M14" s="41">
        <f t="shared" si="2"/>
        <v>4497</v>
      </c>
      <c r="N14" s="213">
        <f t="shared" si="3"/>
        <v>-5653</v>
      </c>
    </row>
    <row r="15" spans="1:23" ht="12" customHeight="1" x14ac:dyDescent="0.25">
      <c r="A15" s="207" t="s">
        <v>155</v>
      </c>
      <c r="B15" s="237"/>
      <c r="C15" s="212">
        <f>GrossMargin!J17</f>
        <v>2713</v>
      </c>
      <c r="D15" s="41">
        <f>GrossMargin!N17</f>
        <v>3215</v>
      </c>
      <c r="E15" s="213">
        <f t="shared" si="0"/>
        <v>-502</v>
      </c>
      <c r="F15" s="241"/>
      <c r="G15" s="212">
        <f>Expenses!D16+'CapChrg-AllocExp'!D17+'CapChrg-AllocExp'!K17</f>
        <v>1811</v>
      </c>
      <c r="H15" s="41">
        <f>Expenses!E16+'CapChrg-AllocExp'!E17+'CapChrg-AllocExp'!L17</f>
        <v>1661</v>
      </c>
      <c r="I15" s="64">
        <f>'CapChrg-AllocExp'!F17</f>
        <v>0</v>
      </c>
      <c r="J15" s="213">
        <f t="shared" si="4"/>
        <v>-150</v>
      </c>
      <c r="K15" s="214"/>
      <c r="L15" s="212">
        <f t="shared" si="1"/>
        <v>902</v>
      </c>
      <c r="M15" s="41">
        <f t="shared" si="2"/>
        <v>1554</v>
      </c>
      <c r="N15" s="213">
        <f t="shared" si="3"/>
        <v>-652</v>
      </c>
    </row>
    <row r="16" spans="1:23" ht="12" customHeight="1" x14ac:dyDescent="0.25">
      <c r="A16" s="207" t="s">
        <v>295</v>
      </c>
      <c r="B16" s="237"/>
      <c r="C16" s="212">
        <f>GrossMargin!J18</f>
        <v>-2523</v>
      </c>
      <c r="D16" s="41">
        <f>GrossMargin!N18</f>
        <v>750</v>
      </c>
      <c r="E16" s="213">
        <f t="shared" si="0"/>
        <v>-3273</v>
      </c>
      <c r="F16" s="241"/>
      <c r="G16" s="212">
        <f>Expenses!D17+'CapChrg-AllocExp'!D18+'CapChrg-AllocExp'!K18</f>
        <v>338</v>
      </c>
      <c r="H16" s="41">
        <f>Expenses!E17+'CapChrg-AllocExp'!E18+'CapChrg-AllocExp'!L18</f>
        <v>338</v>
      </c>
      <c r="I16" s="64">
        <f>'CapChrg-AllocExp'!F18</f>
        <v>0</v>
      </c>
      <c r="J16" s="213">
        <f t="shared" si="4"/>
        <v>0</v>
      </c>
      <c r="K16" s="214"/>
      <c r="L16" s="212">
        <f t="shared" si="1"/>
        <v>-2861</v>
      </c>
      <c r="M16" s="41">
        <f t="shared" si="2"/>
        <v>412</v>
      </c>
      <c r="N16" s="213">
        <f t="shared" si="3"/>
        <v>-3273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542767</v>
      </c>
      <c r="D17" s="231">
        <f>SUM(D8:D16)</f>
        <v>172208</v>
      </c>
      <c r="E17" s="232">
        <f>SUM(E8:E16)</f>
        <v>370559</v>
      </c>
      <c r="F17" s="242">
        <f>SUM(D17:E17)</f>
        <v>542767</v>
      </c>
      <c r="G17" s="230">
        <f>SUM(G8:G16)</f>
        <v>62427</v>
      </c>
      <c r="H17" s="231">
        <f>SUM(H8:H16)</f>
        <v>57436</v>
      </c>
      <c r="I17" s="231">
        <f>SUM(I8:I16)</f>
        <v>988</v>
      </c>
      <c r="J17" s="232">
        <f>SUM(J8:J16)</f>
        <v>-5979</v>
      </c>
      <c r="K17" s="215"/>
      <c r="L17" s="230">
        <f>SUM(L8:L16)</f>
        <v>480340</v>
      </c>
      <c r="M17" s="231">
        <f>SUM(M8:M16)</f>
        <v>114772</v>
      </c>
      <c r="N17" s="232">
        <f>SUM(N8:N16)</f>
        <v>365568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>
        <f>GrossMargin!N22</f>
        <v>20493</v>
      </c>
      <c r="E19" s="213">
        <f t="shared" ref="E19:E29" si="5">-D19+C19</f>
        <v>-20493</v>
      </c>
      <c r="F19" s="241"/>
      <c r="G19" s="212">
        <f>Expenses!D20+'CapChrg-AllocExp'!D21+'CapChrg-AllocExp'!K21</f>
        <v>12347</v>
      </c>
      <c r="H19" s="41">
        <f>Expenses!E20+'CapChrg-AllocExp'!E21+'CapChrg-AllocExp'!L21</f>
        <v>8806</v>
      </c>
      <c r="I19" s="64">
        <f>'CapChrg-AllocExp'!F21</f>
        <v>0</v>
      </c>
      <c r="J19" s="213">
        <f t="shared" ref="J19:J29" si="6">(H19-G19)-I19</f>
        <v>-3541</v>
      </c>
      <c r="K19" s="214"/>
      <c r="L19" s="212">
        <f t="shared" ref="L19:M21" si="7">C19-G19</f>
        <v>-12347</v>
      </c>
      <c r="M19" s="41">
        <f t="shared" si="7"/>
        <v>11687</v>
      </c>
      <c r="N19" s="213">
        <f t="shared" ref="N19:N29" si="8">L19-M19</f>
        <v>-24034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>
        <f>GrossMargin!N23</f>
        <v>13235</v>
      </c>
      <c r="E20" s="213">
        <f t="shared" si="5"/>
        <v>-12729</v>
      </c>
      <c r="F20" s="241"/>
      <c r="G20" s="212">
        <f>Expenses!D21+'CapChrg-AllocExp'!D22+'CapChrg-AllocExp'!K22</f>
        <v>8457</v>
      </c>
      <c r="H20" s="41">
        <f>Expenses!E21+'CapChrg-AllocExp'!E22+'CapChrg-AllocExp'!L22</f>
        <v>7266</v>
      </c>
      <c r="I20" s="64">
        <f>'CapChrg-AllocExp'!F22</f>
        <v>-650</v>
      </c>
      <c r="J20" s="213">
        <f t="shared" si="6"/>
        <v>-541</v>
      </c>
      <c r="K20" s="214"/>
      <c r="L20" s="212">
        <f t="shared" si="7"/>
        <v>-7951</v>
      </c>
      <c r="M20" s="41">
        <f t="shared" si="7"/>
        <v>5969</v>
      </c>
      <c r="N20" s="213">
        <f t="shared" si="8"/>
        <v>-13920</v>
      </c>
    </row>
    <row r="21" spans="1:14" ht="12" customHeight="1" x14ac:dyDescent="0.25">
      <c r="A21" s="207" t="s">
        <v>233</v>
      </c>
      <c r="B21" s="237"/>
      <c r="C21" s="212">
        <f>GrossMargin!J24</f>
        <v>3251</v>
      </c>
      <c r="D21" s="41">
        <f>GrossMargin!N24</f>
        <v>22861</v>
      </c>
      <c r="E21" s="213">
        <f t="shared" si="5"/>
        <v>-19610</v>
      </c>
      <c r="F21" s="241"/>
      <c r="G21" s="212">
        <f>Expenses!D22+'CapChrg-AllocExp'!D23+'CapChrg-AllocExp'!K23</f>
        <v>8089</v>
      </c>
      <c r="H21" s="41">
        <f>Expenses!E22+'CapChrg-AllocExp'!E23+'CapChrg-AllocExp'!L23</f>
        <v>8909</v>
      </c>
      <c r="I21" s="64">
        <f>'CapChrg-AllocExp'!F23</f>
        <v>977</v>
      </c>
      <c r="J21" s="213">
        <f t="shared" si="6"/>
        <v>-157</v>
      </c>
      <c r="K21" s="214"/>
      <c r="L21" s="212">
        <f t="shared" si="7"/>
        <v>-4838</v>
      </c>
      <c r="M21" s="41">
        <f t="shared" si="7"/>
        <v>13952</v>
      </c>
      <c r="N21" s="213">
        <f t="shared" si="8"/>
        <v>-18790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>
        <f>GrossMargin!N25</f>
        <v>18711</v>
      </c>
      <c r="E22" s="213">
        <f>-D22+C22</f>
        <v>-2561</v>
      </c>
      <c r="F22" s="241"/>
      <c r="G22" s="212">
        <f>Expenses!D23+'CapChrg-AllocExp'!D24+'CapChrg-AllocExp'!K24</f>
        <v>8979</v>
      </c>
      <c r="H22" s="41">
        <f>Expenses!E23+'CapChrg-AllocExp'!E24+'CapChrg-AllocExp'!L24</f>
        <v>8248</v>
      </c>
      <c r="I22" s="64">
        <f>'CapChrg-AllocExp'!F24</f>
        <v>237</v>
      </c>
      <c r="J22" s="213">
        <f>(H22-G22)-I22</f>
        <v>-968</v>
      </c>
      <c r="K22" s="214"/>
      <c r="L22" s="212">
        <f>C22-G22</f>
        <v>7171</v>
      </c>
      <c r="M22" s="41">
        <f>D22-H22</f>
        <v>10463</v>
      </c>
      <c r="N22" s="213">
        <f>L22-M22</f>
        <v>-3292</v>
      </c>
    </row>
    <row r="23" spans="1:14" ht="12" customHeight="1" x14ac:dyDescent="0.25">
      <c r="A23" s="207" t="s">
        <v>264</v>
      </c>
      <c r="B23" s="237"/>
      <c r="C23" s="212">
        <f>GrossMargin!J26</f>
        <v>223</v>
      </c>
      <c r="D23" s="41">
        <f>GrossMargin!N26</f>
        <v>6212</v>
      </c>
      <c r="E23" s="213">
        <f>-D23+C23</f>
        <v>-5989</v>
      </c>
      <c r="F23" s="241"/>
      <c r="G23" s="212">
        <f>Expenses!D24+'CapChrg-AllocExp'!D25+'CapChrg-AllocExp'!K25</f>
        <v>2991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-313</v>
      </c>
      <c r="K23" s="214"/>
      <c r="L23" s="212">
        <f t="shared" ref="L23:M28" si="9">C23-G23</f>
        <v>-2768</v>
      </c>
      <c r="M23" s="41">
        <f t="shared" si="9"/>
        <v>3457</v>
      </c>
      <c r="N23" s="213">
        <f>L23-M23</f>
        <v>-6225</v>
      </c>
    </row>
    <row r="24" spans="1:14" ht="12" customHeight="1" x14ac:dyDescent="0.25">
      <c r="A24" s="207" t="s">
        <v>252</v>
      </c>
      <c r="B24" s="237"/>
      <c r="C24" s="212">
        <f>GrossMargin!J27</f>
        <v>8711</v>
      </c>
      <c r="D24" s="41">
        <f>GrossMargin!N27</f>
        <v>11556</v>
      </c>
      <c r="E24" s="213">
        <f t="shared" si="5"/>
        <v>-2845</v>
      </c>
      <c r="F24" s="241"/>
      <c r="G24" s="212">
        <f>Expenses!D25+'CapChrg-AllocExp'!D26+'CapChrg-AllocExp'!K26</f>
        <v>1852</v>
      </c>
      <c r="H24" s="41">
        <f>Expenses!E25+'CapChrg-AllocExp'!E26+'CapChrg-AllocExp'!L26</f>
        <v>1900</v>
      </c>
      <c r="I24" s="64">
        <f>'CapChrg-AllocExp'!F26</f>
        <v>217</v>
      </c>
      <c r="J24" s="213">
        <f t="shared" si="6"/>
        <v>-169</v>
      </c>
      <c r="K24" s="214"/>
      <c r="L24" s="212">
        <f t="shared" si="9"/>
        <v>6859</v>
      </c>
      <c r="M24" s="41">
        <f t="shared" si="9"/>
        <v>9656</v>
      </c>
      <c r="N24" s="213">
        <f t="shared" si="8"/>
        <v>-2797</v>
      </c>
    </row>
    <row r="25" spans="1:14" ht="12" customHeight="1" x14ac:dyDescent="0.25">
      <c r="A25" s="207" t="s">
        <v>311</v>
      </c>
      <c r="B25" s="278"/>
      <c r="C25" s="212">
        <f>GrossMargin!J28</f>
        <v>11870</v>
      </c>
      <c r="D25" s="41">
        <f>GrossMargin!N28</f>
        <v>18423</v>
      </c>
      <c r="E25" s="213">
        <f>-D25+C25</f>
        <v>-6553</v>
      </c>
      <c r="F25" s="241"/>
      <c r="G25" s="212">
        <f>Expenses!D26+'CapChrg-AllocExp'!D27+'CapChrg-AllocExp'!K27+Expenses!D60</f>
        <v>13888.5</v>
      </c>
      <c r="H25" s="41">
        <f>Expenses!E26+'CapChrg-AllocExp'!E27+'CapChrg-AllocExp'!L27+Expenses!E60</f>
        <v>9886.5</v>
      </c>
      <c r="I25" s="64">
        <f>'CapChrg-AllocExp'!F27</f>
        <v>-539</v>
      </c>
      <c r="J25" s="213">
        <f>(H25-G25)-I25</f>
        <v>-3463</v>
      </c>
      <c r="K25" s="214"/>
      <c r="L25" s="212">
        <f t="shared" ref="L25:M27" si="10">C25-G25</f>
        <v>-2018.5</v>
      </c>
      <c r="M25" s="41">
        <f t="shared" si="10"/>
        <v>8536.5</v>
      </c>
      <c r="N25" s="213">
        <f>L25-M25</f>
        <v>-10555</v>
      </c>
    </row>
    <row r="26" spans="1:14" ht="12" customHeight="1" x14ac:dyDescent="0.25">
      <c r="A26" s="207" t="s">
        <v>291</v>
      </c>
      <c r="B26" s="278"/>
      <c r="C26" s="212">
        <f>GrossMargin!J29</f>
        <v>14511</v>
      </c>
      <c r="D26" s="41">
        <f>GrossMargin!N29</f>
        <v>10746</v>
      </c>
      <c r="E26" s="213">
        <f>-D26+C26</f>
        <v>3765</v>
      </c>
      <c r="F26" s="241"/>
      <c r="G26" s="212">
        <f>Expenses!D27+'CapChrg-AllocExp'!D28+'CapChrg-AllocExp'!K28+Expenses!D59</f>
        <v>48183.5</v>
      </c>
      <c r="H26" s="41">
        <f>Expenses!E27+'CapChrg-AllocExp'!E28+'CapChrg-AllocExp'!L28+Expenses!E59</f>
        <v>47106.5</v>
      </c>
      <c r="I26" s="64">
        <f>'CapChrg-AllocExp'!F28</f>
        <v>-603</v>
      </c>
      <c r="J26" s="213">
        <f>(H26-G26)-I26</f>
        <v>-474</v>
      </c>
      <c r="K26" s="214"/>
      <c r="L26" s="212">
        <f t="shared" si="10"/>
        <v>-33672.5</v>
      </c>
      <c r="M26" s="41">
        <f t="shared" si="10"/>
        <v>-36360.5</v>
      </c>
      <c r="N26" s="213">
        <f>L26-M26</f>
        <v>2688</v>
      </c>
    </row>
    <row r="27" spans="1:14" ht="12" customHeight="1" x14ac:dyDescent="0.25">
      <c r="A27" s="207" t="s">
        <v>292</v>
      </c>
      <c r="B27" s="278"/>
      <c r="C27" s="212">
        <f>GrossMargin!J30</f>
        <v>-816</v>
      </c>
      <c r="D27" s="41">
        <f>GrossMargin!N30</f>
        <v>1690</v>
      </c>
      <c r="E27" s="213">
        <f>-D27+C27</f>
        <v>-2506</v>
      </c>
      <c r="F27" s="241"/>
      <c r="G27" s="212">
        <f>Expenses!D28+'CapChrg-AllocExp'!D29+'CapChrg-AllocExp'!K29+Expenses!D62</f>
        <v>3360</v>
      </c>
      <c r="H27" s="41">
        <f>Expenses!E28+'CapChrg-AllocExp'!E29+'CapChrg-AllocExp'!L29+Expenses!E62</f>
        <v>3590</v>
      </c>
      <c r="I27" s="64">
        <f>'CapChrg-AllocExp'!F29</f>
        <v>199</v>
      </c>
      <c r="J27" s="213">
        <f>(H27-G27)-I27</f>
        <v>31</v>
      </c>
      <c r="K27" s="214"/>
      <c r="L27" s="212">
        <f t="shared" si="10"/>
        <v>-4176</v>
      </c>
      <c r="M27" s="41">
        <f t="shared" si="10"/>
        <v>-1900</v>
      </c>
      <c r="N27" s="213">
        <f>L27-M27</f>
        <v>-2276</v>
      </c>
    </row>
    <row r="28" spans="1:14" ht="12" customHeight="1" x14ac:dyDescent="0.25">
      <c r="A28" s="207" t="s">
        <v>156</v>
      </c>
      <c r="B28" s="237"/>
      <c r="C28" s="212">
        <f>GrossMargin!J31</f>
        <v>653</v>
      </c>
      <c r="D28" s="41">
        <f>GrossMargin!N31</f>
        <v>7712</v>
      </c>
      <c r="E28" s="213">
        <f>-D28+C28</f>
        <v>-7059</v>
      </c>
      <c r="F28" s="241"/>
      <c r="G28" s="212">
        <f>Expenses!D29+'CapChrg-AllocExp'!D30+'CapChrg-AllocExp'!K30</f>
        <v>1127</v>
      </c>
      <c r="H28" s="41">
        <f>Expenses!E29+'CapChrg-AllocExp'!E30+'CapChrg-AllocExp'!L30</f>
        <v>1334</v>
      </c>
      <c r="I28" s="64">
        <f>'CapChrg-AllocExp'!F30</f>
        <v>655</v>
      </c>
      <c r="J28" s="213">
        <f>(H28-G28)-I28</f>
        <v>-448</v>
      </c>
      <c r="K28" s="214"/>
      <c r="L28" s="212">
        <f t="shared" si="9"/>
        <v>-474</v>
      </c>
      <c r="M28" s="41">
        <f t="shared" si="9"/>
        <v>6378</v>
      </c>
      <c r="N28" s="213">
        <f>L28-M28</f>
        <v>-6852</v>
      </c>
    </row>
    <row r="29" spans="1:14" ht="12" customHeight="1" x14ac:dyDescent="0.25">
      <c r="A29" s="207" t="s">
        <v>0</v>
      </c>
      <c r="B29" s="237"/>
      <c r="C29" s="212">
        <f>GrossMargin!J32</f>
        <v>2</v>
      </c>
      <c r="D29" s="41">
        <f>GrossMargin!N32</f>
        <v>4656</v>
      </c>
      <c r="E29" s="213">
        <f t="shared" si="5"/>
        <v>-4654</v>
      </c>
      <c r="F29" s="241"/>
      <c r="G29" s="212">
        <f>Expenses!D30+'CapChrg-AllocExp'!D31+'CapChrg-AllocExp'!K31</f>
        <v>2237</v>
      </c>
      <c r="H29" s="41">
        <f>Expenses!E30+'CapChrg-AllocExp'!E31+'CapChrg-AllocExp'!L31</f>
        <v>2626</v>
      </c>
      <c r="I29" s="64">
        <f>'CapChrg-AllocExp'!F31</f>
        <v>0</v>
      </c>
      <c r="J29" s="213">
        <f t="shared" si="6"/>
        <v>389</v>
      </c>
      <c r="K29" s="214"/>
      <c r="L29" s="212">
        <f>C29-G29</f>
        <v>-2235</v>
      </c>
      <c r="M29" s="41">
        <f>D29-H29</f>
        <v>2030</v>
      </c>
      <c r="N29" s="213">
        <f t="shared" si="8"/>
        <v>-4265</v>
      </c>
    </row>
    <row r="30" spans="1:14" s="202" customFormat="1" ht="12" customHeight="1" x14ac:dyDescent="0.2">
      <c r="A30" s="229" t="s">
        <v>1</v>
      </c>
      <c r="B30" s="238"/>
      <c r="C30" s="230">
        <f t="shared" ref="C30:J30" si="11">SUM(C19:C29)</f>
        <v>55061</v>
      </c>
      <c r="D30" s="231">
        <f t="shared" si="11"/>
        <v>136295</v>
      </c>
      <c r="E30" s="232">
        <f t="shared" si="11"/>
        <v>-81234</v>
      </c>
      <c r="F30" s="242">
        <f t="shared" si="11"/>
        <v>0</v>
      </c>
      <c r="G30" s="230">
        <f t="shared" si="11"/>
        <v>111511</v>
      </c>
      <c r="H30" s="231">
        <f t="shared" si="11"/>
        <v>102427</v>
      </c>
      <c r="I30" s="231">
        <f t="shared" si="11"/>
        <v>570</v>
      </c>
      <c r="J30" s="232">
        <f t="shared" si="11"/>
        <v>-9654</v>
      </c>
      <c r="K30" s="215"/>
      <c r="L30" s="230">
        <f>SUM(L19:L29)</f>
        <v>-56450</v>
      </c>
      <c r="M30" s="231">
        <f>SUM(M19:M29)</f>
        <v>33868</v>
      </c>
      <c r="N30" s="232">
        <f>SUM(N19:N29)</f>
        <v>-90318</v>
      </c>
    </row>
    <row r="31" spans="1:14" ht="12" customHeight="1" x14ac:dyDescent="0.25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12">
        <f>GrossMargin!J37</f>
        <v>-28212</v>
      </c>
      <c r="D32" s="41">
        <f>GrossMargin!N37</f>
        <v>15385</v>
      </c>
      <c r="E32" s="213">
        <f>-D32+C32</f>
        <v>-43597</v>
      </c>
      <c r="F32" s="241"/>
      <c r="G32" s="212">
        <f>Expenses!D34+'CapChrg-AllocExp'!D35+'CapChrg-AllocExp'!K35</f>
        <v>2204</v>
      </c>
      <c r="H32" s="41">
        <f>Expenses!E34+'CapChrg-AllocExp'!E35+'CapChrg-AllocExp'!L35</f>
        <v>3691</v>
      </c>
      <c r="I32" s="64">
        <f>'CapChrg-AllocExp'!F35</f>
        <v>1387</v>
      </c>
      <c r="J32" s="213">
        <f>(H32-G32)-I32</f>
        <v>100</v>
      </c>
      <c r="K32" s="214"/>
      <c r="L32" s="212">
        <f t="shared" ref="L32:M34" si="12">C32-G32</f>
        <v>-30416</v>
      </c>
      <c r="M32" s="41">
        <f t="shared" si="12"/>
        <v>11694</v>
      </c>
      <c r="N32" s="213">
        <f>L32-M32</f>
        <v>-42110</v>
      </c>
    </row>
    <row r="33" spans="1:14" ht="12" customHeight="1" x14ac:dyDescent="0.25">
      <c r="A33" s="207" t="s">
        <v>267</v>
      </c>
      <c r="B33" s="237"/>
      <c r="C33" s="212">
        <f>GrossMargin!J38</f>
        <v>2325</v>
      </c>
      <c r="D33" s="41">
        <f>GrossMargin!N38</f>
        <v>2000</v>
      </c>
      <c r="E33" s="213">
        <f>-D33+C33</f>
        <v>325</v>
      </c>
      <c r="F33" s="241"/>
      <c r="G33" s="212">
        <f>Expenses!D35+'CapChrg-AllocExp'!D36+'CapChrg-AllocExp'!K36</f>
        <v>5509</v>
      </c>
      <c r="H33" s="41">
        <f>Expenses!E35+'CapChrg-AllocExp'!E36+'CapChrg-AllocExp'!L36</f>
        <v>7158</v>
      </c>
      <c r="I33" s="64">
        <f>'CapChrg-AllocExp'!F36</f>
        <v>1775</v>
      </c>
      <c r="J33" s="213">
        <f>(H33-G33)-I33</f>
        <v>-126</v>
      </c>
      <c r="K33" s="214"/>
      <c r="L33" s="212">
        <f t="shared" si="12"/>
        <v>-3184</v>
      </c>
      <c r="M33" s="41">
        <f t="shared" si="12"/>
        <v>-5158</v>
      </c>
      <c r="N33" s="213">
        <f>L33-M33</f>
        <v>1974</v>
      </c>
    </row>
    <row r="34" spans="1:14" x14ac:dyDescent="0.25">
      <c r="A34" s="207" t="s">
        <v>154</v>
      </c>
      <c r="B34" s="237"/>
      <c r="C34" s="212">
        <f>GrossMargin!J41</f>
        <v>-4750</v>
      </c>
      <c r="D34" s="41">
        <f>GrossMargin!N41</f>
        <v>14705</v>
      </c>
      <c r="E34" s="213">
        <f>-D34+C34</f>
        <v>-19455</v>
      </c>
      <c r="F34" s="206"/>
      <c r="G34" s="212">
        <f>Expenses!D38+'CapChrg-AllocExp'!D39+'CapChrg-AllocExp'!K39</f>
        <v>11006</v>
      </c>
      <c r="H34" s="41">
        <f>Expenses!E38+'CapChrg-AllocExp'!E39+'CapChrg-AllocExp'!L39</f>
        <v>10399</v>
      </c>
      <c r="I34" s="64">
        <f>'CapChrg-AllocExp'!F39</f>
        <v>-1044</v>
      </c>
      <c r="J34" s="213">
        <f>(H34-G34)-I34</f>
        <v>437</v>
      </c>
      <c r="K34" s="206"/>
      <c r="L34" s="212">
        <f t="shared" si="12"/>
        <v>-15756</v>
      </c>
      <c r="M34" s="41">
        <f t="shared" si="12"/>
        <v>4306</v>
      </c>
      <c r="N34" s="213">
        <f>L34-M34</f>
        <v>-20062</v>
      </c>
    </row>
    <row r="35" spans="1:14" s="202" customFormat="1" ht="12" customHeight="1" x14ac:dyDescent="0.2">
      <c r="A35" s="229" t="s">
        <v>87</v>
      </c>
      <c r="B35" s="238"/>
      <c r="C35" s="230">
        <f>C32+C33+C34</f>
        <v>-30637</v>
      </c>
      <c r="D35" s="231">
        <f>D32+D33+D34</f>
        <v>32090</v>
      </c>
      <c r="E35" s="232">
        <f>SUM(E32:E34)</f>
        <v>-62727</v>
      </c>
      <c r="F35" s="242"/>
      <c r="G35" s="230">
        <f>G32+G33+G34</f>
        <v>18719</v>
      </c>
      <c r="H35" s="231">
        <f>H32+H33+H34</f>
        <v>21248</v>
      </c>
      <c r="I35" s="231">
        <f>I32+I33+I34</f>
        <v>2118</v>
      </c>
      <c r="J35" s="232">
        <f>SUM(J32:J34)</f>
        <v>411</v>
      </c>
      <c r="K35" s="215"/>
      <c r="L35" s="230">
        <f>L32+L33+L34</f>
        <v>-49356</v>
      </c>
      <c r="M35" s="231">
        <f>M32+M33+M34</f>
        <v>10842</v>
      </c>
      <c r="N35" s="232">
        <f>SUM(N32:N34)</f>
        <v>-60198</v>
      </c>
    </row>
    <row r="36" spans="1:14" ht="12" customHeight="1" x14ac:dyDescent="0.25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18">
        <f>GrossMargin!J45</f>
        <v>0</v>
      </c>
      <c r="D37" s="104">
        <f>GrossMargin!N45</f>
        <v>2500</v>
      </c>
      <c r="E37" s="219">
        <f>-D37+C37</f>
        <v>-2500</v>
      </c>
      <c r="F37" s="241"/>
      <c r="G37" s="218">
        <f>Expenses!D41+'CapChrg-AllocExp'!D42+'CapChrg-AllocExp'!K42</f>
        <v>9104</v>
      </c>
      <c r="H37" s="104">
        <f>Expenses!E41+'CapChrg-AllocExp'!E42+'CapChrg-AllocExp'!L42</f>
        <v>7686</v>
      </c>
      <c r="I37" s="105">
        <f>'CapChrg-AllocExp'!F42</f>
        <v>0</v>
      </c>
      <c r="J37" s="213">
        <f>(H37-G37)-I37</f>
        <v>-1418</v>
      </c>
      <c r="K37" s="214"/>
      <c r="L37" s="218">
        <f t="shared" ref="L37:M39" si="13">C37-G37</f>
        <v>-9104</v>
      </c>
      <c r="M37" s="104">
        <f t="shared" si="13"/>
        <v>-5186</v>
      </c>
      <c r="N37" s="219">
        <f>L37-M37</f>
        <v>-3918</v>
      </c>
    </row>
    <row r="38" spans="1:14" ht="12" customHeight="1" x14ac:dyDescent="0.25">
      <c r="A38" s="217" t="s">
        <v>7</v>
      </c>
      <c r="B38" s="237"/>
      <c r="C38" s="218">
        <f>GrossMargin!J47</f>
        <v>-19101</v>
      </c>
      <c r="D38" s="104">
        <f>GrossMargin!N47</f>
        <v>0</v>
      </c>
      <c r="E38" s="219">
        <f>-D38+C38</f>
        <v>-19101</v>
      </c>
      <c r="F38" s="241"/>
      <c r="G38" s="218">
        <f>Expenses!D43+'CapChrg-AllocExp'!D44+'CapChrg-AllocExp'!K44</f>
        <v>7516</v>
      </c>
      <c r="H38" s="104">
        <f>Expenses!E43+'CapChrg-AllocExp'!E44+'CapChrg-AllocExp'!L44</f>
        <v>7099</v>
      </c>
      <c r="I38" s="105">
        <f>'CapChrg-AllocExp'!F44</f>
        <v>0</v>
      </c>
      <c r="J38" s="213">
        <f>(H38-G38)-I38</f>
        <v>-417</v>
      </c>
      <c r="K38" s="214"/>
      <c r="L38" s="218">
        <f t="shared" si="13"/>
        <v>-26617</v>
      </c>
      <c r="M38" s="104">
        <f t="shared" si="13"/>
        <v>-7099</v>
      </c>
      <c r="N38" s="219">
        <f>L38-M38</f>
        <v>-19518</v>
      </c>
    </row>
    <row r="39" spans="1:14" ht="12" customHeight="1" x14ac:dyDescent="0.25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">
      <c r="A40" s="229" t="s">
        <v>10</v>
      </c>
      <c r="B40" s="238"/>
      <c r="C40" s="230">
        <f>SUM(C35:C39)+C17+C30</f>
        <v>548090</v>
      </c>
      <c r="D40" s="231">
        <f>SUM(D35:D39)+D17+D30</f>
        <v>395309</v>
      </c>
      <c r="E40" s="232">
        <f>SUM(E35:E39)+E17+E30</f>
        <v>152781</v>
      </c>
      <c r="F40" s="242"/>
      <c r="G40" s="230">
        <f>SUM(G35:G39)+G17+G30</f>
        <v>209277</v>
      </c>
      <c r="H40" s="231">
        <f>SUM(H35:H39)+H17+H30</f>
        <v>195896</v>
      </c>
      <c r="I40" s="231">
        <f>SUM(I35:I39)+I17+I30</f>
        <v>3676</v>
      </c>
      <c r="J40" s="232">
        <f>SUM(J35:J39)+J17+J30</f>
        <v>-17057</v>
      </c>
      <c r="K40" s="215"/>
      <c r="L40" s="230">
        <f>SUM(L35:L39)+L17+L30</f>
        <v>338813</v>
      </c>
      <c r="M40" s="231">
        <f>SUM(M35:M39)+M17+M30</f>
        <v>199413</v>
      </c>
      <c r="N40" s="232">
        <f>SUM(N35:N39)+N17+N30</f>
        <v>139400</v>
      </c>
    </row>
    <row r="41" spans="1:14" ht="12" customHeight="1" x14ac:dyDescent="0.25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>
        <f>Expenses!E47</f>
        <v>59297</v>
      </c>
      <c r="I42" s="104">
        <v>0</v>
      </c>
      <c r="J42" s="213">
        <f t="shared" ref="J42:J47" si="15">(H42-G42)-I42</f>
        <v>-30933</v>
      </c>
      <c r="K42" s="214"/>
      <c r="L42" s="218">
        <f t="shared" ref="L42:M47" si="16">C42-G42</f>
        <v>-90230</v>
      </c>
      <c r="M42" s="104">
        <f t="shared" si="16"/>
        <v>-59297</v>
      </c>
      <c r="N42" s="219">
        <f t="shared" ref="N42:N47" si="17">L42-M42</f>
        <v>-30933</v>
      </c>
    </row>
    <row r="43" spans="1:14" ht="12" customHeight="1" x14ac:dyDescent="0.25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>
        <f>'CapChrg-AllocExp'!K50</f>
        <v>-43310</v>
      </c>
      <c r="H43" s="104">
        <f>'CapChrg-AllocExp'!L50</f>
        <v>-42378</v>
      </c>
      <c r="I43" s="104">
        <v>0</v>
      </c>
      <c r="J43" s="213">
        <f t="shared" si="15"/>
        <v>932</v>
      </c>
      <c r="K43" s="214"/>
      <c r="L43" s="218">
        <f t="shared" si="16"/>
        <v>43310</v>
      </c>
      <c r="M43" s="104">
        <f t="shared" si="16"/>
        <v>42378</v>
      </c>
      <c r="N43" s="219">
        <f t="shared" si="17"/>
        <v>932</v>
      </c>
    </row>
    <row r="44" spans="1:14" ht="12" customHeight="1" x14ac:dyDescent="0.25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5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5">
      <c r="A46" s="217" t="s">
        <v>18</v>
      </c>
      <c r="B46" s="237"/>
      <c r="C46" s="218">
        <f>GrossMargin!J49</f>
        <v>-19178</v>
      </c>
      <c r="D46" s="104">
        <f>GrossMargin!N49</f>
        <v>-10795</v>
      </c>
      <c r="E46" s="219">
        <f t="shared" si="14"/>
        <v>-8383</v>
      </c>
      <c r="F46" s="243"/>
      <c r="G46" s="218">
        <f>Expenses!D51</f>
        <v>22625</v>
      </c>
      <c r="H46" s="104">
        <f>Expenses!E51</f>
        <v>26684</v>
      </c>
      <c r="I46" s="104">
        <v>0</v>
      </c>
      <c r="J46" s="213">
        <f t="shared" si="15"/>
        <v>4059</v>
      </c>
      <c r="K46" s="214"/>
      <c r="L46" s="218">
        <f t="shared" si="16"/>
        <v>-41803</v>
      </c>
      <c r="M46" s="104">
        <f t="shared" si="16"/>
        <v>-37479</v>
      </c>
      <c r="N46" s="219">
        <f t="shared" si="17"/>
        <v>-4324</v>
      </c>
    </row>
    <row r="47" spans="1:14" ht="12" customHeight="1" x14ac:dyDescent="0.25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>
        <f>'CapChrg-AllocExp'!D46</f>
        <v>-39264</v>
      </c>
      <c r="H47" s="104">
        <f>'CapChrg-AllocExp'!E46</f>
        <v>-42940</v>
      </c>
      <c r="I47" s="104">
        <f>'CapChrg-AllocExp'!F46</f>
        <v>-3676</v>
      </c>
      <c r="J47" s="213">
        <f t="shared" si="15"/>
        <v>0</v>
      </c>
      <c r="K47" s="214"/>
      <c r="L47" s="218">
        <f t="shared" si="16"/>
        <v>39264</v>
      </c>
      <c r="M47" s="104">
        <f t="shared" si="16"/>
        <v>42940</v>
      </c>
      <c r="N47" s="219">
        <f t="shared" si="17"/>
        <v>-3676</v>
      </c>
    </row>
    <row r="48" spans="1:14" s="202" customFormat="1" ht="12" customHeight="1" x14ac:dyDescent="0.2">
      <c r="A48" s="229" t="s">
        <v>65</v>
      </c>
      <c r="B48" s="238"/>
      <c r="C48" s="230">
        <f>SUM(C40:C47)</f>
        <v>528912</v>
      </c>
      <c r="D48" s="231">
        <f>SUM(D40:D47)</f>
        <v>384514</v>
      </c>
      <c r="E48" s="233">
        <f>SUM(E40:E47)</f>
        <v>144398</v>
      </c>
      <c r="F48" s="242"/>
      <c r="G48" s="230">
        <f>SUM(G40:G47)</f>
        <v>239913</v>
      </c>
      <c r="H48" s="231">
        <f>SUM(H40:H47)</f>
        <v>196914</v>
      </c>
      <c r="I48" s="231">
        <f>SUM(I40:I47)</f>
        <v>0</v>
      </c>
      <c r="J48" s="233">
        <f>SUM(J40:J47)</f>
        <v>-42999</v>
      </c>
      <c r="K48" s="215"/>
      <c r="L48" s="230">
        <f>SUM(L40:L47)</f>
        <v>288999</v>
      </c>
      <c r="M48" s="231">
        <f>SUM(M40:M47)</f>
        <v>187600</v>
      </c>
      <c r="N48" s="233">
        <f>SUM(N40:N47)</f>
        <v>101399</v>
      </c>
    </row>
    <row r="49" spans="1:14" ht="12" customHeight="1" thickBot="1" x14ac:dyDescent="0.3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25">
      <c r="A50" s="249" t="s">
        <v>66</v>
      </c>
      <c r="B50" s="250"/>
      <c r="C50" s="251">
        <f>SUM(C48:C49)</f>
        <v>528912</v>
      </c>
      <c r="D50" s="252">
        <f>SUM(D48:D49)</f>
        <v>384514</v>
      </c>
      <c r="E50" s="253">
        <f>SUM(E48:E49)</f>
        <v>144398</v>
      </c>
      <c r="F50" s="254"/>
      <c r="G50" s="251">
        <f>SUM(G48:G49)</f>
        <v>254613</v>
      </c>
      <c r="H50" s="252">
        <f>SUM(H48:H49)</f>
        <v>205514</v>
      </c>
      <c r="I50" s="252">
        <f>SUM(I48:I49)</f>
        <v>0</v>
      </c>
      <c r="J50" s="253">
        <f>SUM(J48:J49)</f>
        <v>-49099</v>
      </c>
      <c r="K50" s="254"/>
      <c r="L50" s="251">
        <f>SUM(L48:L49)</f>
        <v>274299</v>
      </c>
      <c r="M50" s="252">
        <f>SUM(M48:M49)</f>
        <v>179000</v>
      </c>
      <c r="N50" s="253">
        <f>SUM(N48:N49)</f>
        <v>95299</v>
      </c>
    </row>
    <row r="51" spans="1:14" ht="3" customHeight="1" x14ac:dyDescent="0.25">
      <c r="A51" s="184"/>
      <c r="C51" s="185"/>
      <c r="D51" s="42"/>
      <c r="E51" s="184"/>
      <c r="F51" s="44"/>
      <c r="J51" s="176"/>
    </row>
    <row r="52" spans="1:14" x14ac:dyDescent="0.25">
      <c r="A52" s="176" t="s">
        <v>149</v>
      </c>
      <c r="C52" s="44"/>
      <c r="D52" s="42"/>
      <c r="E52" s="44"/>
      <c r="F52" s="44"/>
    </row>
    <row r="53" spans="1:14" ht="13.5" customHeight="1" x14ac:dyDescent="0.25">
      <c r="A53" s="176" t="s">
        <v>310</v>
      </c>
      <c r="D53" s="38"/>
      <c r="E53" s="38"/>
      <c r="F53" s="38"/>
      <c r="G53" s="38"/>
      <c r="H53" s="38"/>
      <c r="I53" s="38"/>
    </row>
    <row r="54" spans="1:14" ht="13.5" x14ac:dyDescent="0.25">
      <c r="C54" s="307" t="s">
        <v>308</v>
      </c>
      <c r="D54" s="308"/>
      <c r="E54" s="309"/>
      <c r="G54" s="307" t="s">
        <v>309</v>
      </c>
      <c r="H54" s="308"/>
      <c r="I54" s="308"/>
      <c r="J54" s="309"/>
    </row>
    <row r="55" spans="1:14" x14ac:dyDescent="0.25">
      <c r="C55" s="221" t="s">
        <v>247</v>
      </c>
      <c r="D55" s="203"/>
      <c r="E55" s="66">
        <f>'GM-WklyChnge'!C52</f>
        <v>80080</v>
      </c>
      <c r="G55" s="221" t="s">
        <v>245</v>
      </c>
      <c r="H55" s="203"/>
      <c r="I55" s="314">
        <f>'Expense Weekly Change'!D58+'Expense Weekly Change'!D60+'Expense Weekly Change'!D59</f>
        <v>9266</v>
      </c>
      <c r="J55" s="314"/>
    </row>
    <row r="56" spans="1:14" x14ac:dyDescent="0.25">
      <c r="C56" s="221" t="s">
        <v>289</v>
      </c>
      <c r="D56" s="203"/>
      <c r="E56" s="66">
        <f>'GM-WklyChnge'!D52</f>
        <v>10556.5</v>
      </c>
      <c r="G56" s="221" t="s">
        <v>270</v>
      </c>
      <c r="H56" s="203"/>
      <c r="I56" s="314">
        <f>'Expense Weekly Change'!D45</f>
        <v>578</v>
      </c>
      <c r="J56" s="314"/>
    </row>
    <row r="57" spans="1:14" x14ac:dyDescent="0.25">
      <c r="C57" s="221" t="s">
        <v>290</v>
      </c>
      <c r="D57" s="203"/>
      <c r="E57" s="66">
        <f>'GM-WklyChnge'!E52+'GM-WklyChnge'!F52+'GM-WklyChnge'!G52</f>
        <v>280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5">
      <c r="C58" s="222"/>
      <c r="D58" s="223"/>
      <c r="E58" s="224"/>
      <c r="G58" s="222"/>
      <c r="H58" s="223"/>
      <c r="I58" s="282"/>
      <c r="J58" s="281"/>
    </row>
    <row r="59" spans="1:14" ht="13.5" x14ac:dyDescent="0.25">
      <c r="C59" s="234" t="s">
        <v>182</v>
      </c>
      <c r="D59" s="235"/>
      <c r="E59" s="277">
        <f>SUM(E55:E58)</f>
        <v>90916.5</v>
      </c>
      <c r="G59" s="234" t="s">
        <v>182</v>
      </c>
      <c r="H59" s="235"/>
      <c r="I59" s="315">
        <f>+J57+I56+I55+J58</f>
        <v>9844</v>
      </c>
      <c r="J59" s="316"/>
    </row>
    <row r="60" spans="1:14" x14ac:dyDescent="0.25">
      <c r="M60" s="27" t="s">
        <v>288</v>
      </c>
    </row>
    <row r="62" spans="1:14" ht="13.5" x14ac:dyDescent="0.25">
      <c r="C62" s="272" t="s">
        <v>235</v>
      </c>
      <c r="D62" s="273"/>
      <c r="E62" s="274">
        <f>'[2]QTD Mgmt Summary'!$C$50</f>
        <v>437995.5</v>
      </c>
      <c r="G62" s="272" t="s">
        <v>235</v>
      </c>
      <c r="H62" s="273"/>
      <c r="I62" s="312">
        <f>'[2]QTD Mgmt Summary'!$G$50</f>
        <v>244769</v>
      </c>
      <c r="J62" s="312"/>
    </row>
    <row r="63" spans="1:14" s="152" customFormat="1" ht="13.5" x14ac:dyDescent="0.25">
      <c r="A63" s="27"/>
      <c r="B63" s="27"/>
      <c r="C63" s="272" t="s">
        <v>244</v>
      </c>
      <c r="D63" s="272"/>
      <c r="E63" s="276">
        <f>C50</f>
        <v>528912</v>
      </c>
      <c r="G63" s="272" t="s">
        <v>244</v>
      </c>
      <c r="H63" s="272"/>
      <c r="I63" s="313">
        <f>G50</f>
        <v>254613</v>
      </c>
      <c r="J63" s="313"/>
    </row>
    <row r="64" spans="1:14" s="152" customFormat="1" ht="6" customHeight="1" x14ac:dyDescent="0.25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3">
      <c r="A65" s="27"/>
      <c r="B65" s="27"/>
      <c r="C65" s="286" t="s">
        <v>256</v>
      </c>
      <c r="D65" s="284"/>
      <c r="E65" s="285">
        <f>+E63-E62</f>
        <v>90916.5</v>
      </c>
      <c r="G65" s="286" t="s">
        <v>256</v>
      </c>
      <c r="H65" s="284"/>
      <c r="I65" s="311">
        <f>+I63-I62</f>
        <v>9844</v>
      </c>
      <c r="J65" s="311"/>
    </row>
    <row r="66" spans="1:10" ht="13.5" thickTop="1" x14ac:dyDescent="0.25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15,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9" workbookViewId="0">
      <selection activeCell="C16" sqref="C16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296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>
        <f>GrossMargin!N10</f>
        <v>41497</v>
      </c>
      <c r="D9" s="60">
        <f>Expenses!E9+'CapChrg-AllocExp'!E10+'CapChrg-AllocExp'!L10</f>
        <v>14857</v>
      </c>
      <c r="E9" s="84">
        <f>C9-D9</f>
        <v>26640</v>
      </c>
      <c r="F9" s="42"/>
      <c r="G9" s="59">
        <f>GrossMargin!J10</f>
        <v>262649</v>
      </c>
      <c r="H9" s="60">
        <f>GrossMargin!K10</f>
        <v>0</v>
      </c>
      <c r="I9" s="60">
        <f>GrossMargin!L10</f>
        <v>0</v>
      </c>
      <c r="J9" s="82">
        <f>SUM(G9:I9)</f>
        <v>262649</v>
      </c>
      <c r="K9" s="177"/>
      <c r="L9" s="60">
        <f>'CapChrg-AllocExp'!D10</f>
        <v>0</v>
      </c>
      <c r="M9" s="60">
        <f>Expenses!D9</f>
        <v>5187</v>
      </c>
      <c r="N9" s="61">
        <f>'CapChrg-AllocExp'!K10</f>
        <v>11645</v>
      </c>
      <c r="O9" s="82">
        <f>J9-K9-M9-N9-L9</f>
        <v>245817</v>
      </c>
      <c r="P9" s="44"/>
      <c r="Q9" s="59">
        <f>GrossMargin!O10</f>
        <v>221152</v>
      </c>
      <c r="R9" s="60"/>
      <c r="S9" s="60">
        <f>'CapChrg-AllocExp'!F10</f>
        <v>0</v>
      </c>
      <c r="T9" s="60">
        <f>Expenses!F9</f>
        <v>-1975</v>
      </c>
      <c r="U9" s="60">
        <f>'CapChrg-AllocExp'!M10</f>
        <v>0</v>
      </c>
      <c r="V9" s="84">
        <f>ROUND(SUM(Q9:U9),0)</f>
        <v>219177</v>
      </c>
    </row>
    <row r="10" spans="1:23" ht="12" customHeight="1" x14ac:dyDescent="0.25">
      <c r="A10" s="29" t="s">
        <v>272</v>
      </c>
      <c r="B10" s="38"/>
      <c r="C10" s="41">
        <f>GrossMargin!N11</f>
        <v>7570</v>
      </c>
      <c r="D10" s="42">
        <f>Expenses!E10+'CapChrg-AllocExp'!E11+'CapChrg-AllocExp'!L11</f>
        <v>3158</v>
      </c>
      <c r="E10" s="66">
        <f>C10-D10</f>
        <v>4412</v>
      </c>
      <c r="F10" s="42"/>
      <c r="G10" s="41">
        <f>GrossMargin!J11</f>
        <v>48664</v>
      </c>
      <c r="H10" s="42">
        <f>GrossMargin!K11</f>
        <v>0</v>
      </c>
      <c r="I10" s="42">
        <f>GrossMargin!L11</f>
        <v>0</v>
      </c>
      <c r="J10" s="83">
        <f>SUM(G10:I10)</f>
        <v>48664</v>
      </c>
      <c r="K10" s="42"/>
      <c r="L10" s="42">
        <f>'CapChrg-AllocExp'!D11</f>
        <v>0</v>
      </c>
      <c r="M10" s="42">
        <f>Expenses!D10</f>
        <v>656</v>
      </c>
      <c r="N10" s="43">
        <f>'CapChrg-AllocExp'!K11</f>
        <v>2441</v>
      </c>
      <c r="O10" s="83">
        <f>J10-K10-M10-N10-L10</f>
        <v>45567</v>
      </c>
      <c r="P10" s="44"/>
      <c r="Q10" s="41">
        <f>GrossMargin!O11</f>
        <v>41094</v>
      </c>
      <c r="R10" s="42"/>
      <c r="S10" s="42">
        <f>'CapChrg-AllocExp'!F11</f>
        <v>0</v>
      </c>
      <c r="T10" s="42">
        <f>Expenses!F10</f>
        <v>61</v>
      </c>
      <c r="U10" s="42">
        <f>'CapChrg-AllocExp'!M11</f>
        <v>0</v>
      </c>
      <c r="V10" s="66">
        <f>ROUND(SUM(Q10:U10),0)</f>
        <v>41155</v>
      </c>
    </row>
    <row r="11" spans="1:23" ht="12" customHeight="1" x14ac:dyDescent="0.25">
      <c r="A11" s="29" t="s">
        <v>106</v>
      </c>
      <c r="B11" s="38"/>
      <c r="C11" s="41">
        <f>GrossMargin!N12</f>
        <v>67236</v>
      </c>
      <c r="D11" s="42">
        <f>Expenses!E11+'CapChrg-AllocExp'!E12+'CapChrg-AllocExp'!L12+Expenses!E58</f>
        <v>28234</v>
      </c>
      <c r="E11" s="66">
        <f t="shared" ref="E11:E17" si="0">C11-D11</f>
        <v>39002</v>
      </c>
      <c r="F11" s="42"/>
      <c r="G11" s="41">
        <f>GrossMargin!J12</f>
        <v>169988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169988</v>
      </c>
      <c r="K11" s="42">
        <f>Expenses!D58</f>
        <v>9885</v>
      </c>
      <c r="L11" s="42">
        <f>'CapChrg-AllocExp'!D12</f>
        <v>7803</v>
      </c>
      <c r="M11" s="42">
        <f>Expenses!D11</f>
        <v>7523</v>
      </c>
      <c r="N11" s="43">
        <f>'CapChrg-AllocExp'!K12</f>
        <v>5942</v>
      </c>
      <c r="O11" s="83">
        <f t="shared" ref="O11:O18" si="2">J11-K11-M11-N11-L11</f>
        <v>138835</v>
      </c>
      <c r="P11" s="44"/>
      <c r="Q11" s="41">
        <f>GrossMargin!O12</f>
        <v>102752</v>
      </c>
      <c r="R11" s="42">
        <f>Expenses!F58</f>
        <v>-1096</v>
      </c>
      <c r="S11" s="42">
        <f>'CapChrg-AllocExp'!F12</f>
        <v>988</v>
      </c>
      <c r="T11" s="42">
        <f>Expenses!F11</f>
        <v>-2811</v>
      </c>
      <c r="U11" s="42">
        <f>'CapChrg-AllocExp'!M12</f>
        <v>0</v>
      </c>
      <c r="V11" s="66">
        <f t="shared" ref="V11:V17" si="3">ROUND(SUM(Q11:U11),0)</f>
        <v>99833</v>
      </c>
    </row>
    <row r="12" spans="1:23" ht="12" customHeight="1" x14ac:dyDescent="0.25">
      <c r="A12" s="29" t="s">
        <v>132</v>
      </c>
      <c r="B12" s="38"/>
      <c r="C12" s="41">
        <f>GrossMargin!N13</f>
        <v>22402</v>
      </c>
      <c r="D12" s="42">
        <f>Expenses!E12+'CapChrg-AllocExp'!E13+'CapChrg-AllocExp'!L13</f>
        <v>1607</v>
      </c>
      <c r="E12" s="66">
        <f t="shared" si="0"/>
        <v>20795</v>
      </c>
      <c r="F12" s="42"/>
      <c r="G12" s="41">
        <f>GrossMargin!J13</f>
        <v>30754</v>
      </c>
      <c r="H12" s="42">
        <f>GrossMargin!K13</f>
        <v>0</v>
      </c>
      <c r="I12" s="42">
        <f>GrossMargin!L13</f>
        <v>0</v>
      </c>
      <c r="J12" s="83">
        <f t="shared" si="1"/>
        <v>30754</v>
      </c>
      <c r="K12" s="65"/>
      <c r="L12" s="42">
        <f>'CapChrg-AllocExp'!D13</f>
        <v>0</v>
      </c>
      <c r="M12" s="42">
        <f>Expenses!D12</f>
        <v>1063</v>
      </c>
      <c r="N12" s="43">
        <f>'CapChrg-AllocExp'!K13</f>
        <v>952</v>
      </c>
      <c r="O12" s="83">
        <f t="shared" si="2"/>
        <v>28739</v>
      </c>
      <c r="P12" s="44"/>
      <c r="Q12" s="41">
        <f>GrossMargin!O13</f>
        <v>8352</v>
      </c>
      <c r="R12" s="42"/>
      <c r="S12" s="42">
        <f>'CapChrg-AllocExp'!F13</f>
        <v>0</v>
      </c>
      <c r="T12" s="42">
        <f>Expenses!F12</f>
        <v>-408</v>
      </c>
      <c r="U12" s="42">
        <f>'CapChrg-AllocExp'!M13</f>
        <v>0</v>
      </c>
      <c r="V12" s="66">
        <f t="shared" si="3"/>
        <v>7944</v>
      </c>
    </row>
    <row r="13" spans="1:23" ht="12" customHeight="1" x14ac:dyDescent="0.25">
      <c r="A13" s="29" t="s">
        <v>133</v>
      </c>
      <c r="B13" s="38"/>
      <c r="C13" s="41">
        <f>GrossMargin!N14</f>
        <v>11447</v>
      </c>
      <c r="D13" s="42">
        <f>Expenses!E13+'CapChrg-AllocExp'!E14+'CapChrg-AllocExp'!L14</f>
        <v>2496</v>
      </c>
      <c r="E13" s="66">
        <f>C13-D13</f>
        <v>8951</v>
      </c>
      <c r="F13" s="42"/>
      <c r="G13" s="41">
        <f>GrossMargin!J14</f>
        <v>10271</v>
      </c>
      <c r="H13" s="42">
        <f>GrossMargin!K14</f>
        <v>0</v>
      </c>
      <c r="I13" s="42">
        <f>GrossMargin!L14</f>
        <v>0</v>
      </c>
      <c r="J13" s="83">
        <f>SUM(G13:I13)</f>
        <v>10271</v>
      </c>
      <c r="K13" s="65"/>
      <c r="L13" s="42">
        <f>'CapChrg-AllocExp'!D14</f>
        <v>0</v>
      </c>
      <c r="M13" s="42">
        <f>Expenses!D13</f>
        <v>1434</v>
      </c>
      <c r="N13" s="43">
        <f>'CapChrg-AllocExp'!K14</f>
        <v>1054</v>
      </c>
      <c r="O13" s="83">
        <f>J13-K13-M13-N13-L13</f>
        <v>7783</v>
      </c>
      <c r="P13" s="44"/>
      <c r="Q13" s="41">
        <f>GrossMargin!O14</f>
        <v>-1176</v>
      </c>
      <c r="R13" s="42"/>
      <c r="S13" s="42">
        <f>'CapChrg-AllocExp'!F14</f>
        <v>0</v>
      </c>
      <c r="T13" s="42">
        <f>Expenses!F13</f>
        <v>8</v>
      </c>
      <c r="U13" s="42">
        <f>'CapChrg-AllocExp'!M14</f>
        <v>0</v>
      </c>
      <c r="V13" s="66">
        <f>ROUND(SUM(Q13:U13),0)</f>
        <v>-1168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>
        <f>Expenses!E14+'CapChrg-AllocExp'!E15+'CapChrg-AllocExp'!L15</f>
        <v>3047</v>
      </c>
      <c r="E14" s="66">
        <f t="shared" si="0"/>
        <v>8509</v>
      </c>
      <c r="F14" s="42"/>
      <c r="G14" s="41">
        <f>GrossMargin!J15</f>
        <v>19056</v>
      </c>
      <c r="H14" s="42">
        <f>GrossMargin!K15</f>
        <v>0</v>
      </c>
      <c r="I14" s="42">
        <f>GrossMargin!L15</f>
        <v>0</v>
      </c>
      <c r="J14" s="83">
        <f>SUM(G14:I14)</f>
        <v>19056</v>
      </c>
      <c r="K14" s="65"/>
      <c r="L14" s="42">
        <f>'CapChrg-AllocExp'!D15</f>
        <v>0</v>
      </c>
      <c r="M14" s="42">
        <f>Expenses!D14</f>
        <v>1147</v>
      </c>
      <c r="N14" s="43">
        <f>'CapChrg-AllocExp'!K15</f>
        <v>1195</v>
      </c>
      <c r="O14" s="83">
        <f t="shared" si="2"/>
        <v>16714</v>
      </c>
      <c r="P14" s="44"/>
      <c r="Q14" s="41">
        <f>GrossMargin!O15</f>
        <v>7500</v>
      </c>
      <c r="R14" s="42"/>
      <c r="S14" s="42">
        <f>'CapChrg-AllocExp'!F15</f>
        <v>0</v>
      </c>
      <c r="T14" s="42">
        <f>Expenses!F14</f>
        <v>705</v>
      </c>
      <c r="U14" s="42">
        <f>'CapChrg-AllocExp'!M15</f>
        <v>0</v>
      </c>
      <c r="V14" s="66">
        <f>ROUND(SUM(Q14:U14),0)</f>
        <v>8205</v>
      </c>
    </row>
    <row r="15" spans="1:23" ht="12" customHeight="1" x14ac:dyDescent="0.25">
      <c r="A15" s="29" t="s">
        <v>275</v>
      </c>
      <c r="B15" s="38"/>
      <c r="C15" s="41">
        <f>GrossMargin!N16</f>
        <v>6535</v>
      </c>
      <c r="D15" s="42">
        <f>Expenses!E15+'CapChrg-AllocExp'!E16+'CapChrg-AllocExp'!L16</f>
        <v>2038</v>
      </c>
      <c r="E15" s="66">
        <f t="shared" si="0"/>
        <v>4497</v>
      </c>
      <c r="F15" s="42"/>
      <c r="G15" s="41">
        <f>GrossMargin!J16</f>
        <v>1195</v>
      </c>
      <c r="H15" s="42">
        <f>GrossMargin!K16</f>
        <v>0</v>
      </c>
      <c r="I15" s="42">
        <f>GrossMargin!L16</f>
        <v>0</v>
      </c>
      <c r="J15" s="83">
        <f t="shared" si="1"/>
        <v>1195</v>
      </c>
      <c r="K15" s="65"/>
      <c r="L15" s="42">
        <f>'CapChrg-AllocExp'!D16</f>
        <v>0</v>
      </c>
      <c r="M15" s="42">
        <f>Expenses!D15</f>
        <v>1224</v>
      </c>
      <c r="N15" s="43">
        <f>'CapChrg-AllocExp'!K16</f>
        <v>1127</v>
      </c>
      <c r="O15" s="83">
        <f t="shared" si="2"/>
        <v>-1156</v>
      </c>
      <c r="P15" s="44"/>
      <c r="Q15" s="41">
        <f>GrossMargin!O16</f>
        <v>-5340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-313</v>
      </c>
      <c r="V15" s="66">
        <f t="shared" si="3"/>
        <v>-5653</v>
      </c>
    </row>
    <row r="16" spans="1:23" ht="12" customHeight="1" x14ac:dyDescent="0.25">
      <c r="A16" s="29" t="s">
        <v>155</v>
      </c>
      <c r="B16" s="38"/>
      <c r="C16" s="41">
        <f>GrossMargin!N17</f>
        <v>3215</v>
      </c>
      <c r="D16" s="42">
        <f>Expenses!E16+'CapChrg-AllocExp'!E17+'CapChrg-AllocExp'!L17</f>
        <v>1661</v>
      </c>
      <c r="E16" s="66">
        <f t="shared" si="0"/>
        <v>1554</v>
      </c>
      <c r="F16" s="42"/>
      <c r="G16" s="41">
        <f>GrossMargin!J17</f>
        <v>2713</v>
      </c>
      <c r="H16" s="42">
        <f>GrossMargin!K17</f>
        <v>0</v>
      </c>
      <c r="I16" s="42">
        <f>GrossMargin!L17</f>
        <v>0</v>
      </c>
      <c r="J16" s="83">
        <f t="shared" si="1"/>
        <v>2713</v>
      </c>
      <c r="K16" s="65"/>
      <c r="L16" s="42">
        <f>'CapChrg-AllocExp'!D17</f>
        <v>0</v>
      </c>
      <c r="M16" s="42">
        <f>Expenses!D16</f>
        <v>892</v>
      </c>
      <c r="N16" s="43">
        <f>'CapChrg-AllocExp'!K17</f>
        <v>919</v>
      </c>
      <c r="O16" s="83">
        <f t="shared" si="2"/>
        <v>902</v>
      </c>
      <c r="P16" s="44"/>
      <c r="Q16" s="41">
        <f>GrossMargin!O17</f>
        <v>-502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-150</v>
      </c>
      <c r="V16" s="66">
        <f t="shared" si="3"/>
        <v>-652</v>
      </c>
    </row>
    <row r="17" spans="1:22" ht="12" customHeight="1" x14ac:dyDescent="0.25">
      <c r="A17" s="29" t="s">
        <v>295</v>
      </c>
      <c r="B17" s="38"/>
      <c r="C17" s="41">
        <f>GrossMargin!N18</f>
        <v>750</v>
      </c>
      <c r="D17" s="42">
        <f>Expenses!E17+'CapChrg-AllocExp'!E18+'CapChrg-AllocExp'!L18</f>
        <v>338</v>
      </c>
      <c r="E17" s="66">
        <f t="shared" si="0"/>
        <v>412</v>
      </c>
      <c r="F17" s="42"/>
      <c r="G17" s="41">
        <f>GrossMargin!J18</f>
        <v>-2523</v>
      </c>
      <c r="H17" s="42">
        <f>GrossMargin!K18</f>
        <v>0</v>
      </c>
      <c r="I17" s="42">
        <f>GrossMargin!L18</f>
        <v>0</v>
      </c>
      <c r="J17" s="83">
        <f t="shared" si="1"/>
        <v>-2523</v>
      </c>
      <c r="K17" s="65"/>
      <c r="L17" s="42">
        <f>'CapChrg-AllocExp'!D18</f>
        <v>0</v>
      </c>
      <c r="M17" s="42">
        <f>Expenses!D17</f>
        <v>104</v>
      </c>
      <c r="N17" s="43">
        <f>'CapChrg-AllocExp'!K18</f>
        <v>234</v>
      </c>
      <c r="O17" s="83">
        <f t="shared" si="2"/>
        <v>-2861</v>
      </c>
      <c r="P17" s="44"/>
      <c r="Q17" s="41">
        <f>GrossMargin!O18</f>
        <v>-3273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6">
        <f t="shared" si="3"/>
        <v>-3273</v>
      </c>
    </row>
    <row r="18" spans="1:22" s="90" customFormat="1" ht="12" customHeight="1" x14ac:dyDescent="0.25">
      <c r="A18" s="94" t="s">
        <v>276</v>
      </c>
      <c r="B18" s="91"/>
      <c r="C18" s="99">
        <f>SUM(C9:C17)</f>
        <v>172208</v>
      </c>
      <c r="D18" s="100">
        <f>SUM(D9:D17)</f>
        <v>57436</v>
      </c>
      <c r="E18" s="101">
        <f>SUM(E9:E17)</f>
        <v>114772</v>
      </c>
      <c r="F18" s="92"/>
      <c r="G18" s="99">
        <f t="shared" ref="G18:N18" si="4">SUM(G9:G17)</f>
        <v>542767</v>
      </c>
      <c r="H18" s="100">
        <f t="shared" si="4"/>
        <v>0</v>
      </c>
      <c r="I18" s="100">
        <f t="shared" si="4"/>
        <v>0</v>
      </c>
      <c r="J18" s="102">
        <f t="shared" si="4"/>
        <v>542767</v>
      </c>
      <c r="K18" s="100">
        <f t="shared" si="4"/>
        <v>9885</v>
      </c>
      <c r="L18" s="100">
        <f t="shared" si="4"/>
        <v>7803</v>
      </c>
      <c r="M18" s="100">
        <f t="shared" si="4"/>
        <v>19230</v>
      </c>
      <c r="N18" s="101">
        <f t="shared" si="4"/>
        <v>25509</v>
      </c>
      <c r="O18" s="102">
        <f t="shared" si="2"/>
        <v>480340</v>
      </c>
      <c r="P18" s="93"/>
      <c r="Q18" s="99">
        <f t="shared" ref="Q18:V18" si="5">SUM(Q9:Q17)</f>
        <v>370559</v>
      </c>
      <c r="R18" s="100">
        <f t="shared" si="5"/>
        <v>-1096</v>
      </c>
      <c r="S18" s="100">
        <f t="shared" si="5"/>
        <v>988</v>
      </c>
      <c r="T18" s="100">
        <f t="shared" si="5"/>
        <v>-4420</v>
      </c>
      <c r="U18" s="100">
        <f t="shared" si="5"/>
        <v>-463</v>
      </c>
      <c r="V18" s="101">
        <f t="shared" si="5"/>
        <v>365568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>
        <f>GrossMargin!N22</f>
        <v>20493</v>
      </c>
      <c r="D20" s="42">
        <f>Expenses!E20+'CapChrg-AllocExp'!E21+'CapChrg-AllocExp'!L21</f>
        <v>8806</v>
      </c>
      <c r="E20" s="66">
        <f t="shared" ref="E20:E30" si="6">C20-D20</f>
        <v>11687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>
        <f>'CapChrg-AllocExp'!D21</f>
        <v>0</v>
      </c>
      <c r="M20" s="42">
        <f>Expenses!D20</f>
        <v>8510</v>
      </c>
      <c r="N20" s="43">
        <f>'CapChrg-AllocExp'!K21</f>
        <v>3837</v>
      </c>
      <c r="O20" s="83">
        <f t="shared" ref="O20:O31" si="8">J20-K20-M20-N20-L20</f>
        <v>-12347</v>
      </c>
      <c r="P20" s="44"/>
      <c r="Q20" s="41">
        <f>GrossMargin!O22</f>
        <v>-20493</v>
      </c>
      <c r="R20" s="42"/>
      <c r="S20" s="42">
        <f>'CapChrg-AllocExp'!F21</f>
        <v>0</v>
      </c>
      <c r="T20" s="42">
        <f>Expenses!F20</f>
        <v>-3541</v>
      </c>
      <c r="U20" s="42">
        <f>'CapChrg-AllocExp'!M21</f>
        <v>0</v>
      </c>
      <c r="V20" s="66">
        <f t="shared" ref="V20:V30" si="9">ROUND(SUM(Q20:U20),0)</f>
        <v>-24034</v>
      </c>
    </row>
    <row r="21" spans="1:22" ht="12" customHeight="1" x14ac:dyDescent="0.25">
      <c r="A21" s="29" t="s">
        <v>89</v>
      </c>
      <c r="B21" s="38"/>
      <c r="C21" s="41">
        <f>GrossMargin!N23</f>
        <v>13235</v>
      </c>
      <c r="D21" s="42">
        <f>Expenses!E21+'CapChrg-AllocExp'!E22+'CapChrg-AllocExp'!L22</f>
        <v>7266</v>
      </c>
      <c r="E21" s="66">
        <f t="shared" si="6"/>
        <v>5969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>
        <f>Expenses!D21</f>
        <v>5215</v>
      </c>
      <c r="N21" s="43">
        <f>'CapChrg-AllocExp'!K22</f>
        <v>2304</v>
      </c>
      <c r="O21" s="83">
        <f t="shared" si="8"/>
        <v>-7951</v>
      </c>
      <c r="P21" s="44"/>
      <c r="Q21" s="41">
        <f>GrossMargin!O23</f>
        <v>-12729</v>
      </c>
      <c r="R21" s="42"/>
      <c r="S21" s="42">
        <f>'CapChrg-AllocExp'!F22</f>
        <v>-650</v>
      </c>
      <c r="T21" s="42">
        <f>Expenses!F21</f>
        <v>-541</v>
      </c>
      <c r="U21" s="42">
        <f>'CapChrg-AllocExp'!M22</f>
        <v>0</v>
      </c>
      <c r="V21" s="66">
        <f t="shared" si="9"/>
        <v>-13920</v>
      </c>
    </row>
    <row r="22" spans="1:22" ht="12" customHeight="1" x14ac:dyDescent="0.25">
      <c r="A22" s="29" t="s">
        <v>233</v>
      </c>
      <c r="B22" s="38"/>
      <c r="C22" s="41">
        <f>GrossMargin!N24</f>
        <v>22861</v>
      </c>
      <c r="D22" s="42">
        <f>Expenses!E22+'CapChrg-AllocExp'!E23+'CapChrg-AllocExp'!L23</f>
        <v>8909</v>
      </c>
      <c r="E22" s="66">
        <f t="shared" si="6"/>
        <v>13952</v>
      </c>
      <c r="F22" s="42"/>
      <c r="G22" s="41">
        <f>GrossMargin!J24</f>
        <v>3251</v>
      </c>
      <c r="H22" s="42">
        <f>GrossMargin!K24</f>
        <v>0</v>
      </c>
      <c r="I22" s="42">
        <f>GrossMargin!L24</f>
        <v>0</v>
      </c>
      <c r="J22" s="83">
        <f t="shared" si="7"/>
        <v>3251</v>
      </c>
      <c r="K22" s="65"/>
      <c r="L22" s="42">
        <f>'CapChrg-AllocExp'!D23</f>
        <v>109</v>
      </c>
      <c r="M22" s="42">
        <f>Expenses!D22</f>
        <v>5360</v>
      </c>
      <c r="N22" s="43">
        <f>'CapChrg-AllocExp'!K23</f>
        <v>2620</v>
      </c>
      <c r="O22" s="83">
        <f t="shared" si="8"/>
        <v>-4838</v>
      </c>
      <c r="P22" s="44"/>
      <c r="Q22" s="41">
        <f>GrossMargin!O24</f>
        <v>-19610</v>
      </c>
      <c r="R22" s="42"/>
      <c r="S22" s="42">
        <f>'CapChrg-AllocExp'!F23</f>
        <v>977</v>
      </c>
      <c r="T22" s="42">
        <f>Expenses!F22</f>
        <v>0</v>
      </c>
      <c r="U22" s="42">
        <f>'CapChrg-AllocExp'!M23</f>
        <v>-157</v>
      </c>
      <c r="V22" s="66">
        <f t="shared" si="9"/>
        <v>-18790</v>
      </c>
    </row>
    <row r="23" spans="1:22" ht="12" customHeight="1" x14ac:dyDescent="0.25">
      <c r="A23" s="29" t="s">
        <v>67</v>
      </c>
      <c r="B23" s="38"/>
      <c r="C23" s="41">
        <f>GrossMargin!N25</f>
        <v>18711</v>
      </c>
      <c r="D23" s="42">
        <f>Expenses!E23+'CapChrg-AllocExp'!E24+'CapChrg-AllocExp'!L24</f>
        <v>8248</v>
      </c>
      <c r="E23" s="66">
        <f>C23-D23</f>
        <v>10463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2262</v>
      </c>
      <c r="N23" s="43">
        <f>'CapChrg-AllocExp'!K24</f>
        <v>660</v>
      </c>
      <c r="O23" s="83">
        <f t="shared" si="8"/>
        <v>7171</v>
      </c>
      <c r="P23" s="44"/>
      <c r="Q23" s="41">
        <f>GrossMargin!O25</f>
        <v>-2561</v>
      </c>
      <c r="R23" s="42"/>
      <c r="S23" s="42">
        <f>'CapChrg-AllocExp'!F24</f>
        <v>237</v>
      </c>
      <c r="T23" s="42">
        <f>Expenses!F23</f>
        <v>-968</v>
      </c>
      <c r="U23" s="42">
        <f>'CapChrg-AllocExp'!M24</f>
        <v>0</v>
      </c>
      <c r="V23" s="66">
        <f>ROUND(SUM(Q23:U23),0)</f>
        <v>-3292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223</v>
      </c>
      <c r="H24" s="42">
        <f>GrossMargin!K26</f>
        <v>0</v>
      </c>
      <c r="I24" s="42">
        <f>GrossMargin!L26</f>
        <v>0</v>
      </c>
      <c r="J24" s="83">
        <f>SUM(G24:I24)</f>
        <v>223</v>
      </c>
      <c r="K24" s="65"/>
      <c r="L24" s="42">
        <f>'CapChrg-AllocExp'!D25</f>
        <v>640</v>
      </c>
      <c r="M24" s="42">
        <f>Expenses!D24</f>
        <v>1224</v>
      </c>
      <c r="N24" s="43">
        <f>'CapChrg-AllocExp'!K25</f>
        <v>1127</v>
      </c>
      <c r="O24" s="83">
        <f t="shared" si="8"/>
        <v>-2768</v>
      </c>
      <c r="P24" s="44"/>
      <c r="Q24" s="41">
        <f>GrossMargin!O26</f>
        <v>-5989</v>
      </c>
      <c r="R24" s="42"/>
      <c r="S24" s="42">
        <f>'CapChrg-AllocExp'!F25</f>
        <v>77</v>
      </c>
      <c r="T24" s="42">
        <f>Expenses!F24</f>
        <v>0</v>
      </c>
      <c r="U24" s="42">
        <f>'CapChrg-AllocExp'!M25</f>
        <v>-313</v>
      </c>
      <c r="V24" s="66">
        <f>ROUND(SUM(Q24:U24),0)</f>
        <v>-6225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>
        <f>Expenses!E25+'CapChrg-AllocExp'!E26+'CapChrg-AllocExp'!L26</f>
        <v>1900</v>
      </c>
      <c r="E25" s="66">
        <f t="shared" si="6"/>
        <v>9656</v>
      </c>
      <c r="F25" s="42"/>
      <c r="G25" s="41">
        <f>GrossMargin!J27</f>
        <v>8711</v>
      </c>
      <c r="H25" s="42">
        <f>GrossMargin!K27</f>
        <v>0</v>
      </c>
      <c r="I25" s="42">
        <f>GrossMargin!L27</f>
        <v>0</v>
      </c>
      <c r="J25" s="83">
        <f t="shared" si="7"/>
        <v>8711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6859</v>
      </c>
      <c r="P25" s="44"/>
      <c r="Q25" s="41">
        <f>GrossMargin!O27</f>
        <v>-2845</v>
      </c>
      <c r="R25" s="42"/>
      <c r="S25" s="42">
        <f>'CapChrg-AllocExp'!F26</f>
        <v>217</v>
      </c>
      <c r="T25" s="42">
        <f>Expenses!F25</f>
        <v>-169</v>
      </c>
      <c r="U25" s="42">
        <f>'CapChrg-AllocExp'!M26</f>
        <v>0</v>
      </c>
      <c r="V25" s="66">
        <f t="shared" si="9"/>
        <v>-2797</v>
      </c>
    </row>
    <row r="26" spans="1:22" ht="12" customHeight="1" x14ac:dyDescent="0.25">
      <c r="A26" s="29" t="s">
        <v>311</v>
      </c>
      <c r="B26" s="38"/>
      <c r="C26" s="41">
        <f>GrossMargin!N28</f>
        <v>18423</v>
      </c>
      <c r="D26" s="42">
        <f>Expenses!E26+'CapChrg-AllocExp'!E27+'CapChrg-AllocExp'!L27+Expenses!E60</f>
        <v>9886.5</v>
      </c>
      <c r="E26" s="66">
        <f>C26-D26</f>
        <v>8536.5</v>
      </c>
      <c r="F26" s="42"/>
      <c r="G26" s="41">
        <f>GrossMargin!J28</f>
        <v>11870</v>
      </c>
      <c r="H26" s="42">
        <f>GrossMargin!K28</f>
        <v>0</v>
      </c>
      <c r="I26" s="42">
        <f>GrossMargin!L28</f>
        <v>0</v>
      </c>
      <c r="J26" s="83">
        <f>SUM(G26:I26)</f>
        <v>11870</v>
      </c>
      <c r="K26" s="65">
        <f>Expenses!D60</f>
        <v>5655</v>
      </c>
      <c r="L26" s="42">
        <f>'CapChrg-AllocExp'!D27</f>
        <v>1006</v>
      </c>
      <c r="M26" s="42">
        <f>Expenses!D26</f>
        <v>3746</v>
      </c>
      <c r="N26" s="43">
        <f>'CapChrg-AllocExp'!K27</f>
        <v>3481.5</v>
      </c>
      <c r="O26" s="83">
        <f t="shared" si="8"/>
        <v>-2018.5</v>
      </c>
      <c r="P26" s="44"/>
      <c r="Q26" s="41">
        <f>GrossMargin!O28</f>
        <v>-6553</v>
      </c>
      <c r="R26" s="42">
        <f>Expenses!F60</f>
        <v>-2583</v>
      </c>
      <c r="S26" s="42">
        <f>'CapChrg-AllocExp'!F27</f>
        <v>-539</v>
      </c>
      <c r="T26" s="42">
        <f>Expenses!F26</f>
        <v>-880</v>
      </c>
      <c r="U26" s="42">
        <f>'CapChrg-AllocExp'!M27</f>
        <v>0</v>
      </c>
      <c r="V26" s="66">
        <f>ROUND(SUM(Q26:U26),0)</f>
        <v>-10555</v>
      </c>
    </row>
    <row r="27" spans="1:22" ht="12" customHeight="1" x14ac:dyDescent="0.25">
      <c r="A27" s="29" t="s">
        <v>291</v>
      </c>
      <c r="B27" s="38"/>
      <c r="C27" s="41">
        <f>GrossMargin!N29</f>
        <v>10746</v>
      </c>
      <c r="D27" s="42">
        <f>Expenses!E27+'CapChrg-AllocExp'!E28+'CapChrg-AllocExp'!L28+Expenses!E59</f>
        <v>47106.5</v>
      </c>
      <c r="E27" s="66">
        <f>C27-D27</f>
        <v>-36360.5</v>
      </c>
      <c r="F27" s="42"/>
      <c r="G27" s="41">
        <f>GrossMargin!J29</f>
        <v>14511</v>
      </c>
      <c r="H27" s="42">
        <f>GrossMargin!K29</f>
        <v>0</v>
      </c>
      <c r="I27" s="42">
        <f>GrossMargin!L29</f>
        <v>0</v>
      </c>
      <c r="J27" s="83">
        <f>SUM(G27:I27)</f>
        <v>14511</v>
      </c>
      <c r="K27" s="65">
        <f>Expenses!D59</f>
        <v>34093</v>
      </c>
      <c r="L27" s="42">
        <f>'CapChrg-AllocExp'!D28</f>
        <v>7707</v>
      </c>
      <c r="M27" s="42">
        <f>Expenses!D27</f>
        <v>2902</v>
      </c>
      <c r="N27" s="43">
        <f>'CapChrg-AllocExp'!K28</f>
        <v>3481.5</v>
      </c>
      <c r="O27" s="83">
        <f t="shared" si="8"/>
        <v>-33672.5</v>
      </c>
      <c r="P27" s="44"/>
      <c r="Q27" s="41">
        <f>GrossMargin!O29</f>
        <v>3765</v>
      </c>
      <c r="R27" s="42">
        <f>Expenses!F59</f>
        <v>-167</v>
      </c>
      <c r="S27" s="42">
        <f>'CapChrg-AllocExp'!F28</f>
        <v>-603</v>
      </c>
      <c r="T27" s="42">
        <f>Expenses!F27</f>
        <v>-307</v>
      </c>
      <c r="U27" s="42">
        <f>'CapChrg-AllocExp'!M28</f>
        <v>0</v>
      </c>
      <c r="V27" s="66">
        <f>ROUND(SUM(Q27:U27),0)</f>
        <v>2688</v>
      </c>
    </row>
    <row r="28" spans="1:22" ht="12" customHeight="1" x14ac:dyDescent="0.25">
      <c r="A28" s="29" t="s">
        <v>292</v>
      </c>
      <c r="B28" s="38"/>
      <c r="C28" s="41">
        <f>GrossMargin!N30</f>
        <v>1690</v>
      </c>
      <c r="D28" s="42">
        <f>Expenses!E28+'CapChrg-AllocExp'!E29+'CapChrg-AllocExp'!L29</f>
        <v>3590</v>
      </c>
      <c r="E28" s="66">
        <f>C28-D28</f>
        <v>-1900</v>
      </c>
      <c r="F28" s="42"/>
      <c r="G28" s="41">
        <f>GrossMargin!J30</f>
        <v>-816</v>
      </c>
      <c r="H28" s="42">
        <f>GrossMargin!K30</f>
        <v>0</v>
      </c>
      <c r="I28" s="42">
        <f>GrossMargin!L30</f>
        <v>0</v>
      </c>
      <c r="J28" s="83">
        <f>SUM(G28:I28)</f>
        <v>-816</v>
      </c>
      <c r="K28" s="65"/>
      <c r="L28" s="42">
        <f>'CapChrg-AllocExp'!D29</f>
        <v>3295</v>
      </c>
      <c r="M28" s="42">
        <f>Expenses!D28</f>
        <v>65</v>
      </c>
      <c r="N28" s="43">
        <f>'CapChrg-AllocExp'!K29</f>
        <v>0</v>
      </c>
      <c r="O28" s="83">
        <f t="shared" si="8"/>
        <v>-4176</v>
      </c>
      <c r="P28" s="44"/>
      <c r="Q28" s="41">
        <f>GrossMargin!O30</f>
        <v>-2506</v>
      </c>
      <c r="R28" s="42"/>
      <c r="S28" s="42">
        <f>'CapChrg-AllocExp'!F29</f>
        <v>199</v>
      </c>
      <c r="T28" s="42">
        <f>Expenses!F28</f>
        <v>31</v>
      </c>
      <c r="U28" s="42">
        <f>'CapChrg-AllocExp'!M29</f>
        <v>0</v>
      </c>
      <c r="V28" s="66">
        <f>ROUND(SUM(Q28:U28),0)</f>
        <v>-2276</v>
      </c>
    </row>
    <row r="29" spans="1:22" ht="12" customHeight="1" x14ac:dyDescent="0.25">
      <c r="A29" s="29" t="s">
        <v>156</v>
      </c>
      <c r="B29" s="38"/>
      <c r="C29" s="41">
        <f>GrossMargin!N31</f>
        <v>7712</v>
      </c>
      <c r="D29" s="42">
        <f>Expenses!E29+'CapChrg-AllocExp'!E30+'CapChrg-AllocExp'!L30</f>
        <v>1334</v>
      </c>
      <c r="E29" s="66">
        <f>C29-D29</f>
        <v>6378</v>
      </c>
      <c r="F29" s="42"/>
      <c r="G29" s="41">
        <f>GrossMargin!J31</f>
        <v>653</v>
      </c>
      <c r="H29" s="42">
        <f>GrossMargin!K31</f>
        <v>0</v>
      </c>
      <c r="I29" s="42">
        <f>GrossMargin!L31</f>
        <v>0</v>
      </c>
      <c r="J29" s="83">
        <f>SUM(G29:I29)</f>
        <v>653</v>
      </c>
      <c r="K29" s="65"/>
      <c r="L29" s="42">
        <f>'CapChrg-AllocExp'!D30</f>
        <v>-655</v>
      </c>
      <c r="M29" s="42">
        <f>Expenses!D29</f>
        <v>1364</v>
      </c>
      <c r="N29" s="43">
        <f>'CapChrg-AllocExp'!K30</f>
        <v>418</v>
      </c>
      <c r="O29" s="83">
        <f t="shared" si="8"/>
        <v>-474</v>
      </c>
      <c r="P29" s="44"/>
      <c r="Q29" s="41">
        <f>GrossMargin!O31</f>
        <v>-7059</v>
      </c>
      <c r="R29" s="42"/>
      <c r="S29" s="42">
        <f>'CapChrg-AllocExp'!F30</f>
        <v>655</v>
      </c>
      <c r="T29" s="42">
        <f>Expenses!F29</f>
        <v>-66</v>
      </c>
      <c r="U29" s="42">
        <f>'CapChrg-AllocExp'!M30</f>
        <v>-382</v>
      </c>
      <c r="V29" s="66">
        <f>ROUND(SUM(Q29:U29),0)</f>
        <v>-6852</v>
      </c>
    </row>
    <row r="30" spans="1:22" ht="12" customHeight="1" x14ac:dyDescent="0.25">
      <c r="A30" s="29" t="s">
        <v>0</v>
      </c>
      <c r="B30" s="38"/>
      <c r="C30" s="41">
        <f>GrossMargin!N32</f>
        <v>4656</v>
      </c>
      <c r="D30" s="42">
        <f>Expenses!E30+'CapChrg-AllocExp'!E31+'CapChrg-AllocExp'!L31</f>
        <v>2626</v>
      </c>
      <c r="E30" s="66">
        <f t="shared" si="6"/>
        <v>2030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>
        <f>'CapChrg-AllocExp'!D31</f>
        <v>0</v>
      </c>
      <c r="M30" s="42">
        <f>Expenses!D30</f>
        <v>1616</v>
      </c>
      <c r="N30" s="43">
        <f>'CapChrg-AllocExp'!K31</f>
        <v>621</v>
      </c>
      <c r="O30" s="83">
        <f t="shared" si="8"/>
        <v>-2235</v>
      </c>
      <c r="P30" s="44"/>
      <c r="Q30" s="41">
        <f>GrossMargin!O32</f>
        <v>-4654</v>
      </c>
      <c r="R30" s="42"/>
      <c r="S30" s="42">
        <f>'CapChrg-AllocExp'!F31</f>
        <v>0</v>
      </c>
      <c r="T30" s="42">
        <f>Expenses!F30</f>
        <v>389</v>
      </c>
      <c r="U30" s="42">
        <f>'CapChrg-AllocExp'!M31</f>
        <v>0</v>
      </c>
      <c r="V30" s="66">
        <f t="shared" si="9"/>
        <v>-4265</v>
      </c>
    </row>
    <row r="31" spans="1:22" s="90" customFormat="1" ht="12" customHeight="1" x14ac:dyDescent="0.25">
      <c r="A31" s="94" t="s">
        <v>1</v>
      </c>
      <c r="B31" s="91"/>
      <c r="C31" s="99">
        <f t="shared" ref="C31:N31" si="10">SUM(C20:C30)</f>
        <v>136295</v>
      </c>
      <c r="D31" s="100">
        <f t="shared" si="10"/>
        <v>102427</v>
      </c>
      <c r="E31" s="101">
        <f t="shared" si="10"/>
        <v>33868</v>
      </c>
      <c r="F31" s="92">
        <f t="shared" si="10"/>
        <v>0</v>
      </c>
      <c r="G31" s="99">
        <f t="shared" si="10"/>
        <v>55061</v>
      </c>
      <c r="H31" s="100">
        <f t="shared" si="10"/>
        <v>0</v>
      </c>
      <c r="I31" s="100">
        <f t="shared" si="10"/>
        <v>0</v>
      </c>
      <c r="J31" s="102">
        <f t="shared" si="10"/>
        <v>55061</v>
      </c>
      <c r="K31" s="100">
        <f t="shared" si="10"/>
        <v>39748</v>
      </c>
      <c r="L31" s="100">
        <f t="shared" si="10"/>
        <v>19256</v>
      </c>
      <c r="M31" s="100">
        <f t="shared" si="10"/>
        <v>32762</v>
      </c>
      <c r="N31" s="101">
        <f t="shared" si="10"/>
        <v>19745</v>
      </c>
      <c r="O31" s="102">
        <f t="shared" si="8"/>
        <v>-56450</v>
      </c>
      <c r="P31" s="93"/>
      <c r="Q31" s="99">
        <f t="shared" ref="Q31:V31" si="11">SUM(Q20:Q30)</f>
        <v>-81234</v>
      </c>
      <c r="R31" s="100">
        <f t="shared" si="11"/>
        <v>-2750</v>
      </c>
      <c r="S31" s="100">
        <f t="shared" si="11"/>
        <v>570</v>
      </c>
      <c r="T31" s="100">
        <f t="shared" si="11"/>
        <v>-6052</v>
      </c>
      <c r="U31" s="100">
        <f t="shared" si="11"/>
        <v>-852</v>
      </c>
      <c r="V31" s="101">
        <f t="shared" si="11"/>
        <v>-90318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5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5">
      <c r="A34" s="29" t="s">
        <v>9</v>
      </c>
      <c r="B34" s="38"/>
      <c r="C34" s="41">
        <f>GrossMargin!N37</f>
        <v>15385</v>
      </c>
      <c r="D34" s="42">
        <f>Expenses!E34+'CapChrg-AllocExp'!E35+'CapChrg-AllocExp'!L35</f>
        <v>3691</v>
      </c>
      <c r="E34" s="66">
        <f>C34-D34</f>
        <v>11694</v>
      </c>
      <c r="F34" s="42"/>
      <c r="G34" s="41">
        <f>GrossMargin!J37</f>
        <v>-28212</v>
      </c>
      <c r="H34" s="42">
        <f>GrossMargin!K37</f>
        <v>0</v>
      </c>
      <c r="I34" s="42">
        <f>GrossMargin!L37</f>
        <v>0</v>
      </c>
      <c r="J34" s="83">
        <f>SUM(G34:I34)</f>
        <v>-28212</v>
      </c>
      <c r="K34" s="65"/>
      <c r="L34" s="42">
        <f>'CapChrg-AllocExp'!D35</f>
        <v>655</v>
      </c>
      <c r="M34" s="42">
        <f>Expenses!D34</f>
        <v>635</v>
      </c>
      <c r="N34" s="43">
        <f>'CapChrg-AllocExp'!K35</f>
        <v>914</v>
      </c>
      <c r="O34" s="83">
        <f>J34-K34-M34-N34-L34</f>
        <v>-30416</v>
      </c>
      <c r="P34" s="44"/>
      <c r="Q34" s="41">
        <f>GrossMargin!O37</f>
        <v>-43597</v>
      </c>
      <c r="R34" s="42"/>
      <c r="S34" s="42">
        <f>'CapChrg-AllocExp'!F35</f>
        <v>1387</v>
      </c>
      <c r="T34" s="42">
        <f>Expenses!F34</f>
        <v>100</v>
      </c>
      <c r="U34" s="42">
        <f>'CapChrg-AllocExp'!M35</f>
        <v>0</v>
      </c>
      <c r="V34" s="66">
        <f>ROUND(SUM(Q34:U34),0)</f>
        <v>-42110</v>
      </c>
    </row>
    <row r="35" spans="1:22" ht="12" customHeight="1" x14ac:dyDescent="0.25">
      <c r="A35" s="29" t="s">
        <v>267</v>
      </c>
      <c r="B35" s="38"/>
      <c r="C35" s="41">
        <f>GrossMargin!N38</f>
        <v>2000</v>
      </c>
      <c r="D35" s="42">
        <f>Expenses!E35+'CapChrg-AllocExp'!E36+'CapChrg-AllocExp'!L36</f>
        <v>7158</v>
      </c>
      <c r="E35" s="66">
        <f>C35-D35</f>
        <v>-5158</v>
      </c>
      <c r="F35" s="42"/>
      <c r="G35" s="41">
        <f>GrossMargin!J38</f>
        <v>2325</v>
      </c>
      <c r="H35" s="42">
        <f>GrossMargin!K38</f>
        <v>0</v>
      </c>
      <c r="I35" s="42">
        <f>GrossMargin!L38</f>
        <v>0</v>
      </c>
      <c r="J35" s="83">
        <f>SUM(G35:I35)</f>
        <v>2325</v>
      </c>
      <c r="K35" s="65"/>
      <c r="L35" s="42">
        <f>'CapChrg-AllocExp'!D36</f>
        <v>2462</v>
      </c>
      <c r="M35" s="42">
        <f>Expenses!D35</f>
        <v>1433</v>
      </c>
      <c r="N35" s="43">
        <f>'CapChrg-AllocExp'!K36</f>
        <v>1614</v>
      </c>
      <c r="O35" s="83">
        <f>J35-K35-M35-N35-L35</f>
        <v>-3184</v>
      </c>
      <c r="P35" s="44"/>
      <c r="Q35" s="41">
        <f>GrossMargin!O38</f>
        <v>325</v>
      </c>
      <c r="R35" s="42"/>
      <c r="S35" s="42">
        <f>'CapChrg-AllocExp'!F36</f>
        <v>1775</v>
      </c>
      <c r="T35" s="42">
        <f>Expenses!F35</f>
        <v>-126</v>
      </c>
      <c r="U35" s="42">
        <f>'CapChrg-AllocExp'!M36</f>
        <v>0</v>
      </c>
      <c r="V35" s="66">
        <f>ROUND(SUM(Q35:U35),0)</f>
        <v>1974</v>
      </c>
    </row>
    <row r="36" spans="1:22" ht="12" customHeight="1" x14ac:dyDescent="0.25">
      <c r="A36" s="29" t="s">
        <v>154</v>
      </c>
      <c r="B36" s="38"/>
      <c r="C36" s="41">
        <f>GrossMargin!N41</f>
        <v>14705</v>
      </c>
      <c r="D36" s="42">
        <f>Expenses!E38+'CapChrg-AllocExp'!E39+'CapChrg-AllocExp'!L39</f>
        <v>10399</v>
      </c>
      <c r="E36" s="66">
        <f>C36-D36</f>
        <v>4306</v>
      </c>
      <c r="F36" s="42"/>
      <c r="G36" s="41">
        <f>GrossMargin!J41</f>
        <v>-4750</v>
      </c>
      <c r="H36" s="42">
        <f>GrossMargin!K41</f>
        <v>0</v>
      </c>
      <c r="I36" s="42">
        <f>GrossMargin!L41</f>
        <v>0</v>
      </c>
      <c r="J36" s="83">
        <f>SUM(G36:I36)</f>
        <v>-4750</v>
      </c>
      <c r="K36" s="65"/>
      <c r="L36" s="42">
        <f>'CapChrg-AllocExp'!D39</f>
        <v>9088</v>
      </c>
      <c r="M36" s="42">
        <f>Expenses!D38</f>
        <v>402</v>
      </c>
      <c r="N36" s="43">
        <f>'CapChrg-AllocExp'!K39</f>
        <v>1516</v>
      </c>
      <c r="O36" s="83">
        <f>J36-K36-M36-N36-L36</f>
        <v>-15756</v>
      </c>
      <c r="P36" s="44"/>
      <c r="Q36" s="41">
        <f>GrossMargin!O41</f>
        <v>-19455</v>
      </c>
      <c r="R36" s="42"/>
      <c r="S36" s="42">
        <f>'CapChrg-AllocExp'!F39</f>
        <v>-1044</v>
      </c>
      <c r="T36" s="42">
        <f>Expenses!F38</f>
        <v>437</v>
      </c>
      <c r="U36" s="42">
        <f>'CapChrg-AllocExp'!M39</f>
        <v>0</v>
      </c>
      <c r="V36" s="66">
        <f>ROUND(SUM(Q36:U36),0)</f>
        <v>-20062</v>
      </c>
    </row>
    <row r="37" spans="1:22" s="90" customFormat="1" ht="12" customHeight="1" x14ac:dyDescent="0.25">
      <c r="A37" s="94" t="s">
        <v>87</v>
      </c>
      <c r="B37" s="91"/>
      <c r="C37" s="99">
        <f>SUM(C34:C36)</f>
        <v>32090</v>
      </c>
      <c r="D37" s="100">
        <f>SUM(D34:D36)</f>
        <v>21248</v>
      </c>
      <c r="E37" s="101">
        <f>SUM(E34:E36)</f>
        <v>10842</v>
      </c>
      <c r="F37" s="92"/>
      <c r="G37" s="99">
        <f t="shared" ref="G37:N37" si="12">SUM(G34:G36)</f>
        <v>-30637</v>
      </c>
      <c r="H37" s="100">
        <f t="shared" si="12"/>
        <v>0</v>
      </c>
      <c r="I37" s="100">
        <f t="shared" si="12"/>
        <v>0</v>
      </c>
      <c r="J37" s="102">
        <f t="shared" si="12"/>
        <v>-30637</v>
      </c>
      <c r="K37" s="100">
        <f t="shared" si="12"/>
        <v>0</v>
      </c>
      <c r="L37" s="100">
        <f t="shared" si="12"/>
        <v>12205</v>
      </c>
      <c r="M37" s="100">
        <f t="shared" si="12"/>
        <v>2470</v>
      </c>
      <c r="N37" s="101">
        <f t="shared" si="12"/>
        <v>4044</v>
      </c>
      <c r="O37" s="102">
        <f>J37-K37-M37-N37-L37</f>
        <v>-49356</v>
      </c>
      <c r="P37" s="93"/>
      <c r="Q37" s="99">
        <f t="shared" ref="Q37:V37" si="13">SUM(Q34:Q36)</f>
        <v>-62727</v>
      </c>
      <c r="R37" s="100">
        <f t="shared" si="13"/>
        <v>0</v>
      </c>
      <c r="S37" s="100">
        <f t="shared" si="13"/>
        <v>2118</v>
      </c>
      <c r="T37" s="100">
        <f t="shared" si="13"/>
        <v>411</v>
      </c>
      <c r="U37" s="100">
        <f t="shared" si="13"/>
        <v>0</v>
      </c>
      <c r="V37" s="101">
        <f t="shared" si="13"/>
        <v>-60198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8</v>
      </c>
      <c r="B39" s="38"/>
      <c r="C39" s="41">
        <f>GrossMargin!N45</f>
        <v>2500</v>
      </c>
      <c r="D39" s="42">
        <f>Expenses!E41+'CapChrg-AllocExp'!E42+'CapChrg-AllocExp'!L42</f>
        <v>7686</v>
      </c>
      <c r="E39" s="66">
        <f>C39-D39</f>
        <v>-5186</v>
      </c>
      <c r="F39" s="42"/>
      <c r="G39" s="41">
        <f>GrossMargin!J45</f>
        <v>0</v>
      </c>
      <c r="H39" s="42">
        <f>GrossMargin!K45</f>
        <v>0</v>
      </c>
      <c r="I39" s="42">
        <f>GrossMargin!L45</f>
        <v>0</v>
      </c>
      <c r="J39" s="83">
        <f>SUM(G39:I39)</f>
        <v>0</v>
      </c>
      <c r="K39" s="65"/>
      <c r="L39" s="42">
        <f>'CapChrg-AllocExp'!D42</f>
        <v>0</v>
      </c>
      <c r="M39" s="42">
        <f>Expenses!D41</f>
        <v>6035</v>
      </c>
      <c r="N39" s="43">
        <f>'CapChrg-AllocExp'!K42</f>
        <v>3069</v>
      </c>
      <c r="O39" s="83">
        <f>J39-K39-M39-N39-L39</f>
        <v>-9104</v>
      </c>
      <c r="P39" s="44"/>
      <c r="Q39" s="41">
        <f>GrossMargin!O45</f>
        <v>-2500</v>
      </c>
      <c r="R39" s="42"/>
      <c r="S39" s="42">
        <f>'CapChrg-AllocExp'!F42</f>
        <v>0</v>
      </c>
      <c r="T39" s="42">
        <f>Expenses!F41</f>
        <v>-1418</v>
      </c>
      <c r="U39" s="42">
        <f>'CapChrg-AllocExp'!M42</f>
        <v>0</v>
      </c>
      <c r="V39" s="66">
        <f>ROUND(SUM(Q39:U39),0)</f>
        <v>-3918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GrossMargin!N47</f>
        <v>0</v>
      </c>
      <c r="D43" s="42">
        <f>Expenses!E43+'CapChrg-AllocExp'!E44+'CapChrg-AllocExp'!L44</f>
        <v>7099</v>
      </c>
      <c r="E43" s="66">
        <f>C43-D43</f>
        <v>-7099</v>
      </c>
      <c r="F43" s="42"/>
      <c r="G43" s="41">
        <f>GrossMargin!J47</f>
        <v>-19101</v>
      </c>
      <c r="H43" s="42">
        <f>GrossMargin!K47</f>
        <v>0</v>
      </c>
      <c r="I43" s="42">
        <f>GrossMargin!L47</f>
        <v>0</v>
      </c>
      <c r="J43" s="83">
        <f>SUM(G43:I43)</f>
        <v>-19101</v>
      </c>
      <c r="K43" s="65"/>
      <c r="L43" s="42">
        <f>'CapChrg-AllocExp'!D44</f>
        <v>0</v>
      </c>
      <c r="M43" s="42">
        <f>Expenses!D43</f>
        <v>3230</v>
      </c>
      <c r="N43" s="43">
        <f>'CapChrg-AllocExp'!K44</f>
        <v>4286</v>
      </c>
      <c r="O43" s="83">
        <f>J43-K43-M43-N43-L43</f>
        <v>-26617</v>
      </c>
      <c r="P43" s="44"/>
      <c r="Q43" s="41">
        <f>GrossMargin!O47</f>
        <v>-19101</v>
      </c>
      <c r="R43" s="42"/>
      <c r="S43" s="42">
        <f>'CapChrg-AllocExp'!F44</f>
        <v>0</v>
      </c>
      <c r="T43" s="42">
        <f>Expenses!F43</f>
        <v>-800</v>
      </c>
      <c r="U43" s="42">
        <f>'CapChrg-AllocExp'!M44</f>
        <v>383</v>
      </c>
      <c r="V43" s="66">
        <f>ROUND(SUM(Q43:U43),0)</f>
        <v>-19518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>
        <f>SUM(C37:C43)+C18+C31</f>
        <v>395309</v>
      </c>
      <c r="D45" s="100">
        <f>SUM(D37:D43)+D18+D31</f>
        <v>195896</v>
      </c>
      <c r="E45" s="101">
        <f>SUM(E37:E43)+E18+E31</f>
        <v>199413</v>
      </c>
      <c r="F45" s="92"/>
      <c r="G45" s="99">
        <f t="shared" ref="G45:N45" si="14">SUM(G37:G43)+G18+G31</f>
        <v>548090</v>
      </c>
      <c r="H45" s="100">
        <f t="shared" si="14"/>
        <v>0</v>
      </c>
      <c r="I45" s="100">
        <f t="shared" si="14"/>
        <v>0</v>
      </c>
      <c r="J45" s="102">
        <f t="shared" si="14"/>
        <v>548090</v>
      </c>
      <c r="K45" s="100">
        <f t="shared" si="14"/>
        <v>49633</v>
      </c>
      <c r="L45" s="100">
        <f t="shared" si="14"/>
        <v>39264</v>
      </c>
      <c r="M45" s="100">
        <f t="shared" si="14"/>
        <v>63727</v>
      </c>
      <c r="N45" s="101">
        <f t="shared" si="14"/>
        <v>56653</v>
      </c>
      <c r="O45" s="102">
        <f>J45-K45-M45-N45-L45</f>
        <v>338813</v>
      </c>
      <c r="P45" s="93"/>
      <c r="Q45" s="99">
        <f t="shared" ref="Q45:V45" si="15">SUM(Q37:Q43)+Q18+Q31</f>
        <v>152781</v>
      </c>
      <c r="R45" s="100">
        <f t="shared" si="15"/>
        <v>-3846</v>
      </c>
      <c r="S45" s="100">
        <f t="shared" si="15"/>
        <v>3676</v>
      </c>
      <c r="T45" s="100">
        <f t="shared" si="15"/>
        <v>-12279</v>
      </c>
      <c r="U45" s="100">
        <f t="shared" si="15"/>
        <v>-932</v>
      </c>
      <c r="V45" s="101">
        <f t="shared" si="15"/>
        <v>139400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>
        <f>Expenses!E47</f>
        <v>59297</v>
      </c>
      <c r="E47" s="66">
        <f>C47-D47</f>
        <v>-59297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>
        <f>Expenses!F47</f>
        <v>-30933</v>
      </c>
      <c r="U47" s="42"/>
      <c r="V47" s="66">
        <f>ROUND(SUM(Q47:U47),0)</f>
        <v>-30933</v>
      </c>
    </row>
    <row r="48" spans="1:22" ht="2.25" customHeight="1" x14ac:dyDescent="0.25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237</v>
      </c>
      <c r="B49" s="38"/>
      <c r="C49" s="41"/>
      <c r="D49" s="42">
        <f>'CapChrg-AllocExp'!L50</f>
        <v>-42378</v>
      </c>
      <c r="E49" s="66">
        <f>C49-D49</f>
        <v>42378</v>
      </c>
      <c r="F49" s="42"/>
      <c r="G49" s="41"/>
      <c r="H49" s="42"/>
      <c r="I49" s="42"/>
      <c r="J49" s="83"/>
      <c r="K49" s="65"/>
      <c r="L49" s="42"/>
      <c r="M49" s="42"/>
      <c r="N49" s="43">
        <f>'CapChrg-AllocExp'!K50</f>
        <v>-43310</v>
      </c>
      <c r="O49" s="83">
        <f>J49-K49-M49-N49-L49</f>
        <v>43310</v>
      </c>
      <c r="P49" s="44"/>
      <c r="Q49" s="41"/>
      <c r="R49" s="42"/>
      <c r="S49" s="42"/>
      <c r="T49" s="42"/>
      <c r="U49" s="42">
        <f>'CapChrg-AllocExp'!M50</f>
        <v>932</v>
      </c>
      <c r="V49" s="66">
        <f>ROUND(SUM(Q49:U49),0)</f>
        <v>932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18</v>
      </c>
      <c r="B55" s="38"/>
      <c r="C55" s="41">
        <f>GrossMargin!N49</f>
        <v>-10795</v>
      </c>
      <c r="D55" s="42">
        <f>Expenses!E51</f>
        <v>26684</v>
      </c>
      <c r="E55" s="66">
        <f>C55-D55</f>
        <v>-37479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>
        <f>GrossMargin!O49</f>
        <v>-8383</v>
      </c>
      <c r="R55" s="42"/>
      <c r="S55" s="42"/>
      <c r="T55" s="42">
        <f>Expenses!F51</f>
        <v>4059</v>
      </c>
      <c r="U55" s="42"/>
      <c r="V55" s="66">
        <f>ROUND(SUM(Q55:U55),0)</f>
        <v>-4324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60</v>
      </c>
      <c r="B57" s="38"/>
      <c r="C57" s="41"/>
      <c r="D57" s="42">
        <f>'CapChrg-AllocExp'!E46</f>
        <v>-42940</v>
      </c>
      <c r="E57" s="66">
        <f>C57-D57</f>
        <v>42940</v>
      </c>
      <c r="F57" s="42"/>
      <c r="G57" s="41"/>
      <c r="H57" s="42"/>
      <c r="I57" s="42"/>
      <c r="J57" s="83">
        <f>SUM(G57:I57)</f>
        <v>0</v>
      </c>
      <c r="K57" s="65"/>
      <c r="L57" s="42">
        <f>'CapChrg-AllocExp'!D46</f>
        <v>-39264</v>
      </c>
      <c r="M57" s="42"/>
      <c r="N57" s="43"/>
      <c r="O57" s="83">
        <f>J57-K57-M57-N57-L57</f>
        <v>39264</v>
      </c>
      <c r="P57" s="44"/>
      <c r="Q57" s="41"/>
      <c r="R57" s="42"/>
      <c r="S57" s="42">
        <f>'CapChrg-AllocExp'!F46</f>
        <v>-3676</v>
      </c>
      <c r="T57" s="42"/>
      <c r="U57" s="42"/>
      <c r="V57" s="66">
        <f>ROUND(SUM(Q57:U57),0)</f>
        <v>-3676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25">
      <c r="A59" s="94" t="s">
        <v>65</v>
      </c>
      <c r="B59" s="91"/>
      <c r="C59" s="99">
        <f>SUM(C45:C58)</f>
        <v>384514</v>
      </c>
      <c r="D59" s="100">
        <f>SUM(D45:D58)</f>
        <v>196914</v>
      </c>
      <c r="E59" s="101">
        <f>SUM(E45:E58)</f>
        <v>187600</v>
      </c>
      <c r="F59" s="92"/>
      <c r="G59" s="99">
        <f t="shared" ref="G59:N59" si="16">SUM(G45:G58)</f>
        <v>528912</v>
      </c>
      <c r="H59" s="100">
        <f t="shared" si="16"/>
        <v>0</v>
      </c>
      <c r="I59" s="100">
        <f t="shared" si="16"/>
        <v>0</v>
      </c>
      <c r="J59" s="102">
        <f t="shared" si="16"/>
        <v>528912</v>
      </c>
      <c r="K59" s="100">
        <f t="shared" si="16"/>
        <v>49633</v>
      </c>
      <c r="L59" s="100">
        <f t="shared" si="16"/>
        <v>0</v>
      </c>
      <c r="M59" s="100">
        <f t="shared" si="16"/>
        <v>190280</v>
      </c>
      <c r="N59" s="101">
        <f t="shared" si="16"/>
        <v>0</v>
      </c>
      <c r="O59" s="102">
        <f>J59-K59-M59-N59-L59</f>
        <v>288999</v>
      </c>
      <c r="P59" s="93"/>
      <c r="Q59" s="99">
        <f t="shared" ref="Q59:V59" si="17">SUM(Q45:Q58)</f>
        <v>144398</v>
      </c>
      <c r="R59" s="100">
        <f t="shared" si="17"/>
        <v>-3846</v>
      </c>
      <c r="S59" s="100">
        <f t="shared" si="17"/>
        <v>0</v>
      </c>
      <c r="T59" s="100">
        <f t="shared" si="17"/>
        <v>-39153</v>
      </c>
      <c r="U59" s="100">
        <f t="shared" si="17"/>
        <v>0</v>
      </c>
      <c r="V59" s="101">
        <f t="shared" si="17"/>
        <v>101399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288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5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5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25">
      <c r="A63" s="94" t="s">
        <v>66</v>
      </c>
      <c r="B63" s="91"/>
      <c r="C63" s="95">
        <f>SUM(C59:C61)</f>
        <v>384514</v>
      </c>
      <c r="D63" s="96">
        <f>SUM(D59:D61)</f>
        <v>205514</v>
      </c>
      <c r="E63" s="97">
        <f>SUM(E59:E61)</f>
        <v>179000</v>
      </c>
      <c r="F63" s="92"/>
      <c r="G63" s="95">
        <f t="shared" ref="G63:V63" si="18">SUM(G59:G61)</f>
        <v>528912</v>
      </c>
      <c r="H63" s="96">
        <f t="shared" si="18"/>
        <v>0</v>
      </c>
      <c r="I63" s="96">
        <f t="shared" si="18"/>
        <v>0</v>
      </c>
      <c r="J63" s="98">
        <f t="shared" si="18"/>
        <v>528912</v>
      </c>
      <c r="K63" s="96">
        <f t="shared" si="18"/>
        <v>49633</v>
      </c>
      <c r="L63" s="96">
        <f t="shared" si="18"/>
        <v>0</v>
      </c>
      <c r="M63" s="96">
        <f t="shared" si="18"/>
        <v>204980</v>
      </c>
      <c r="N63" s="97">
        <f t="shared" si="18"/>
        <v>0</v>
      </c>
      <c r="O63" s="98">
        <f>J63-K63-M63-N63-L63</f>
        <v>274299</v>
      </c>
      <c r="P63" s="93"/>
      <c r="Q63" s="95">
        <f t="shared" si="18"/>
        <v>144398</v>
      </c>
      <c r="R63" s="96">
        <f t="shared" si="18"/>
        <v>-3846</v>
      </c>
      <c r="S63" s="96">
        <f t="shared" si="18"/>
        <v>0</v>
      </c>
      <c r="T63" s="96">
        <f t="shared" si="18"/>
        <v>-45253</v>
      </c>
      <c r="U63" s="96">
        <f t="shared" si="18"/>
        <v>0</v>
      </c>
      <c r="V63" s="97">
        <f t="shared" si="18"/>
        <v>95299</v>
      </c>
    </row>
    <row r="64" spans="1:22" s="38" customFormat="1" ht="3" customHeight="1" x14ac:dyDescent="0.25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5" x14ac:dyDescent="0.25">
      <c r="A65" s="184"/>
      <c r="C65" s="185"/>
      <c r="D65" s="44"/>
      <c r="E65" s="184" t="s">
        <v>136</v>
      </c>
      <c r="F65" s="44"/>
      <c r="G65" s="190">
        <f>'GM-WklyChnge'!D52</f>
        <v>10556.5</v>
      </c>
    </row>
    <row r="66" spans="1:7" ht="6" customHeight="1" x14ac:dyDescent="0.25">
      <c r="C66" s="44"/>
      <c r="D66" s="44"/>
      <c r="E66" s="44"/>
      <c r="F66" s="44"/>
    </row>
    <row r="67" spans="1:7" x14ac:dyDescent="0.25">
      <c r="A67" s="176" t="s">
        <v>149</v>
      </c>
      <c r="C67" s="44"/>
      <c r="D67" s="44"/>
      <c r="E67" s="44"/>
      <c r="F67" s="44"/>
    </row>
    <row r="68" spans="1:7" x14ac:dyDescent="0.25">
      <c r="C68" s="44"/>
      <c r="D68" s="44"/>
      <c r="E68" s="44"/>
      <c r="F68" s="44"/>
    </row>
    <row r="69" spans="1:7" x14ac:dyDescent="0.25">
      <c r="C69" s="44"/>
      <c r="D69" s="44"/>
      <c r="E69" s="44"/>
      <c r="F69" s="44"/>
    </row>
    <row r="70" spans="1:7" x14ac:dyDescent="0.25">
      <c r="C70" s="44"/>
      <c r="D70" s="44"/>
      <c r="E70" s="44"/>
      <c r="F70" s="44"/>
    </row>
    <row r="71" spans="1:7" x14ac:dyDescent="0.25">
      <c r="C71" s="44"/>
      <c r="D71" s="44"/>
      <c r="E71" s="44"/>
      <c r="F71" s="44"/>
    </row>
    <row r="72" spans="1:7" x14ac:dyDescent="0.25">
      <c r="C72" s="44"/>
      <c r="D72" s="44"/>
      <c r="E72" s="44"/>
      <c r="F72" s="44"/>
    </row>
    <row r="73" spans="1:7" x14ac:dyDescent="0.25">
      <c r="C73" s="44"/>
      <c r="D73" s="44"/>
      <c r="E73" s="44"/>
      <c r="F73" s="44"/>
    </row>
    <row r="74" spans="1:7" x14ac:dyDescent="0.25">
      <c r="C74" s="44"/>
      <c r="D74" s="44"/>
      <c r="E74" s="44"/>
      <c r="F74" s="44"/>
    </row>
    <row r="75" spans="1:7" x14ac:dyDescent="0.25">
      <c r="C75" s="44"/>
      <c r="D75" s="44"/>
      <c r="E75" s="44"/>
    </row>
    <row r="76" spans="1:7" x14ac:dyDescent="0.25">
      <c r="C76" s="44"/>
      <c r="D76" s="44"/>
      <c r="E76" s="44"/>
    </row>
    <row r="77" spans="1:7" x14ac:dyDescent="0.25">
      <c r="C77" s="44"/>
      <c r="D77" s="44"/>
      <c r="E77" s="44"/>
    </row>
    <row r="78" spans="1:7" x14ac:dyDescent="0.25">
      <c r="C78" s="44"/>
      <c r="D78" s="44"/>
      <c r="E78" s="44"/>
    </row>
    <row r="79" spans="1:7" x14ac:dyDescent="0.25">
      <c r="C79" s="44"/>
      <c r="D79" s="44"/>
      <c r="E79" s="44"/>
    </row>
    <row r="80" spans="1:7" x14ac:dyDescent="0.25">
      <c r="C80" s="44"/>
      <c r="D80" s="44"/>
      <c r="E80" s="44"/>
    </row>
    <row r="81" spans="1:6" hidden="1" x14ac:dyDescent="0.25">
      <c r="C81" s="44"/>
      <c r="D81" s="44"/>
      <c r="E81" s="44"/>
      <c r="F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A87" s="44"/>
    </row>
    <row r="88" spans="1:6" hidden="1" x14ac:dyDescent="0.25">
      <c r="C88" s="44"/>
      <c r="D88" s="44"/>
      <c r="E88" s="44"/>
      <c r="F88" s="44"/>
    </row>
    <row r="89" spans="1:6" hidden="1" x14ac:dyDescent="0.25">
      <c r="C89" s="44"/>
      <c r="D89" s="44"/>
      <c r="E89" s="44"/>
      <c r="F89" s="44"/>
    </row>
    <row r="90" spans="1:6" hidden="1" x14ac:dyDescent="0.25"/>
    <row r="91" spans="1:6" hidden="1" x14ac:dyDescent="0.25"/>
    <row r="92" spans="1:6" hidden="1" x14ac:dyDescent="0.25"/>
    <row r="93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6">
        <f>C9-D9</f>
        <v>52296.465900581956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106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6">
        <f t="shared" ref="E10:E18" si="5">C10-D10</f>
        <v>46449.041925878402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132</v>
      </c>
      <c r="B11" s="38"/>
      <c r="C11" s="41">
        <f t="shared" si="3"/>
        <v>44803.991000000002</v>
      </c>
      <c r="D11" s="42">
        <f t="shared" si="4"/>
        <v>3237.1654313882691</v>
      </c>
      <c r="E11" s="66">
        <f t="shared" si="5"/>
        <v>41566.825568611734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910.44940770000005</v>
      </c>
      <c r="AI11" s="44">
        <f>_xll.HPVAL($X11,$AE$2,AI$1,$AF$2,$X$3,$X$5)/1000*0.8577</f>
        <v>789.63745207075613</v>
      </c>
    </row>
    <row r="12" spans="1:35" ht="12" customHeight="1" x14ac:dyDescent="0.25">
      <c r="A12" s="29" t="s">
        <v>133</v>
      </c>
      <c r="B12" s="38"/>
      <c r="C12" s="41">
        <f t="shared" si="3"/>
        <v>22893.758999999998</v>
      </c>
      <c r="D12" s="42">
        <f t="shared" si="4"/>
        <v>4931.3765488825175</v>
      </c>
      <c r="E12" s="66">
        <f t="shared" si="5"/>
        <v>17962.382451117483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1112.0615923</v>
      </c>
      <c r="AI12" s="44">
        <f>_xll.HPVAL($X12,$AE$2,AI$1,$AF$2,$X$3,$X$5)/1000-AI11</f>
        <v>928.17642796980977</v>
      </c>
    </row>
    <row r="13" spans="1:35" ht="12" customHeight="1" x14ac:dyDescent="0.25">
      <c r="A13" s="29" t="s">
        <v>114</v>
      </c>
      <c r="B13" s="38"/>
      <c r="C13" s="41">
        <f t="shared" si="3"/>
        <v>46224.694999999985</v>
      </c>
      <c r="D13" s="42">
        <f t="shared" si="4"/>
        <v>10508.558138221375</v>
      </c>
      <c r="E13" s="66">
        <f t="shared" si="5"/>
        <v>35716.136861778607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6">
        <f t="shared" si="5"/>
        <v>15973.290210249426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4726.7560000000003</v>
      </c>
      <c r="AI14" s="44">
        <f>_xll.HPVAL($X14,$AE$2,AI$1,$AF$2,$X$3,$X$5)/1000</f>
        <v>991.70998536232514</v>
      </c>
    </row>
    <row r="15" spans="1:35" ht="12" customHeight="1" x14ac:dyDescent="0.25">
      <c r="A15" s="29" t="s">
        <v>155</v>
      </c>
      <c r="B15" s="38"/>
      <c r="C15" s="41">
        <f t="shared" si="3"/>
        <v>6429.6914999999999</v>
      </c>
      <c r="D15" s="42">
        <f t="shared" si="4"/>
        <v>3382.2491864643689</v>
      </c>
      <c r="E15" s="66">
        <f t="shared" si="5"/>
        <v>3047.442313535631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2066.884</v>
      </c>
      <c r="AI15" s="44">
        <f>_xll.HPVAL($X15,$AE$2,AI$1,$AF$2,$X$3,$X$5)/1000</f>
        <v>542.39138203874768</v>
      </c>
    </row>
    <row r="16" spans="1:35" ht="12" customHeight="1" x14ac:dyDescent="0.25">
      <c r="A16" s="29" t="s">
        <v>107</v>
      </c>
      <c r="B16" s="38"/>
      <c r="C16" s="41">
        <f t="shared" si="3"/>
        <v>1500</v>
      </c>
      <c r="D16" s="42">
        <f t="shared" si="4"/>
        <v>679.07037548698383</v>
      </c>
      <c r="E16" s="66">
        <f t="shared" si="5"/>
        <v>820.92962451301617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156</v>
      </c>
      <c r="B17" s="38"/>
      <c r="C17" s="41">
        <f t="shared" si="3"/>
        <v>15424.5815</v>
      </c>
      <c r="D17" s="42">
        <f t="shared" si="4"/>
        <v>2551.4399427499998</v>
      </c>
      <c r="E17" s="66">
        <f t="shared" si="5"/>
        <v>12873.141557250001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6">
        <f t="shared" si="5"/>
        <v>-337.5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5" t="s">
        <v>130</v>
      </c>
      <c r="B19" s="38"/>
      <c r="C19" s="139">
        <f>SUM(C9:C18)</f>
        <v>311896.64399999997</v>
      </c>
      <c r="D19" s="140">
        <f>SUM(D9:D18)</f>
        <v>85528.487586483723</v>
      </c>
      <c r="E19" s="142">
        <f>SUM(E9:E18)</f>
        <v>226368.15641351623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>
        <f t="shared" ref="C21:C26" si="7">Y21</f>
        <v>34736.267500000002</v>
      </c>
      <c r="D21" s="42">
        <f t="shared" ref="D21:D26" si="8">SUM(Z21:AC21)</f>
        <v>17786.15958398045</v>
      </c>
      <c r="E21" s="66">
        <f t="shared" ref="E21:E26" si="9">C21-D21</f>
        <v>16950.107916019551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7771.0965433554538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3301.0277986743076</v>
      </c>
    </row>
    <row r="22" spans="1:35" ht="12" customHeight="1" x14ac:dyDescent="0.25">
      <c r="A22" s="29" t="s">
        <v>89</v>
      </c>
      <c r="B22" s="38"/>
      <c r="C22" s="41">
        <f t="shared" si="7"/>
        <v>26469.510999999999</v>
      </c>
      <c r="D22" s="42">
        <f t="shared" si="8"/>
        <v>14729.383798328749</v>
      </c>
      <c r="E22" s="66">
        <f t="shared" si="9"/>
        <v>11740.12720167125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90</v>
      </c>
      <c r="B23" s="38"/>
      <c r="C23" s="41">
        <f t="shared" si="7"/>
        <v>28327.783500000005</v>
      </c>
      <c r="D23" s="42">
        <f t="shared" si="8"/>
        <v>11170.848970758394</v>
      </c>
      <c r="E23" s="66">
        <f t="shared" si="9"/>
        <v>17156.934529241611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3148.6260000000002</v>
      </c>
      <c r="AI23" s="44">
        <f>_xll.HPVAL($X23,$AE$2,AI$1,$AF$2,$X$3,$X$5)/1000</f>
        <v>1272.312827935767</v>
      </c>
    </row>
    <row r="24" spans="1:35" ht="12" customHeight="1" x14ac:dyDescent="0.25">
      <c r="A24" s="29" t="s">
        <v>91</v>
      </c>
      <c r="B24" s="38"/>
      <c r="C24" s="41">
        <f t="shared" si="7"/>
        <v>11393.287</v>
      </c>
      <c r="D24" s="42">
        <f t="shared" si="8"/>
        <v>7438.3371483322671</v>
      </c>
      <c r="E24" s="66">
        <f t="shared" si="9"/>
        <v>3954.9498516677331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104</v>
      </c>
      <c r="B25" s="38"/>
      <c r="C25" s="41">
        <f t="shared" si="7"/>
        <v>0</v>
      </c>
      <c r="D25" s="42">
        <f t="shared" si="8"/>
        <v>4847.5962734224813</v>
      </c>
      <c r="E25" s="66">
        <f t="shared" si="9"/>
        <v>-4847.5962734224813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1581.382232797484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528.66443079317685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6">
        <f t="shared" si="9"/>
        <v>4230.3892410716344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5" t="s">
        <v>1</v>
      </c>
      <c r="B27" s="38"/>
      <c r="C27" s="139">
        <f>SUM(C21:C26)</f>
        <v>110239.48700000001</v>
      </c>
      <c r="D27" s="140">
        <f>SUM(D21:D26)</f>
        <v>61054.574533750718</v>
      </c>
      <c r="E27" s="142">
        <f>SUM(E21:E26)</f>
        <v>49184.912466249298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6">
        <f>C29-D29</f>
        <v>-1311.8390961938603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16435.419035719911</v>
      </c>
      <c r="E30" s="66">
        <f>C30-D30</f>
        <v>20986.064964280085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1323.0456230042928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544.83207227617459</v>
      </c>
    </row>
    <row r="31" spans="1:35" ht="12" customHeight="1" x14ac:dyDescent="0.25">
      <c r="A31" s="29" t="s">
        <v>92</v>
      </c>
      <c r="B31" s="38"/>
      <c r="C31" s="41">
        <f>Y31</f>
        <v>56112.135500000004</v>
      </c>
      <c r="D31" s="42">
        <f>SUM(Z31:AC31)</f>
        <v>116779.92625593129</v>
      </c>
      <c r="E31" s="66">
        <f>C31-D31</f>
        <v>-60667.790755931288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93</v>
      </c>
      <c r="B32" s="38"/>
      <c r="C32" s="41">
        <f>Y32</f>
        <v>15006.736000000001</v>
      </c>
      <c r="D32" s="42">
        <f>SUM(Z32:AC32)</f>
        <v>6512.5280981305086</v>
      </c>
      <c r="E32" s="66">
        <f>C32-D32</f>
        <v>8494.2079018694931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5" t="s">
        <v>86</v>
      </c>
      <c r="B33" s="38"/>
      <c r="C33" s="139">
        <f>SUM(C29:C32)</f>
        <v>139690.35550000001</v>
      </c>
      <c r="D33" s="140">
        <f>SUM(D29:D32)</f>
        <v>172189.71248597556</v>
      </c>
      <c r="E33" s="142">
        <f>SUM(E29:E32)</f>
        <v>-32499.356985975566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6">
        <f>C35-D35</f>
        <v>23868.809676583267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151</v>
      </c>
      <c r="B36" s="38"/>
      <c r="C36" s="41">
        <f>Y36</f>
        <v>2000</v>
      </c>
      <c r="D36" s="42">
        <f>SUM(Z36:AC36)</f>
        <v>14181.784321674324</v>
      </c>
      <c r="E36" s="66">
        <f>C36-D36</f>
        <v>-12181.784321674324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1335.655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180</v>
      </c>
      <c r="B37" s="38"/>
      <c r="C37" s="41">
        <f>Y37</f>
        <v>16142.700999999999</v>
      </c>
      <c r="D37" s="42">
        <f>SUM(Z37:AC37)</f>
        <v>15647.803666133597</v>
      </c>
      <c r="E37" s="66">
        <f>C37-D37</f>
        <v>494.89733386640182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154</v>
      </c>
      <c r="B38" s="38"/>
      <c r="C38" s="41">
        <f>Y38</f>
        <v>12965.692999999999</v>
      </c>
      <c r="D38" s="42">
        <f>SUM(Z38:AC38)</f>
        <v>5122.47</v>
      </c>
      <c r="E38" s="66">
        <f>C38-D38</f>
        <v>7843.222999999999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5" t="s">
        <v>87</v>
      </c>
      <c r="B39" s="38"/>
      <c r="C39" s="139">
        <f>SUM(C35:C38)</f>
        <v>61871.841999999997</v>
      </c>
      <c r="D39" s="140">
        <f>SUM(D35:D38)</f>
        <v>41846.696311224659</v>
      </c>
      <c r="E39" s="142">
        <f>SUM(E35:E38)</f>
        <v>20025.145688775345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6">
        <f>C41-D41</f>
        <v>-10631.159686319879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6">
        <f>C43-D43</f>
        <v>-14863.522245450824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>
        <f>SUM(C39:C43)+C19+C27+C33</f>
        <v>628698.32850000006</v>
      </c>
      <c r="D45" s="140">
        <f>SUM(D39:D43)+D19+D27+D33</f>
        <v>391114.1528492053</v>
      </c>
      <c r="E45" s="142">
        <f>SUM(E39:E43)+E19+E27+E33</f>
        <v>237584.17565079458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>
        <f>SUM(Z47:AC47)</f>
        <v>24275.636993527238</v>
      </c>
      <c r="E47" s="66">
        <f>C47-D47</f>
        <v>-24275.636993527238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71928.884000000005</v>
      </c>
      <c r="AI47" s="44">
        <f>_xll.HPVAL($X47,$AE$2,AI$1,$AF$2,$X$3,$X$5)/1000</f>
        <v>-50176.3465864639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6">
        <f>C49-D49</f>
        <v>-70877.823797643257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6">
        <f>C51-D51</f>
        <v>82812.929999999993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6">
        <f>C53-D53</f>
        <v>100909.71799999999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>
        <f>SUM(C45:C53)</f>
        <v>708017.94050000003</v>
      </c>
      <c r="D55" s="140">
        <f>SUM(D45:D53)</f>
        <v>381864.57764037582</v>
      </c>
      <c r="E55" s="142">
        <f>SUM(E45:E53)</f>
        <v>326153.36285962409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>
        <f>SUM(C55:C57)</f>
        <v>708017.94050000003</v>
      </c>
      <c r="D59" s="96">
        <f>SUM(D55:D57)</f>
        <v>402464.57764037582</v>
      </c>
      <c r="E59" s="97">
        <f>SUM(E55:E57)</f>
        <v>305553.36285962409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6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6">
        <f t="shared" ref="V10:V19" si="4">ROUND(T10-U10,0)</f>
        <v>18083</v>
      </c>
    </row>
    <row r="11" spans="1:22" ht="12" customHeight="1" x14ac:dyDescent="0.25">
      <c r="A11" s="25" t="s">
        <v>110</v>
      </c>
      <c r="B11" s="29" t="s">
        <v>106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6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6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6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6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6">
        <f t="shared" si="4"/>
        <v>22955</v>
      </c>
    </row>
    <row r="12" spans="1:22" ht="12" customHeight="1" x14ac:dyDescent="0.25">
      <c r="A12" s="25" t="s">
        <v>27</v>
      </c>
      <c r="B12" s="29" t="s">
        <v>132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6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6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6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6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6">
        <f t="shared" si="4"/>
        <v>3490</v>
      </c>
    </row>
    <row r="13" spans="1:22" ht="12" customHeight="1" x14ac:dyDescent="0.25">
      <c r="A13" s="25" t="s">
        <v>134</v>
      </c>
      <c r="B13" s="29" t="s">
        <v>133</v>
      </c>
      <c r="C13" s="38"/>
      <c r="D13" s="41">
        <f>ROUND(_xll.HPVAL($A13,D$1,$A$2,F$1,$A$3,$A$4)/1000,0)-D12</f>
        <v>33727</v>
      </c>
      <c r="E13" s="42">
        <f>ROUND(_xll.HPVAL($A13,E$1,$A$2,F$1,$A$3,$A$4)/1000,0)-E12</f>
        <v>9011</v>
      </c>
      <c r="F13" s="66">
        <f>ROUND(D13-E13,0)</f>
        <v>24716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6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6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6">
        <f>ROUND(P13-Q13,0)</f>
        <v>0</v>
      </c>
      <c r="S13" s="42"/>
      <c r="T13" s="41">
        <f>D13+H13+L13+P13</f>
        <v>60673</v>
      </c>
      <c r="U13" s="42">
        <f>E13+I13+M13+Q13</f>
        <v>35957</v>
      </c>
      <c r="V13" s="66">
        <f>ROUND(T13-U13,0)</f>
        <v>24716</v>
      </c>
    </row>
    <row r="14" spans="1:22" ht="12" customHeight="1" x14ac:dyDescent="0.25">
      <c r="A14" s="25" t="s">
        <v>43</v>
      </c>
      <c r="B14" s="29" t="s">
        <v>114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6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6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6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6">
        <f t="shared" si="4"/>
        <v>-11999</v>
      </c>
    </row>
    <row r="16" spans="1:22" ht="12" customHeight="1" x14ac:dyDescent="0.25">
      <c r="A16" s="25" t="s">
        <v>30</v>
      </c>
      <c r="B16" s="29" t="s">
        <v>155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6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6">
        <f t="shared" si="4"/>
        <v>1564</v>
      </c>
    </row>
    <row r="17" spans="1:22" ht="12" customHeight="1" x14ac:dyDescent="0.25">
      <c r="A17" s="25" t="s">
        <v>4</v>
      </c>
      <c r="B17" s="29" t="s">
        <v>107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6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6">
        <f t="shared" si="4"/>
        <v>2993</v>
      </c>
    </row>
    <row r="18" spans="1:22" ht="12" customHeight="1" x14ac:dyDescent="0.25">
      <c r="A18" s="25" t="s">
        <v>73</v>
      </c>
      <c r="B18" s="29" t="s">
        <v>156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6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6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6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6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6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6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6">
        <f t="shared" si="4"/>
        <v>-6189</v>
      </c>
    </row>
    <row r="20" spans="1:22" ht="12" customHeight="1" x14ac:dyDescent="0.25">
      <c r="B20" s="75" t="s">
        <v>6</v>
      </c>
      <c r="C20" s="38"/>
      <c r="D20" s="139">
        <f>SUM(D10:D19)</f>
        <v>157682</v>
      </c>
      <c r="E20" s="140">
        <f>SUM(E10:E19)</f>
        <v>110527</v>
      </c>
      <c r="F20" s="142">
        <f>SUM(F10:F19)</f>
        <v>47155</v>
      </c>
      <c r="G20" s="42"/>
      <c r="H20" s="139">
        <f>SUM(H10:H19)</f>
        <v>115839</v>
      </c>
      <c r="I20" s="140">
        <f>SUM(I10:I19)</f>
        <v>115839</v>
      </c>
      <c r="J20" s="142">
        <f>SUM(J10:J19)</f>
        <v>0</v>
      </c>
      <c r="K20" s="42"/>
      <c r="L20" s="139">
        <f>SUM(L10:L19)</f>
        <v>120173</v>
      </c>
      <c r="M20" s="140">
        <f>SUM(M10:M19)</f>
        <v>120173</v>
      </c>
      <c r="N20" s="142">
        <f>SUM(N10:N19)</f>
        <v>0</v>
      </c>
      <c r="O20" s="42"/>
      <c r="P20" s="139">
        <f>SUM(P10:P19)</f>
        <v>110426</v>
      </c>
      <c r="Q20" s="140">
        <f>SUM(Q10:Q19)</f>
        <v>110426</v>
      </c>
      <c r="R20" s="142">
        <f>SUM(R10:R19)</f>
        <v>0</v>
      </c>
      <c r="S20" s="42"/>
      <c r="T20" s="139">
        <f>SUM(T10:T19)</f>
        <v>504120</v>
      </c>
      <c r="U20" s="140">
        <f>SUM(U10:U19)</f>
        <v>456965</v>
      </c>
      <c r="V20" s="142">
        <f>SUM(V10:V19)</f>
        <v>47155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>
        <f>ROUND(_xll.HPVAL($A22,D$1,$A$2,F$1,$A$3,$A$4)/1000,0)</f>
        <v>-4543</v>
      </c>
      <c r="E22" s="42">
        <f>ROUND(_xll.HPVAL($A22,E$1,$A$2,F$1,$A$3,$A$4)/1000,0)</f>
        <v>5263</v>
      </c>
      <c r="F22" s="66">
        <f t="shared" ref="F22:F27" si="7">ROUND(D22-E22,0)</f>
        <v>-9806</v>
      </c>
      <c r="G22" s="42"/>
      <c r="H22" s="41">
        <f>ROUND(_xll.HPVAL($A22,H$1,$A$2,J$1,$A$3,$A$4)/1000,0)</f>
        <v>11687</v>
      </c>
      <c r="I22" s="42">
        <f>ROUND(_xll.HPVAL($A22,I$1,$A$2,J$1,$A$3,$A$4)/1000,0)</f>
        <v>11687</v>
      </c>
      <c r="J22" s="66">
        <f t="shared" ref="J22:J27" si="8">ROUND(H22-I22,0)</f>
        <v>0</v>
      </c>
      <c r="K22" s="42"/>
      <c r="L22" s="41">
        <f>ROUND(_xll.HPVAL($A22,L$1,$A$2,N$1,$A$3,$A$4)/1000,0)</f>
        <v>12579</v>
      </c>
      <c r="M22" s="42">
        <f>ROUND(_xll.HPVAL($A22,M$1,$A$2,N$1,$A$3,$A$4)/1000,0)</f>
        <v>12579</v>
      </c>
      <c r="N22" s="66">
        <f t="shared" ref="N22:N27" si="9">ROUND(L22-M22,0)</f>
        <v>0</v>
      </c>
      <c r="O22" s="42"/>
      <c r="P22" s="41">
        <f>ROUND(_xll.HPVAL($A22,P$1,$A$2,R$1,$A$3,$A$4)/1000,0)</f>
        <v>12085</v>
      </c>
      <c r="Q22" s="42">
        <f>ROUND(_xll.HPVAL($A22,Q$1,$A$2,R$1,$A$3,$A$4)/1000,0)</f>
        <v>12085</v>
      </c>
      <c r="R22" s="66">
        <f t="shared" ref="R22:R27" si="10">ROUND(P22-Q22,0)</f>
        <v>0</v>
      </c>
      <c r="S22" s="42"/>
      <c r="T22" s="41">
        <f t="shared" ref="T22:T27" si="11">D22+H22+L22+P22</f>
        <v>31808</v>
      </c>
      <c r="U22" s="42">
        <f t="shared" ref="U22:U27" si="12">E22+I22+M22+Q22</f>
        <v>41614</v>
      </c>
      <c r="V22" s="66">
        <f t="shared" ref="V22:V27" si="13">ROUND(T22-U22,0)</f>
        <v>-9806</v>
      </c>
    </row>
    <row r="23" spans="1:22" ht="12" customHeight="1" x14ac:dyDescent="0.25">
      <c r="A23" s="25" t="s">
        <v>38</v>
      </c>
      <c r="B23" s="29" t="s">
        <v>89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6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6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6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6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6">
        <f t="shared" si="13"/>
        <v>-2576</v>
      </c>
    </row>
    <row r="24" spans="1:22" ht="12" customHeight="1" x14ac:dyDescent="0.25">
      <c r="A24" s="25" t="s">
        <v>35</v>
      </c>
      <c r="B24" s="29" t="s">
        <v>90</v>
      </c>
      <c r="C24" s="38"/>
      <c r="D24" s="41">
        <f>ROUND(_xll.HPVAL($A24,D$1,$A$2,F$1,$A$3,$A$4)/1000,0)</f>
        <v>-1477</v>
      </c>
      <c r="E24" s="42">
        <f>ROUND(_xll.HPVAL($A24,E$1,$A$2,F$1,$A$3,$A$4)/1000,0)</f>
        <v>8270</v>
      </c>
      <c r="F24" s="66">
        <f t="shared" si="7"/>
        <v>-9747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34053</v>
      </c>
      <c r="U24" s="42">
        <f t="shared" si="12"/>
        <v>43800</v>
      </c>
      <c r="V24" s="66">
        <f t="shared" si="13"/>
        <v>-9747</v>
      </c>
    </row>
    <row r="25" spans="1:22" ht="12" customHeight="1" x14ac:dyDescent="0.25">
      <c r="A25" s="25" t="s">
        <v>152</v>
      </c>
      <c r="B25" s="29" t="s">
        <v>91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6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6">
        <f t="shared" si="13"/>
        <v>-372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>
        <f>ROUND(_xll.HPVAL($A26,E$1,$A$2,F$1,$A$3,$A$4)/1000,0)</f>
        <v>-2416</v>
      </c>
      <c r="F26" s="66">
        <f t="shared" si="7"/>
        <v>2416</v>
      </c>
      <c r="G26" s="42"/>
      <c r="H26" s="41">
        <f>ROUND(_xll.HPVAL($A26,H$1,$A$2,J$1,$A$3,$A$4)/1000,0)</f>
        <v>-2431</v>
      </c>
      <c r="I26" s="42">
        <f>ROUND(_xll.HPVAL($A26,I$1,$A$2,J$1,$A$3,$A$4)/1000,0)</f>
        <v>-2431</v>
      </c>
      <c r="J26" s="66">
        <f t="shared" si="8"/>
        <v>0</v>
      </c>
      <c r="K26" s="42"/>
      <c r="L26" s="41">
        <f>ROUND(_xll.HPVAL($A26,L$1,$A$2,N$1,$A$3,$A$4)/1000,0)</f>
        <v>-3034</v>
      </c>
      <c r="M26" s="42">
        <f>ROUND(_xll.HPVAL($A26,M$1,$A$2,N$1,$A$3,$A$4)/1000,0)</f>
        <v>-3034</v>
      </c>
      <c r="N26" s="66">
        <f t="shared" si="9"/>
        <v>0</v>
      </c>
      <c r="O26" s="42"/>
      <c r="P26" s="41">
        <f>ROUND(_xll.HPVAL($A26,P$1,$A$2,R$1,$A$3,$A$4)/1000,0)</f>
        <v>-3737</v>
      </c>
      <c r="Q26" s="42">
        <f>ROUND(_xll.HPVAL($A26,Q$1,$A$2,R$1,$A$3,$A$4)/1000,0)</f>
        <v>-3737</v>
      </c>
      <c r="R26" s="66">
        <f t="shared" si="10"/>
        <v>0</v>
      </c>
      <c r="S26" s="42"/>
      <c r="T26" s="41">
        <f t="shared" si="11"/>
        <v>-9202</v>
      </c>
      <c r="U26" s="42">
        <f t="shared" si="12"/>
        <v>-11618</v>
      </c>
      <c r="V26" s="66">
        <f t="shared" si="13"/>
        <v>2416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6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6">
        <f t="shared" si="13"/>
        <v>-4396</v>
      </c>
    </row>
    <row r="28" spans="1:22" ht="12" customHeight="1" x14ac:dyDescent="0.25">
      <c r="A28" s="27"/>
      <c r="B28" s="75" t="s">
        <v>1</v>
      </c>
      <c r="C28" s="38"/>
      <c r="D28" s="139">
        <f>SUM(D22:D27)</f>
        <v>-6502</v>
      </c>
      <c r="E28" s="140">
        <f>SUM(E22:E27)</f>
        <v>17979</v>
      </c>
      <c r="F28" s="142">
        <f>SUM(F22:F27)</f>
        <v>-24481</v>
      </c>
      <c r="G28" s="42"/>
      <c r="H28" s="139">
        <f>SUM(H22:H27)</f>
        <v>31207</v>
      </c>
      <c r="I28" s="140">
        <f>SUM(I22:I27)</f>
        <v>31207</v>
      </c>
      <c r="J28" s="142">
        <f>SUM(J22:J27)</f>
        <v>0</v>
      </c>
      <c r="K28" s="42"/>
      <c r="L28" s="139">
        <f>SUM(L22:L27)</f>
        <v>41696</v>
      </c>
      <c r="M28" s="140">
        <f>SUM(M22:M27)</f>
        <v>41696</v>
      </c>
      <c r="N28" s="142">
        <f>SUM(N22:N27)</f>
        <v>0</v>
      </c>
      <c r="O28" s="42"/>
      <c r="P28" s="139">
        <f>SUM(P22:P27)</f>
        <v>65444</v>
      </c>
      <c r="Q28" s="140">
        <f>SUM(Q22:Q27)</f>
        <v>65444</v>
      </c>
      <c r="R28" s="142">
        <f>SUM(R22:R27)</f>
        <v>0</v>
      </c>
      <c r="S28" s="42"/>
      <c r="T28" s="139">
        <f>SUM(T22:T27)</f>
        <v>131845</v>
      </c>
      <c r="U28" s="140">
        <f>SUM(U22:U27)</f>
        <v>156326</v>
      </c>
      <c r="V28" s="142">
        <f>SUM(V22:V27)</f>
        <v>-24481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6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6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6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6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6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-109</v>
      </c>
      <c r="E31" s="42">
        <f>ROUND(_xll.HPVAL($A31,E$1,$A$2,F$1,$A$3,$A$4)/1000,0)</f>
        <v>10524</v>
      </c>
      <c r="F31" s="66">
        <f>ROUND(D31-E31,0)</f>
        <v>-10633</v>
      </c>
      <c r="G31" s="42"/>
      <c r="H31" s="41">
        <f>ROUND(_xll.HPVAL($A31,H$1,$A$2,J$1,$A$3,$A$4)/1000,0)</f>
        <v>10462</v>
      </c>
      <c r="I31" s="42">
        <f>ROUND(_xll.HPVAL($A31,I$1,$A$2,J$1,$A$3,$A$4)/1000,0)</f>
        <v>10462</v>
      </c>
      <c r="J31" s="66">
        <f>ROUND(H31-I31,0)</f>
        <v>0</v>
      </c>
      <c r="K31" s="42"/>
      <c r="L31" s="41">
        <f>ROUND(_xll.HPVAL($A31,L$1,$A$2,N$1,$A$3,$A$4)/1000,0)</f>
        <v>10237</v>
      </c>
      <c r="M31" s="42">
        <f>ROUND(_xll.HPVAL($A31,M$1,$A$2,N$1,$A$3,$A$4)/1000,0)</f>
        <v>10237</v>
      </c>
      <c r="N31" s="66">
        <f>ROUND(L31-M31,0)</f>
        <v>0</v>
      </c>
      <c r="O31" s="42"/>
      <c r="P31" s="41">
        <f>ROUND(_xll.HPVAL($A31,P$1,$A$2,R$1,$A$3,$A$4)/1000,0)</f>
        <v>9931</v>
      </c>
      <c r="Q31" s="42">
        <f>ROUND(_xll.HPVAL($A31,Q$1,$A$2,R$1,$A$3,$A$4)/1000,0)</f>
        <v>9931</v>
      </c>
      <c r="R31" s="66">
        <f>ROUND(P31-Q31,0)</f>
        <v>0</v>
      </c>
      <c r="S31" s="42"/>
      <c r="T31" s="41">
        <f t="shared" ref="T31:U33" si="14">D31+H31+L31+P31</f>
        <v>30521</v>
      </c>
      <c r="U31" s="42">
        <f t="shared" si="14"/>
        <v>41154</v>
      </c>
      <c r="V31" s="66">
        <f>ROUND(T31-U31,0)</f>
        <v>-10633</v>
      </c>
    </row>
    <row r="32" spans="1:22" ht="12" customHeight="1" x14ac:dyDescent="0.25">
      <c r="A32" s="25" t="s">
        <v>41</v>
      </c>
      <c r="B32" s="29" t="s">
        <v>92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6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6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6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6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6">
        <f>ROUND(T32-U32,0)</f>
        <v>-8769</v>
      </c>
    </row>
    <row r="33" spans="1:22" ht="12" customHeight="1" x14ac:dyDescent="0.25">
      <c r="A33" s="25" t="s">
        <v>42</v>
      </c>
      <c r="B33" s="29" t="s">
        <v>93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6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6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6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6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6">
        <f>ROUND(T33-U33,0)</f>
        <v>10256</v>
      </c>
    </row>
    <row r="34" spans="1:22" ht="12" customHeight="1" x14ac:dyDescent="0.25">
      <c r="B34" s="75" t="s">
        <v>86</v>
      </c>
      <c r="C34" s="38"/>
      <c r="D34" s="139">
        <f>SUM(D30:D33)</f>
        <v>-10649</v>
      </c>
      <c r="E34" s="140">
        <f>SUM(E30:E33)</f>
        <v>-31661</v>
      </c>
      <c r="F34" s="142">
        <f>SUM(F30:F33)</f>
        <v>21012</v>
      </c>
      <c r="G34" s="42"/>
      <c r="H34" s="139">
        <f>SUM(H30:H33)</f>
        <v>-838</v>
      </c>
      <c r="I34" s="140">
        <f>SUM(I30:I33)</f>
        <v>-838</v>
      </c>
      <c r="J34" s="142">
        <f>SUM(J30:J33)</f>
        <v>0</v>
      </c>
      <c r="K34" s="42"/>
      <c r="L34" s="139">
        <f>SUM(L30:L33)</f>
        <v>9889</v>
      </c>
      <c r="M34" s="140">
        <f>SUM(M30:M33)</f>
        <v>9889</v>
      </c>
      <c r="N34" s="142">
        <f>SUM(N30:N33)</f>
        <v>0</v>
      </c>
      <c r="O34" s="42"/>
      <c r="P34" s="139">
        <f>SUM(P30:P33)</f>
        <v>-44010</v>
      </c>
      <c r="Q34" s="140">
        <f>SUM(Q30:Q33)</f>
        <v>-44010</v>
      </c>
      <c r="R34" s="142">
        <f>SUM(R30:R33)</f>
        <v>0</v>
      </c>
      <c r="S34" s="42"/>
      <c r="T34" s="139">
        <f>SUM(T30:T33)</f>
        <v>-45608</v>
      </c>
      <c r="U34" s="140">
        <f>SUM(U30:U33)</f>
        <v>-66620</v>
      </c>
      <c r="V34" s="142">
        <f>SUM(V30:V33)</f>
        <v>21012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6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6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6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6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6">
        <f>ROUND(T36-U36,0)</f>
        <v>78852</v>
      </c>
    </row>
    <row r="37" spans="1:22" ht="12" customHeight="1" x14ac:dyDescent="0.25">
      <c r="A37" s="25" t="s">
        <v>39</v>
      </c>
      <c r="B37" s="29" t="s">
        <v>151</v>
      </c>
      <c r="C37" s="38"/>
      <c r="D37" s="41">
        <f>ROUND(_xll.HPVAL($A37,D$1,$A$2,F$1,$A$3,$A$4)/1000,0)</f>
        <v>-5400</v>
      </c>
      <c r="E37" s="42">
        <f>ROUND(_xll.HPVAL($A37,E$1,$A$2,F$1,$A$3,$A$4)/1000,0)</f>
        <v>-7024</v>
      </c>
      <c r="F37" s="66">
        <f>ROUND(D37-E37,0)</f>
        <v>1624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6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6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6">
        <f>ROUND(P37-Q37,0)</f>
        <v>0</v>
      </c>
      <c r="S37" s="42"/>
      <c r="T37" s="41">
        <f t="shared" si="15"/>
        <v>-11210</v>
      </c>
      <c r="U37" s="42">
        <f t="shared" si="15"/>
        <v>-12834</v>
      </c>
      <c r="V37" s="66">
        <f>ROUND(T37-U37,0)</f>
        <v>1624</v>
      </c>
    </row>
    <row r="38" spans="1:22" ht="12" customHeight="1" x14ac:dyDescent="0.25">
      <c r="A38" s="25" t="s">
        <v>153</v>
      </c>
      <c r="B38" s="29" t="s">
        <v>180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6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6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6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6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6">
        <f>ROUND(T38-U38,0)</f>
        <v>-33433</v>
      </c>
    </row>
    <row r="39" spans="1:22" ht="12" customHeight="1" x14ac:dyDescent="0.25">
      <c r="A39" s="25" t="s">
        <v>157</v>
      </c>
      <c r="B39" s="29" t="s">
        <v>154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6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6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6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6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6">
        <f>ROUND(T39-U39,0)</f>
        <v>19547</v>
      </c>
    </row>
    <row r="40" spans="1:22" ht="12" customHeight="1" x14ac:dyDescent="0.25">
      <c r="B40" s="75" t="s">
        <v>87</v>
      </c>
      <c r="C40" s="38"/>
      <c r="D40" s="139">
        <f>SUM(D36:D39)</f>
        <v>75773</v>
      </c>
      <c r="E40" s="140">
        <f>SUM(E36:E39)</f>
        <v>9183</v>
      </c>
      <c r="F40" s="142">
        <f>SUM(F36:F39)</f>
        <v>66590</v>
      </c>
      <c r="G40" s="42"/>
      <c r="H40" s="139">
        <f>SUM(H36:H39)</f>
        <v>10843</v>
      </c>
      <c r="I40" s="140">
        <f>SUM(I36:I39)</f>
        <v>10843</v>
      </c>
      <c r="J40" s="142">
        <f>SUM(J36:J39)</f>
        <v>0</v>
      </c>
      <c r="K40" s="42"/>
      <c r="L40" s="139">
        <f>SUM(L36:L39)</f>
        <v>12896</v>
      </c>
      <c r="M40" s="140">
        <f>SUM(M36:M39)</f>
        <v>12896</v>
      </c>
      <c r="N40" s="142">
        <f>SUM(N36:N39)</f>
        <v>0</v>
      </c>
      <c r="O40" s="42"/>
      <c r="P40" s="139">
        <f>SUM(P36:P39)</f>
        <v>22227</v>
      </c>
      <c r="Q40" s="140">
        <f>SUM(Q36:Q39)</f>
        <v>22227</v>
      </c>
      <c r="R40" s="142">
        <f>SUM(R36:R39)</f>
        <v>0</v>
      </c>
      <c r="S40" s="42"/>
      <c r="T40" s="139">
        <f>SUM(T36:T39)</f>
        <v>121739</v>
      </c>
      <c r="U40" s="140">
        <f>SUM(U36:U39)</f>
        <v>55149</v>
      </c>
      <c r="V40" s="142">
        <f>SUM(V36:V39)</f>
        <v>66590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6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6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6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6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6">
        <f>ROUND(T42-U42,0)</f>
        <v>-578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6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6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6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6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6">
        <f>ROUND(T44-U44,0)</f>
        <v>480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>
        <f>SUM(D40:D44)+D20+D28+D34</f>
        <v>202996</v>
      </c>
      <c r="E46" s="140">
        <f>SUM(E40:E44)+E20+E28+E34</f>
        <v>92818</v>
      </c>
      <c r="F46" s="142">
        <f>SUM(F40:F44)+F20+F28+F34</f>
        <v>110178</v>
      </c>
      <c r="G46" s="67"/>
      <c r="H46" s="139">
        <f>SUM(H40:H44)+H20+H28+H34</f>
        <v>144766</v>
      </c>
      <c r="I46" s="140">
        <f>SUM(I40:I44)+I20+I28+I34</f>
        <v>144766</v>
      </c>
      <c r="J46" s="142">
        <f>SUM(J40:J44)+J20+J28+J34</f>
        <v>0</v>
      </c>
      <c r="K46" s="67"/>
      <c r="L46" s="139">
        <f>SUM(L40:L44)+L20+L28+L34</f>
        <v>172252</v>
      </c>
      <c r="M46" s="140">
        <f>SUM(M40:M44)+M20+M28+M34</f>
        <v>172252</v>
      </c>
      <c r="N46" s="142">
        <f>SUM(N40:N44)+N20+N28+N34</f>
        <v>0</v>
      </c>
      <c r="O46" s="67"/>
      <c r="P46" s="139">
        <f>SUM(P40:P44)+P20+P28+P34</f>
        <v>141982</v>
      </c>
      <c r="Q46" s="140">
        <f>SUM(Q40:Q44)+Q20+Q28+Q34</f>
        <v>141982</v>
      </c>
      <c r="R46" s="142">
        <f>SUM(R40:R44)+R20+R28+R34</f>
        <v>0</v>
      </c>
      <c r="S46" s="67"/>
      <c r="T46" s="139">
        <f>SUM(T40:T44)+T20+T28+T34</f>
        <v>661996</v>
      </c>
      <c r="U46" s="140">
        <f>SUM(U40:U44)+U20+U28+U34</f>
        <v>551818</v>
      </c>
      <c r="V46" s="142">
        <f>SUM(V40:V44)+V20+V28+V34</f>
        <v>110178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6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6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6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6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6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6">
        <f>ROUND(D50-E50,0)</f>
        <v>-3443</v>
      </c>
      <c r="G50" s="65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6">
        <f>ROUND(H50-I50,0)</f>
        <v>0</v>
      </c>
      <c r="K50" s="65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6">
        <f>ROUND(L50-M50,0)</f>
        <v>0</v>
      </c>
      <c r="O50" s="65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6">
        <f>ROUND(P50-Q50,0)</f>
        <v>0</v>
      </c>
      <c r="S50" s="65"/>
      <c r="T50" s="41">
        <f>D50+H50+L50+P50</f>
        <v>-152231</v>
      </c>
      <c r="U50" s="42">
        <f>E50+I50+M50+Q50</f>
        <v>-148788</v>
      </c>
      <c r="V50" s="66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6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6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6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6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6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6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6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6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6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6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>
        <f>SUM(D46:D54)</f>
        <v>167902</v>
      </c>
      <c r="E56" s="140">
        <f>SUM(E46:E54)</f>
        <v>140986</v>
      </c>
      <c r="F56" s="142">
        <f>SUM(F46:F54)</f>
        <v>26916</v>
      </c>
      <c r="G56" s="42"/>
      <c r="H56" s="139">
        <f>SUM(H46:H54)</f>
        <v>185167</v>
      </c>
      <c r="I56" s="140">
        <f>SUM(I46:I54)</f>
        <v>185167</v>
      </c>
      <c r="J56" s="142">
        <f>SUM(J46:J54)</f>
        <v>0</v>
      </c>
      <c r="K56" s="42"/>
      <c r="L56" s="139">
        <f>SUM(L46:L54)</f>
        <v>206866</v>
      </c>
      <c r="M56" s="140">
        <f>SUM(M46:M54)</f>
        <v>206866</v>
      </c>
      <c r="N56" s="142">
        <f>SUM(N46:N54)</f>
        <v>0</v>
      </c>
      <c r="O56" s="42"/>
      <c r="P56" s="139">
        <f>SUM(P46:P54)</f>
        <v>136260</v>
      </c>
      <c r="Q56" s="140">
        <f>SUM(Q46:Q54)</f>
        <v>136260</v>
      </c>
      <c r="R56" s="142">
        <f>SUM(R46:R54)</f>
        <v>0</v>
      </c>
      <c r="S56" s="42"/>
      <c r="T56" s="139">
        <f>SUM(T46:T54)</f>
        <v>696195</v>
      </c>
      <c r="U56" s="140">
        <f>SUM(U46:U54)</f>
        <v>669279</v>
      </c>
      <c r="V56" s="142">
        <f>SUM(V46:V54)</f>
        <v>26916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>
        <f>SUM(D56:D58)</f>
        <v>166902</v>
      </c>
      <c r="E60" s="96">
        <f>SUM(E56:E58)</f>
        <v>128986</v>
      </c>
      <c r="F60" s="97">
        <f>SUM(F56:F58)</f>
        <v>37916</v>
      </c>
      <c r="G60" s="42"/>
      <c r="H60" s="95">
        <f>SUM(H56:H58)</f>
        <v>176567</v>
      </c>
      <c r="I60" s="96">
        <f>SUM(I56:I58)</f>
        <v>176567</v>
      </c>
      <c r="J60" s="97">
        <f>SUM(J56:J58)</f>
        <v>0</v>
      </c>
      <c r="K60" s="42"/>
      <c r="L60" s="95">
        <f>SUM(L56:L58)</f>
        <v>187966</v>
      </c>
      <c r="M60" s="96">
        <f>SUM(M56:M58)</f>
        <v>187966</v>
      </c>
      <c r="N60" s="97">
        <f>SUM(N56:N58)</f>
        <v>0</v>
      </c>
      <c r="O60" s="42"/>
      <c r="P60" s="95">
        <f>SUM(P56:P58)</f>
        <v>118760</v>
      </c>
      <c r="Q60" s="96">
        <f>SUM(Q56:Q58)</f>
        <v>118760</v>
      </c>
      <c r="R60" s="97">
        <f>SUM(R56:R58)</f>
        <v>0</v>
      </c>
      <c r="S60" s="42"/>
      <c r="T60" s="95">
        <f>SUM(T56:T58)</f>
        <v>650195</v>
      </c>
      <c r="U60" s="96">
        <f>SUM(U56:U58)</f>
        <v>612279</v>
      </c>
      <c r="V60" s="97">
        <f>SUM(V56:V58)</f>
        <v>37916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topLeftCell="A7" workbookViewId="0">
      <selection activeCell="C16" sqref="C16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55906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55906</v>
      </c>
      <c r="I9" s="59"/>
      <c r="J9" s="60">
        <f>GrossMargin!K10-[2]GrossMargin!K10</f>
        <v>0</v>
      </c>
      <c r="K9" s="84">
        <f>SUM(H9:J9)</f>
        <v>55906</v>
      </c>
    </row>
    <row r="10" spans="1:17" ht="12" customHeight="1" x14ac:dyDescent="0.25">
      <c r="A10" s="29" t="s">
        <v>272</v>
      </c>
      <c r="C10" s="41">
        <f>GrossMargin!D11-[2]GrossMargin!D11</f>
        <v>2016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2016</v>
      </c>
      <c r="I10" s="41"/>
      <c r="J10" s="42">
        <f>GrossMargin!K11-[2]GrossMargin!K11</f>
        <v>0</v>
      </c>
      <c r="K10" s="66">
        <f>SUM(H10:J10)</f>
        <v>2016</v>
      </c>
    </row>
    <row r="11" spans="1:17" ht="12" customHeight="1" x14ac:dyDescent="0.25">
      <c r="A11" s="29" t="s">
        <v>106</v>
      </c>
      <c r="C11" s="41">
        <f>GrossMargin!D12-[2]GrossMargin!D12</f>
        <v>32797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32797</v>
      </c>
      <c r="I11" s="41"/>
      <c r="J11" s="42">
        <f>GrossMargin!K12-[2]GrossMargin!K12</f>
        <v>0</v>
      </c>
      <c r="K11" s="66">
        <f t="shared" ref="K11:K17" si="1">SUM(H11:J11)</f>
        <v>32797</v>
      </c>
    </row>
    <row r="12" spans="1:17" ht="12" customHeight="1" x14ac:dyDescent="0.25">
      <c r="A12" s="29" t="s">
        <v>132</v>
      </c>
      <c r="C12" s="41">
        <f>GrossMargin!D13-[2]GrossMargin!D13</f>
        <v>3573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3573</v>
      </c>
      <c r="I12" s="41"/>
      <c r="J12" s="42">
        <f>GrossMargin!K13-[2]GrossMargin!K13</f>
        <v>0</v>
      </c>
      <c r="K12" s="66">
        <f t="shared" si="1"/>
        <v>3573</v>
      </c>
    </row>
    <row r="13" spans="1:17" ht="12" customHeight="1" x14ac:dyDescent="0.25">
      <c r="A13" s="29" t="s">
        <v>133</v>
      </c>
      <c r="C13" s="41">
        <f>GrossMargin!D14-[2]GrossMargin!D14</f>
        <v>680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680</v>
      </c>
      <c r="I13" s="41"/>
      <c r="J13" s="42">
        <f>GrossMargin!K14-[2]GrossMargin!K14</f>
        <v>0</v>
      </c>
      <c r="K13" s="66">
        <f t="shared" si="1"/>
        <v>680</v>
      </c>
    </row>
    <row r="14" spans="1:17" ht="12" customHeight="1" x14ac:dyDescent="0.25">
      <c r="A14" s="29" t="s">
        <v>251</v>
      </c>
      <c r="C14" s="41">
        <f>GrossMargin!D15-[2]GrossMargin!D15</f>
        <v>3862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3862</v>
      </c>
      <c r="I14" s="41"/>
      <c r="J14" s="42">
        <f>GrossMargin!K15-[2]GrossMargin!K15</f>
        <v>0</v>
      </c>
      <c r="K14" s="66">
        <f t="shared" si="1"/>
        <v>3862</v>
      </c>
    </row>
    <row r="15" spans="1:17" ht="12" customHeight="1" x14ac:dyDescent="0.25">
      <c r="A15" s="29" t="s">
        <v>275</v>
      </c>
      <c r="C15" s="41">
        <f>GrossMargin!D16-[2]GrossMargin!D16</f>
        <v>109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109</v>
      </c>
      <c r="I15" s="41"/>
      <c r="J15" s="42">
        <f>GrossMargin!K16-[2]GrossMargin!K16</f>
        <v>0</v>
      </c>
      <c r="K15" s="66">
        <f t="shared" si="1"/>
        <v>109</v>
      </c>
    </row>
    <row r="16" spans="1:17" ht="12" customHeight="1" x14ac:dyDescent="0.25">
      <c r="A16" s="29" t="s">
        <v>155</v>
      </c>
      <c r="C16" s="41">
        <f>GrossMargin!D17-[2]GrossMargin!D17</f>
        <v>105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105</v>
      </c>
      <c r="I16" s="41"/>
      <c r="J16" s="42">
        <f>GrossMargin!K17-[2]GrossMargin!K17</f>
        <v>0</v>
      </c>
      <c r="K16" s="66">
        <f t="shared" si="1"/>
        <v>105</v>
      </c>
    </row>
    <row r="17" spans="1:11" ht="12" customHeight="1" x14ac:dyDescent="0.25">
      <c r="A17" s="29" t="s">
        <v>295</v>
      </c>
      <c r="C17" s="41">
        <f>GrossMargin!D18-[2]GrossMargin!D18</f>
        <v>-396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-396</v>
      </c>
      <c r="I17" s="41"/>
      <c r="J17" s="42">
        <f>GrossMargin!K18-[2]GrossMargin!K18</f>
        <v>0</v>
      </c>
      <c r="K17" s="66">
        <f t="shared" si="1"/>
        <v>-396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98652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98652</v>
      </c>
      <c r="I19" s="99"/>
      <c r="J19" s="100">
        <f>SUM(J9:J17)</f>
        <v>0</v>
      </c>
      <c r="K19" s="101">
        <f>SUM(K9:K17)</f>
        <v>98652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673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635</v>
      </c>
      <c r="I23" s="41"/>
      <c r="J23" s="42">
        <f>GrossMargin!K24-[2]GrossMargin!K24</f>
        <v>0</v>
      </c>
      <c r="K23" s="66">
        <f t="shared" si="4"/>
        <v>635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-62</v>
      </c>
      <c r="E25" s="42">
        <f>GrossMargin!F26-[2]GrossMargin!F26</f>
        <v>-12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-74</v>
      </c>
      <c r="I25" s="41"/>
      <c r="J25" s="42">
        <f>GrossMargin!K26-[2]GrossMargin!K26</f>
        <v>0</v>
      </c>
      <c r="K25" s="66">
        <f t="shared" si="4"/>
        <v>-74</v>
      </c>
    </row>
    <row r="26" spans="1:11" ht="12" customHeight="1" x14ac:dyDescent="0.25">
      <c r="A26" s="29" t="s">
        <v>252</v>
      </c>
      <c r="C26" s="41">
        <f>GrossMargin!D27-[2]GrossMargin!D27</f>
        <v>-230</v>
      </c>
      <c r="D26" s="42">
        <f>GrossMargin!E27-[2]GrossMargin!E27</f>
        <v>570</v>
      </c>
      <c r="E26" s="42">
        <f>GrossMargin!F27-[2]GrossMargin!F27</f>
        <v>0</v>
      </c>
      <c r="F26" s="42">
        <f>GrossMargin!H27-[2]GrossMargin!H27</f>
        <v>0</v>
      </c>
      <c r="G26" s="42">
        <v>0</v>
      </c>
      <c r="H26" s="64">
        <f t="shared" si="3"/>
        <v>340</v>
      </c>
      <c r="I26" s="41"/>
      <c r="J26" s="42">
        <f>GrossMargin!K27-[2]GrossMargin!K27</f>
        <v>0</v>
      </c>
      <c r="K26" s="66">
        <f t="shared" si="4"/>
        <v>340</v>
      </c>
    </row>
    <row r="27" spans="1:11" ht="12" customHeight="1" x14ac:dyDescent="0.25">
      <c r="A27" s="29" t="s">
        <v>311</v>
      </c>
      <c r="C27" s="41">
        <f>GrossMargin!D28-[2]GrossMargin!D28</f>
        <v>86</v>
      </c>
      <c r="D27" s="42">
        <f>GrossMargin!E28-[2]GrossMargin!E28</f>
        <v>0</v>
      </c>
      <c r="E27" s="42">
        <f>GrossMargin!F28-[2]GrossMargin!F28</f>
        <v>309</v>
      </c>
      <c r="F27" s="42">
        <f>GrossMargin!H28-[2]GrossMargin!H28</f>
        <v>-4462</v>
      </c>
      <c r="G27" s="42">
        <v>0</v>
      </c>
      <c r="H27" s="64">
        <f t="shared" si="3"/>
        <v>-4067</v>
      </c>
      <c r="I27" s="41"/>
      <c r="J27" s="42">
        <f>GrossMargin!K28-[2]GrossMargin!K28</f>
        <v>0</v>
      </c>
      <c r="K27" s="66">
        <f t="shared" si="4"/>
        <v>-4067</v>
      </c>
    </row>
    <row r="28" spans="1:11" ht="12" customHeight="1" x14ac:dyDescent="0.25">
      <c r="A28" s="29" t="s">
        <v>291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545</v>
      </c>
      <c r="F28" s="42">
        <f>GrossMargin!H29-[2]GrossMargin!H29</f>
        <v>4827</v>
      </c>
      <c r="G28" s="42">
        <v>0</v>
      </c>
      <c r="H28" s="64">
        <f t="shared" si="3"/>
        <v>5372</v>
      </c>
      <c r="I28" s="41"/>
      <c r="J28" s="42">
        <f>GrossMargin!K29-[2]GrossMargin!K29</f>
        <v>0</v>
      </c>
      <c r="K28" s="66">
        <f t="shared" si="4"/>
        <v>5372</v>
      </c>
    </row>
    <row r="29" spans="1:11" ht="12" customHeight="1" x14ac:dyDescent="0.25">
      <c r="A29" s="29" t="s">
        <v>292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-573</v>
      </c>
      <c r="F29" s="42">
        <f>GrossMargin!H30-[2]GrossMargin!H30</f>
        <v>0</v>
      </c>
      <c r="G29" s="42">
        <v>0</v>
      </c>
      <c r="H29" s="64">
        <f t="shared" si="3"/>
        <v>-573</v>
      </c>
      <c r="I29" s="41"/>
      <c r="J29" s="42">
        <f>GrossMargin!K30-[2]GrossMargin!K30</f>
        <v>0</v>
      </c>
      <c r="K29" s="66">
        <f t="shared" si="4"/>
        <v>-573</v>
      </c>
    </row>
    <row r="30" spans="1:11" ht="12" customHeight="1" x14ac:dyDescent="0.25">
      <c r="A30" s="29" t="s">
        <v>156</v>
      </c>
      <c r="C30" s="41">
        <f>GrossMargin!D31-[2]GrossMargin!D31</f>
        <v>0</v>
      </c>
      <c r="D30" s="42">
        <f>GrossMargin!E31-[2]GrossMargin!E31</f>
        <v>0</v>
      </c>
      <c r="E30" s="42">
        <f>GrossMargin!F31-[2]GrossMargin!F31</f>
        <v>0</v>
      </c>
      <c r="F30" s="42">
        <f>GrossMargin!H31-[2]GrossMargin!H31</f>
        <v>0</v>
      </c>
      <c r="G30" s="42">
        <v>0</v>
      </c>
      <c r="H30" s="64">
        <f t="shared" si="3"/>
        <v>0</v>
      </c>
      <c r="I30" s="41"/>
      <c r="J30" s="42">
        <f>GrossMargin!K31-[2]GrossMargin!K29</f>
        <v>0</v>
      </c>
      <c r="K30" s="66">
        <f t="shared" si="4"/>
        <v>0</v>
      </c>
    </row>
    <row r="31" spans="1:11" ht="12" customHeight="1" x14ac:dyDescent="0.25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2</v>
      </c>
      <c r="G31" s="42">
        <v>0</v>
      </c>
      <c r="H31" s="64">
        <f t="shared" si="3"/>
        <v>2</v>
      </c>
      <c r="I31" s="41"/>
      <c r="J31" s="42">
        <f>GrossMargin!K32-[2]GrossMargin!K30</f>
        <v>0</v>
      </c>
      <c r="K31" s="66">
        <f t="shared" si="4"/>
        <v>2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25">
      <c r="A33" s="106" t="s">
        <v>1</v>
      </c>
      <c r="B33" s="91"/>
      <c r="C33" s="99">
        <f t="shared" ref="C33:K33" si="5">SUM(C21:C31)</f>
        <v>529</v>
      </c>
      <c r="D33" s="100">
        <f t="shared" si="5"/>
        <v>470</v>
      </c>
      <c r="E33" s="100">
        <f t="shared" si="5"/>
        <v>269</v>
      </c>
      <c r="F33" s="100">
        <f t="shared" si="5"/>
        <v>367</v>
      </c>
      <c r="G33" s="100">
        <f t="shared" si="5"/>
        <v>0</v>
      </c>
      <c r="H33" s="99">
        <f t="shared" si="5"/>
        <v>1635</v>
      </c>
      <c r="I33" s="99"/>
      <c r="J33" s="100">
        <f t="shared" si="5"/>
        <v>0</v>
      </c>
      <c r="K33" s="101">
        <f t="shared" si="5"/>
        <v>1635</v>
      </c>
    </row>
    <row r="34" spans="1:11" ht="3" customHeight="1" x14ac:dyDescent="0.25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1125</v>
      </c>
      <c r="E36" s="42">
        <f>GrossMargin!F37-[2]GrossMargin!F37</f>
        <v>1</v>
      </c>
      <c r="F36" s="42">
        <f>GrossMargin!H37-[2]GrossMargin!H37</f>
        <v>0</v>
      </c>
      <c r="G36" s="42">
        <v>0</v>
      </c>
      <c r="H36" s="64">
        <f>SUM(C36:G36)</f>
        <v>1126</v>
      </c>
      <c r="I36" s="41"/>
      <c r="J36" s="42">
        <f>GrossMargin!K37-[2]GrossMargin!K35</f>
        <v>0</v>
      </c>
      <c r="K36" s="66">
        <f>SUM(H36:J36)</f>
        <v>1126</v>
      </c>
    </row>
    <row r="37" spans="1:11" ht="12" customHeight="1" x14ac:dyDescent="0.25">
      <c r="A37" s="29" t="s">
        <v>267</v>
      </c>
      <c r="C37" s="41">
        <f>GrossMargin!D38-[2]GrossMargin!D38</f>
        <v>0</v>
      </c>
      <c r="D37" s="42">
        <f>GrossMargin!E38-[2]GrossMargin!E38</f>
        <v>-536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-536</v>
      </c>
      <c r="I37" s="41"/>
      <c r="J37" s="42">
        <f>GrossMargin!K38-[2]GrossMargin!K36</f>
        <v>0</v>
      </c>
      <c r="K37" s="66">
        <f>SUM(H37:J37)</f>
        <v>-536</v>
      </c>
    </row>
    <row r="38" spans="1:11" ht="12" hidden="1" customHeight="1" x14ac:dyDescent="0.25">
      <c r="A38" s="45" t="s">
        <v>180</v>
      </c>
      <c r="C38" s="41">
        <f>GrossMargin!D39-[2]GrossMargin!D39</f>
        <v>0</v>
      </c>
      <c r="D38" s="42">
        <f>GrossMargin!E39-[2]GrossMargin!E39</f>
        <v>23924</v>
      </c>
      <c r="E38" s="42">
        <f>GrossMargin!F39-[2]GrossMargin!F39</f>
        <v>487</v>
      </c>
      <c r="F38" s="42">
        <f>GrossMargin!H39-[2]GrossMargin!H39</f>
        <v>0</v>
      </c>
      <c r="G38" s="42">
        <v>0</v>
      </c>
      <c r="H38" s="64">
        <f>SUM(C38:G38)</f>
        <v>24411</v>
      </c>
      <c r="I38" s="41"/>
      <c r="J38" s="42">
        <f>GrossMargin!K39-[2]GrossMargin!K37</f>
        <v>0</v>
      </c>
      <c r="K38" s="66">
        <f>SUM(H38:J38)</f>
        <v>24411</v>
      </c>
    </row>
    <row r="39" spans="1:11" ht="12" hidden="1" customHeight="1" x14ac:dyDescent="0.25">
      <c r="A39" s="45" t="s">
        <v>154</v>
      </c>
      <c r="C39" s="41">
        <f>GrossMargin!D40-[2]GrossMargin!D40</f>
        <v>0</v>
      </c>
      <c r="D39" s="42">
        <f>GrossMargin!E40-[2]GrossMargin!E40</f>
        <v>-14425</v>
      </c>
      <c r="E39" s="42">
        <f>GrossMargin!F40-[2]GrossMargin!F40</f>
        <v>-844</v>
      </c>
      <c r="F39" s="42">
        <f>GrossMargin!H40-[2]GrossMargin!H40</f>
        <v>0</v>
      </c>
      <c r="G39" s="42">
        <v>0</v>
      </c>
      <c r="H39" s="64">
        <f>SUM(C39:G39)</f>
        <v>-15269</v>
      </c>
      <c r="I39" s="41"/>
      <c r="J39" s="42">
        <f>GrossMargin!K40-[2]GrossMargin!K38</f>
        <v>0</v>
      </c>
      <c r="K39" s="66">
        <f>SUM(H39:J39)</f>
        <v>-15269</v>
      </c>
    </row>
    <row r="40" spans="1:11" x14ac:dyDescent="0.25">
      <c r="A40" s="29" t="s">
        <v>154</v>
      </c>
      <c r="B40" s="29"/>
      <c r="C40" s="41">
        <f>GrossMargin!D41-[2]GrossMargin!D41</f>
        <v>0</v>
      </c>
      <c r="D40" s="42">
        <f>GrossMargin!E41-[2]GrossMargin!E41</f>
        <v>9499</v>
      </c>
      <c r="E40" s="42">
        <f>GrossMargin!F41-[2]GrossMargin!F41</f>
        <v>-357</v>
      </c>
      <c r="F40" s="42">
        <f>GrossMargin!H41-[2]GrossMargin!H41</f>
        <v>0</v>
      </c>
      <c r="G40" s="42">
        <v>0</v>
      </c>
      <c r="H40" s="64">
        <f>SUM(C40:G40)</f>
        <v>9142</v>
      </c>
      <c r="I40" s="41"/>
      <c r="J40" s="42">
        <f>GrossMargin!K41-[2]GrossMargin!K39</f>
        <v>0</v>
      </c>
      <c r="K40" s="66">
        <f>SUM(H40:J40)</f>
        <v>9142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6">SUM(C36:C39)</f>
        <v>0</v>
      </c>
      <c r="D42" s="100">
        <f t="shared" si="6"/>
        <v>10088</v>
      </c>
      <c r="E42" s="100">
        <f t="shared" si="6"/>
        <v>-356</v>
      </c>
      <c r="F42" s="100">
        <f t="shared" si="6"/>
        <v>0</v>
      </c>
      <c r="G42" s="100">
        <f t="shared" si="6"/>
        <v>0</v>
      </c>
      <c r="H42" s="99">
        <f t="shared" si="6"/>
        <v>9732</v>
      </c>
      <c r="I42" s="99"/>
      <c r="J42" s="100">
        <f t="shared" si="6"/>
        <v>0</v>
      </c>
      <c r="K42" s="101">
        <f t="shared" si="6"/>
        <v>9732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-0.5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-0.5</v>
      </c>
      <c r="I44" s="41"/>
      <c r="J44" s="42">
        <f>GrossMargin!K45-[2]GrossMargin!K43</f>
        <v>0</v>
      </c>
      <c r="K44" s="66">
        <f>SUM(H44:J44)</f>
        <v>-0.5</v>
      </c>
    </row>
    <row r="45" spans="1:11" ht="3" customHeight="1" x14ac:dyDescent="0.25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7</v>
      </c>
      <c r="C46" s="41">
        <f>GrossMargin!D47-[2]GrossMargin!D47</f>
        <v>-19101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-19101</v>
      </c>
      <c r="I46" s="41"/>
      <c r="J46" s="42">
        <f>GrossMargin!K47-[2]GrossMargin!K45</f>
        <v>0</v>
      </c>
      <c r="K46" s="66">
        <f>SUM(H46:J46)</f>
        <v>-19101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-1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-1</v>
      </c>
      <c r="I48" s="41"/>
      <c r="J48" s="42">
        <f>GrossMargin!K49-[2]GrossMargin!K47</f>
        <v>0</v>
      </c>
      <c r="K48" s="66">
        <f>SUM(H48:J48)</f>
        <v>-1</v>
      </c>
    </row>
    <row r="49" spans="1:14" ht="3" customHeight="1" x14ac:dyDescent="0.25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5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25">
      <c r="A52" s="75" t="s">
        <v>14</v>
      </c>
      <c r="C52" s="95">
        <f t="shared" ref="C52:H52" si="7">SUM(C42:C50)+C19+C33</f>
        <v>80080</v>
      </c>
      <c r="D52" s="96">
        <f t="shared" si="7"/>
        <v>10556.5</v>
      </c>
      <c r="E52" s="96">
        <f t="shared" si="7"/>
        <v>-87</v>
      </c>
      <c r="F52" s="96">
        <f t="shared" si="7"/>
        <v>367</v>
      </c>
      <c r="G52" s="96">
        <f t="shared" si="7"/>
        <v>0</v>
      </c>
      <c r="H52" s="95">
        <f t="shared" si="7"/>
        <v>90916.5</v>
      </c>
      <c r="I52" s="95"/>
      <c r="J52" s="96">
        <f>SUM(J42:J50)+J19+J33</f>
        <v>0</v>
      </c>
      <c r="K52" s="97">
        <f>SUM(K42:K50)+K19+K33</f>
        <v>90916.5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5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5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5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3.5" hidden="1" thickBot="1" x14ac:dyDescent="0.3">
      <c r="I60" s="137">
        <f>SUM(I55:I59)</f>
        <v>0</v>
      </c>
      <c r="J60" s="135" t="str">
        <f>IF(I60=I52,"","error")</f>
        <v/>
      </c>
      <c r="L60" s="38"/>
      <c r="M60" s="38" t="s">
        <v>288</v>
      </c>
      <c r="N60" s="38"/>
    </row>
    <row r="61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1" workbookViewId="0">
      <selection activeCell="C16" sqref="C1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15,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v>262649</v>
      </c>
      <c r="E10" s="60"/>
      <c r="F10" s="60"/>
      <c r="G10" s="60"/>
      <c r="H10" s="60"/>
      <c r="I10" s="60"/>
      <c r="J10" s="103">
        <f>SUM(D10:I10)</f>
        <v>262649</v>
      </c>
      <c r="K10" s="59"/>
      <c r="L10" s="60"/>
      <c r="M10" s="60">
        <f t="shared" ref="M10:M18" si="0">SUM(J10:L10)</f>
        <v>262649</v>
      </c>
      <c r="N10" s="60">
        <f>ROUND(_xll.HPVAL($A10,$A$1,$A$2,$A$3,$A$4,$A$6)/1000,0)</f>
        <v>41497</v>
      </c>
      <c r="O10" s="82">
        <f>M10-N10</f>
        <v>221152</v>
      </c>
      <c r="R10" s="73">
        <f>N10-Expenses!E9-'CapChrg-AllocExp'!E10</f>
        <v>38285</v>
      </c>
      <c r="S10" s="73">
        <f>J10+K10-Expenses!D9-'CapChrg-AllocExp'!D10</f>
        <v>257462</v>
      </c>
      <c r="T10" s="73">
        <f>R10-S10</f>
        <v>-219177</v>
      </c>
    </row>
    <row r="11" spans="1:20" ht="12" customHeight="1" x14ac:dyDescent="0.25">
      <c r="A11" s="25" t="s">
        <v>42</v>
      </c>
      <c r="B11" s="29" t="s">
        <v>272</v>
      </c>
      <c r="D11" s="41">
        <v>48664</v>
      </c>
      <c r="E11" s="42"/>
      <c r="F11" s="42"/>
      <c r="G11" s="42"/>
      <c r="H11" s="42"/>
      <c r="I11" s="42"/>
      <c r="J11" s="64">
        <f>SUM(D11:I11)</f>
        <v>48664</v>
      </c>
      <c r="K11" s="41"/>
      <c r="L11" s="42"/>
      <c r="M11" s="42">
        <f>SUM(J11:L11)</f>
        <v>48664</v>
      </c>
      <c r="N11" s="42">
        <f>ROUND(_xll.HPVAL($A11,$A$1,$A$2,$A$3,$A$4,$A$6)/1000,0)</f>
        <v>7570</v>
      </c>
      <c r="O11" s="83">
        <f>M11-N11</f>
        <v>41094</v>
      </c>
      <c r="R11" s="44" t="e">
        <f>N11-Expenses!#REF!-'CapChrg-AllocExp'!#REF!</f>
        <v>#REF!</v>
      </c>
      <c r="S11" s="44" t="e">
        <f>J11+K11-Expenses!#REF!-'CapChrg-AllocExp'!#REF!</f>
        <v>#REF!</v>
      </c>
      <c r="T11" s="44" t="e">
        <f>R11-S11</f>
        <v>#REF!</v>
      </c>
    </row>
    <row r="12" spans="1:20" ht="12" customHeight="1" x14ac:dyDescent="0.25">
      <c r="A12" s="25" t="s">
        <v>105</v>
      </c>
      <c r="B12" s="29" t="s">
        <v>106</v>
      </c>
      <c r="D12" s="41">
        <f>153892+9855+7803</f>
        <v>171550</v>
      </c>
      <c r="E12" s="42"/>
      <c r="F12" s="42"/>
      <c r="G12" s="42"/>
      <c r="H12" s="42">
        <v>-1562</v>
      </c>
      <c r="I12" s="42"/>
      <c r="J12" s="64">
        <f t="shared" ref="J12:J18" si="1">SUM(D12:I12)</f>
        <v>169988</v>
      </c>
      <c r="K12" s="41"/>
      <c r="L12" s="42"/>
      <c r="M12" s="42">
        <f t="shared" si="0"/>
        <v>169988</v>
      </c>
      <c r="N12" s="42">
        <f>ROUND(_xll.HPVAL($A12,$A$1,$A$2,$A$3,$A$4,$A$6)/1000,0)+Expenses!E58</f>
        <v>67236</v>
      </c>
      <c r="O12" s="83">
        <f t="shared" ref="O12:O18" si="2">M12-N12</f>
        <v>102752</v>
      </c>
      <c r="R12" s="44">
        <f>N12-Expenses!E11-'CapChrg-AllocExp'!E12</f>
        <v>53733</v>
      </c>
      <c r="S12" s="44">
        <f>J12+K12-Expenses!D11-'CapChrg-AllocExp'!D12</f>
        <v>154662</v>
      </c>
      <c r="T12" s="44">
        <f t="shared" ref="T12:T18" si="3">R12-S12</f>
        <v>-100929</v>
      </c>
    </row>
    <row r="13" spans="1:20" ht="12" customHeight="1" x14ac:dyDescent="0.25">
      <c r="A13" s="25" t="s">
        <v>27</v>
      </c>
      <c r="B13" s="29" t="s">
        <v>132</v>
      </c>
      <c r="D13" s="41">
        <v>30754</v>
      </c>
      <c r="E13" s="42"/>
      <c r="F13" s="42"/>
      <c r="G13" s="42"/>
      <c r="H13" s="42"/>
      <c r="I13" s="42"/>
      <c r="J13" s="64">
        <f>SUM(D13:I13)</f>
        <v>30754</v>
      </c>
      <c r="K13" s="41"/>
      <c r="L13" s="42"/>
      <c r="M13" s="42">
        <f t="shared" si="0"/>
        <v>30754</v>
      </c>
      <c r="N13" s="42">
        <f>ROUND((_xll.HPVAL($A13,$A$1,"other",$A$3,$A$4,$A$6)+_xll.HPVAL($A13,$A$1,"overview",$A$3,$A$4,$A$6))/1000,0)</f>
        <v>22402</v>
      </c>
      <c r="O13" s="83">
        <f t="shared" si="2"/>
        <v>8352</v>
      </c>
      <c r="R13" s="44">
        <f>N13-Expenses!E12-'CapChrg-AllocExp'!E13</f>
        <v>21747</v>
      </c>
      <c r="S13" s="44">
        <f>J13+K13-Expenses!D12-'CapChrg-AllocExp'!D13</f>
        <v>29691</v>
      </c>
      <c r="T13" s="44">
        <f t="shared" si="3"/>
        <v>-7944</v>
      </c>
    </row>
    <row r="14" spans="1:20" ht="12" customHeight="1" x14ac:dyDescent="0.25">
      <c r="A14" s="25" t="s">
        <v>134</v>
      </c>
      <c r="B14" s="29" t="s">
        <v>133</v>
      </c>
      <c r="D14" s="41">
        <f>958+11136-1823</f>
        <v>10271</v>
      </c>
      <c r="E14" s="42"/>
      <c r="F14" s="42"/>
      <c r="G14" s="42"/>
      <c r="H14" s="42"/>
      <c r="I14" s="42"/>
      <c r="J14" s="64">
        <f>SUM(D14:I14)</f>
        <v>10271</v>
      </c>
      <c r="K14" s="41"/>
      <c r="L14" s="42"/>
      <c r="M14" s="42">
        <f>SUM(J14:L14)</f>
        <v>10271</v>
      </c>
      <c r="N14" s="42">
        <f>ROUND(_xll.HPVAL($A14,$A$1,$A$2,$A$3,$A$4,$A$6)/1000,0)-N13</f>
        <v>11447</v>
      </c>
      <c r="O14" s="83">
        <f>M14-N14</f>
        <v>-1176</v>
      </c>
      <c r="R14" s="44">
        <f>N14-Expenses!E13-'CapChrg-AllocExp'!E14</f>
        <v>10005</v>
      </c>
      <c r="S14" s="44">
        <f>J14+K14-Expenses!D13-'CapChrg-AllocExp'!D14</f>
        <v>8837</v>
      </c>
      <c r="T14" s="44">
        <f>R14-S14</f>
        <v>1168</v>
      </c>
    </row>
    <row r="15" spans="1:20" ht="12" customHeight="1" x14ac:dyDescent="0.25">
      <c r="A15" s="25" t="s">
        <v>74</v>
      </c>
      <c r="B15" s="29" t="s">
        <v>251</v>
      </c>
      <c r="D15" s="41">
        <v>19056</v>
      </c>
      <c r="E15" s="81"/>
      <c r="F15" s="81"/>
      <c r="G15" s="81"/>
      <c r="H15" s="42"/>
      <c r="I15" s="42"/>
      <c r="J15" s="64">
        <f>SUM(D15:I15)</f>
        <v>19056</v>
      </c>
      <c r="K15" s="41"/>
      <c r="L15" s="42"/>
      <c r="M15" s="42">
        <f t="shared" si="0"/>
        <v>19056</v>
      </c>
      <c r="N15" s="42">
        <v>11556</v>
      </c>
      <c r="O15" s="83">
        <f t="shared" si="2"/>
        <v>7500</v>
      </c>
      <c r="R15" s="44">
        <f>N15-Expenses!E14-'CapChrg-AllocExp'!E15</f>
        <v>9704</v>
      </c>
      <c r="S15" s="44">
        <f>J15+K15-Expenses!D14-'CapChrg-AllocExp'!D15</f>
        <v>17909</v>
      </c>
      <c r="T15" s="44">
        <f t="shared" si="3"/>
        <v>-8205</v>
      </c>
    </row>
    <row r="16" spans="1:20" ht="12" customHeight="1" x14ac:dyDescent="0.25">
      <c r="A16" s="25" t="s">
        <v>28</v>
      </c>
      <c r="B16" s="29" t="s">
        <v>275</v>
      </c>
      <c r="D16" s="41">
        <v>1195</v>
      </c>
      <c r="E16" s="42"/>
      <c r="F16" s="42"/>
      <c r="G16" s="42"/>
      <c r="H16" s="42"/>
      <c r="I16" s="42"/>
      <c r="J16" s="64">
        <f t="shared" si="1"/>
        <v>1195</v>
      </c>
      <c r="K16" s="41"/>
      <c r="L16" s="42"/>
      <c r="M16" s="42">
        <f t="shared" si="0"/>
        <v>1195</v>
      </c>
      <c r="N16" s="42">
        <f>ROUND(_xll.HPVAL($A16,$A$1,$A$2,$A$3,$A$4,$A$6)/1000,0)-1212-5000</f>
        <v>6535</v>
      </c>
      <c r="O16" s="83">
        <f t="shared" si="2"/>
        <v>-5340</v>
      </c>
      <c r="R16" s="44">
        <f>N16-Expenses!E15-'CapChrg-AllocExp'!E16</f>
        <v>5311</v>
      </c>
      <c r="S16" s="44">
        <f>J16+K16-Expenses!D15-'CapChrg-AllocExp'!D16</f>
        <v>-29</v>
      </c>
      <c r="T16" s="44">
        <f t="shared" si="3"/>
        <v>5340</v>
      </c>
    </row>
    <row r="17" spans="1:20" ht="12" customHeight="1" x14ac:dyDescent="0.25">
      <c r="A17" s="25" t="s">
        <v>30</v>
      </c>
      <c r="B17" s="29" t="s">
        <v>155</v>
      </c>
      <c r="D17" s="41">
        <v>2713</v>
      </c>
      <c r="E17" s="42"/>
      <c r="F17" s="42"/>
      <c r="G17" s="42"/>
      <c r="H17" s="42"/>
      <c r="I17" s="42"/>
      <c r="J17" s="64">
        <f t="shared" si="1"/>
        <v>2713</v>
      </c>
      <c r="K17" s="41"/>
      <c r="L17" s="42"/>
      <c r="M17" s="42">
        <f t="shared" si="0"/>
        <v>2713</v>
      </c>
      <c r="N17" s="42">
        <f>ROUND(_xll.HPVAL($A17,$A$1,$A$2,$A$3,$A$4,$A$6)/1000,0)</f>
        <v>3215</v>
      </c>
      <c r="O17" s="83">
        <f t="shared" si="2"/>
        <v>-502</v>
      </c>
      <c r="R17" s="44">
        <f>N17-Expenses!E16-'CapChrg-AllocExp'!E17</f>
        <v>2323</v>
      </c>
      <c r="S17" s="44">
        <f>J17+K17-Expenses!D16-'CapChrg-AllocExp'!D17</f>
        <v>1821</v>
      </c>
      <c r="T17" s="44">
        <f t="shared" si="3"/>
        <v>502</v>
      </c>
    </row>
    <row r="18" spans="1:20" ht="12" customHeight="1" x14ac:dyDescent="0.25">
      <c r="A18" s="25" t="s">
        <v>4</v>
      </c>
      <c r="B18" s="29" t="s">
        <v>295</v>
      </c>
      <c r="D18" s="41">
        <v>-4085</v>
      </c>
      <c r="E18" s="42"/>
      <c r="F18" s="42"/>
      <c r="G18" s="42"/>
      <c r="H18" s="42">
        <v>1562</v>
      </c>
      <c r="I18" s="42"/>
      <c r="J18" s="64">
        <f t="shared" si="1"/>
        <v>-2523</v>
      </c>
      <c r="K18" s="41"/>
      <c r="L18" s="42"/>
      <c r="M18" s="42">
        <f t="shared" si="0"/>
        <v>-2523</v>
      </c>
      <c r="N18" s="42">
        <f>ROUND(_xll.HPVAL($A18,$A$1,$A$2,$A$3,$A$4,$A$6)/1000,0)</f>
        <v>750</v>
      </c>
      <c r="O18" s="83">
        <f t="shared" si="2"/>
        <v>-3273</v>
      </c>
      <c r="R18" s="44">
        <f>N18-Expenses!E17-'CapChrg-AllocExp'!E18</f>
        <v>646</v>
      </c>
      <c r="S18" s="44">
        <f>J18+K18-Expenses!D17-'CapChrg-AllocExp'!D18</f>
        <v>-2627</v>
      </c>
      <c r="T18" s="44">
        <f t="shared" si="3"/>
        <v>3273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542767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542767</v>
      </c>
      <c r="K20" s="99">
        <f t="shared" si="4"/>
        <v>0</v>
      </c>
      <c r="L20" s="100">
        <f t="shared" si="4"/>
        <v>0</v>
      </c>
      <c r="M20" s="100">
        <f t="shared" si="4"/>
        <v>542767</v>
      </c>
      <c r="N20" s="100">
        <f t="shared" si="4"/>
        <v>172208</v>
      </c>
      <c r="O20" s="102">
        <f t="shared" si="4"/>
        <v>370559</v>
      </c>
      <c r="R20" s="100" t="e">
        <f>SUM(R10:R18)</f>
        <v>#REF!</v>
      </c>
      <c r="S20" s="100" t="e">
        <f>SUM(S10:S18)</f>
        <v>#REF!</v>
      </c>
      <c r="T20" s="100" t="e">
        <f>SUM(T10:T18)</f>
        <v>#REF!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>
        <f>ROUND(_xll.HPVAL($A22,$A$1,$A$2,$A$3,$A$4,$A$6)/1000,0)</f>
        <v>20493</v>
      </c>
      <c r="O22" s="83">
        <f t="shared" ref="O22:O32" si="7">M22-N22</f>
        <v>-20493</v>
      </c>
      <c r="R22" s="134">
        <f>N22-Expenses!E20-'CapChrg-AllocExp'!E21</f>
        <v>15524</v>
      </c>
      <c r="S22" s="134">
        <f>J22+K22-Expenses!D20-'CapChrg-AllocExp'!D21</f>
        <v>-8510</v>
      </c>
      <c r="T22" s="44">
        <f>R22-S22</f>
        <v>24034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>
        <f>ROUND(_xll.HPVAL($A23,$A$1,$A$2,$A$3,$A$4,$A$6)/1000,0)</f>
        <v>13235</v>
      </c>
      <c r="O23" s="83">
        <f t="shared" si="7"/>
        <v>-12729</v>
      </c>
      <c r="R23" s="44">
        <f>N23-Expenses!E21-'CapChrg-AllocExp'!E22</f>
        <v>8273</v>
      </c>
      <c r="S23" s="44">
        <f>J23+K23-Expenses!D21-'CapChrg-AllocExp'!D22</f>
        <v>-5647</v>
      </c>
      <c r="T23" s="44">
        <f>R23-S23</f>
        <v>13920</v>
      </c>
    </row>
    <row r="24" spans="1:20" ht="12" customHeight="1" x14ac:dyDescent="0.25">
      <c r="A24" s="25" t="s">
        <v>230</v>
      </c>
      <c r="B24" s="29" t="s">
        <v>229</v>
      </c>
      <c r="D24" s="41">
        <f>3363+40</f>
        <v>3403</v>
      </c>
      <c r="E24" s="42">
        <f>-76-76</f>
        <v>-152</v>
      </c>
      <c r="F24" s="42">
        <v>0</v>
      </c>
      <c r="G24" s="42"/>
      <c r="H24" s="42"/>
      <c r="I24" s="42"/>
      <c r="J24" s="64">
        <f t="shared" si="5"/>
        <v>3251</v>
      </c>
      <c r="K24" s="41"/>
      <c r="L24" s="42"/>
      <c r="M24" s="42">
        <f t="shared" si="6"/>
        <v>3251</v>
      </c>
      <c r="N24" s="42">
        <f>ROUND(_xll.HPVAL($A24,$A$1,$A$2,$A$3,$A$4,$A$6)/1000,0)</f>
        <v>22861</v>
      </c>
      <c r="O24" s="83">
        <f t="shared" si="7"/>
        <v>-19610</v>
      </c>
      <c r="R24" s="44">
        <f>N24-Expenses!E22-'CapChrg-AllocExp'!E23</f>
        <v>16415</v>
      </c>
      <c r="S24" s="44">
        <f>J24+K24-Expenses!D22-'CapChrg-AllocExp'!D23</f>
        <v>-2218</v>
      </c>
      <c r="T24" s="44">
        <f>R24-S24</f>
        <v>18633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>
        <f>ROUND(_xll.HPVAL($A25,$A$1,$A$2,$A$3,$A$4,$A$6)/1000,0)</f>
        <v>18711</v>
      </c>
      <c r="O25" s="83">
        <f>M25-N25</f>
        <v>-2561</v>
      </c>
      <c r="R25" s="44" t="e">
        <f>N25-Expenses!#REF!-'CapChrg-AllocExp'!#REF!</f>
        <v>#REF!</v>
      </c>
      <c r="S25" s="44" t="e">
        <f>J25+K25-Expenses!#REF!-'CapChrg-AllocExp'!#REF!</f>
        <v>#REF!</v>
      </c>
      <c r="T25" s="44" t="e">
        <f>R25-S25</f>
        <v>#REF!</v>
      </c>
    </row>
    <row r="26" spans="1:20" ht="12" customHeight="1" x14ac:dyDescent="0.25">
      <c r="B26" s="29" t="s">
        <v>263</v>
      </c>
      <c r="D26" s="41"/>
      <c r="E26" s="81">
        <v>120</v>
      </c>
      <c r="F26" s="81">
        <v>103</v>
      </c>
      <c r="G26" s="81"/>
      <c r="H26" s="42"/>
      <c r="I26" s="42"/>
      <c r="J26" s="64">
        <f t="shared" si="5"/>
        <v>223</v>
      </c>
      <c r="K26" s="41"/>
      <c r="L26" s="42"/>
      <c r="M26" s="42">
        <f t="shared" si="6"/>
        <v>223</v>
      </c>
      <c r="N26" s="42">
        <f>12747-6468-67</f>
        <v>6212</v>
      </c>
      <c r="O26" s="83">
        <f t="shared" si="7"/>
        <v>-5989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0</v>
      </c>
      <c r="E27" s="81">
        <v>2471</v>
      </c>
      <c r="F27" s="81"/>
      <c r="G27" s="81"/>
      <c r="H27" s="42">
        <f>6470-230</f>
        <v>6240</v>
      </c>
      <c r="I27" s="42"/>
      <c r="J27" s="64">
        <f t="shared" si="5"/>
        <v>8711</v>
      </c>
      <c r="K27" s="41"/>
      <c r="L27" s="42"/>
      <c r="M27" s="42">
        <f t="shared" si="6"/>
        <v>8711</v>
      </c>
      <c r="N27" s="42">
        <v>11556</v>
      </c>
      <c r="O27" s="83">
        <f t="shared" si="7"/>
        <v>-2845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311</v>
      </c>
      <c r="D28" s="41">
        <v>2188</v>
      </c>
      <c r="E28" s="42">
        <v>115</v>
      </c>
      <c r="F28" s="42">
        <v>8179</v>
      </c>
      <c r="G28" s="42"/>
      <c r="H28" s="42">
        <v>1388</v>
      </c>
      <c r="I28" s="42"/>
      <c r="J28" s="64">
        <f>SUM(D28:I28)</f>
        <v>11870</v>
      </c>
      <c r="K28" s="41"/>
      <c r="L28" s="42"/>
      <c r="M28" s="42">
        <f>SUM(J28:L28)</f>
        <v>11870</v>
      </c>
      <c r="N28" s="42">
        <f>ROUND(_xll.HPVAL($A28,$A$1,$A$2,$A$3,$A$4,$A$6)/1000,0)+Expenses!E60--23180-1690</f>
        <v>18423</v>
      </c>
      <c r="O28" s="83">
        <f>M28-N28</f>
        <v>-6553</v>
      </c>
      <c r="R28" s="44" t="e">
        <f>N28-Expenses!#REF!-Expenses!E53-'CapChrg-AllocExp'!#REF!</f>
        <v>#REF!</v>
      </c>
      <c r="S28" s="44" t="e">
        <f>J28+K28-Expenses!#REF!-Expenses!D53-'CapChrg-AllocExp'!#REF!</f>
        <v>#REF!</v>
      </c>
      <c r="T28" s="44" t="e">
        <f>R28-S28</f>
        <v>#REF!</v>
      </c>
    </row>
    <row r="29" spans="1:20" ht="12" customHeight="1" x14ac:dyDescent="0.25">
      <c r="B29" s="29" t="s">
        <v>291</v>
      </c>
      <c r="D29" s="41"/>
      <c r="E29" s="42"/>
      <c r="F29" s="42">
        <v>9684</v>
      </c>
      <c r="G29" s="42"/>
      <c r="H29" s="42">
        <f>6215-1388</f>
        <v>4827</v>
      </c>
      <c r="I29" s="42"/>
      <c r="J29" s="64">
        <f>SUM(D29:I29)</f>
        <v>14511</v>
      </c>
      <c r="K29" s="41"/>
      <c r="L29" s="42"/>
      <c r="M29" s="42">
        <f>SUM(J29:L29)</f>
        <v>14511</v>
      </c>
      <c r="N29" s="42">
        <f>-23180+Expenses!E59</f>
        <v>10746</v>
      </c>
      <c r="O29" s="83">
        <f>M29-N29</f>
        <v>3765</v>
      </c>
      <c r="R29" s="44"/>
      <c r="S29" s="44"/>
      <c r="T29" s="44"/>
    </row>
    <row r="30" spans="1:20" ht="12" customHeight="1" x14ac:dyDescent="0.25">
      <c r="B30" s="29" t="s">
        <v>292</v>
      </c>
      <c r="D30" s="41"/>
      <c r="E30" s="42"/>
      <c r="F30" s="42">
        <v>-816</v>
      </c>
      <c r="G30" s="42"/>
      <c r="H30" s="42">
        <v>0</v>
      </c>
      <c r="I30" s="42"/>
      <c r="J30" s="64">
        <f>SUM(D30:I30)</f>
        <v>-816</v>
      </c>
      <c r="K30" s="41"/>
      <c r="L30" s="42"/>
      <c r="M30" s="42">
        <f>SUM(J30:L30)</f>
        <v>-816</v>
      </c>
      <c r="N30" s="42">
        <f>1690</f>
        <v>1690</v>
      </c>
      <c r="O30" s="83">
        <f>M30-N30</f>
        <v>-2506</v>
      </c>
      <c r="R30" s="44"/>
      <c r="S30" s="44"/>
      <c r="T30" s="44"/>
    </row>
    <row r="31" spans="1:20" ht="12" customHeight="1" x14ac:dyDescent="0.25">
      <c r="A31" s="25" t="s">
        <v>73</v>
      </c>
      <c r="B31" s="29" t="s">
        <v>156</v>
      </c>
      <c r="D31" s="41"/>
      <c r="E31" s="42"/>
      <c r="F31" s="42"/>
      <c r="G31" s="42"/>
      <c r="H31" s="42">
        <v>653</v>
      </c>
      <c r="I31" s="42"/>
      <c r="J31" s="64">
        <f t="shared" si="5"/>
        <v>653</v>
      </c>
      <c r="K31" s="41"/>
      <c r="L31" s="42"/>
      <c r="M31" s="42">
        <f t="shared" si="6"/>
        <v>653</v>
      </c>
      <c r="N31" s="42">
        <f>ROUND(_xll.HPVAL($A31,$A$1,$A$2,$A$3,$A$4,$A$6)/1000,0)</f>
        <v>7712</v>
      </c>
      <c r="O31" s="83">
        <f t="shared" si="7"/>
        <v>-7059</v>
      </c>
      <c r="R31" s="44" t="e">
        <f>N31-Expenses!#REF!-'CapChrg-AllocExp'!#REF!</f>
        <v>#REF!</v>
      </c>
      <c r="S31" s="44" t="e">
        <f>J31+K31-Expenses!#REF!-'CapChrg-AllocExp'!#REF!</f>
        <v>#REF!</v>
      </c>
      <c r="T31" s="44" t="e">
        <f>R31-S31</f>
        <v>#REF!</v>
      </c>
    </row>
    <row r="32" spans="1:20" ht="12" customHeight="1" x14ac:dyDescent="0.25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>
        <f>ROUND(_xll.HPVAL($A32,$A$1,$A$2,$A$3,$A$4,$A$6)/1000,0)</f>
        <v>4656</v>
      </c>
      <c r="O32" s="83">
        <f t="shared" si="7"/>
        <v>-4654</v>
      </c>
      <c r="R32" s="44">
        <f>N32-Expenses!E30-'CapChrg-AllocExp'!E31</f>
        <v>2651</v>
      </c>
      <c r="S32" s="44">
        <f>J32+K32-Expenses!D30-'CapChrg-AllocExp'!D31</f>
        <v>-1614</v>
      </c>
      <c r="T32" s="44">
        <f>R32-S32</f>
        <v>4265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25">
      <c r="B34" s="106" t="s">
        <v>1</v>
      </c>
      <c r="C34" s="91"/>
      <c r="D34" s="99">
        <f>D22+D23+D24+D25+D26+D27+D32+D31+D28+D29+D30</f>
        <v>5591</v>
      </c>
      <c r="E34" s="100">
        <f>E22+E23+E24+E25+E26+E27+E32+E31+E28+E29+E30</f>
        <v>19210</v>
      </c>
      <c r="F34" s="100">
        <f>F22+F23+F24+F25+F26+F27+F32+F31+F28+F29+F30</f>
        <v>17150</v>
      </c>
      <c r="G34" s="100" t="e">
        <f>G22+G23+G24+#REF!+G26+G27+G32</f>
        <v>#REF!</v>
      </c>
      <c r="H34" s="100">
        <f t="shared" ref="H34:O34" si="8">H22+H23+H24+H25+H26+H27+H32+H31+H28+H29+H30</f>
        <v>13110</v>
      </c>
      <c r="I34" s="100">
        <f t="shared" si="8"/>
        <v>0</v>
      </c>
      <c r="J34" s="99">
        <f t="shared" si="8"/>
        <v>55061</v>
      </c>
      <c r="K34" s="99">
        <f t="shared" si="8"/>
        <v>0</v>
      </c>
      <c r="L34" s="100">
        <f t="shared" si="8"/>
        <v>0</v>
      </c>
      <c r="M34" s="100">
        <f t="shared" si="8"/>
        <v>55061</v>
      </c>
      <c r="N34" s="100">
        <f t="shared" si="8"/>
        <v>136295</v>
      </c>
      <c r="O34" s="102">
        <f t="shared" si="8"/>
        <v>-81234</v>
      </c>
      <c r="R34" s="100" t="e">
        <f>SUM(R22:R32)</f>
        <v>#REF!</v>
      </c>
      <c r="S34" s="100" t="e">
        <f>SUM(S22:S32)</f>
        <v>#REF!</v>
      </c>
      <c r="T34" s="100" t="e">
        <f>SUM(T22:T32)</f>
        <v>#REF!</v>
      </c>
    </row>
    <row r="35" spans="1:20" ht="3" customHeight="1" x14ac:dyDescent="0.25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-28213</v>
      </c>
      <c r="F37" s="81">
        <v>1</v>
      </c>
      <c r="G37" s="81"/>
      <c r="H37" s="42"/>
      <c r="I37" s="42"/>
      <c r="J37" s="64">
        <f>SUM(D37:I37)</f>
        <v>-28212</v>
      </c>
      <c r="K37" s="41"/>
      <c r="L37" s="42"/>
      <c r="M37" s="42">
        <f>SUM(J37:L37)</f>
        <v>-28212</v>
      </c>
      <c r="N37" s="42">
        <f>ROUND(_xll.HPVAL($A37,$A$1,$A$2,$A$3,$A$4,$A$6)/1000,0)</f>
        <v>15385</v>
      </c>
      <c r="O37" s="83">
        <f>M37-N37</f>
        <v>-43597</v>
      </c>
      <c r="R37" s="134">
        <f>N37-Expenses!E34-'CapChrg-AllocExp'!E35</f>
        <v>12608</v>
      </c>
      <c r="S37" s="134">
        <f>J37+K37-Expenses!D34-'CapChrg-AllocExp'!D35</f>
        <v>-29502</v>
      </c>
      <c r="T37" s="44">
        <f>R37-S37</f>
        <v>42110</v>
      </c>
    </row>
    <row r="38" spans="1:20" ht="12" customHeight="1" x14ac:dyDescent="0.25">
      <c r="A38" s="25" t="s">
        <v>39</v>
      </c>
      <c r="B38" s="29" t="s">
        <v>267</v>
      </c>
      <c r="D38" s="41"/>
      <c r="E38" s="81">
        <v>2325</v>
      </c>
      <c r="F38" s="81">
        <v>0</v>
      </c>
      <c r="G38" s="81"/>
      <c r="H38" s="42"/>
      <c r="I38" s="42"/>
      <c r="J38" s="64">
        <f>SUM(D38:I38)</f>
        <v>2325</v>
      </c>
      <c r="K38" s="41"/>
      <c r="L38" s="42"/>
      <c r="M38" s="42">
        <f>SUM(J38:L38)</f>
        <v>2325</v>
      </c>
      <c r="N38" s="42">
        <f>ROUND(_xll.HPVAL($A38,$A$1,$A$2,$A$3,$A$4,$A$6)/1000,0)</f>
        <v>2000</v>
      </c>
      <c r="O38" s="83">
        <f>M38-N38</f>
        <v>325</v>
      </c>
      <c r="R38" s="44">
        <f>N38-Expenses!E35-'CapChrg-AllocExp'!E36</f>
        <v>-3544</v>
      </c>
      <c r="S38" s="44">
        <f>J38+K38-Expenses!D35-'CapChrg-AllocExp'!D36</f>
        <v>-1570</v>
      </c>
      <c r="T38" s="44">
        <f>R38-S38</f>
        <v>-1974</v>
      </c>
    </row>
    <row r="39" spans="1:20" ht="12.75" hidden="1" customHeight="1" x14ac:dyDescent="0.25">
      <c r="A39" s="25" t="s">
        <v>153</v>
      </c>
      <c r="B39" s="45" t="s">
        <v>180</v>
      </c>
      <c r="D39" s="41"/>
      <c r="E39" s="81">
        <f>-1082+3673</f>
        <v>2591</v>
      </c>
      <c r="F39" s="81">
        <f>-12+14</f>
        <v>2</v>
      </c>
      <c r="G39" s="81"/>
      <c r="H39" s="42"/>
      <c r="I39" s="42"/>
      <c r="J39" s="64">
        <f>SUM(D39:I39)</f>
        <v>2593</v>
      </c>
      <c r="K39" s="41">
        <f>Greensheet!M88</f>
        <v>0</v>
      </c>
      <c r="L39" s="42"/>
      <c r="M39" s="42">
        <f>SUM(J39:L39)</f>
        <v>2593</v>
      </c>
      <c r="N39" s="42">
        <f>ROUND(_xll.HPVAL($A39,$A$1,$A$2,$A$3,$A$4,$A$6)/1000,0)</f>
        <v>8222</v>
      </c>
      <c r="O39" s="83">
        <f>M39-N39</f>
        <v>-5629</v>
      </c>
      <c r="R39" s="44">
        <f>N39-Expenses!E36-'CapChrg-AllocExp'!E37</f>
        <v>1900</v>
      </c>
      <c r="S39" s="44">
        <f>J39+K39-Expenses!D36-'CapChrg-AllocExp'!D37</f>
        <v>-1185</v>
      </c>
      <c r="T39" s="44">
        <f>R39-S39</f>
        <v>3085</v>
      </c>
    </row>
    <row r="40" spans="1:20" ht="12.75" hidden="1" customHeight="1" x14ac:dyDescent="0.25">
      <c r="A40" s="25" t="s">
        <v>157</v>
      </c>
      <c r="B40" s="45" t="s">
        <v>154</v>
      </c>
      <c r="D40" s="41"/>
      <c r="E40" s="81">
        <v>-7329</v>
      </c>
      <c r="F40" s="81">
        <v>-14</v>
      </c>
      <c r="G40" s="81"/>
      <c r="H40" s="42">
        <v>0</v>
      </c>
      <c r="I40" s="42"/>
      <c r="J40" s="64">
        <f>SUM(D40:I40)</f>
        <v>-7343</v>
      </c>
      <c r="K40" s="41"/>
      <c r="L40" s="42"/>
      <c r="M40" s="42">
        <f>SUM(J40:L40)</f>
        <v>-7343</v>
      </c>
      <c r="N40" s="42">
        <f>ROUND(_xll.HPVAL($A40,$A$1,$A$2,$A$3,$A$4,$A$6)/1000,0)</f>
        <v>6483</v>
      </c>
      <c r="O40" s="83">
        <f>M40-N40</f>
        <v>-13826</v>
      </c>
      <c r="R40" s="134">
        <f>N40-Expenses!E37-'CapChrg-AllocExp'!E39</f>
        <v>-1561</v>
      </c>
      <c r="S40" s="134">
        <f>J40+K40-Expenses!D37-'CapChrg-AllocExp'!D39</f>
        <v>-16431</v>
      </c>
      <c r="T40" s="44">
        <f>R40-S40</f>
        <v>14870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-4738</v>
      </c>
      <c r="F41" s="81">
        <f>SUM(F39:F40)</f>
        <v>-12</v>
      </c>
      <c r="G41" s="81"/>
      <c r="H41" s="81">
        <f>SUM(H39:H40)</f>
        <v>0</v>
      </c>
      <c r="I41" s="42">
        <f>SUM(I39:I40)</f>
        <v>0</v>
      </c>
      <c r="J41" s="64">
        <f>SUM(D41:I41)</f>
        <v>-4750</v>
      </c>
      <c r="K41" s="41"/>
      <c r="L41" s="42">
        <f>SUM(L39:L40)</f>
        <v>0</v>
      </c>
      <c r="M41" s="42">
        <f>SUM(J41:L41)</f>
        <v>-4750</v>
      </c>
      <c r="N41" s="42">
        <f>SUM(N39:N40)</f>
        <v>14705</v>
      </c>
      <c r="O41" s="83">
        <f>SUM(O39:O40)</f>
        <v>-19455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9">SUM(D37:D40)</f>
        <v>0</v>
      </c>
      <c r="E43" s="100">
        <f>E37+E38+E41</f>
        <v>-30626</v>
      </c>
      <c r="F43" s="100">
        <f>F37+F38+F41</f>
        <v>-11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-30637</v>
      </c>
      <c r="K43" s="99">
        <f t="shared" si="9"/>
        <v>0</v>
      </c>
      <c r="L43" s="100">
        <f t="shared" si="9"/>
        <v>0</v>
      </c>
      <c r="M43" s="100">
        <f>M37+M38+M41</f>
        <v>-30637</v>
      </c>
      <c r="N43" s="100">
        <f>N37+N38+N41</f>
        <v>32090</v>
      </c>
      <c r="O43" s="102">
        <f t="shared" si="9"/>
        <v>-62727</v>
      </c>
      <c r="R43" s="100">
        <f>SUM(R37:R41)</f>
        <v>9403</v>
      </c>
      <c r="S43" s="100">
        <f>SUM(S37:S41)</f>
        <v>-48688</v>
      </c>
      <c r="T43" s="100">
        <f>SUM(T37:T41)</f>
        <v>58091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>
        <v>0</v>
      </c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>
        <f>ROUND(_xll.HPVAL($A45,$A$1,$A$2,$A$3,$A$4,$A$6)/1000,0)</f>
        <v>2500</v>
      </c>
      <c r="O45" s="83">
        <f>M45-N45</f>
        <v>-2500</v>
      </c>
      <c r="R45" s="134">
        <f>N45-Expenses!E41-'CapChrg-AllocExp'!E42</f>
        <v>-2117</v>
      </c>
      <c r="S45" s="134">
        <f>J45+K45-Expenses!D41-'CapChrg-AllocExp'!D42</f>
        <v>-6035</v>
      </c>
      <c r="T45" s="44">
        <f>R45-S45</f>
        <v>3918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>
        <v>-19101</v>
      </c>
      <c r="E47" s="42"/>
      <c r="F47" s="42"/>
      <c r="G47" s="42"/>
      <c r="H47" s="42"/>
      <c r="I47" s="42"/>
      <c r="J47" s="64">
        <f>SUM(D47:I47)</f>
        <v>-19101</v>
      </c>
      <c r="K47" s="41"/>
      <c r="L47" s="42"/>
      <c r="M47" s="42">
        <f>SUM(J47:L47)</f>
        <v>-19101</v>
      </c>
      <c r="N47" s="42"/>
      <c r="O47" s="83">
        <f>M47-N47</f>
        <v>-19101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>
        <f>ROUND(_xll.HPVAL($A49,$A$1,$A$2,$A$3,$A$4,$A$6)/1000,0)</f>
        <v>-10795</v>
      </c>
      <c r="O49" s="83">
        <f>M49-N49</f>
        <v>-8383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>SUM(D43:D51)+D34+D20</f>
        <v>529257</v>
      </c>
      <c r="E53" s="96">
        <f>SUM(E43:E51)+E34+E20</f>
        <v>-15193</v>
      </c>
      <c r="F53" s="96">
        <f>SUM(F43:F51)+F34+F20</f>
        <v>1738</v>
      </c>
      <c r="G53" s="96" t="s">
        <v>269</v>
      </c>
      <c r="H53" s="96">
        <f t="shared" ref="H53:O53" si="10">SUM(H43:H51)+H34+H20</f>
        <v>13110</v>
      </c>
      <c r="I53" s="96">
        <f t="shared" si="10"/>
        <v>0</v>
      </c>
      <c r="J53" s="95">
        <f t="shared" si="10"/>
        <v>528912</v>
      </c>
      <c r="K53" s="95">
        <f t="shared" si="10"/>
        <v>0</v>
      </c>
      <c r="L53" s="96">
        <f t="shared" si="10"/>
        <v>0</v>
      </c>
      <c r="M53" s="96">
        <f t="shared" si="10"/>
        <v>528912</v>
      </c>
      <c r="N53" s="96">
        <f t="shared" si="10"/>
        <v>384514</v>
      </c>
      <c r="O53" s="98">
        <f t="shared" si="10"/>
        <v>144398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288</v>
      </c>
      <c r="N60" s="44"/>
      <c r="O60" s="44"/>
    </row>
    <row r="61" spans="1:20" x14ac:dyDescent="0.25">
      <c r="B61" s="27" t="s">
        <v>3</v>
      </c>
      <c r="D61" s="44">
        <f>D10+D15+D11+D28+D27</f>
        <v>332557</v>
      </c>
    </row>
    <row r="62" spans="1:20" x14ac:dyDescent="0.25">
      <c r="B62" s="27" t="s">
        <v>128</v>
      </c>
      <c r="D62" s="44">
        <f>D16+D17+D18+D24</f>
        <v>3226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2000-06-16T16:08:12Z</cp:lastPrinted>
  <dcterms:created xsi:type="dcterms:W3CDTF">1999-10-18T12:36:30Z</dcterms:created>
  <dcterms:modified xsi:type="dcterms:W3CDTF">2023-09-17T00:21:54Z</dcterms:modified>
</cp:coreProperties>
</file>