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892223-E744-43C1-B34A-D7DAAC88FBCB}" xr6:coauthVersionLast="47" xr6:coauthVersionMax="47" xr10:uidLastSave="{00000000-0000-0000-0000-000000000000}"/>
  <bookViews>
    <workbookView xWindow="-120" yWindow="-120" windowWidth="38640" windowHeight="15720" tabRatio="387" firstSheet="1" activeTab="2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  <externalReference r:id="rId6"/>
  </externalReferences>
  <definedNames>
    <definedName name="_xlnm.Print_Area" localSheetId="0">'2Q Summary'!$1:$1048576</definedName>
    <definedName name="_xlnm.Print_Area" localSheetId="2">'Hotlist - Completed'!$A$1:$M$69</definedName>
    <definedName name="_xlnm.Print_Area" localSheetId="1">'Hotlist - Identified '!$A$1:$Q$185</definedName>
    <definedName name="_xlnm.Print_Titles" localSheetId="1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G12" i="23" l="1"/>
  <c r="G16" i="23"/>
  <c r="M3" i="22"/>
  <c r="K9" i="22"/>
  <c r="E10" i="22"/>
  <c r="I11" i="22"/>
  <c r="K11" i="22"/>
  <c r="M11" i="22"/>
  <c r="C12" i="22"/>
  <c r="E12" i="22"/>
  <c r="G12" i="22"/>
  <c r="E18" i="22"/>
  <c r="K18" i="22"/>
  <c r="C20" i="22"/>
  <c r="E20" i="22"/>
  <c r="G20" i="22"/>
  <c r="I20" i="22"/>
  <c r="K20" i="22"/>
  <c r="M20" i="22"/>
  <c r="E26" i="22"/>
  <c r="C28" i="22"/>
  <c r="E28" i="22"/>
  <c r="G28" i="22"/>
  <c r="K31" i="22"/>
  <c r="I33" i="22"/>
  <c r="K33" i="22"/>
  <c r="M33" i="22"/>
  <c r="E34" i="22"/>
  <c r="C36" i="22"/>
  <c r="E36" i="22"/>
  <c r="G36" i="22"/>
  <c r="K39" i="22"/>
  <c r="I41" i="22"/>
  <c r="K41" i="22"/>
  <c r="M41" i="22"/>
  <c r="E42" i="22"/>
  <c r="C44" i="22"/>
  <c r="E44" i="22"/>
  <c r="G44" i="22"/>
  <c r="K46" i="22"/>
  <c r="I48" i="22"/>
  <c r="K48" i="22"/>
  <c r="M48" i="22"/>
  <c r="E50" i="22"/>
  <c r="C52" i="22"/>
  <c r="E52" i="22"/>
  <c r="G52" i="22"/>
  <c r="K54" i="22"/>
  <c r="E56" i="22"/>
  <c r="I56" i="22"/>
  <c r="K56" i="22"/>
  <c r="M56" i="22"/>
  <c r="C58" i="22"/>
  <c r="E58" i="22"/>
  <c r="G58" i="22"/>
  <c r="C60" i="22"/>
  <c r="K60" i="22"/>
  <c r="C61" i="22"/>
  <c r="I62" i="22"/>
  <c r="K62" i="22"/>
  <c r="M62" i="22"/>
  <c r="I64" i="22"/>
  <c r="K64" i="22"/>
  <c r="M64" i="22"/>
  <c r="I78" i="22"/>
  <c r="I79" i="22"/>
  <c r="E6" i="21"/>
  <c r="H6" i="21"/>
  <c r="K6" i="21"/>
  <c r="N6" i="21"/>
  <c r="Q6" i="21"/>
  <c r="C23" i="21"/>
  <c r="D23" i="21"/>
  <c r="E23" i="21"/>
  <c r="G23" i="21"/>
  <c r="H23" i="21"/>
  <c r="I23" i="21"/>
  <c r="J23" i="21"/>
  <c r="K23" i="21"/>
  <c r="L23" i="21"/>
  <c r="M23" i="21"/>
  <c r="N23" i="21"/>
  <c r="O23" i="21"/>
  <c r="P23" i="21"/>
  <c r="Q23" i="21"/>
  <c r="E24" i="21"/>
  <c r="H24" i="21"/>
  <c r="K24" i="21"/>
  <c r="N24" i="21"/>
  <c r="Q24" i="21"/>
  <c r="C36" i="21"/>
  <c r="D36" i="21"/>
  <c r="E36" i="21"/>
  <c r="G36" i="21"/>
  <c r="H36" i="21"/>
  <c r="I36" i="21"/>
  <c r="J36" i="21"/>
  <c r="K36" i="21"/>
  <c r="L36" i="21"/>
  <c r="M36" i="21"/>
  <c r="N36" i="21"/>
  <c r="O36" i="21"/>
  <c r="P36" i="21"/>
  <c r="Q36" i="21"/>
  <c r="E37" i="21"/>
  <c r="H37" i="21"/>
  <c r="K37" i="21"/>
  <c r="N37" i="21"/>
  <c r="Q37" i="21"/>
  <c r="D46" i="21"/>
  <c r="C51" i="21"/>
  <c r="D51" i="21"/>
  <c r="E51" i="21"/>
  <c r="G51" i="21"/>
  <c r="H51" i="21"/>
  <c r="I51" i="21"/>
  <c r="J51" i="21"/>
  <c r="K51" i="21"/>
  <c r="L51" i="21"/>
  <c r="M51" i="21"/>
  <c r="N51" i="21"/>
  <c r="O51" i="21"/>
  <c r="P51" i="21"/>
  <c r="Q51" i="21"/>
  <c r="E52" i="21"/>
  <c r="H52" i="21"/>
  <c r="K52" i="21"/>
  <c r="N52" i="21"/>
  <c r="Q52" i="21"/>
  <c r="C65" i="21"/>
  <c r="D65" i="21"/>
  <c r="E65" i="21"/>
  <c r="G65" i="21"/>
  <c r="H65" i="21"/>
  <c r="I65" i="21"/>
  <c r="J65" i="21"/>
  <c r="K65" i="21"/>
  <c r="L65" i="21"/>
  <c r="M65" i="21"/>
  <c r="N65" i="21"/>
  <c r="O65" i="21"/>
  <c r="P65" i="21"/>
  <c r="Q65" i="21"/>
  <c r="E66" i="21"/>
  <c r="H66" i="21"/>
  <c r="K66" i="21"/>
  <c r="N66" i="21"/>
  <c r="Q66" i="21"/>
  <c r="C81" i="21"/>
  <c r="D81" i="21"/>
  <c r="E81" i="21"/>
  <c r="G81" i="21"/>
  <c r="H81" i="21"/>
  <c r="I81" i="21"/>
  <c r="J81" i="21"/>
  <c r="K81" i="21"/>
  <c r="L81" i="21"/>
  <c r="M81" i="21"/>
  <c r="N81" i="21"/>
  <c r="O81" i="21"/>
  <c r="P81" i="21"/>
  <c r="Q81" i="21"/>
  <c r="E82" i="21"/>
  <c r="H82" i="21"/>
  <c r="K82" i="21"/>
  <c r="N82" i="21"/>
  <c r="Q82" i="21"/>
  <c r="C94" i="21"/>
  <c r="D94" i="21"/>
  <c r="E94" i="21"/>
  <c r="G94" i="21"/>
  <c r="H94" i="21"/>
  <c r="I94" i="21"/>
  <c r="J94" i="21"/>
  <c r="K94" i="21"/>
  <c r="L94" i="21"/>
  <c r="M94" i="21"/>
  <c r="N94" i="21"/>
  <c r="O94" i="21"/>
  <c r="P94" i="21"/>
  <c r="Q94" i="21"/>
  <c r="E95" i="21"/>
  <c r="H95" i="21"/>
  <c r="K95" i="21"/>
  <c r="N95" i="21"/>
  <c r="Q95" i="21"/>
  <c r="C99" i="21"/>
  <c r="D99" i="21"/>
  <c r="E99" i="21"/>
  <c r="G99" i="21"/>
  <c r="H99" i="21"/>
  <c r="I99" i="21"/>
  <c r="J99" i="21"/>
  <c r="K99" i="21"/>
  <c r="L99" i="21"/>
  <c r="M99" i="21"/>
  <c r="N99" i="21"/>
  <c r="O99" i="21"/>
  <c r="P99" i="21"/>
  <c r="Q99" i="21"/>
  <c r="E100" i="21"/>
  <c r="H100" i="21"/>
  <c r="K100" i="21"/>
  <c r="N100" i="21"/>
  <c r="Q100" i="21"/>
  <c r="C107" i="21"/>
  <c r="D107" i="21"/>
  <c r="E107" i="21"/>
  <c r="G107" i="21"/>
  <c r="H107" i="21"/>
  <c r="I107" i="21"/>
  <c r="J107" i="21"/>
  <c r="K107" i="21"/>
  <c r="L107" i="21"/>
  <c r="M107" i="21"/>
  <c r="N107" i="21"/>
  <c r="O107" i="21"/>
  <c r="P107" i="21"/>
  <c r="Q107" i="21"/>
  <c r="K108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K131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P139" i="21"/>
  <c r="Q139" i="21"/>
  <c r="E140" i="21"/>
  <c r="H140" i="21"/>
  <c r="K140" i="21"/>
  <c r="N140" i="21"/>
  <c r="Q140" i="21"/>
  <c r="C148" i="21"/>
  <c r="D148" i="21"/>
  <c r="E148" i="21"/>
  <c r="G148" i="21"/>
  <c r="H148" i="21"/>
  <c r="I148" i="21"/>
  <c r="J148" i="21"/>
  <c r="K148" i="21"/>
  <c r="L148" i="21"/>
  <c r="M148" i="21"/>
  <c r="N148" i="21"/>
  <c r="O148" i="21"/>
  <c r="P148" i="21"/>
  <c r="Q148" i="21"/>
  <c r="E149" i="21"/>
  <c r="H149" i="21"/>
  <c r="K149" i="21"/>
  <c r="N149" i="21"/>
  <c r="Q149" i="21"/>
  <c r="C158" i="21"/>
  <c r="D158" i="21"/>
  <c r="E158" i="21"/>
  <c r="G158" i="21"/>
  <c r="H158" i="21"/>
  <c r="I158" i="21"/>
  <c r="J158" i="21"/>
  <c r="K158" i="21"/>
  <c r="L158" i="21"/>
  <c r="M158" i="21"/>
  <c r="N158" i="21"/>
  <c r="O158" i="21"/>
  <c r="P158" i="21"/>
  <c r="Q158" i="21"/>
  <c r="E159" i="21"/>
  <c r="H159" i="21"/>
  <c r="K159" i="21"/>
  <c r="N159" i="21"/>
  <c r="Q159" i="21"/>
  <c r="C175" i="21"/>
  <c r="D175" i="21"/>
  <c r="E175" i="21"/>
  <c r="G175" i="21"/>
  <c r="H175" i="21"/>
  <c r="I175" i="21"/>
  <c r="J175" i="21"/>
  <c r="K175" i="21"/>
  <c r="L175" i="21"/>
  <c r="M175" i="21"/>
  <c r="N175" i="21"/>
  <c r="O175" i="21"/>
  <c r="P175" i="21"/>
  <c r="Q175" i="21"/>
  <c r="E176" i="21"/>
  <c r="H176" i="21"/>
  <c r="K176" i="21"/>
  <c r="N176" i="21"/>
  <c r="Q176" i="21"/>
  <c r="C181" i="21"/>
  <c r="D181" i="21"/>
  <c r="E181" i="21"/>
  <c r="G181" i="21"/>
  <c r="H181" i="21"/>
  <c r="I181" i="21"/>
  <c r="J181" i="21"/>
  <c r="K181" i="21"/>
  <c r="L181" i="21"/>
  <c r="M181" i="21"/>
  <c r="N181" i="21"/>
  <c r="O181" i="21"/>
  <c r="P181" i="21"/>
  <c r="Q181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P183" i="21"/>
  <c r="Q183" i="21"/>
  <c r="E184" i="21"/>
  <c r="H184" i="21"/>
  <c r="K184" i="21"/>
  <c r="N184" i="21"/>
  <c r="Q184" i="21"/>
  <c r="C187" i="21"/>
  <c r="C188" i="21"/>
</calcChain>
</file>

<file path=xl/sharedStrings.xml><?xml version="1.0" encoding="utf-8"?>
<sst xmlns="http://schemas.openxmlformats.org/spreadsheetml/2006/main" count="739" uniqueCount="269">
  <si>
    <t>Mexico</t>
  </si>
  <si>
    <t>Office of the Chairman</t>
  </si>
  <si>
    <t>Principal Investing</t>
  </si>
  <si>
    <t>CTG</t>
  </si>
  <si>
    <t>East Midstream</t>
  </si>
  <si>
    <t>West Midstream</t>
  </si>
  <si>
    <t>Assets</t>
  </si>
  <si>
    <t>Canada</t>
  </si>
  <si>
    <t>CTG Assets</t>
  </si>
  <si>
    <t>DRS</t>
  </si>
  <si>
    <t>Mission Restructure</t>
  </si>
  <si>
    <t>Pacifica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</si>
  <si>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</si>
  <si>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</si>
  <si>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</si>
  <si>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</si>
  <si>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</si>
  <si>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</si>
  <si>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</si>
  <si>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</si>
  <si>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</si>
  <si>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</si>
  <si>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</si>
  <si>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</si>
  <si>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</si>
  <si>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</si>
  <si>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</si>
  <si>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</si>
  <si>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</si>
  <si>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</si>
  <si>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</si>
  <si>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Dynegy</t>
  </si>
  <si>
    <t>Principal</t>
  </si>
  <si>
    <t>Investing</t>
  </si>
  <si>
    <t>Energy</t>
  </si>
  <si>
    <t>Invasion</t>
  </si>
  <si>
    <t>Beau Canada</t>
  </si>
  <si>
    <t>Petro-Canada</t>
  </si>
  <si>
    <t>Place</t>
  </si>
  <si>
    <t>PML</t>
  </si>
  <si>
    <t>Alberta PPA Auction</t>
  </si>
  <si>
    <t>Ontario NUG's</t>
  </si>
  <si>
    <t>ENERconnect</t>
  </si>
  <si>
    <t>York BNY</t>
  </si>
  <si>
    <t>Avista Power</t>
  </si>
  <si>
    <t>PSCo</t>
  </si>
  <si>
    <t>Cascade</t>
  </si>
  <si>
    <t>Pastoria</t>
  </si>
  <si>
    <t>LV Cogen Development</t>
  </si>
  <si>
    <t>Roseville</t>
  </si>
  <si>
    <t>Aera</t>
  </si>
  <si>
    <t>Santa Clara</t>
  </si>
  <si>
    <t>Alamac</t>
  </si>
  <si>
    <t>PSEG</t>
  </si>
  <si>
    <t>New Jersey Natural</t>
  </si>
  <si>
    <t>Chicago-Hub</t>
  </si>
  <si>
    <t>Baltimore G&amp;E</t>
  </si>
  <si>
    <t>North Central Oil Corp</t>
  </si>
  <si>
    <t>DEALS IDENTIFIED</t>
  </si>
  <si>
    <t>Over/</t>
  </si>
  <si>
    <t>Under</t>
  </si>
  <si>
    <t>GE Plastics</t>
  </si>
  <si>
    <t>BP Amoco</t>
  </si>
  <si>
    <t>Colonial Pipeline</t>
  </si>
  <si>
    <t>National Gypsum</t>
  </si>
  <si>
    <t>Cabot</t>
  </si>
  <si>
    <t>Presston Exploration</t>
  </si>
  <si>
    <t>Smith Production</t>
  </si>
  <si>
    <t>Swift Energy</t>
  </si>
  <si>
    <t>Tri C Resources</t>
  </si>
  <si>
    <t>HV Marine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</si>
  <si>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</si>
  <si>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</si>
  <si>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</si>
  <si>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</si>
  <si>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</si>
  <si>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</si>
  <si>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</si>
  <si>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</si>
  <si>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</si>
  <si>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</si>
  <si>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</si>
  <si>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</si>
  <si>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</si>
  <si>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</si>
  <si>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</si>
  <si>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</si>
  <si>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</si>
  <si>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</si>
  <si>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</si>
  <si>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</si>
  <si>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</si>
  <si>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</si>
  <si>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</si>
  <si>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Project Green Jacket</t>
  </si>
  <si>
    <t>Pomona</t>
  </si>
  <si>
    <t>Project Riviera</t>
  </si>
  <si>
    <t>Westvaco</t>
  </si>
  <si>
    <t>Stora Enso</t>
  </si>
  <si>
    <t>Massey</t>
  </si>
  <si>
    <t>Coal Origination &amp; Finance</t>
  </si>
  <si>
    <t>Tridium</t>
  </si>
  <si>
    <t>Dais Analytic</t>
  </si>
  <si>
    <t>Syntroleum</t>
  </si>
  <si>
    <t>Active Power</t>
  </si>
  <si>
    <t>First World</t>
  </si>
  <si>
    <t>Encorp</t>
  </si>
  <si>
    <t>Arco Permian</t>
  </si>
  <si>
    <t>20/20</t>
  </si>
  <si>
    <t>British Steel-Redcar</t>
  </si>
  <si>
    <t>DPR</t>
  </si>
  <si>
    <t xml:space="preserve">Coal </t>
  </si>
  <si>
    <t>Origination &amp; Finance</t>
  </si>
  <si>
    <t>Capital Resources</t>
  </si>
  <si>
    <t>the Chairman</t>
  </si>
  <si>
    <t>Trading</t>
  </si>
  <si>
    <t>FAPSA</t>
  </si>
  <si>
    <t>Risk Management</t>
  </si>
  <si>
    <t>FERSINSA</t>
  </si>
  <si>
    <t>Unrealized Budget</t>
  </si>
  <si>
    <t>CRRA</t>
  </si>
  <si>
    <t>Project Tex Mex</t>
  </si>
  <si>
    <t>Project Silver Oak</t>
  </si>
  <si>
    <t>Jupiter / Eagle Energy</t>
  </si>
  <si>
    <t>British Energy - UK</t>
  </si>
  <si>
    <t>Western Gas Resources</t>
  </si>
  <si>
    <t>JM Hubert</t>
  </si>
  <si>
    <t>Aectra / Short BTU Swap</t>
  </si>
  <si>
    <t>Inland (Orange)</t>
  </si>
  <si>
    <t>USEC</t>
  </si>
  <si>
    <t>AES</t>
  </si>
  <si>
    <t>Con Ed Restructuring</t>
  </si>
  <si>
    <t>Total Deals Identified</t>
  </si>
  <si>
    <t>Tenaska - Cleeborne</t>
  </si>
  <si>
    <t>ANP</t>
  </si>
  <si>
    <t>Florida Power &amp; Light (FPL)</t>
  </si>
  <si>
    <t>Investments</t>
  </si>
  <si>
    <t>Budget</t>
  </si>
  <si>
    <t>Industrial Downstream</t>
  </si>
  <si>
    <t>Energy Capital Resources</t>
  </si>
  <si>
    <t>GRM New Products</t>
  </si>
  <si>
    <t>Petrosource</t>
  </si>
  <si>
    <t>Project Liberty</t>
  </si>
  <si>
    <t>Project Taft</t>
  </si>
  <si>
    <t>Project Mardi Gras</t>
  </si>
  <si>
    <t>SynFuel - Sempra</t>
  </si>
  <si>
    <t>AES - UK</t>
  </si>
  <si>
    <t>CFE - Mexico</t>
  </si>
  <si>
    <t>LNG</t>
  </si>
  <si>
    <t>Cline-Panther</t>
  </si>
  <si>
    <t>RR Marketing JV - USA</t>
  </si>
  <si>
    <t>Utiliquest (Byer's Locate)</t>
  </si>
  <si>
    <t>Abitibi Bridgewater</t>
  </si>
  <si>
    <t>West QF's</t>
  </si>
  <si>
    <t>Palm Springs/SSF</t>
  </si>
  <si>
    <t>Tri Valley</t>
  </si>
  <si>
    <t>Con Ed/QF</t>
  </si>
  <si>
    <t>AES / Calvert City</t>
  </si>
  <si>
    <t>Pitchbook</t>
  </si>
  <si>
    <t>Southern</t>
  </si>
  <si>
    <t>NYSEG</t>
  </si>
  <si>
    <t>Chicago HUB</t>
  </si>
  <si>
    <t>SynFuel - Pacificorp</t>
  </si>
  <si>
    <t>NYISO</t>
  </si>
  <si>
    <t>Northern Natural Gas Co</t>
  </si>
  <si>
    <t>Long Island Power Authority</t>
  </si>
  <si>
    <t>ANR Pipeline Company</t>
  </si>
  <si>
    <t>Mariner</t>
  </si>
  <si>
    <t>Oakhill Pipeline Co</t>
  </si>
  <si>
    <t>CNG Producing Co - Osprey #4</t>
  </si>
  <si>
    <t>Blackwater</t>
  </si>
  <si>
    <t>CNG</t>
  </si>
  <si>
    <t>Conoco Inc - Magnolia</t>
  </si>
  <si>
    <t>Conoco Inc</t>
  </si>
  <si>
    <t>EEX Corporation - Llano</t>
  </si>
  <si>
    <t>Vastar Resources</t>
  </si>
  <si>
    <t>Kinder Morgan</t>
  </si>
  <si>
    <t>New Century Energies</t>
  </si>
  <si>
    <t>Iroquois Gas Pipeline</t>
  </si>
  <si>
    <t>Ocean Energy</t>
  </si>
  <si>
    <t>United O &amp; M - Treating Alliance</t>
  </si>
  <si>
    <t>Farmland Industries</t>
  </si>
  <si>
    <t>Bonneville Power Admin</t>
  </si>
  <si>
    <t>Horizon Pipeline Co</t>
  </si>
  <si>
    <t>Michigan Consol Gas Co</t>
  </si>
  <si>
    <t>Other</t>
  </si>
  <si>
    <t>Upstream Originations</t>
  </si>
  <si>
    <t>HPL &amp; LRC</t>
  </si>
  <si>
    <t>HPL and LRC</t>
  </si>
  <si>
    <t>Duke Energy Field Services</t>
  </si>
  <si>
    <t>Project Slugger</t>
  </si>
  <si>
    <t>Centra Gas Manitoba</t>
  </si>
  <si>
    <t>G6 Alliance</t>
  </si>
  <si>
    <t>ENCO</t>
  </si>
  <si>
    <t>Unrealized</t>
  </si>
  <si>
    <t>Great River</t>
  </si>
  <si>
    <t>HPL - SW Speaks</t>
  </si>
  <si>
    <t>HPL - Rollover</t>
  </si>
  <si>
    <t>People's Gas Light &amp; Coke</t>
  </si>
  <si>
    <t>Chicago - Gas</t>
  </si>
  <si>
    <t>Team</t>
  </si>
  <si>
    <t>Deals Identified</t>
  </si>
  <si>
    <t>2Q 2000</t>
  </si>
  <si>
    <t>Bammel Emission Credit II</t>
  </si>
  <si>
    <t>Alberta Energy</t>
  </si>
  <si>
    <t>NYSIO-TCC Auction</t>
  </si>
  <si>
    <t>Generation Investments</t>
  </si>
  <si>
    <t>Generation</t>
  </si>
  <si>
    <t>Wilson Cntr Agency Fee</t>
  </si>
  <si>
    <t>2000 Totals</t>
  </si>
  <si>
    <t>Trailblazer PL Co (Sta 601)</t>
  </si>
  <si>
    <t>Trailblazer PL Co (Sta 602)</t>
  </si>
  <si>
    <t>Trailblazer PL Co (Sta 603)</t>
  </si>
  <si>
    <t>Second Quarter 2001</t>
  </si>
  <si>
    <t>Keyspan</t>
  </si>
  <si>
    <t>Mission Valley Expansion</t>
  </si>
  <si>
    <t>Questar Pipeline Operations</t>
  </si>
  <si>
    <t>CHECK FIGURES</t>
  </si>
  <si>
    <t>NG Resources</t>
  </si>
  <si>
    <t>3Q00 DEALS COMPLETED</t>
  </si>
  <si>
    <t>SynFuel - DQE</t>
  </si>
  <si>
    <t>NoxTech</t>
  </si>
  <si>
    <t>CMS</t>
  </si>
  <si>
    <t>Solo Energy</t>
  </si>
  <si>
    <t>Elektryon</t>
  </si>
  <si>
    <t>Freight Liner</t>
  </si>
  <si>
    <t>Project Mermaid</t>
  </si>
  <si>
    <t>Project CanGen</t>
  </si>
  <si>
    <t>Sunoco PPA</t>
  </si>
  <si>
    <t>CNR</t>
  </si>
  <si>
    <t>Diashowa</t>
  </si>
  <si>
    <t>Gulf States</t>
  </si>
  <si>
    <t>Marquett</t>
  </si>
  <si>
    <t>Rock Ten</t>
  </si>
  <si>
    <t>Ponderay</t>
  </si>
  <si>
    <t>Avista / Kaiser</t>
  </si>
  <si>
    <t>PSCo / CSU</t>
  </si>
  <si>
    <t>East Coast Power Recap</t>
  </si>
  <si>
    <t>Brazos</t>
  </si>
  <si>
    <t>Halstrom</t>
  </si>
  <si>
    <t>Calpine</t>
  </si>
  <si>
    <t>Mosbacher</t>
  </si>
  <si>
    <t>EMI Dieghton</t>
  </si>
  <si>
    <t>138 Deals under $275K</t>
  </si>
  <si>
    <t>NUI</t>
  </si>
  <si>
    <t>Energy East Enterprises</t>
  </si>
  <si>
    <t>Tarantula</t>
  </si>
  <si>
    <t>ENA - Communications Cost</t>
  </si>
  <si>
    <t>Exxon Company USA</t>
  </si>
  <si>
    <t>BASF</t>
  </si>
  <si>
    <t>Prize Energy Resources</t>
  </si>
  <si>
    <t>BASF-FINA Petrochemicals LP</t>
  </si>
  <si>
    <t>ENSCO Int'l</t>
  </si>
  <si>
    <t>Results based on Activity through July 27, 2000</t>
  </si>
  <si>
    <t>Aspect Resources</t>
  </si>
  <si>
    <t>Manti</t>
  </si>
  <si>
    <t>Tri Union</t>
  </si>
  <si>
    <t>ENV - Germany</t>
  </si>
  <si>
    <t>BEWAG - Germany</t>
  </si>
  <si>
    <t>M&amp;G UK</t>
  </si>
  <si>
    <t>Anker</t>
  </si>
  <si>
    <t>Coyote Springs</t>
  </si>
  <si>
    <t>Marketlink</t>
  </si>
  <si>
    <t>Murphy E &amp; P / Medusa</t>
  </si>
  <si>
    <t>18 Deals under $250K</t>
  </si>
  <si>
    <t>15 Deals under $300K</t>
  </si>
  <si>
    <t>35 Deals under $250K</t>
  </si>
  <si>
    <t>Bridgeline-Napoleonville</t>
  </si>
  <si>
    <t>Aggregate Deals &lt; $110K  (qty: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</si>
</sst>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8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3" applyNumberFormat="1" applyFont="1" applyAlignment="1">
      <alignment horizontal="lef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4" fillId="0" borderId="12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3" xfId="3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37" fontId="2" fillId="0" borderId="0" xfId="0" applyNumberFormat="1" applyFont="1"/>
    <xf numFmtId="165" fontId="26" fillId="0" borderId="0" xfId="1" applyNumberFormat="1" applyFont="1" applyFill="1" applyBorder="1" applyAlignment="1">
      <alignment horizontal="center"/>
    </xf>
    <xf numFmtId="5" fontId="26" fillId="0" borderId="2" xfId="1" applyNumberFormat="1" applyFont="1" applyFill="1" applyBorder="1" applyAlignment="1">
      <alignment horizontal="center"/>
    </xf>
    <xf numFmtId="0" fontId="25" fillId="0" borderId="0" xfId="3" applyFont="1"/>
    <xf numFmtId="165" fontId="25" fillId="0" borderId="1" xfId="1" applyNumberFormat="1" applyFont="1" applyBorder="1"/>
    <xf numFmtId="165" fontId="25" fillId="0" borderId="0" xfId="1" applyNumberFormat="1" applyFont="1" applyBorder="1"/>
    <xf numFmtId="165" fontId="25" fillId="0" borderId="0" xfId="1" applyNumberFormat="1" applyFont="1" applyFill="1" applyBorder="1"/>
    <xf numFmtId="5" fontId="25" fillId="0" borderId="2" xfId="1" applyNumberFormat="1" applyFont="1" applyFill="1" applyBorder="1"/>
    <xf numFmtId="165" fontId="25" fillId="0" borderId="0" xfId="1" applyNumberFormat="1" applyFont="1" applyBorder="1" applyAlignment="1">
      <alignment horizontal="left"/>
    </xf>
    <xf numFmtId="5" fontId="26" fillId="0" borderId="1" xfId="1" applyNumberFormat="1" applyFont="1" applyFill="1" applyBorder="1" applyAlignment="1">
      <alignment horizontal="center"/>
    </xf>
    <xf numFmtId="5" fontId="26" fillId="0" borderId="0" xfId="1" applyNumberFormat="1" applyFont="1" applyFill="1" applyBorder="1" applyAlignment="1">
      <alignment horizontal="center"/>
    </xf>
    <xf numFmtId="5" fontId="27" fillId="0" borderId="2" xfId="1" applyNumberFormat="1" applyFont="1" applyFill="1" applyBorder="1" applyAlignment="1">
      <alignment horizontal="right"/>
    </xf>
    <xf numFmtId="5" fontId="25" fillId="0" borderId="1" xfId="1" applyNumberFormat="1" applyFont="1" applyBorder="1" applyAlignment="1"/>
    <xf numFmtId="165" fontId="25" fillId="0" borderId="0" xfId="1" applyNumberFormat="1" applyFont="1" applyBorder="1" applyAlignment="1"/>
    <xf numFmtId="5" fontId="28" fillId="2" borderId="12" xfId="2" applyNumberFormat="1" applyFont="1" applyFill="1" applyBorder="1"/>
    <xf numFmtId="169" fontId="28" fillId="2" borderId="5" xfId="2" applyNumberFormat="1" applyFont="1" applyFill="1" applyBorder="1"/>
    <xf numFmtId="5" fontId="28" fillId="2" borderId="5" xfId="2" applyNumberFormat="1" applyFont="1" applyFill="1" applyBorder="1"/>
    <xf numFmtId="5" fontId="28" fillId="2" borderId="13" xfId="2" applyNumberFormat="1" applyFont="1" applyFill="1" applyBorder="1"/>
    <xf numFmtId="165" fontId="25" fillId="0" borderId="1" xfId="1" applyNumberFormat="1" applyFont="1" applyBorder="1" applyAlignment="1"/>
    <xf numFmtId="177" fontId="25" fillId="0" borderId="0" xfId="1" applyNumberFormat="1" applyFont="1" applyFill="1"/>
    <xf numFmtId="5" fontId="28" fillId="0" borderId="0" xfId="2" applyNumberFormat="1" applyFont="1" applyFill="1" applyBorder="1"/>
    <xf numFmtId="169" fontId="28" fillId="0" borderId="0" xfId="2" applyNumberFormat="1" applyFont="1" applyFill="1" applyBorder="1"/>
    <xf numFmtId="0" fontId="2" fillId="0" borderId="0" xfId="3" applyFont="1" applyFill="1"/>
    <xf numFmtId="169" fontId="5" fillId="0" borderId="0" xfId="0" applyNumberFormat="1" applyFont="1" applyFill="1" applyAlignment="1">
      <alignment horizontal="left" vertical="center"/>
    </xf>
    <xf numFmtId="169" fontId="2" fillId="0" borderId="0" xfId="0" applyNumberFormat="1" applyFont="1"/>
    <xf numFmtId="165" fontId="25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5" fillId="0" borderId="0" xfId="1" applyNumberFormat="1" applyFont="1"/>
    <xf numFmtId="37" fontId="29" fillId="0" borderId="0" xfId="1" applyNumberFormat="1" applyFont="1" applyFill="1"/>
    <xf numFmtId="37" fontId="29" fillId="0" borderId="0" xfId="1" applyNumberFormat="1" applyFont="1"/>
    <xf numFmtId="37" fontId="25" fillId="0" borderId="0" xfId="1" applyNumberFormat="1" applyFont="1" applyBorder="1" applyAlignment="1"/>
    <xf numFmtId="37" fontId="25" fillId="0" borderId="0" xfId="1" applyNumberFormat="1" applyFont="1" applyBorder="1"/>
    <xf numFmtId="37" fontId="25" fillId="0" borderId="0" xfId="1" applyNumberFormat="1" applyFont="1" applyFill="1" applyBorder="1"/>
    <xf numFmtId="165" fontId="30" fillId="0" borderId="0" xfId="1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vertical="center"/>
    </xf>
    <xf numFmtId="0" fontId="32" fillId="0" borderId="0" xfId="0" applyFont="1"/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right" vertical="center"/>
    </xf>
    <xf numFmtId="0" fontId="34" fillId="0" borderId="0" xfId="0" applyFont="1" applyFill="1" applyBorder="1" applyAlignment="1">
      <alignment vertical="center"/>
    </xf>
    <xf numFmtId="165" fontId="34" fillId="0" borderId="0" xfId="1" applyNumberFormat="1" applyFont="1" applyFill="1" applyBorder="1" applyAlignment="1">
      <alignment vertical="center"/>
    </xf>
    <xf numFmtId="165" fontId="34" fillId="0" borderId="14" xfId="1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37" fontId="2" fillId="0" borderId="0" xfId="3" applyNumberFormat="1" applyFont="1"/>
    <xf numFmtId="165" fontId="26" fillId="0" borderId="5" xfId="1" applyNumberFormat="1" applyFont="1" applyFill="1" applyBorder="1" applyAlignment="1">
      <alignment horizontal="center"/>
    </xf>
    <xf numFmtId="5" fontId="26" fillId="0" borderId="13" xfId="1" applyNumberFormat="1" applyFont="1" applyFill="1" applyBorder="1" applyAlignment="1">
      <alignment horizontal="center"/>
    </xf>
    <xf numFmtId="5" fontId="26" fillId="0" borderId="6" xfId="1" applyNumberFormat="1" applyFont="1" applyFill="1" applyBorder="1" applyAlignment="1">
      <alignment horizontal="center"/>
    </xf>
    <xf numFmtId="165" fontId="26" fillId="0" borderId="7" xfId="1" applyNumberFormat="1" applyFont="1" applyFill="1" applyBorder="1" applyAlignment="1">
      <alignment horizontal="center"/>
    </xf>
    <xf numFmtId="5" fontId="26" fillId="0" borderId="7" xfId="1" applyNumberFormat="1" applyFont="1" applyFill="1" applyBorder="1" applyAlignment="1">
      <alignment horizontal="center"/>
    </xf>
    <xf numFmtId="5" fontId="26" fillId="0" borderId="15" xfId="1" applyNumberFormat="1" applyFont="1" applyFill="1" applyBorder="1" applyAlignment="1">
      <alignment horizontal="center"/>
    </xf>
    <xf numFmtId="37" fontId="29" fillId="0" borderId="0" xfId="1" applyNumberFormat="1" applyFont="1" applyFill="1" applyBorder="1"/>
    <xf numFmtId="5" fontId="26" fillId="0" borderId="16" xfId="1" applyNumberFormat="1" applyFont="1" applyFill="1" applyBorder="1" applyAlignment="1">
      <alignment horizontal="center"/>
    </xf>
    <xf numFmtId="165" fontId="26" fillId="0" borderId="4" xfId="1" applyNumberFormat="1" applyFont="1" applyFill="1" applyBorder="1" applyAlignment="1">
      <alignment horizontal="center"/>
    </xf>
    <xf numFmtId="177" fontId="26" fillId="0" borderId="4" xfId="1" applyNumberFormat="1" applyFont="1" applyFill="1" applyBorder="1" applyAlignment="1">
      <alignment horizontal="center"/>
    </xf>
    <xf numFmtId="5" fontId="27" fillId="0" borderId="11" xfId="1" applyNumberFormat="1" applyFont="1" applyFill="1" applyBorder="1" applyAlignment="1">
      <alignment horizontal="right"/>
    </xf>
    <xf numFmtId="5" fontId="26" fillId="0" borderId="4" xfId="1" applyNumberFormat="1" applyFont="1" applyFill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166" fontId="10" fillId="0" borderId="0" xfId="0" applyNumberFormat="1" applyFont="1" applyFill="1" applyAlignment="1">
      <alignment horizontal="right" vertical="top"/>
    </xf>
    <xf numFmtId="0" fontId="19" fillId="0" borderId="12" xfId="0" applyFont="1" applyFill="1" applyBorder="1" applyAlignment="1">
      <alignment horizontal="centerContinuous" vertical="center"/>
    </xf>
    <xf numFmtId="0" fontId="19" fillId="0" borderId="5" xfId="0" applyFont="1" applyFill="1" applyBorder="1" applyAlignment="1">
      <alignment horizontal="centerContinuous" vertical="center"/>
    </xf>
    <xf numFmtId="0" fontId="19" fillId="0" borderId="13" xfId="0" applyFont="1" applyFill="1" applyBorder="1" applyAlignment="1">
      <alignment horizontal="centerContinuous" vertical="center"/>
    </xf>
    <xf numFmtId="5" fontId="2" fillId="0" borderId="2" xfId="1" applyNumberFormat="1" applyFont="1" applyFill="1" applyBorder="1"/>
    <xf numFmtId="165" fontId="14" fillId="0" borderId="16" xfId="1" applyNumberFormat="1" applyFont="1" applyBorder="1" applyAlignment="1">
      <alignment horizontal="right"/>
    </xf>
    <xf numFmtId="5" fontId="3" fillId="2" borderId="3" xfId="2" applyNumberFormat="1" applyFont="1" applyFill="1" applyBorder="1"/>
    <xf numFmtId="5" fontId="3" fillId="0" borderId="0" xfId="0" applyNumberFormat="1" applyFont="1"/>
    <xf numFmtId="5" fontId="28" fillId="2" borderId="3" xfId="2" applyNumberFormat="1" applyFont="1" applyFill="1" applyBorder="1"/>
    <xf numFmtId="5" fontId="3" fillId="0" borderId="0" xfId="3" applyNumberFormat="1" applyFont="1"/>
    <xf numFmtId="0" fontId="3" fillId="0" borderId="0" xfId="3" applyFont="1"/>
    <xf numFmtId="165" fontId="2" fillId="0" borderId="1" xfId="1" applyNumberFormat="1" applyFont="1" applyFill="1" applyBorder="1" applyAlignment="1"/>
    <xf numFmtId="166" fontId="9" fillId="0" borderId="0" xfId="3" applyNumberFormat="1" applyFont="1" applyFill="1" applyAlignment="1">
      <alignment horizontal="right"/>
    </xf>
    <xf numFmtId="165" fontId="25" fillId="0" borderId="2" xfId="1" applyNumberFormat="1" applyFont="1" applyFill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6" xfId="0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11" xfId="0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1" xfId="0" applyFill="1" applyBorder="1"/>
    <xf numFmtId="0" fontId="0" fillId="0" borderId="16" xfId="0" applyFill="1" applyBorder="1"/>
    <xf numFmtId="5" fontId="24" fillId="0" borderId="12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3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4</xdr:col>
      <xdr:colOff>0</xdr:colOff>
      <xdr:row>0</xdr:row>
      <xdr:rowOff>47625</xdr:rowOff>
    </xdr:to>
    <xdr:sp macro="" textlink="">
      <xdr:nvSpPr>
        <xdr:cNvPr id="31745" name="Line 1">
          <a:extLst>
            <a:ext uri="{FF2B5EF4-FFF2-40B4-BE49-F238E27FC236}">
              <a16:creationId xmlns:a16="http://schemas.microsoft.com/office/drawing/2014/main" id="{C0C96768-E641-6297-B089-1D551CD2D076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85725</xdr:rowOff>
    </xdr:from>
    <xdr:to>
      <xdr:col>8</xdr:col>
      <xdr:colOff>0</xdr:colOff>
      <xdr:row>3</xdr:row>
      <xdr:rowOff>85725</xdr:rowOff>
    </xdr:to>
    <xdr:sp macro="" textlink="">
      <xdr:nvSpPr>
        <xdr:cNvPr id="31746" name="Line 2">
          <a:extLst>
            <a:ext uri="{FF2B5EF4-FFF2-40B4-BE49-F238E27FC236}">
              <a16:creationId xmlns:a16="http://schemas.microsoft.com/office/drawing/2014/main" id="{AAE3CBCF-F6E6-6FCB-51F6-56AC2B3E7601}"/>
            </a:ext>
          </a:extLst>
        </xdr:cNvPr>
        <xdr:cNvSpPr>
          <a:spLocks noChangeShapeType="1"/>
        </xdr:cNvSpPr>
      </xdr:nvSpPr>
      <xdr:spPr bwMode="auto">
        <a:xfrm flipH="1">
          <a:off x="3286125" y="72390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D007290D-D537-2616-591B-7499FB48EF17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60483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4EA59782-837F-99CB-F073-DBFC8701EE4A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60483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B984CF92-81F8-BBFD-6DE3-3C9359E65C35}"/>
            </a:ext>
          </a:extLst>
        </xdr:cNvPr>
        <xdr:cNvSpPr>
          <a:spLocks noChangeShapeType="1"/>
        </xdr:cNvSpPr>
      </xdr:nvSpPr>
      <xdr:spPr bwMode="auto">
        <a:xfrm flipH="1">
          <a:off x="2876550" y="723900"/>
          <a:ext cx="8915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>
          <a:extLst>
            <a:ext uri="{FF2B5EF4-FFF2-40B4-BE49-F238E27FC236}">
              <a16:creationId xmlns:a16="http://schemas.microsoft.com/office/drawing/2014/main" id="{6FCC1005-51EC-71B5-286E-775FE9CC1D4F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>
          <a:extLst>
            <a:ext uri="{FF2B5EF4-FFF2-40B4-BE49-F238E27FC236}">
              <a16:creationId xmlns:a16="http://schemas.microsoft.com/office/drawing/2014/main" id="{DB1B65D3-4288-3BE2-939E-4FBA7563DBD6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>
          <a:extLst>
            <a:ext uri="{FF2B5EF4-FFF2-40B4-BE49-F238E27FC236}">
              <a16:creationId xmlns:a16="http://schemas.microsoft.com/office/drawing/2014/main" id="{FEFAB975-6C74-401F-580D-0ABB42C78127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1-2000/MgmtSum-Q1-0331-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3Q%202000/MgmtSum-Q3-07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Upside Downside"/>
      <sheetName val="Rollforward"/>
      <sheetName val="Web_Summary"/>
      <sheetName val="Summary"/>
      <sheetName val="Summary YTD"/>
      <sheetName val="Summary YTD-Qtr"/>
      <sheetName val="GrossMargin"/>
      <sheetName val="GM-D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>
        <row r="21">
          <cell r="C21">
            <v>14243</v>
          </cell>
        </row>
        <row r="22">
          <cell r="C22">
            <v>13235</v>
          </cell>
        </row>
        <row r="23">
          <cell r="C23">
            <v>14164</v>
          </cell>
        </row>
        <row r="24">
          <cell r="C24">
            <v>2697</v>
          </cell>
        </row>
        <row r="26">
          <cell r="C26">
            <v>4656</v>
          </cell>
        </row>
        <row r="30">
          <cell r="C30">
            <v>12234</v>
          </cell>
        </row>
        <row r="35">
          <cell r="C35">
            <v>15379</v>
          </cell>
        </row>
        <row r="37">
          <cell r="C37">
            <v>7921</v>
          </cell>
        </row>
        <row r="38">
          <cell r="C38">
            <v>6483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22">
          <cell r="D22">
            <v>20493</v>
          </cell>
        </row>
        <row r="23">
          <cell r="D23">
            <v>13235</v>
          </cell>
        </row>
        <row r="24">
          <cell r="D24">
            <v>22861</v>
          </cell>
        </row>
        <row r="25">
          <cell r="D25">
            <v>18711</v>
          </cell>
        </row>
        <row r="26">
          <cell r="D26">
            <v>6212</v>
          </cell>
        </row>
        <row r="27">
          <cell r="D27">
            <v>11556</v>
          </cell>
        </row>
        <row r="28">
          <cell r="D28">
            <v>18423</v>
          </cell>
        </row>
        <row r="29">
          <cell r="D29">
            <v>10746</v>
          </cell>
        </row>
        <row r="30">
          <cell r="D30">
            <v>1690</v>
          </cell>
        </row>
        <row r="31">
          <cell r="D31">
            <v>7712</v>
          </cell>
        </row>
        <row r="32">
          <cell r="D32">
            <v>4656</v>
          </cell>
        </row>
        <row r="35">
          <cell r="D35">
            <v>15385</v>
          </cell>
        </row>
        <row r="36">
          <cell r="D36">
            <v>2000</v>
          </cell>
        </row>
        <row r="37">
          <cell r="D37">
            <v>14705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22">
          <cell r="D22">
            <v>19618</v>
          </cell>
          <cell r="E22">
            <v>-19488</v>
          </cell>
        </row>
        <row r="23">
          <cell r="D23">
            <v>17163</v>
          </cell>
          <cell r="E23">
            <v>-8751</v>
          </cell>
        </row>
        <row r="24">
          <cell r="D24">
            <v>28361</v>
          </cell>
          <cell r="E24">
            <v>-27956</v>
          </cell>
        </row>
        <row r="25">
          <cell r="D25">
            <v>18712</v>
          </cell>
          <cell r="E25">
            <v>-15159</v>
          </cell>
        </row>
        <row r="26">
          <cell r="D26">
            <v>6373.5</v>
          </cell>
          <cell r="E26">
            <v>-6274.5</v>
          </cell>
        </row>
        <row r="27">
          <cell r="D27">
            <v>11556</v>
          </cell>
          <cell r="E27">
            <v>-13598</v>
          </cell>
        </row>
        <row r="28">
          <cell r="D28">
            <v>20615</v>
          </cell>
          <cell r="E28">
            <v>-13017</v>
          </cell>
        </row>
        <row r="29">
          <cell r="D29">
            <v>10278</v>
          </cell>
          <cell r="E29">
            <v>-1157</v>
          </cell>
        </row>
        <row r="30">
          <cell r="D30">
            <v>1690</v>
          </cell>
          <cell r="E30">
            <v>-131</v>
          </cell>
        </row>
        <row r="31">
          <cell r="D31">
            <v>7712</v>
          </cell>
          <cell r="E31">
            <v>-7712</v>
          </cell>
        </row>
        <row r="32">
          <cell r="D32">
            <v>4656</v>
          </cell>
          <cell r="E32">
            <v>-4656</v>
          </cell>
        </row>
        <row r="33">
          <cell r="D33">
            <v>146734.5</v>
          </cell>
          <cell r="E33">
            <v>-117899.5</v>
          </cell>
        </row>
        <row r="35">
          <cell r="D35">
            <v>15390</v>
          </cell>
          <cell r="E35">
            <v>-33723</v>
          </cell>
        </row>
        <row r="36">
          <cell r="D36">
            <v>5000</v>
          </cell>
          <cell r="E36">
            <v>-5862</v>
          </cell>
        </row>
        <row r="37">
          <cell r="D37">
            <v>13905</v>
          </cell>
          <cell r="E37">
            <v>-39061</v>
          </cell>
        </row>
        <row r="38">
          <cell r="D38">
            <v>34295</v>
          </cell>
          <cell r="E38">
            <v>-78646</v>
          </cell>
        </row>
        <row r="41">
          <cell r="D41">
            <v>0</v>
          </cell>
          <cell r="E41">
            <v>-55573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5">
          <cell r="J25">
            <v>130</v>
          </cell>
        </row>
        <row r="26">
          <cell r="J26">
            <v>8412</v>
          </cell>
        </row>
        <row r="27">
          <cell r="J27">
            <v>405</v>
          </cell>
        </row>
        <row r="28">
          <cell r="J28">
            <v>3553</v>
          </cell>
        </row>
        <row r="29">
          <cell r="J29">
            <v>99</v>
          </cell>
        </row>
        <row r="30">
          <cell r="J30">
            <v>-2042</v>
          </cell>
        </row>
        <row r="31">
          <cell r="J31">
            <v>7598</v>
          </cell>
        </row>
        <row r="32">
          <cell r="J32">
            <v>9121</v>
          </cell>
        </row>
        <row r="33">
          <cell r="J33">
            <v>1559</v>
          </cell>
        </row>
        <row r="34">
          <cell r="J34">
            <v>0</v>
          </cell>
        </row>
        <row r="35">
          <cell r="J35">
            <v>0</v>
          </cell>
        </row>
        <row r="40">
          <cell r="J40">
            <v>-18333</v>
          </cell>
        </row>
        <row r="41">
          <cell r="J41">
            <v>-862</v>
          </cell>
        </row>
        <row r="44">
          <cell r="J44">
            <v>-25156</v>
          </cell>
        </row>
        <row r="50">
          <cell r="J50">
            <v>-55573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I16" sqref="I16"/>
    </sheetView>
  </sheetViews>
  <sheetFormatPr defaultRowHeight="12.75" x14ac:dyDescent="0.2"/>
  <cols>
    <col min="1" max="1" width="21.85546875" customWidth="1"/>
  </cols>
  <sheetData>
    <row r="1" spans="1:19" s="1" customFormat="1" ht="9.75" customHeight="1" x14ac:dyDescent="0.25">
      <c r="A1" s="11"/>
      <c r="B1" s="14"/>
      <c r="C1" s="14"/>
      <c r="D1" s="14"/>
    </row>
    <row r="2" spans="1:19" s="18" customFormat="1" ht="27" customHeight="1" x14ac:dyDescent="0.4">
      <c r="A2" s="15" t="s">
        <v>13</v>
      </c>
      <c r="B2" s="15"/>
      <c r="C2" s="15"/>
      <c r="D2" s="15"/>
      <c r="E2" s="17"/>
      <c r="F2" s="17"/>
      <c r="G2" s="17"/>
      <c r="H2" s="31"/>
    </row>
    <row r="3" spans="1:19" s="19" customFormat="1" ht="13.5" customHeight="1" x14ac:dyDescent="0.2">
      <c r="B3" s="55"/>
      <c r="C3" s="55"/>
      <c r="D3" s="55"/>
      <c r="E3" s="168"/>
      <c r="F3" s="168"/>
      <c r="G3" s="168"/>
      <c r="H3" s="168"/>
    </row>
    <row r="4" spans="1:19" s="19" customFormat="1" ht="15" customHeight="1" x14ac:dyDescent="0.2">
      <c r="B4" s="55"/>
      <c r="C4" s="55"/>
      <c r="D4" s="55"/>
      <c r="E4" s="21"/>
      <c r="F4" s="21"/>
      <c r="G4" s="21"/>
      <c r="H4" s="21"/>
    </row>
    <row r="6" spans="1:19" x14ac:dyDescent="0.2">
      <c r="A6" s="152"/>
    </row>
    <row r="7" spans="1:19" s="132" customFormat="1" ht="15.75" x14ac:dyDescent="0.2">
      <c r="A7" s="138" t="s">
        <v>202</v>
      </c>
    </row>
    <row r="8" spans="1:19" s="132" customFormat="1" ht="15.75" x14ac:dyDescent="0.2">
      <c r="A8" s="133" t="s">
        <v>201</v>
      </c>
      <c r="B8" s="133"/>
      <c r="C8" s="133" t="s">
        <v>200</v>
      </c>
      <c r="F8" s="133"/>
      <c r="G8" s="134" t="s">
        <v>20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</row>
    <row r="9" spans="1:19" s="132" customFormat="1" ht="15.75" x14ac:dyDescent="0.2">
      <c r="A9" s="135" t="s">
        <v>199</v>
      </c>
      <c r="B9" s="135"/>
      <c r="C9" s="135" t="s">
        <v>4</v>
      </c>
      <c r="F9" s="135"/>
      <c r="G9" s="136">
        <v>3000</v>
      </c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1:19" s="132" customFormat="1" ht="15.75" x14ac:dyDescent="0.2">
      <c r="A10" s="135" t="s">
        <v>133</v>
      </c>
      <c r="B10" s="135"/>
      <c r="C10" s="135" t="s">
        <v>206</v>
      </c>
      <c r="F10" s="135"/>
      <c r="G10" s="136">
        <v>19216</v>
      </c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</row>
    <row r="11" spans="1:19" s="132" customFormat="1" ht="15.75" x14ac:dyDescent="0.2">
      <c r="A11" s="135" t="s">
        <v>153</v>
      </c>
      <c r="B11" s="135"/>
      <c r="C11" s="135" t="s">
        <v>5</v>
      </c>
      <c r="F11" s="135"/>
      <c r="G11" s="136">
        <v>9100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</row>
    <row r="12" spans="1:19" s="132" customFormat="1" ht="15.75" x14ac:dyDescent="0.2">
      <c r="A12" s="135" t="s">
        <v>185</v>
      </c>
      <c r="B12" s="135"/>
      <c r="C12" s="135"/>
      <c r="F12" s="135"/>
      <c r="G12" s="136">
        <f>SUM(G13:G15)</f>
        <v>1390.2329999999999</v>
      </c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</row>
    <row r="13" spans="1:19" s="132" customFormat="1" ht="15.75" hidden="1" x14ac:dyDescent="0.2">
      <c r="A13" s="135" t="s">
        <v>195</v>
      </c>
      <c r="B13" s="135"/>
      <c r="C13" s="135" t="s">
        <v>4</v>
      </c>
      <c r="F13" s="135"/>
      <c r="G13" s="136">
        <v>727.23299999999995</v>
      </c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</row>
    <row r="14" spans="1:19" s="132" customFormat="1" ht="15.75" hidden="1" x14ac:dyDescent="0.2">
      <c r="A14" s="135" t="s">
        <v>154</v>
      </c>
      <c r="B14" s="135"/>
      <c r="C14" s="135" t="s">
        <v>5</v>
      </c>
      <c r="F14" s="135"/>
      <c r="G14" s="136">
        <v>580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</row>
    <row r="15" spans="1:19" s="132" customFormat="1" ht="15.75" hidden="1" x14ac:dyDescent="0.2">
      <c r="A15" s="135" t="s">
        <v>208</v>
      </c>
      <c r="B15" s="135"/>
      <c r="C15" s="135" t="s">
        <v>4</v>
      </c>
      <c r="F15" s="135"/>
      <c r="G15" s="136">
        <v>83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</row>
    <row r="16" spans="1:19" s="132" customFormat="1" ht="16.5" thickBot="1" x14ac:dyDescent="0.3">
      <c r="A16" s="101"/>
      <c r="B16" s="3"/>
      <c r="C16" s="135"/>
      <c r="D16" s="135"/>
      <c r="F16" s="135"/>
      <c r="G16" s="137">
        <f>+G9+G10+G11+G12</f>
        <v>32706.233</v>
      </c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</row>
    <row r="17" spans="1:19" ht="17.25" thickTop="1" x14ac:dyDescent="0.2">
      <c r="A17" s="135"/>
      <c r="B17" s="135"/>
      <c r="C17" s="135"/>
      <c r="D17" s="132"/>
      <c r="E17" s="132"/>
      <c r="F17" s="135"/>
      <c r="G17" s="136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1:19" ht="16.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1:19" ht="16.5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</row>
    <row r="20" spans="1:19" ht="16.5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</row>
    <row r="21" spans="1:19" ht="16.5" x14ac:dyDescent="0.2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 spans="1:19" ht="16.5" x14ac:dyDescent="0.2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1:19" ht="16.5" x14ac:dyDescent="0.2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1:19" ht="16.5" x14ac:dyDescent="0.2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1:19" ht="16.5" x14ac:dyDescent="0.2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1:19" ht="16.5" x14ac:dyDescent="0.2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1:19" ht="16.5" x14ac:dyDescent="0.2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</row>
    <row r="28" spans="1:19" ht="16.5" x14ac:dyDescent="0.2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</row>
    <row r="29" spans="1:19" ht="16.5" x14ac:dyDescent="0.2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</row>
    <row r="30" spans="1:19" ht="16.5" x14ac:dyDescent="0.2">
      <c r="A30" s="131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</row>
    <row r="31" spans="1:19" ht="16.5" x14ac:dyDescent="0.2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</row>
    <row r="32" spans="1:19" ht="16.5" x14ac:dyDescent="0.2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</row>
    <row r="33" spans="1:19" ht="16.5" x14ac:dyDescent="0.2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</row>
    <row r="34" spans="1:19" ht="16.5" x14ac:dyDescent="0.2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</row>
    <row r="35" spans="1:19" ht="16.5" x14ac:dyDescent="0.2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</row>
    <row r="36" spans="1:19" ht="16.5" x14ac:dyDescent="0.2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</row>
    <row r="37" spans="1:19" ht="16.5" x14ac:dyDescent="0.2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</row>
    <row r="38" spans="1:19" ht="16.5" x14ac:dyDescent="0.2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</row>
    <row r="39" spans="1:19" ht="16.5" x14ac:dyDescent="0.2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</row>
    <row r="40" spans="1:19" ht="16.5" x14ac:dyDescent="0.2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</row>
    <row r="41" spans="1:19" ht="16.5" x14ac:dyDescent="0.2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</row>
    <row r="42" spans="1:19" ht="16.5" x14ac:dyDescent="0.2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</row>
    <row r="43" spans="1:19" ht="16.5" x14ac:dyDescent="0.2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</row>
    <row r="44" spans="1:19" ht="16.5" x14ac:dyDescent="0.2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</row>
    <row r="45" spans="1:19" ht="16.5" x14ac:dyDescent="0.2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</row>
    <row r="46" spans="1:19" ht="16.5" x14ac:dyDescent="0.2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</row>
    <row r="47" spans="1:19" ht="16.5" x14ac:dyDescent="0.2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</row>
    <row r="48" spans="1:19" ht="16.5" x14ac:dyDescent="0.2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</row>
    <row r="49" spans="1:19" ht="16.5" x14ac:dyDescent="0.2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</row>
    <row r="50" spans="1:19" ht="16.5" x14ac:dyDescent="0.2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</row>
    <row r="51" spans="1:19" ht="16.5" x14ac:dyDescent="0.2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</row>
    <row r="52" spans="1:19" ht="16.5" x14ac:dyDescent="0.2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</row>
    <row r="53" spans="1:19" ht="16.5" x14ac:dyDescent="0.2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</row>
    <row r="54" spans="1:19" ht="16.5" x14ac:dyDescent="0.2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</row>
    <row r="55" spans="1:19" ht="16.5" x14ac:dyDescent="0.2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</row>
    <row r="56" spans="1:19" ht="16.5" x14ac:dyDescent="0.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19" ht="16.5" x14ac:dyDescent="0.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19" ht="16.5" x14ac:dyDescent="0.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19" ht="16.5" x14ac:dyDescent="0.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19" ht="16.5" x14ac:dyDescent="0.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19" ht="16.5" x14ac:dyDescent="0.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19" ht="16.5" x14ac:dyDescent="0.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19" ht="16.5" x14ac:dyDescent="0.2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19" ht="16.5" x14ac:dyDescent="0.2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t="16.5" x14ac:dyDescent="0.2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t="16.5" x14ac:dyDescent="0.2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16.5" x14ac:dyDescent="0.2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</row>
    <row r="68" spans="1:19" ht="16.5" x14ac:dyDescent="0.2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</row>
    <row r="69" spans="1:19" ht="16.5" x14ac:dyDescent="0.2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</row>
    <row r="70" spans="1:19" ht="16.5" x14ac:dyDescent="0.2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</row>
    <row r="71" spans="1:19" ht="16.5" x14ac:dyDescent="0.2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</row>
    <row r="72" spans="1:19" ht="16.5" x14ac:dyDescent="0.2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</row>
    <row r="73" spans="1:19" ht="16.5" x14ac:dyDescent="0.2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</row>
    <row r="74" spans="1:19" ht="16.5" x14ac:dyDescent="0.2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</row>
    <row r="75" spans="1:19" ht="16.5" x14ac:dyDescent="0.2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</row>
    <row r="76" spans="1:19" ht="16.5" x14ac:dyDescent="0.2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</row>
    <row r="77" spans="1:19" ht="16.5" x14ac:dyDescent="0.2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</row>
    <row r="78" spans="1:19" ht="16.5" x14ac:dyDescent="0.2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</row>
    <row r="79" spans="1:19" ht="16.5" x14ac:dyDescent="0.2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</row>
    <row r="80" spans="1:19" ht="16.5" x14ac:dyDescent="0.2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</row>
    <row r="81" spans="1:19" ht="16.5" x14ac:dyDescent="0.2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</row>
    <row r="82" spans="1:19" ht="16.5" x14ac:dyDescent="0.2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</row>
    <row r="83" spans="1:19" ht="16.5" x14ac:dyDescent="0.2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</row>
    <row r="84" spans="1:19" ht="16.5" x14ac:dyDescent="0.2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</row>
    <row r="85" spans="1:19" ht="16.5" x14ac:dyDescent="0.2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</row>
    <row r="86" spans="1:19" ht="16.5" x14ac:dyDescent="0.2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</row>
    <row r="87" spans="1:19" ht="16.5" x14ac:dyDescent="0.2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</row>
    <row r="88" spans="1:19" ht="16.5" x14ac:dyDescent="0.2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</row>
    <row r="89" spans="1:19" ht="16.5" x14ac:dyDescent="0.2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</row>
    <row r="90" spans="1:19" ht="16.5" x14ac:dyDescent="0.2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</row>
    <row r="91" spans="1:19" ht="16.5" x14ac:dyDescent="0.2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</row>
    <row r="92" spans="1:19" ht="16.5" x14ac:dyDescent="0.2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</row>
    <row r="93" spans="1:19" ht="16.5" x14ac:dyDescent="0.2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</row>
    <row r="94" spans="1:19" ht="16.5" x14ac:dyDescent="0.2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</row>
    <row r="95" spans="1:19" ht="16.5" x14ac:dyDescent="0.2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</row>
    <row r="96" spans="1:19" ht="16.5" x14ac:dyDescent="0.2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</row>
    <row r="97" spans="1:19" ht="16.5" x14ac:dyDescent="0.2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</row>
    <row r="98" spans="1:19" ht="16.5" x14ac:dyDescent="0.2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</row>
    <row r="99" spans="1:19" ht="16.5" x14ac:dyDescent="0.2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</row>
    <row r="100" spans="1:19" ht="16.5" x14ac:dyDescent="0.2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</row>
    <row r="101" spans="1:19" ht="16.5" x14ac:dyDescent="0.2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</row>
    <row r="102" spans="1:19" ht="16.5" x14ac:dyDescent="0.2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</row>
    <row r="103" spans="1:19" ht="16.5" x14ac:dyDescent="0.2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</row>
    <row r="104" spans="1:19" ht="16.5" x14ac:dyDescent="0.2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</row>
    <row r="105" spans="1:19" ht="16.5" x14ac:dyDescent="0.2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</row>
    <row r="106" spans="1:19" ht="16.5" x14ac:dyDescent="0.2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</row>
    <row r="107" spans="1:19" ht="16.5" x14ac:dyDescent="0.2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</row>
    <row r="108" spans="1:19" ht="16.5" x14ac:dyDescent="0.2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</row>
  </sheetData>
  <mergeCells count="1">
    <mergeCell ref="E3:H3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88"/>
  <sheetViews>
    <sheetView zoomScale="85" zoomScaleNormal="75" workbookViewId="0">
      <pane xSplit="2" ySplit="5" topLeftCell="C6" activePane="bottomRight" state="frozen"/>
      <selection activeCell="E192" sqref="E192"/>
      <selection pane="topRight" activeCell="E192" sqref="E192"/>
      <selection pane="bottomLeft" activeCell="E192" sqref="E192"/>
      <selection pane="bottomRight"/>
    </sheetView>
  </sheetViews>
  <sheetFormatPr defaultRowHeight="12.75" x14ac:dyDescent="0.25"/>
  <cols>
    <col min="1" max="2" width="2.7109375" style="11" customWidth="1"/>
    <col min="3" max="3" width="23.5703125" style="1" customWidth="1"/>
    <col min="4" max="4" width="9.140625" style="1"/>
    <col min="5" max="5" width="6" style="1" customWidth="1"/>
    <col min="6" max="6" width="20.7109375" style="1" customWidth="1"/>
    <col min="7" max="7" width="8" style="1" customWidth="1"/>
    <col min="8" max="8" width="6.5703125" style="1" customWidth="1"/>
    <col min="9" max="9" width="11.28515625" style="1" customWidth="1"/>
    <col min="10" max="10" width="7.7109375" style="1" customWidth="1"/>
    <col min="11" max="11" width="6.7109375" style="1" customWidth="1"/>
    <col min="12" max="12" width="22.28515625" style="1" customWidth="1"/>
    <col min="13" max="13" width="7.7109375" style="1" customWidth="1"/>
    <col min="14" max="14" width="6.28515625" style="1" customWidth="1"/>
    <col min="15" max="15" width="21.140625" style="1" customWidth="1"/>
    <col min="16" max="16" width="7.7109375" style="1" customWidth="1"/>
    <col min="17" max="17" width="6.5703125" style="1" customWidth="1"/>
    <col min="18" max="16384" width="9.140625" style="1"/>
  </cols>
  <sheetData>
    <row r="1" spans="1:17" ht="9.75" customHeight="1" x14ac:dyDescent="0.25">
      <c r="B1" s="14"/>
      <c r="O1" s="14"/>
      <c r="P1" s="14"/>
      <c r="Q1" s="11"/>
    </row>
    <row r="2" spans="1:17" s="18" customFormat="1" ht="27" customHeight="1" x14ac:dyDescent="0.4">
      <c r="A2" s="15" t="s">
        <v>13</v>
      </c>
      <c r="B2" s="15"/>
      <c r="C2" s="17"/>
      <c r="D2" s="17"/>
      <c r="E2" s="17"/>
      <c r="F2" s="17"/>
      <c r="G2" s="17"/>
      <c r="H2" s="17"/>
      <c r="I2" s="119"/>
      <c r="J2" s="17"/>
      <c r="K2" s="17"/>
      <c r="L2" s="17"/>
      <c r="M2" s="17"/>
      <c r="O2" s="16"/>
      <c r="P2" s="16"/>
      <c r="Q2" s="31" t="s">
        <v>58</v>
      </c>
    </row>
    <row r="3" spans="1:17" s="19" customFormat="1" ht="13.5" customHeight="1" x14ac:dyDescent="0.2">
      <c r="B3" s="55"/>
      <c r="C3" s="21"/>
      <c r="D3" s="21"/>
      <c r="E3" s="21"/>
      <c r="F3" s="21"/>
      <c r="G3" s="21"/>
      <c r="H3" s="21"/>
      <c r="J3" s="154"/>
      <c r="K3" s="154"/>
      <c r="L3" s="154"/>
      <c r="M3" s="154"/>
      <c r="N3" s="154"/>
      <c r="P3" s="20"/>
      <c r="Q3" s="154" t="s">
        <v>253</v>
      </c>
    </row>
    <row r="4" spans="1:17" s="19" customFormat="1" ht="15" customHeight="1" x14ac:dyDescent="0.2">
      <c r="B4" s="5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0"/>
      <c r="P4" s="20"/>
      <c r="Q4" s="21"/>
    </row>
    <row r="5" spans="1:17" ht="16.5" x14ac:dyDescent="0.25">
      <c r="C5" s="155" t="s">
        <v>14</v>
      </c>
      <c r="D5" s="156"/>
      <c r="E5" s="157"/>
      <c r="F5" s="155" t="s">
        <v>15</v>
      </c>
      <c r="G5" s="156"/>
      <c r="H5" s="157"/>
      <c r="I5" s="155" t="s">
        <v>209</v>
      </c>
      <c r="J5" s="156"/>
      <c r="K5" s="157"/>
      <c r="L5" s="155" t="s">
        <v>16</v>
      </c>
      <c r="M5" s="156"/>
      <c r="N5" s="157"/>
      <c r="O5" s="155" t="s">
        <v>213</v>
      </c>
      <c r="P5" s="156"/>
      <c r="Q5" s="157"/>
    </row>
    <row r="6" spans="1:17" ht="16.5" thickBot="1" x14ac:dyDescent="0.45">
      <c r="A6" s="169" t="s">
        <v>17</v>
      </c>
      <c r="B6" s="172" t="s">
        <v>18</v>
      </c>
      <c r="C6" s="44" t="s">
        <v>19</v>
      </c>
      <c r="D6" s="45" t="s">
        <v>20</v>
      </c>
      <c r="E6" s="46">
        <f>COUNTA(C7:C20)</f>
        <v>12</v>
      </c>
      <c r="F6" s="44" t="s">
        <v>19</v>
      </c>
      <c r="G6" s="45" t="s">
        <v>20</v>
      </c>
      <c r="H6" s="46">
        <f>COUNTA(F7:F20)</f>
        <v>9</v>
      </c>
      <c r="I6" s="44"/>
      <c r="J6" s="45"/>
      <c r="K6" s="46">
        <f>+E6+H6</f>
        <v>21</v>
      </c>
      <c r="L6" s="44" t="s">
        <v>19</v>
      </c>
      <c r="M6" s="45" t="s">
        <v>20</v>
      </c>
      <c r="N6" s="46">
        <f>COUNTA(L7:L20)</f>
        <v>0</v>
      </c>
      <c r="O6" s="44" t="s">
        <v>19</v>
      </c>
      <c r="P6" s="45" t="s">
        <v>20</v>
      </c>
      <c r="Q6" s="46">
        <f>COUNTA(O7:O20)</f>
        <v>0</v>
      </c>
    </row>
    <row r="7" spans="1:17" x14ac:dyDescent="0.25">
      <c r="A7" s="175"/>
      <c r="B7" s="177"/>
      <c r="C7" s="8" t="s">
        <v>87</v>
      </c>
      <c r="D7" s="3">
        <v>10000</v>
      </c>
      <c r="E7" s="4"/>
      <c r="F7" s="8" t="s">
        <v>156</v>
      </c>
      <c r="G7" s="3">
        <v>15000</v>
      </c>
      <c r="H7" s="4"/>
      <c r="I7" s="2"/>
      <c r="J7" s="3"/>
      <c r="K7" s="4"/>
      <c r="L7" s="2"/>
      <c r="M7" s="3"/>
      <c r="N7" s="4"/>
      <c r="O7" s="2"/>
      <c r="P7" s="3"/>
      <c r="Q7" s="4"/>
    </row>
    <row r="8" spans="1:17" x14ac:dyDescent="0.25">
      <c r="A8" s="175"/>
      <c r="B8" s="177"/>
      <c r="C8" s="7" t="s">
        <v>52</v>
      </c>
      <c r="D8" s="3">
        <v>6000</v>
      </c>
      <c r="E8" s="4"/>
      <c r="F8" s="8" t="s">
        <v>54</v>
      </c>
      <c r="G8" s="3">
        <v>10000</v>
      </c>
      <c r="H8" s="4"/>
      <c r="I8" s="2"/>
      <c r="J8" s="3"/>
      <c r="K8" s="4"/>
      <c r="L8" s="2"/>
      <c r="M8" s="3"/>
      <c r="N8" s="4"/>
      <c r="O8" s="2"/>
      <c r="P8" s="3"/>
      <c r="Q8" s="4"/>
    </row>
    <row r="9" spans="1:17" ht="13.5" x14ac:dyDescent="0.25">
      <c r="A9" s="175"/>
      <c r="B9" s="177"/>
      <c r="C9" s="7" t="s">
        <v>159</v>
      </c>
      <c r="D9" s="3">
        <v>5000</v>
      </c>
      <c r="E9" s="4"/>
      <c r="F9" s="8" t="s">
        <v>53</v>
      </c>
      <c r="G9" s="3">
        <v>10000</v>
      </c>
      <c r="H9" s="4"/>
      <c r="I9" s="2"/>
      <c r="J9" s="3"/>
      <c r="K9" s="4"/>
      <c r="L9" s="2"/>
      <c r="M9" s="3"/>
      <c r="N9" s="4"/>
      <c r="O9" s="100"/>
      <c r="P9" s="3"/>
      <c r="Q9" s="4"/>
    </row>
    <row r="10" spans="1:17" ht="13.5" x14ac:dyDescent="0.25">
      <c r="A10" s="175"/>
      <c r="B10" s="177"/>
      <c r="C10" s="7" t="s">
        <v>158</v>
      </c>
      <c r="D10" s="3">
        <v>5000</v>
      </c>
      <c r="E10" s="4"/>
      <c r="F10" s="8" t="s">
        <v>161</v>
      </c>
      <c r="G10" s="3">
        <v>8725</v>
      </c>
      <c r="H10" s="4"/>
      <c r="I10" s="2"/>
      <c r="J10" s="3"/>
      <c r="K10" s="4"/>
      <c r="L10" s="2"/>
      <c r="M10" s="3"/>
      <c r="N10" s="4"/>
      <c r="O10" s="100"/>
      <c r="P10" s="3"/>
      <c r="Q10" s="4"/>
    </row>
    <row r="11" spans="1:17" x14ac:dyDescent="0.25">
      <c r="A11" s="175"/>
      <c r="B11" s="177"/>
      <c r="C11" s="8" t="s">
        <v>94</v>
      </c>
      <c r="D11" s="3">
        <v>5000</v>
      </c>
      <c r="E11" s="4"/>
      <c r="F11" s="8" t="s">
        <v>122</v>
      </c>
      <c r="G11" s="3">
        <v>8000</v>
      </c>
      <c r="H11" s="4"/>
      <c r="I11" s="2"/>
      <c r="J11" s="3"/>
      <c r="K11" s="4"/>
      <c r="L11" s="2"/>
      <c r="M11" s="3"/>
      <c r="N11" s="4"/>
      <c r="O11" s="2"/>
      <c r="P11" s="3"/>
      <c r="Q11" s="4"/>
    </row>
    <row r="12" spans="1:17" x14ac:dyDescent="0.25">
      <c r="A12" s="175"/>
      <c r="B12" s="177"/>
      <c r="C12" s="8" t="s">
        <v>55</v>
      </c>
      <c r="D12" s="3">
        <v>4000</v>
      </c>
      <c r="E12" s="4"/>
      <c r="F12" s="8" t="s">
        <v>121</v>
      </c>
      <c r="G12" s="3">
        <v>8000</v>
      </c>
      <c r="H12" s="4"/>
      <c r="I12" s="2"/>
      <c r="J12" s="3"/>
      <c r="K12" s="4"/>
      <c r="L12" s="2"/>
      <c r="M12" s="3"/>
      <c r="N12" s="4"/>
      <c r="O12" s="2"/>
      <c r="P12" s="3"/>
      <c r="Q12" s="4"/>
    </row>
    <row r="13" spans="1:17" x14ac:dyDescent="0.25">
      <c r="A13" s="175"/>
      <c r="B13" s="177"/>
      <c r="C13" s="8" t="s">
        <v>86</v>
      </c>
      <c r="D13" s="3">
        <v>750</v>
      </c>
      <c r="E13" s="4"/>
      <c r="F13" s="8" t="s">
        <v>157</v>
      </c>
      <c r="G13" s="3">
        <v>4600</v>
      </c>
      <c r="H13" s="4"/>
      <c r="I13" s="2"/>
      <c r="J13" s="3"/>
      <c r="K13" s="4"/>
      <c r="L13" s="2"/>
      <c r="M13" s="3"/>
      <c r="N13" s="4"/>
      <c r="O13" s="2"/>
      <c r="P13" s="3"/>
      <c r="Q13" s="4"/>
    </row>
    <row r="14" spans="1:17" x14ac:dyDescent="0.25">
      <c r="A14" s="175"/>
      <c r="B14" s="177"/>
      <c r="C14" s="8" t="s">
        <v>195</v>
      </c>
      <c r="D14" s="3">
        <v>175</v>
      </c>
      <c r="E14" s="4"/>
      <c r="F14" s="8" t="s">
        <v>56</v>
      </c>
      <c r="G14" s="3">
        <v>2000</v>
      </c>
      <c r="H14" s="4"/>
      <c r="I14" s="2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75"/>
      <c r="B15" s="177"/>
      <c r="C15" s="8" t="s">
        <v>120</v>
      </c>
      <c r="D15" s="3">
        <v>0</v>
      </c>
      <c r="E15" s="4"/>
      <c r="F15" s="8" t="s">
        <v>160</v>
      </c>
      <c r="G15" s="3">
        <v>2000</v>
      </c>
      <c r="H15" s="4"/>
      <c r="I15" s="2"/>
      <c r="J15" s="3"/>
      <c r="K15" s="4"/>
      <c r="L15" s="2"/>
      <c r="M15" s="3"/>
      <c r="N15" s="4"/>
      <c r="O15" s="2"/>
      <c r="P15" s="3"/>
      <c r="Q15" s="4"/>
    </row>
    <row r="16" spans="1:17" x14ac:dyDescent="0.25">
      <c r="A16" s="175"/>
      <c r="B16" s="177"/>
      <c r="C16" s="8" t="s">
        <v>148</v>
      </c>
      <c r="D16" s="3">
        <v>0</v>
      </c>
      <c r="E16" s="4"/>
      <c r="F16" s="3"/>
      <c r="G16" s="3"/>
      <c r="H16" s="4"/>
      <c r="I16" s="2"/>
      <c r="J16" s="3"/>
      <c r="K16" s="4"/>
      <c r="L16" s="2"/>
      <c r="M16" s="3"/>
      <c r="N16" s="4"/>
      <c r="O16" s="2"/>
      <c r="P16" s="3"/>
      <c r="Q16" s="4"/>
    </row>
    <row r="17" spans="1:17" x14ac:dyDescent="0.25">
      <c r="A17" s="175"/>
      <c r="B17" s="177"/>
      <c r="C17" s="8" t="s">
        <v>214</v>
      </c>
      <c r="D17" s="3">
        <v>0</v>
      </c>
      <c r="E17" s="4"/>
      <c r="F17" s="3"/>
      <c r="G17" s="3"/>
      <c r="H17" s="4"/>
      <c r="I17" s="2"/>
      <c r="J17" s="3"/>
      <c r="K17" s="4"/>
      <c r="L17" s="2"/>
      <c r="M17" s="3"/>
      <c r="N17" s="4"/>
      <c r="O17" s="2"/>
      <c r="P17" s="3"/>
      <c r="Q17" s="4"/>
    </row>
    <row r="18" spans="1:17" x14ac:dyDescent="0.25">
      <c r="A18" s="175"/>
      <c r="B18" s="177"/>
      <c r="C18" s="8" t="s">
        <v>85</v>
      </c>
      <c r="D18" s="3">
        <v>0</v>
      </c>
      <c r="E18" s="4"/>
      <c r="F18" s="3"/>
      <c r="G18" s="3"/>
      <c r="H18" s="4"/>
      <c r="I18" s="2"/>
      <c r="J18" s="3"/>
      <c r="K18" s="4"/>
      <c r="L18" s="2"/>
      <c r="M18" s="3"/>
      <c r="N18" s="4"/>
      <c r="O18" s="2"/>
      <c r="P18" s="3"/>
      <c r="Q18" s="4"/>
    </row>
    <row r="19" spans="1:17" x14ac:dyDescent="0.25">
      <c r="A19" s="175"/>
      <c r="B19" s="177"/>
      <c r="C19" s="87"/>
      <c r="D19" s="3"/>
      <c r="E19" s="4"/>
      <c r="F19" s="3"/>
      <c r="G19" s="3"/>
      <c r="H19" s="4"/>
      <c r="I19" s="2"/>
      <c r="J19" s="3"/>
      <c r="K19" s="4"/>
      <c r="L19" s="2"/>
      <c r="M19" s="3"/>
      <c r="N19" s="4"/>
      <c r="O19" s="2"/>
      <c r="P19" s="3"/>
      <c r="Q19" s="4"/>
    </row>
    <row r="20" spans="1:17" x14ac:dyDescent="0.25">
      <c r="A20" s="175"/>
      <c r="B20" s="177"/>
      <c r="C20" s="2"/>
      <c r="D20" s="3"/>
      <c r="E20" s="4"/>
      <c r="F20" s="3"/>
      <c r="G20" s="3"/>
      <c r="H20" s="4"/>
      <c r="I20" s="2"/>
      <c r="J20" s="3"/>
      <c r="K20" s="4"/>
      <c r="L20" s="2"/>
      <c r="M20" s="3"/>
      <c r="N20" s="4"/>
      <c r="O20" s="2"/>
      <c r="P20" s="3"/>
      <c r="Q20" s="4"/>
    </row>
    <row r="21" spans="1:17" x14ac:dyDescent="0.25">
      <c r="A21" s="175"/>
      <c r="B21" s="177"/>
      <c r="C21" s="122" t="s">
        <v>194</v>
      </c>
      <c r="D21" s="3"/>
      <c r="E21" s="36" t="s">
        <v>59</v>
      </c>
      <c r="F21" s="122" t="s">
        <v>194</v>
      </c>
      <c r="G21" s="91"/>
      <c r="H21" s="36" t="s">
        <v>59</v>
      </c>
      <c r="I21" s="122" t="s">
        <v>194</v>
      </c>
      <c r="J21" s="34"/>
      <c r="K21" s="36" t="s">
        <v>59</v>
      </c>
      <c r="L21" s="122"/>
      <c r="M21" s="3"/>
      <c r="N21" s="36" t="s">
        <v>59</v>
      </c>
      <c r="O21" s="122"/>
      <c r="P21" s="3"/>
      <c r="Q21" s="36" t="s">
        <v>59</v>
      </c>
    </row>
    <row r="22" spans="1:17" ht="15" x14ac:dyDescent="0.4">
      <c r="A22" s="175"/>
      <c r="B22" s="177"/>
      <c r="C22" s="123" t="s">
        <v>137</v>
      </c>
      <c r="D22" s="23"/>
      <c r="E22" s="24" t="s">
        <v>60</v>
      </c>
      <c r="F22" s="123" t="s">
        <v>137</v>
      </c>
      <c r="G22" s="23"/>
      <c r="H22" s="24" t="s">
        <v>60</v>
      </c>
      <c r="I22" s="123" t="s">
        <v>137</v>
      </c>
      <c r="J22" s="35" t="s">
        <v>20</v>
      </c>
      <c r="K22" s="24" t="s">
        <v>60</v>
      </c>
      <c r="L22" s="123" t="s">
        <v>137</v>
      </c>
      <c r="M22" s="23"/>
      <c r="N22" s="24" t="s">
        <v>60</v>
      </c>
      <c r="O22" s="123" t="s">
        <v>137</v>
      </c>
      <c r="P22" s="23"/>
      <c r="Q22" s="24" t="s">
        <v>60</v>
      </c>
    </row>
    <row r="23" spans="1:17" x14ac:dyDescent="0.25">
      <c r="A23" s="176"/>
      <c r="B23" s="178"/>
      <c r="C23" s="43">
        <f>+'[3]QTD Mgmt Summary'!E22*-1</f>
        <v>19488</v>
      </c>
      <c r="D23" s="25">
        <f>SUM(D7:D22)</f>
        <v>35925</v>
      </c>
      <c r="E23" s="32">
        <f>+D23-C23</f>
        <v>16437</v>
      </c>
      <c r="F23" s="43">
        <v>22344</v>
      </c>
      <c r="G23" s="25">
        <f>SUM(G7:G22)</f>
        <v>68325</v>
      </c>
      <c r="H23" s="32">
        <f>+G23-F23</f>
        <v>45981</v>
      </c>
      <c r="I23" s="43">
        <f>+C23+F23</f>
        <v>41832</v>
      </c>
      <c r="J23" s="25">
        <f>+D23+G23</f>
        <v>104250</v>
      </c>
      <c r="K23" s="32">
        <f>+J23-I23</f>
        <v>62418</v>
      </c>
      <c r="L23" s="43">
        <f>+[1]Summary!$C$21*1.35</f>
        <v>19228.050000000003</v>
      </c>
      <c r="M23" s="25">
        <f>SUM(M7:M22)</f>
        <v>0</v>
      </c>
      <c r="N23" s="32">
        <f>+M23-L23</f>
        <v>-19228.050000000003</v>
      </c>
      <c r="O23" s="43">
        <f>+'[2]QTD Mgmt Summary'!D22*1.35</f>
        <v>27665.550000000003</v>
      </c>
      <c r="P23" s="25">
        <f>SUM(P7:P22)</f>
        <v>0</v>
      </c>
      <c r="Q23" s="32">
        <f>+P23-O23</f>
        <v>-27665.550000000003</v>
      </c>
    </row>
    <row r="24" spans="1:17" ht="16.5" thickBot="1" x14ac:dyDescent="0.45">
      <c r="A24" s="169" t="s">
        <v>21</v>
      </c>
      <c r="B24" s="172" t="s">
        <v>18</v>
      </c>
      <c r="C24" s="44" t="s">
        <v>19</v>
      </c>
      <c r="D24" s="45" t="s">
        <v>20</v>
      </c>
      <c r="E24" s="46">
        <f>COUNTA(D25:D33)</f>
        <v>4</v>
      </c>
      <c r="F24" s="44" t="s">
        <v>19</v>
      </c>
      <c r="G24" s="45" t="s">
        <v>20</v>
      </c>
      <c r="H24" s="46">
        <f>COUNTA(G25:G33)</f>
        <v>8</v>
      </c>
      <c r="I24" s="44"/>
      <c r="J24" s="45"/>
      <c r="K24" s="46">
        <f>+E24+H24</f>
        <v>12</v>
      </c>
      <c r="L24" s="44" t="s">
        <v>19</v>
      </c>
      <c r="M24" s="45" t="s">
        <v>20</v>
      </c>
      <c r="N24" s="46">
        <f>COUNTA(M25:M33)</f>
        <v>2</v>
      </c>
      <c r="O24" s="44" t="s">
        <v>19</v>
      </c>
      <c r="P24" s="45" t="s">
        <v>20</v>
      </c>
      <c r="Q24" s="46">
        <f>COUNTA(P25:P33)</f>
        <v>1</v>
      </c>
    </row>
    <row r="25" spans="1:17" x14ac:dyDescent="0.25">
      <c r="A25" s="175"/>
      <c r="B25" s="177"/>
      <c r="C25" s="2" t="s">
        <v>45</v>
      </c>
      <c r="D25" s="3">
        <v>1000</v>
      </c>
      <c r="E25" s="4"/>
      <c r="F25" s="2" t="s">
        <v>47</v>
      </c>
      <c r="G25" s="3">
        <v>30000</v>
      </c>
      <c r="H25" s="4"/>
      <c r="I25" s="2"/>
      <c r="J25" s="3"/>
      <c r="K25" s="4"/>
      <c r="L25" s="2" t="s">
        <v>51</v>
      </c>
      <c r="M25" s="3">
        <v>5000</v>
      </c>
      <c r="N25" s="4"/>
      <c r="O25" s="2" t="s">
        <v>51</v>
      </c>
      <c r="P25" s="3">
        <v>0</v>
      </c>
      <c r="Q25" s="4"/>
    </row>
    <row r="26" spans="1:17" ht="13.5" x14ac:dyDescent="0.25">
      <c r="A26" s="175"/>
      <c r="B26" s="177"/>
      <c r="C26" s="2" t="s">
        <v>44</v>
      </c>
      <c r="D26" s="3">
        <v>600</v>
      </c>
      <c r="E26" s="4"/>
      <c r="F26" s="2" t="s">
        <v>48</v>
      </c>
      <c r="G26" s="3">
        <v>10000</v>
      </c>
      <c r="H26" s="4"/>
      <c r="I26" s="2"/>
      <c r="J26" s="3"/>
      <c r="K26" s="4"/>
      <c r="L26" s="2" t="s">
        <v>22</v>
      </c>
      <c r="M26" s="3">
        <v>0</v>
      </c>
      <c r="N26" s="4"/>
      <c r="O26" s="100"/>
      <c r="P26" s="3"/>
      <c r="Q26" s="4"/>
    </row>
    <row r="27" spans="1:17" x14ac:dyDescent="0.25">
      <c r="A27" s="175"/>
      <c r="B27" s="177"/>
      <c r="C27" s="2" t="s">
        <v>235</v>
      </c>
      <c r="D27" s="3">
        <v>500</v>
      </c>
      <c r="E27" s="4"/>
      <c r="F27" s="2" t="s">
        <v>22</v>
      </c>
      <c r="G27" s="3">
        <v>6000</v>
      </c>
      <c r="H27" s="4"/>
      <c r="I27" s="2"/>
      <c r="J27" s="3"/>
      <c r="K27" s="4"/>
      <c r="L27" s="2"/>
      <c r="M27" s="3"/>
      <c r="N27" s="4"/>
      <c r="O27" s="2"/>
      <c r="P27" s="3"/>
      <c r="Q27" s="4"/>
    </row>
    <row r="28" spans="1:17" x14ac:dyDescent="0.25">
      <c r="A28" s="175"/>
      <c r="B28" s="177"/>
      <c r="C28" s="2" t="s">
        <v>49</v>
      </c>
      <c r="D28" s="3">
        <v>1000</v>
      </c>
      <c r="E28" s="4"/>
      <c r="F28" s="2" t="s">
        <v>236</v>
      </c>
      <c r="G28" s="3">
        <v>6000</v>
      </c>
      <c r="H28" s="4"/>
      <c r="I28" s="2"/>
      <c r="J28" s="3"/>
      <c r="K28" s="4"/>
      <c r="L28" s="2"/>
      <c r="M28" s="3"/>
      <c r="N28" s="4"/>
      <c r="O28" s="2"/>
      <c r="P28" s="3"/>
      <c r="Q28" s="4"/>
    </row>
    <row r="29" spans="1:17" x14ac:dyDescent="0.25">
      <c r="A29" s="175"/>
      <c r="B29" s="177"/>
      <c r="C29" s="5"/>
      <c r="D29" s="3"/>
      <c r="E29" s="4"/>
      <c r="F29" s="2" t="s">
        <v>50</v>
      </c>
      <c r="G29" s="3">
        <v>5000</v>
      </c>
      <c r="H29" s="4"/>
      <c r="I29" s="2"/>
      <c r="J29" s="3"/>
      <c r="K29" s="4"/>
      <c r="L29" s="2"/>
      <c r="M29" s="3"/>
      <c r="N29" s="4"/>
      <c r="O29" s="153"/>
      <c r="P29" s="91"/>
      <c r="Q29" s="4"/>
    </row>
    <row r="30" spans="1:17" x14ac:dyDescent="0.25">
      <c r="A30" s="175"/>
      <c r="B30" s="177"/>
      <c r="C30" s="2"/>
      <c r="D30" s="3"/>
      <c r="E30" s="4"/>
      <c r="F30" s="2" t="s">
        <v>84</v>
      </c>
      <c r="G30" s="3">
        <v>5000</v>
      </c>
      <c r="H30" s="4"/>
      <c r="I30" s="2"/>
      <c r="J30" s="3"/>
      <c r="K30" s="4"/>
      <c r="L30" s="2"/>
      <c r="M30" s="3"/>
      <c r="N30" s="4"/>
      <c r="O30" s="153"/>
      <c r="P30" s="91"/>
      <c r="Q30" s="4"/>
    </row>
    <row r="31" spans="1:17" x14ac:dyDescent="0.25">
      <c r="A31" s="175"/>
      <c r="B31" s="177"/>
      <c r="C31" s="91"/>
      <c r="D31" s="91"/>
      <c r="E31" s="4"/>
      <c r="F31" s="2" t="s">
        <v>46</v>
      </c>
      <c r="G31" s="3">
        <v>5000</v>
      </c>
      <c r="H31" s="4"/>
      <c r="I31" s="33"/>
      <c r="J31" s="34"/>
      <c r="K31" s="36"/>
      <c r="L31" s="2"/>
      <c r="M31" s="3"/>
      <c r="N31" s="4"/>
      <c r="O31" s="153"/>
      <c r="P31" s="91"/>
      <c r="Q31" s="4"/>
    </row>
    <row r="32" spans="1:17" x14ac:dyDescent="0.25">
      <c r="A32" s="175"/>
      <c r="B32" s="177"/>
      <c r="C32" s="91"/>
      <c r="D32" s="91"/>
      <c r="E32" s="4"/>
      <c r="F32" s="2" t="s">
        <v>155</v>
      </c>
      <c r="G32" s="3">
        <v>2000</v>
      </c>
      <c r="H32" s="4"/>
      <c r="I32" s="33"/>
      <c r="J32" s="34"/>
      <c r="K32" s="36"/>
      <c r="L32" s="2"/>
      <c r="M32" s="3"/>
      <c r="N32" s="4"/>
      <c r="O32" s="153"/>
      <c r="P32" s="91"/>
      <c r="Q32" s="4"/>
    </row>
    <row r="33" spans="1:17" x14ac:dyDescent="0.25">
      <c r="A33" s="175"/>
      <c r="B33" s="177"/>
      <c r="C33" s="91"/>
      <c r="D33" s="91"/>
      <c r="E33" s="4"/>
      <c r="F33" s="2"/>
      <c r="G33" s="3"/>
      <c r="H33" s="4"/>
      <c r="I33" s="33"/>
      <c r="J33" s="34"/>
      <c r="K33" s="36"/>
      <c r="L33" s="2"/>
      <c r="M33" s="3"/>
      <c r="N33" s="4"/>
      <c r="O33" s="153"/>
      <c r="P33" s="91"/>
      <c r="Q33" s="4"/>
    </row>
    <row r="34" spans="1:17" x14ac:dyDescent="0.25">
      <c r="A34" s="175"/>
      <c r="B34" s="177"/>
      <c r="C34" s="122" t="s">
        <v>194</v>
      </c>
      <c r="D34" s="3"/>
      <c r="E34" s="36" t="s">
        <v>59</v>
      </c>
      <c r="F34" s="122" t="s">
        <v>194</v>
      </c>
      <c r="G34" s="91"/>
      <c r="H34" s="36" t="s">
        <v>59</v>
      </c>
      <c r="I34" s="122" t="s">
        <v>194</v>
      </c>
      <c r="J34" s="34"/>
      <c r="K34" s="36" t="s">
        <v>59</v>
      </c>
      <c r="L34" s="122"/>
      <c r="M34" s="3"/>
      <c r="N34" s="36" t="s">
        <v>59</v>
      </c>
      <c r="O34" s="122"/>
      <c r="P34" s="3"/>
      <c r="Q34" s="36" t="s">
        <v>59</v>
      </c>
    </row>
    <row r="35" spans="1:17" ht="15" x14ac:dyDescent="0.4">
      <c r="A35" s="175"/>
      <c r="B35" s="177"/>
      <c r="C35" s="123" t="s">
        <v>137</v>
      </c>
      <c r="D35" s="23"/>
      <c r="E35" s="24" t="s">
        <v>60</v>
      </c>
      <c r="F35" s="123" t="s">
        <v>137</v>
      </c>
      <c r="G35" s="23"/>
      <c r="H35" s="24" t="s">
        <v>60</v>
      </c>
      <c r="I35" s="123" t="s">
        <v>137</v>
      </c>
      <c r="J35" s="35" t="s">
        <v>20</v>
      </c>
      <c r="K35" s="24" t="s">
        <v>60</v>
      </c>
      <c r="L35" s="123" t="s">
        <v>137</v>
      </c>
      <c r="M35" s="23"/>
      <c r="N35" s="24" t="s">
        <v>60</v>
      </c>
      <c r="O35" s="123" t="s">
        <v>137</v>
      </c>
      <c r="P35" s="23"/>
      <c r="Q35" s="24" t="s">
        <v>60</v>
      </c>
    </row>
    <row r="36" spans="1:17" x14ac:dyDescent="0.25">
      <c r="A36" s="176"/>
      <c r="B36" s="178"/>
      <c r="C36" s="43">
        <f>+'[3]QTD Mgmt Summary'!E23*-1</f>
        <v>8751</v>
      </c>
      <c r="D36" s="25">
        <f>SUM(D25:D35)</f>
        <v>3100</v>
      </c>
      <c r="E36" s="32">
        <f>+D36-C36</f>
        <v>-5651</v>
      </c>
      <c r="F36" s="43">
        <v>43231</v>
      </c>
      <c r="G36" s="25">
        <f>SUM(G25:G35)</f>
        <v>69000</v>
      </c>
      <c r="H36" s="32">
        <f>+G36-F36</f>
        <v>25769</v>
      </c>
      <c r="I36" s="43">
        <f>+C36+F36</f>
        <v>51982</v>
      </c>
      <c r="J36" s="25">
        <f>+D36+G36</f>
        <v>72100</v>
      </c>
      <c r="K36" s="32">
        <f>+J36-I36</f>
        <v>20118</v>
      </c>
      <c r="L36" s="43">
        <f>+[1]Summary!$C$22*1.35</f>
        <v>17867.25</v>
      </c>
      <c r="M36" s="25">
        <f>SUM(M25:M35)</f>
        <v>5000</v>
      </c>
      <c r="N36" s="32">
        <f>+M36-L36</f>
        <v>-12867.25</v>
      </c>
      <c r="O36" s="43">
        <f>+'[2]QTD Mgmt Summary'!D23*1.35</f>
        <v>17867.25</v>
      </c>
      <c r="P36" s="25">
        <f>SUM(P25:P35)</f>
        <v>0</v>
      </c>
      <c r="Q36" s="32">
        <f>+P36-O36</f>
        <v>-17867.25</v>
      </c>
    </row>
    <row r="37" spans="1:17" ht="16.5" thickBot="1" x14ac:dyDescent="0.45">
      <c r="A37" s="169" t="s">
        <v>23</v>
      </c>
      <c r="B37" s="172" t="s">
        <v>24</v>
      </c>
      <c r="C37" s="44" t="s">
        <v>19</v>
      </c>
      <c r="D37" s="45" t="s">
        <v>20</v>
      </c>
      <c r="E37" s="46">
        <f>COUNTA(C38:C48)</f>
        <v>9</v>
      </c>
      <c r="F37" s="44" t="s">
        <v>19</v>
      </c>
      <c r="G37" s="45" t="s">
        <v>20</v>
      </c>
      <c r="H37" s="46">
        <f>COUNTA(F38:F48)</f>
        <v>9</v>
      </c>
      <c r="I37" s="44"/>
      <c r="J37" s="45"/>
      <c r="K37" s="46">
        <f>+E37+H37</f>
        <v>18</v>
      </c>
      <c r="L37" s="44" t="s">
        <v>19</v>
      </c>
      <c r="M37" s="45" t="s">
        <v>20</v>
      </c>
      <c r="N37" s="46">
        <f>COUNTA(L38:L48)</f>
        <v>5</v>
      </c>
      <c r="O37" s="44" t="s">
        <v>19</v>
      </c>
      <c r="P37" s="45" t="s">
        <v>20</v>
      </c>
      <c r="Q37" s="46">
        <f>COUNTA(O38:O48)</f>
        <v>1</v>
      </c>
    </row>
    <row r="38" spans="1:17" x14ac:dyDescent="0.25">
      <c r="A38" s="175"/>
      <c r="B38" s="177"/>
      <c r="C38" s="8" t="s">
        <v>25</v>
      </c>
      <c r="D38" s="7">
        <v>15000</v>
      </c>
      <c r="E38" s="9"/>
      <c r="F38" s="8" t="s">
        <v>232</v>
      </c>
      <c r="G38" s="3">
        <v>10000</v>
      </c>
      <c r="H38" s="4"/>
      <c r="I38" s="2"/>
      <c r="J38" s="3"/>
      <c r="K38" s="4"/>
      <c r="L38" s="8" t="s">
        <v>129</v>
      </c>
      <c r="M38" s="3">
        <v>10000</v>
      </c>
      <c r="N38" s="4"/>
      <c r="O38" s="8" t="s">
        <v>115</v>
      </c>
      <c r="P38" s="7">
        <v>5000</v>
      </c>
      <c r="Q38" s="9"/>
    </row>
    <row r="39" spans="1:17" x14ac:dyDescent="0.25">
      <c r="A39" s="175"/>
      <c r="B39" s="177"/>
      <c r="C39" s="8" t="s">
        <v>95</v>
      </c>
      <c r="D39" s="7">
        <v>10000</v>
      </c>
      <c r="E39" s="9"/>
      <c r="F39" s="8" t="s">
        <v>233</v>
      </c>
      <c r="G39" s="3">
        <v>5000</v>
      </c>
      <c r="H39" s="4"/>
      <c r="I39" s="2"/>
      <c r="J39" s="3"/>
      <c r="K39" s="4"/>
      <c r="L39" s="8" t="s">
        <v>152</v>
      </c>
      <c r="M39" s="3">
        <v>8000</v>
      </c>
      <c r="N39" s="4"/>
      <c r="O39" s="8"/>
      <c r="P39" s="7"/>
      <c r="Q39" s="9"/>
    </row>
    <row r="40" spans="1:17" x14ac:dyDescent="0.25">
      <c r="A40" s="175"/>
      <c r="B40" s="177"/>
      <c r="C40" s="8" t="s">
        <v>230</v>
      </c>
      <c r="D40" s="7">
        <v>10000</v>
      </c>
      <c r="E40" s="9"/>
      <c r="F40" s="8" t="s">
        <v>96</v>
      </c>
      <c r="G40" s="3">
        <v>5000</v>
      </c>
      <c r="H40" s="4"/>
      <c r="I40" s="2"/>
      <c r="J40" s="3"/>
      <c r="K40" s="4"/>
      <c r="L40" s="8" t="s">
        <v>98</v>
      </c>
      <c r="M40" s="3">
        <v>8000</v>
      </c>
      <c r="N40" s="4"/>
      <c r="O40" s="8"/>
      <c r="P40" s="7"/>
      <c r="Q40" s="9"/>
    </row>
    <row r="41" spans="1:17" x14ac:dyDescent="0.25">
      <c r="A41" s="175"/>
      <c r="B41" s="177"/>
      <c r="C41" s="8" t="s">
        <v>61</v>
      </c>
      <c r="D41" s="7">
        <v>8000</v>
      </c>
      <c r="E41" s="9"/>
      <c r="F41" s="8" t="s">
        <v>128</v>
      </c>
      <c r="G41" s="3">
        <v>5000</v>
      </c>
      <c r="H41" s="4"/>
      <c r="I41" s="2"/>
      <c r="J41" s="3"/>
      <c r="K41" s="4"/>
      <c r="L41" s="8" t="s">
        <v>234</v>
      </c>
      <c r="M41" s="3">
        <v>8000</v>
      </c>
      <c r="N41" s="4"/>
      <c r="O41" s="8"/>
      <c r="P41" s="7"/>
      <c r="Q41" s="9"/>
    </row>
    <row r="42" spans="1:17" x14ac:dyDescent="0.25">
      <c r="A42" s="175"/>
      <c r="B42" s="177"/>
      <c r="C42" s="8" t="s">
        <v>52</v>
      </c>
      <c r="D42" s="7">
        <v>6000</v>
      </c>
      <c r="E42" s="9"/>
      <c r="F42" s="8" t="s">
        <v>63</v>
      </c>
      <c r="G42" s="3">
        <v>8000</v>
      </c>
      <c r="H42" s="4"/>
      <c r="I42" s="2"/>
      <c r="J42" s="3"/>
      <c r="K42" s="4"/>
      <c r="L42" s="8" t="s">
        <v>115</v>
      </c>
      <c r="M42" s="3">
        <v>5000</v>
      </c>
      <c r="N42" s="4"/>
      <c r="O42" s="8"/>
      <c r="P42" s="7"/>
      <c r="Q42" s="9"/>
    </row>
    <row r="43" spans="1:17" x14ac:dyDescent="0.25">
      <c r="A43" s="175"/>
      <c r="B43" s="177"/>
      <c r="C43" s="8" t="s">
        <v>62</v>
      </c>
      <c r="D43" s="7">
        <v>5000</v>
      </c>
      <c r="E43" s="9"/>
      <c r="F43" s="8" t="s">
        <v>64</v>
      </c>
      <c r="G43" s="3">
        <v>5000</v>
      </c>
      <c r="H43" s="4"/>
      <c r="I43" s="2"/>
      <c r="J43" s="3"/>
      <c r="K43" s="4"/>
      <c r="L43" s="8"/>
      <c r="M43" s="3"/>
      <c r="N43" s="4"/>
      <c r="O43" s="8"/>
      <c r="P43" s="7"/>
      <c r="Q43" s="9"/>
    </row>
    <row r="44" spans="1:17" x14ac:dyDescent="0.25">
      <c r="A44" s="175"/>
      <c r="B44" s="177"/>
      <c r="C44" s="8" t="s">
        <v>11</v>
      </c>
      <c r="D44" s="7">
        <v>4000</v>
      </c>
      <c r="E44" s="9"/>
      <c r="F44" s="8" t="s">
        <v>97</v>
      </c>
      <c r="G44" s="3">
        <v>5000</v>
      </c>
      <c r="H44" s="4"/>
      <c r="I44" s="2"/>
      <c r="J44" s="3"/>
      <c r="K44" s="4"/>
      <c r="L44" s="2"/>
      <c r="M44" s="3"/>
      <c r="N44" s="4"/>
      <c r="O44" s="8"/>
      <c r="P44" s="7"/>
      <c r="Q44" s="9"/>
    </row>
    <row r="45" spans="1:17" ht="12.75" customHeight="1" x14ac:dyDescent="0.25">
      <c r="A45" s="175"/>
      <c r="B45" s="177"/>
      <c r="C45" s="8" t="s">
        <v>127</v>
      </c>
      <c r="D45" s="7">
        <v>3000</v>
      </c>
      <c r="E45" s="9"/>
      <c r="F45" s="8" t="s">
        <v>231</v>
      </c>
      <c r="G45" s="3">
        <v>5000</v>
      </c>
      <c r="H45" s="4"/>
      <c r="I45" s="2"/>
      <c r="J45" s="3"/>
      <c r="K45" s="4"/>
      <c r="L45" s="2"/>
      <c r="M45" s="3"/>
      <c r="N45" s="4"/>
      <c r="O45" s="8"/>
      <c r="P45" s="7"/>
      <c r="Q45" s="9"/>
    </row>
    <row r="46" spans="1:17" x14ac:dyDescent="0.25">
      <c r="A46" s="175"/>
      <c r="B46" s="177"/>
      <c r="C46" s="8" t="s">
        <v>115</v>
      </c>
      <c r="D46" s="7">
        <f>8000-372</f>
        <v>7628</v>
      </c>
      <c r="E46" s="9"/>
      <c r="F46" s="8" t="s">
        <v>115</v>
      </c>
      <c r="G46" s="3">
        <v>5000</v>
      </c>
      <c r="H46" s="4"/>
      <c r="I46" s="2"/>
      <c r="J46" s="3"/>
      <c r="K46" s="4"/>
      <c r="L46" s="2"/>
      <c r="M46" s="3"/>
      <c r="N46" s="4"/>
      <c r="O46" s="8"/>
      <c r="P46" s="7"/>
      <c r="Q46" s="9"/>
    </row>
    <row r="47" spans="1:17" x14ac:dyDescent="0.25">
      <c r="A47" s="175"/>
      <c r="B47" s="177"/>
      <c r="C47" s="8"/>
      <c r="D47" s="7"/>
      <c r="E47" s="9"/>
      <c r="F47" s="8"/>
      <c r="G47" s="3"/>
      <c r="H47" s="4"/>
      <c r="I47" s="2"/>
      <c r="J47" s="3"/>
      <c r="K47" s="4"/>
      <c r="L47" s="2"/>
      <c r="M47" s="3"/>
      <c r="N47" s="4"/>
      <c r="O47" s="8"/>
      <c r="P47" s="7"/>
      <c r="Q47" s="9"/>
    </row>
    <row r="48" spans="1:17" ht="12" customHeight="1" x14ac:dyDescent="0.25">
      <c r="A48" s="175"/>
      <c r="B48" s="177"/>
      <c r="C48" s="8"/>
      <c r="D48" s="7"/>
      <c r="E48" s="9"/>
      <c r="F48" s="87"/>
      <c r="G48" s="3"/>
      <c r="H48" s="4"/>
      <c r="I48" s="2"/>
      <c r="J48" s="3"/>
      <c r="K48" s="4"/>
      <c r="L48" s="2"/>
      <c r="M48" s="3"/>
      <c r="N48" s="4"/>
      <c r="O48" s="8"/>
      <c r="P48" s="7"/>
      <c r="Q48" s="9"/>
    </row>
    <row r="49" spans="1:17" x14ac:dyDescent="0.25">
      <c r="A49" s="175"/>
      <c r="B49" s="177"/>
      <c r="C49" s="122" t="s">
        <v>194</v>
      </c>
      <c r="D49" s="3"/>
      <c r="E49" s="36" t="s">
        <v>59</v>
      </c>
      <c r="F49" s="122" t="s">
        <v>194</v>
      </c>
      <c r="G49" s="91"/>
      <c r="H49" s="36" t="s">
        <v>59</v>
      </c>
      <c r="I49" s="122" t="s">
        <v>194</v>
      </c>
      <c r="J49" s="34"/>
      <c r="K49" s="36" t="s">
        <v>59</v>
      </c>
      <c r="L49" s="122"/>
      <c r="M49" s="3"/>
      <c r="N49" s="36" t="s">
        <v>59</v>
      </c>
      <c r="O49" s="122"/>
      <c r="P49" s="3"/>
      <c r="Q49" s="36" t="s">
        <v>59</v>
      </c>
    </row>
    <row r="50" spans="1:17" ht="15" x14ac:dyDescent="0.4">
      <c r="A50" s="175"/>
      <c r="B50" s="177"/>
      <c r="C50" s="123" t="s">
        <v>137</v>
      </c>
      <c r="D50" s="23"/>
      <c r="E50" s="24" t="s">
        <v>60</v>
      </c>
      <c r="F50" s="123" t="s">
        <v>137</v>
      </c>
      <c r="G50" s="23"/>
      <c r="H50" s="24" t="s">
        <v>60</v>
      </c>
      <c r="I50" s="123" t="s">
        <v>137</v>
      </c>
      <c r="J50" s="35" t="s">
        <v>20</v>
      </c>
      <c r="K50" s="24" t="s">
        <v>60</v>
      </c>
      <c r="L50" s="123" t="s">
        <v>137</v>
      </c>
      <c r="M50" s="23"/>
      <c r="N50" s="24" t="s">
        <v>60</v>
      </c>
      <c r="O50" s="123" t="s">
        <v>137</v>
      </c>
      <c r="P50" s="23"/>
      <c r="Q50" s="24" t="s">
        <v>60</v>
      </c>
    </row>
    <row r="51" spans="1:17" x14ac:dyDescent="0.25">
      <c r="A51" s="176"/>
      <c r="B51" s="178"/>
      <c r="C51" s="43">
        <f>+'[3]QTD Mgmt Summary'!E24*-1</f>
        <v>27956</v>
      </c>
      <c r="D51" s="25">
        <f>SUM(D38:D50)</f>
        <v>68628</v>
      </c>
      <c r="E51" s="32">
        <f>+D51-C51</f>
        <v>40672</v>
      </c>
      <c r="F51" s="43">
        <v>28361</v>
      </c>
      <c r="G51" s="25">
        <f>SUM(G38:G50)</f>
        <v>53000</v>
      </c>
      <c r="H51" s="32">
        <f>+G51-F51</f>
        <v>24639</v>
      </c>
      <c r="I51" s="43">
        <f>+C51+F51</f>
        <v>56317</v>
      </c>
      <c r="J51" s="25">
        <f>+D51+G51</f>
        <v>121628</v>
      </c>
      <c r="K51" s="32">
        <f>+J51-I51</f>
        <v>65311</v>
      </c>
      <c r="L51" s="43">
        <f>+([1]Summary!$C$23+[1]Summary!$C$24)*1.35</f>
        <v>22762.350000000002</v>
      </c>
      <c r="M51" s="25">
        <f>SUM(M38:M50)</f>
        <v>39000</v>
      </c>
      <c r="N51" s="32">
        <f>+M51-L51</f>
        <v>16237.649999999998</v>
      </c>
      <c r="O51" s="43">
        <f>+'[2]QTD Mgmt Summary'!D24*1.35</f>
        <v>30862.350000000002</v>
      </c>
      <c r="P51" s="25">
        <f>SUM(P38:P50)</f>
        <v>5000</v>
      </c>
      <c r="Q51" s="32">
        <f>+P51-O51</f>
        <v>-25862.350000000002</v>
      </c>
    </row>
    <row r="52" spans="1:17" ht="16.5" thickBot="1" x14ac:dyDescent="0.45">
      <c r="A52" s="169" t="s">
        <v>207</v>
      </c>
      <c r="B52" s="172" t="s">
        <v>136</v>
      </c>
      <c r="C52" s="44" t="s">
        <v>19</v>
      </c>
      <c r="D52" s="45" t="s">
        <v>20</v>
      </c>
      <c r="E52" s="46">
        <f>COUNTA(C53:C62)</f>
        <v>4</v>
      </c>
      <c r="F52" s="44" t="s">
        <v>19</v>
      </c>
      <c r="G52" s="45" t="s">
        <v>20</v>
      </c>
      <c r="H52" s="46">
        <f>COUNTA(F53:F62)</f>
        <v>10</v>
      </c>
      <c r="I52" s="44"/>
      <c r="J52" s="45"/>
      <c r="K52" s="46">
        <f>+E52+H52</f>
        <v>14</v>
      </c>
      <c r="L52" s="44" t="s">
        <v>19</v>
      </c>
      <c r="M52" s="45" t="s">
        <v>20</v>
      </c>
      <c r="N52" s="46">
        <f>COUNTA(L53:L62)</f>
        <v>2</v>
      </c>
      <c r="O52" s="44" t="s">
        <v>19</v>
      </c>
      <c r="P52" s="45" t="s">
        <v>20</v>
      </c>
      <c r="Q52" s="46">
        <f>COUNTA(O53:O62)</f>
        <v>0</v>
      </c>
    </row>
    <row r="53" spans="1:17" ht="12.75" customHeight="1" x14ac:dyDescent="0.4">
      <c r="A53" s="179"/>
      <c r="B53" s="177"/>
      <c r="C53" s="8" t="s">
        <v>237</v>
      </c>
      <c r="D53" s="29">
        <v>10000</v>
      </c>
      <c r="E53" s="24"/>
      <c r="F53" s="2" t="s">
        <v>131</v>
      </c>
      <c r="G53" s="3">
        <v>15000</v>
      </c>
      <c r="H53" s="24"/>
      <c r="I53" s="22"/>
      <c r="J53" s="23"/>
      <c r="K53" s="24"/>
      <c r="L53" s="2" t="s">
        <v>30</v>
      </c>
      <c r="M53" s="3">
        <v>10000</v>
      </c>
      <c r="N53" s="30"/>
      <c r="O53" s="28"/>
      <c r="P53" s="29"/>
      <c r="Q53" s="24"/>
    </row>
    <row r="54" spans="1:17" ht="12.75" customHeight="1" x14ac:dyDescent="0.4">
      <c r="A54" s="179"/>
      <c r="B54" s="177"/>
      <c r="C54" s="8" t="s">
        <v>238</v>
      </c>
      <c r="D54" s="29">
        <v>10000</v>
      </c>
      <c r="E54" s="24"/>
      <c r="F54" s="165" t="s">
        <v>135</v>
      </c>
      <c r="G54" s="29">
        <v>12500</v>
      </c>
      <c r="H54" s="24"/>
      <c r="I54" s="22"/>
      <c r="J54" s="23"/>
      <c r="K54" s="24"/>
      <c r="L54" s="8" t="s">
        <v>28</v>
      </c>
      <c r="M54" s="3">
        <v>10000</v>
      </c>
      <c r="N54" s="30"/>
      <c r="O54" s="95"/>
      <c r="P54" s="29"/>
      <c r="Q54" s="24"/>
    </row>
    <row r="55" spans="1:17" ht="12.75" customHeight="1" x14ac:dyDescent="0.4">
      <c r="A55" s="179"/>
      <c r="B55" s="177"/>
      <c r="C55" s="8" t="s">
        <v>43</v>
      </c>
      <c r="D55" s="3">
        <v>5000</v>
      </c>
      <c r="E55" s="24"/>
      <c r="F55" s="8" t="s">
        <v>29</v>
      </c>
      <c r="G55" s="3">
        <v>10000</v>
      </c>
      <c r="H55" s="24"/>
      <c r="I55" s="22"/>
      <c r="J55" s="23"/>
      <c r="K55" s="24"/>
      <c r="L55" s="2"/>
      <c r="M55" s="3"/>
      <c r="N55" s="30"/>
      <c r="O55" s="2"/>
      <c r="P55" s="3"/>
      <c r="Q55" s="24"/>
    </row>
    <row r="56" spans="1:17" ht="12.75" customHeight="1" x14ac:dyDescent="0.4">
      <c r="A56" s="179"/>
      <c r="B56" s="177"/>
      <c r="C56" s="8" t="s">
        <v>239</v>
      </c>
      <c r="D56" s="29">
        <v>0</v>
      </c>
      <c r="E56" s="24"/>
      <c r="F56" s="8" t="s">
        <v>31</v>
      </c>
      <c r="G56" s="3">
        <v>10000</v>
      </c>
      <c r="H56" s="24"/>
      <c r="I56" s="22"/>
      <c r="J56" s="23"/>
      <c r="K56" s="24"/>
      <c r="L56" s="28"/>
      <c r="M56" s="29"/>
      <c r="N56" s="30"/>
      <c r="O56" s="2"/>
      <c r="P56" s="3"/>
      <c r="Q56" s="24"/>
    </row>
    <row r="57" spans="1:17" ht="12.75" customHeight="1" x14ac:dyDescent="0.4">
      <c r="A57" s="179"/>
      <c r="B57" s="177"/>
      <c r="C57" s="28"/>
      <c r="D57" s="29"/>
      <c r="E57" s="24"/>
      <c r="F57" s="8" t="s">
        <v>134</v>
      </c>
      <c r="G57" s="3">
        <v>10000</v>
      </c>
      <c r="H57" s="24"/>
      <c r="I57" s="22"/>
      <c r="J57" s="23"/>
      <c r="K57" s="24"/>
      <c r="L57" s="28"/>
      <c r="M57" s="29"/>
      <c r="N57" s="30"/>
      <c r="O57" s="2"/>
      <c r="P57" s="3"/>
      <c r="Q57" s="24"/>
    </row>
    <row r="58" spans="1:17" ht="12.75" customHeight="1" x14ac:dyDescent="0.4">
      <c r="A58" s="179"/>
      <c r="B58" s="177"/>
      <c r="C58" s="28"/>
      <c r="D58" s="29"/>
      <c r="E58" s="24"/>
      <c r="F58" s="8" t="s">
        <v>12</v>
      </c>
      <c r="G58" s="3">
        <v>5000</v>
      </c>
      <c r="H58" s="24"/>
      <c r="I58" s="22"/>
      <c r="J58" s="23"/>
      <c r="K58" s="24"/>
      <c r="L58" s="28"/>
      <c r="M58" s="29"/>
      <c r="N58" s="30"/>
      <c r="O58" s="2"/>
      <c r="P58" s="3"/>
      <c r="Q58" s="24"/>
    </row>
    <row r="59" spans="1:17" ht="12.75" customHeight="1" x14ac:dyDescent="0.25">
      <c r="A59" s="179"/>
      <c r="B59" s="177"/>
      <c r="C59" s="28"/>
      <c r="D59" s="29"/>
      <c r="E59" s="4"/>
      <c r="F59" s="8" t="s">
        <v>130</v>
      </c>
      <c r="G59" s="3">
        <v>5000</v>
      </c>
      <c r="H59" s="4"/>
      <c r="I59" s="2"/>
      <c r="J59" s="3"/>
      <c r="K59" s="4"/>
      <c r="L59" s="28"/>
      <c r="M59" s="29"/>
      <c r="N59" s="30"/>
      <c r="O59" s="28"/>
      <c r="P59" s="29"/>
      <c r="Q59" s="4"/>
    </row>
    <row r="60" spans="1:17" ht="12.75" customHeight="1" x14ac:dyDescent="0.25">
      <c r="A60" s="179"/>
      <c r="B60" s="177"/>
      <c r="C60" s="28"/>
      <c r="D60" s="29"/>
      <c r="E60" s="4"/>
      <c r="F60" s="8" t="s">
        <v>241</v>
      </c>
      <c r="G60" s="3">
        <v>0</v>
      </c>
      <c r="H60" s="4"/>
      <c r="I60" s="2"/>
      <c r="J60" s="3"/>
      <c r="K60" s="4"/>
      <c r="L60" s="28"/>
      <c r="M60" s="29"/>
      <c r="N60" s="30"/>
      <c r="O60" s="28"/>
      <c r="P60" s="29"/>
      <c r="Q60" s="4"/>
    </row>
    <row r="61" spans="1:17" ht="12.75" customHeight="1" x14ac:dyDescent="0.25">
      <c r="A61" s="179"/>
      <c r="B61" s="177"/>
      <c r="C61" s="28"/>
      <c r="D61" s="29"/>
      <c r="E61" s="4"/>
      <c r="F61" s="8" t="s">
        <v>242</v>
      </c>
      <c r="G61" s="3">
        <v>0</v>
      </c>
      <c r="H61" s="4"/>
      <c r="I61" s="2"/>
      <c r="J61" s="3"/>
      <c r="K61" s="4"/>
      <c r="L61" s="28"/>
      <c r="M61" s="29"/>
      <c r="N61" s="30"/>
      <c r="O61" s="28"/>
      <c r="P61" s="29"/>
      <c r="Q61" s="4"/>
    </row>
    <row r="62" spans="1:17" ht="12.75" customHeight="1" x14ac:dyDescent="0.25">
      <c r="A62" s="179"/>
      <c r="B62" s="177"/>
      <c r="C62" s="28"/>
      <c r="D62" s="29"/>
      <c r="E62" s="4"/>
      <c r="F62" s="8" t="s">
        <v>240</v>
      </c>
      <c r="G62" s="3">
        <v>0</v>
      </c>
      <c r="H62" s="4"/>
      <c r="I62" s="2"/>
      <c r="J62" s="3"/>
      <c r="K62" s="4"/>
      <c r="L62" s="28"/>
      <c r="M62" s="29"/>
      <c r="N62" s="30"/>
      <c r="O62" s="28"/>
      <c r="P62" s="29"/>
      <c r="Q62" s="4"/>
    </row>
    <row r="63" spans="1:17" x14ac:dyDescent="0.25">
      <c r="A63" s="179"/>
      <c r="B63" s="177"/>
      <c r="C63" s="122" t="s">
        <v>194</v>
      </c>
      <c r="D63" s="3"/>
      <c r="E63" s="36" t="s">
        <v>59</v>
      </c>
      <c r="F63" s="122" t="s">
        <v>194</v>
      </c>
      <c r="G63" s="91"/>
      <c r="H63" s="36" t="s">
        <v>59</v>
      </c>
      <c r="I63" s="122" t="s">
        <v>194</v>
      </c>
      <c r="J63" s="34"/>
      <c r="K63" s="36" t="s">
        <v>59</v>
      </c>
      <c r="L63" s="122"/>
      <c r="M63" s="3"/>
      <c r="N63" s="36" t="s">
        <v>59</v>
      </c>
      <c r="O63" s="122"/>
      <c r="P63" s="3"/>
      <c r="Q63" s="36" t="s">
        <v>59</v>
      </c>
    </row>
    <row r="64" spans="1:17" ht="15" x14ac:dyDescent="0.4">
      <c r="A64" s="179"/>
      <c r="B64" s="177"/>
      <c r="C64" s="123" t="s">
        <v>137</v>
      </c>
      <c r="D64" s="23"/>
      <c r="E64" s="24" t="s">
        <v>60</v>
      </c>
      <c r="F64" s="123" t="s">
        <v>137</v>
      </c>
      <c r="G64" s="23"/>
      <c r="H64" s="24" t="s">
        <v>60</v>
      </c>
      <c r="I64" s="123" t="s">
        <v>137</v>
      </c>
      <c r="J64" s="35" t="s">
        <v>20</v>
      </c>
      <c r="K64" s="24" t="s">
        <v>60</v>
      </c>
      <c r="L64" s="123" t="s">
        <v>137</v>
      </c>
      <c r="M64" s="23"/>
      <c r="N64" s="24" t="s">
        <v>60</v>
      </c>
      <c r="O64" s="123" t="s">
        <v>137</v>
      </c>
      <c r="P64" s="23"/>
      <c r="Q64" s="24" t="s">
        <v>60</v>
      </c>
    </row>
    <row r="65" spans="1:17" x14ac:dyDescent="0.25">
      <c r="A65" s="180"/>
      <c r="B65" s="178"/>
      <c r="C65" s="43">
        <f>+'[3]QTD Mgmt Summary'!E25*-1</f>
        <v>15159</v>
      </c>
      <c r="D65" s="25">
        <f>SUM(D53:D64)</f>
        <v>25000</v>
      </c>
      <c r="E65" s="32">
        <f>+D65-C65</f>
        <v>9841</v>
      </c>
      <c r="F65" s="43">
        <v>18713</v>
      </c>
      <c r="G65" s="25">
        <f>SUM(G53:G64)</f>
        <v>67500</v>
      </c>
      <c r="H65" s="32">
        <f>+G65-F65</f>
        <v>48787</v>
      </c>
      <c r="I65" s="43">
        <f>+C65+F65</f>
        <v>33872</v>
      </c>
      <c r="J65" s="25">
        <f>+D65+G65</f>
        <v>92500</v>
      </c>
      <c r="K65" s="32">
        <f>+J65-I65</f>
        <v>58628</v>
      </c>
      <c r="L65" s="43">
        <f>+[1]Summary!$C$30*1.35</f>
        <v>16515.900000000001</v>
      </c>
      <c r="M65" s="25">
        <f>SUM(M53:M64)</f>
        <v>20000</v>
      </c>
      <c r="N65" s="32">
        <f>+M65-L65</f>
        <v>3484.0999999999985</v>
      </c>
      <c r="O65" s="43">
        <f>+'[2]QTD Mgmt Summary'!D25*1.35</f>
        <v>25259.850000000002</v>
      </c>
      <c r="P65" s="25">
        <f>SUM(P53:P64)</f>
        <v>0</v>
      </c>
      <c r="Q65" s="32">
        <f>+P65-O65</f>
        <v>-25259.850000000002</v>
      </c>
    </row>
    <row r="66" spans="1:17" ht="16.5" thickBot="1" x14ac:dyDescent="0.45">
      <c r="A66" s="169" t="s">
        <v>111</v>
      </c>
      <c r="B66" s="172" t="s">
        <v>112</v>
      </c>
      <c r="C66" s="44" t="s">
        <v>19</v>
      </c>
      <c r="D66" s="45" t="s">
        <v>20</v>
      </c>
      <c r="E66" s="46">
        <f>COUNTA(C67:C78)</f>
        <v>8</v>
      </c>
      <c r="F66" s="44" t="s">
        <v>19</v>
      </c>
      <c r="G66" s="45" t="s">
        <v>20</v>
      </c>
      <c r="H66" s="46">
        <f>COUNTA(F67:F76)</f>
        <v>7</v>
      </c>
      <c r="I66" s="44"/>
      <c r="J66" s="45"/>
      <c r="K66" s="46">
        <f>+E66+H66</f>
        <v>15</v>
      </c>
      <c r="L66" s="44" t="s">
        <v>19</v>
      </c>
      <c r="M66" s="45" t="s">
        <v>20</v>
      </c>
      <c r="N66" s="46">
        <f>COUNTA(L67:L76)</f>
        <v>3</v>
      </c>
      <c r="O66" s="44" t="s">
        <v>19</v>
      </c>
      <c r="P66" s="45" t="s">
        <v>20</v>
      </c>
      <c r="Q66" s="46">
        <f>COUNTA(O67:O76)</f>
        <v>0</v>
      </c>
    </row>
    <row r="67" spans="1:17" x14ac:dyDescent="0.25">
      <c r="A67" s="175"/>
      <c r="B67" s="177"/>
      <c r="C67" s="8" t="s">
        <v>220</v>
      </c>
      <c r="D67" s="7">
        <v>50000</v>
      </c>
      <c r="E67" s="4"/>
      <c r="F67" s="8" t="s">
        <v>110</v>
      </c>
      <c r="G67" s="3">
        <v>5000</v>
      </c>
      <c r="H67" s="4"/>
      <c r="I67" s="2"/>
      <c r="J67" s="3"/>
      <c r="K67" s="4"/>
      <c r="L67" s="2" t="s">
        <v>222</v>
      </c>
      <c r="M67" s="3">
        <v>30000</v>
      </c>
      <c r="N67" s="4"/>
      <c r="O67" s="2"/>
      <c r="P67" s="3"/>
      <c r="Q67" s="4"/>
    </row>
    <row r="68" spans="1:17" x14ac:dyDescent="0.25">
      <c r="A68" s="175"/>
      <c r="B68" s="177"/>
      <c r="C68" s="8" t="s">
        <v>162</v>
      </c>
      <c r="D68" s="7">
        <v>30000</v>
      </c>
      <c r="E68" s="4"/>
      <c r="F68" s="8" t="s">
        <v>124</v>
      </c>
      <c r="G68" s="3">
        <v>5000</v>
      </c>
      <c r="H68" s="4"/>
      <c r="I68" s="2"/>
      <c r="J68" s="3"/>
      <c r="K68" s="4"/>
      <c r="L68" s="8" t="s">
        <v>146</v>
      </c>
      <c r="M68" s="3">
        <v>5000</v>
      </c>
      <c r="N68" s="4"/>
      <c r="O68" s="2"/>
      <c r="P68" s="3"/>
      <c r="Q68" s="4"/>
    </row>
    <row r="69" spans="1:17" x14ac:dyDescent="0.25">
      <c r="A69" s="175"/>
      <c r="B69" s="177"/>
      <c r="C69" s="8" t="s">
        <v>145</v>
      </c>
      <c r="D69" s="7">
        <v>15000</v>
      </c>
      <c r="E69" s="4"/>
      <c r="F69" s="8" t="s">
        <v>258</v>
      </c>
      <c r="G69" s="3">
        <v>1000</v>
      </c>
      <c r="H69" s="4"/>
      <c r="I69" s="2"/>
      <c r="J69" s="3"/>
      <c r="K69" s="4"/>
      <c r="L69" s="2" t="s">
        <v>260</v>
      </c>
      <c r="M69" s="3">
        <v>0</v>
      </c>
      <c r="N69" s="4"/>
      <c r="O69" s="2"/>
      <c r="P69" s="3"/>
      <c r="Q69" s="158"/>
    </row>
    <row r="70" spans="1:17" x14ac:dyDescent="0.25">
      <c r="A70" s="175"/>
      <c r="B70" s="177"/>
      <c r="C70" s="8" t="s">
        <v>149</v>
      </c>
      <c r="D70" s="3">
        <v>5000</v>
      </c>
      <c r="E70" s="4"/>
      <c r="F70" s="2" t="s">
        <v>259</v>
      </c>
      <c r="G70" s="3">
        <v>500</v>
      </c>
      <c r="H70" s="4"/>
      <c r="I70" s="2"/>
      <c r="J70" s="3"/>
      <c r="K70" s="4"/>
      <c r="L70" s="2"/>
      <c r="M70" s="3"/>
      <c r="N70" s="4"/>
      <c r="O70" s="2"/>
      <c r="P70" s="3"/>
      <c r="Q70" s="158"/>
    </row>
    <row r="71" spans="1:17" x14ac:dyDescent="0.25">
      <c r="A71" s="175"/>
      <c r="B71" s="177"/>
      <c r="C71" s="7" t="s">
        <v>99</v>
      </c>
      <c r="D71" s="7">
        <v>2000</v>
      </c>
      <c r="E71" s="4"/>
      <c r="F71" s="8" t="s">
        <v>9</v>
      </c>
      <c r="G71" s="7">
        <v>500</v>
      </c>
      <c r="H71" s="4"/>
      <c r="I71" s="2"/>
      <c r="J71" s="3"/>
      <c r="K71" s="4"/>
      <c r="L71" s="2"/>
      <c r="M71" s="3"/>
      <c r="N71" s="4"/>
      <c r="O71" s="2"/>
      <c r="P71" s="3"/>
      <c r="Q71" s="4"/>
    </row>
    <row r="72" spans="1:17" x14ac:dyDescent="0.25">
      <c r="A72" s="175"/>
      <c r="B72" s="177"/>
      <c r="C72" s="8" t="s">
        <v>109</v>
      </c>
      <c r="D72" s="7">
        <v>500</v>
      </c>
      <c r="E72" s="4"/>
      <c r="F72" s="2" t="s">
        <v>150</v>
      </c>
      <c r="G72" s="3">
        <v>0</v>
      </c>
      <c r="H72" s="4"/>
      <c r="I72" s="2"/>
      <c r="J72" s="3"/>
      <c r="K72" s="4"/>
      <c r="L72" s="2"/>
      <c r="M72" s="3"/>
      <c r="N72" s="4"/>
      <c r="O72" s="2"/>
      <c r="P72" s="3"/>
      <c r="Q72" s="4"/>
    </row>
    <row r="73" spans="1:17" x14ac:dyDescent="0.25">
      <c r="A73" s="175"/>
      <c r="B73" s="177"/>
      <c r="C73" s="8" t="s">
        <v>10</v>
      </c>
      <c r="D73" s="7">
        <v>500</v>
      </c>
      <c r="E73" s="4"/>
      <c r="F73" s="8" t="s">
        <v>123</v>
      </c>
      <c r="G73" s="7">
        <v>0</v>
      </c>
      <c r="H73" s="4"/>
      <c r="I73" s="2"/>
      <c r="J73" s="3"/>
      <c r="K73" s="4"/>
      <c r="L73" s="2"/>
      <c r="M73" s="3"/>
      <c r="N73" s="4"/>
      <c r="O73" s="5"/>
      <c r="P73" s="3"/>
      <c r="Q73" s="4"/>
    </row>
    <row r="74" spans="1:17" x14ac:dyDescent="0.25">
      <c r="A74" s="175"/>
      <c r="B74" s="177"/>
      <c r="C74" s="8" t="s">
        <v>257</v>
      </c>
      <c r="D74" s="7">
        <v>250</v>
      </c>
      <c r="E74" s="4"/>
      <c r="F74" s="87"/>
      <c r="G74" s="7"/>
      <c r="H74" s="4"/>
      <c r="I74" s="2"/>
      <c r="J74" s="3"/>
      <c r="K74" s="4"/>
      <c r="L74" s="2"/>
      <c r="M74" s="3"/>
      <c r="N74" s="4"/>
      <c r="O74" s="5"/>
      <c r="P74" s="3"/>
      <c r="Q74" s="4"/>
    </row>
    <row r="75" spans="1:17" x14ac:dyDescent="0.25">
      <c r="A75" s="175"/>
      <c r="B75" s="177"/>
      <c r="C75" s="87"/>
      <c r="D75" s="3"/>
      <c r="E75" s="4"/>
      <c r="F75" s="87"/>
      <c r="G75" s="7"/>
      <c r="H75" s="4"/>
      <c r="I75" s="2"/>
      <c r="J75" s="3"/>
      <c r="K75" s="4"/>
      <c r="L75" s="2"/>
      <c r="M75" s="3"/>
      <c r="N75" s="4"/>
      <c r="O75" s="5"/>
      <c r="P75" s="3"/>
      <c r="Q75" s="4"/>
    </row>
    <row r="76" spans="1:17" x14ac:dyDescent="0.25">
      <c r="A76" s="175"/>
      <c r="B76" s="177"/>
      <c r="C76" s="87"/>
      <c r="D76" s="7"/>
      <c r="E76" s="4"/>
      <c r="F76" s="2"/>
      <c r="G76" s="3"/>
      <c r="H76" s="4"/>
      <c r="I76" s="2"/>
      <c r="J76" s="3"/>
      <c r="K76" s="4"/>
      <c r="L76" s="2"/>
      <c r="M76" s="3"/>
      <c r="N76" s="4"/>
      <c r="O76" s="5"/>
      <c r="P76" s="3"/>
      <c r="Q76" s="4"/>
    </row>
    <row r="77" spans="1:17" x14ac:dyDescent="0.25">
      <c r="A77" s="175"/>
      <c r="B77" s="177"/>
      <c r="C77" s="87"/>
      <c r="D77" s="3"/>
      <c r="E77" s="4"/>
      <c r="F77" s="2"/>
      <c r="G77" s="3"/>
      <c r="H77" s="4"/>
      <c r="I77" s="2"/>
      <c r="J77" s="3"/>
      <c r="K77" s="4"/>
      <c r="L77" s="2"/>
      <c r="M77" s="3"/>
      <c r="N77" s="4"/>
      <c r="O77" s="5"/>
      <c r="P77" s="3"/>
      <c r="Q77" s="4"/>
    </row>
    <row r="78" spans="1:17" x14ac:dyDescent="0.25">
      <c r="A78" s="175"/>
      <c r="B78" s="177"/>
      <c r="C78" s="8"/>
      <c r="D78" s="7"/>
      <c r="E78" s="4"/>
      <c r="F78" s="2"/>
      <c r="G78" s="3"/>
      <c r="H78" s="4"/>
      <c r="I78" s="2"/>
      <c r="J78" s="3"/>
      <c r="K78" s="4"/>
      <c r="L78" s="2"/>
      <c r="M78" s="3"/>
      <c r="N78" s="4"/>
      <c r="O78" s="5"/>
      <c r="P78" s="3"/>
      <c r="Q78" s="4"/>
    </row>
    <row r="79" spans="1:17" x14ac:dyDescent="0.25">
      <c r="A79" s="175"/>
      <c r="B79" s="177"/>
      <c r="C79" s="122" t="s">
        <v>194</v>
      </c>
      <c r="D79" s="3"/>
      <c r="E79" s="36" t="s">
        <v>59</v>
      </c>
      <c r="F79" s="122" t="s">
        <v>194</v>
      </c>
      <c r="G79" s="91"/>
      <c r="H79" s="36" t="s">
        <v>59</v>
      </c>
      <c r="I79" s="122" t="s">
        <v>194</v>
      </c>
      <c r="J79" s="34"/>
      <c r="K79" s="36" t="s">
        <v>59</v>
      </c>
      <c r="L79" s="122"/>
      <c r="M79" s="3"/>
      <c r="N79" s="36" t="s">
        <v>59</v>
      </c>
      <c r="O79" s="122"/>
      <c r="P79" s="3"/>
      <c r="Q79" s="36" t="s">
        <v>59</v>
      </c>
    </row>
    <row r="80" spans="1:17" ht="15" x14ac:dyDescent="0.4">
      <c r="A80" s="175"/>
      <c r="B80" s="177"/>
      <c r="C80" s="123" t="s">
        <v>137</v>
      </c>
      <c r="D80" s="23"/>
      <c r="E80" s="24" t="s">
        <v>60</v>
      </c>
      <c r="F80" s="123" t="s">
        <v>137</v>
      </c>
      <c r="G80" s="23"/>
      <c r="H80" s="24" t="s">
        <v>60</v>
      </c>
      <c r="I80" s="123" t="s">
        <v>137</v>
      </c>
      <c r="J80" s="35" t="s">
        <v>20</v>
      </c>
      <c r="K80" s="24" t="s">
        <v>60</v>
      </c>
      <c r="L80" s="123" t="s">
        <v>137</v>
      </c>
      <c r="M80" s="23"/>
      <c r="N80" s="24" t="s">
        <v>60</v>
      </c>
      <c r="O80" s="159" t="s">
        <v>137</v>
      </c>
      <c r="P80" s="35"/>
      <c r="Q80" s="90" t="s">
        <v>60</v>
      </c>
    </row>
    <row r="81" spans="1:17" x14ac:dyDescent="0.25">
      <c r="A81" s="176"/>
      <c r="B81" s="178"/>
      <c r="C81" s="43">
        <f>+'[3]QTD Mgmt Summary'!E26*-1</f>
        <v>6274.5</v>
      </c>
      <c r="D81" s="25">
        <f>SUM(D67:D80)</f>
        <v>103250</v>
      </c>
      <c r="E81" s="32">
        <f>+D81-C81</f>
        <v>96975.5</v>
      </c>
      <c r="F81" s="43">
        <v>6279</v>
      </c>
      <c r="G81" s="25">
        <f>SUM(G67:G80)</f>
        <v>12000</v>
      </c>
      <c r="H81" s="32">
        <f>+G81-F81</f>
        <v>5721</v>
      </c>
      <c r="I81" s="43">
        <f>+C81+F81</f>
        <v>12553.5</v>
      </c>
      <c r="J81" s="25">
        <f>+D81+G81</f>
        <v>115250</v>
      </c>
      <c r="K81" s="32">
        <f>+J81-I81</f>
        <v>102696.5</v>
      </c>
      <c r="L81" s="160">
        <f>+O81</f>
        <v>8386.2000000000007</v>
      </c>
      <c r="M81" s="25">
        <f>SUM(M67:M80)</f>
        <v>35000</v>
      </c>
      <c r="N81" s="32">
        <f>+M81-L81</f>
        <v>26613.8</v>
      </c>
      <c r="O81" s="43">
        <f>+'[2]QTD Mgmt Summary'!D26*1.35</f>
        <v>8386.2000000000007</v>
      </c>
      <c r="P81" s="25">
        <f>SUM(P67:P80)</f>
        <v>0</v>
      </c>
      <c r="Q81" s="32">
        <f>+P81-O81</f>
        <v>-8386.2000000000007</v>
      </c>
    </row>
    <row r="82" spans="1:17" ht="15" customHeight="1" thickBot="1" x14ac:dyDescent="0.45">
      <c r="A82" s="169" t="s">
        <v>7</v>
      </c>
      <c r="B82" s="172" t="s">
        <v>112</v>
      </c>
      <c r="C82" s="44" t="s">
        <v>19</v>
      </c>
      <c r="D82" s="45" t="s">
        <v>20</v>
      </c>
      <c r="E82" s="46">
        <f>COUNTA(C83:C91)</f>
        <v>9</v>
      </c>
      <c r="F82" s="44" t="s">
        <v>19</v>
      </c>
      <c r="G82" s="45" t="s">
        <v>20</v>
      </c>
      <c r="H82" s="46">
        <f>COUNTA(F83:F91)</f>
        <v>7</v>
      </c>
      <c r="I82" s="44"/>
      <c r="J82" s="45"/>
      <c r="K82" s="46">
        <f>+E82+H82</f>
        <v>16</v>
      </c>
      <c r="L82" s="44" t="s">
        <v>19</v>
      </c>
      <c r="M82" s="45" t="s">
        <v>20</v>
      </c>
      <c r="N82" s="46">
        <f>COUNTA(L83:L91)</f>
        <v>0</v>
      </c>
      <c r="O82" s="44" t="s">
        <v>19</v>
      </c>
      <c r="P82" s="45" t="s">
        <v>20</v>
      </c>
      <c r="Q82" s="46">
        <f>COUNTA(O83:O91)</f>
        <v>0</v>
      </c>
    </row>
    <row r="83" spans="1:17" x14ac:dyDescent="0.25">
      <c r="A83" s="175"/>
      <c r="B83" s="177"/>
      <c r="C83" s="2" t="s">
        <v>190</v>
      </c>
      <c r="D83" s="3">
        <v>10000</v>
      </c>
      <c r="E83" s="4"/>
      <c r="F83" s="2" t="s">
        <v>42</v>
      </c>
      <c r="G83" s="3">
        <v>5000</v>
      </c>
      <c r="H83" s="4"/>
      <c r="I83" s="2"/>
      <c r="J83" s="3"/>
      <c r="K83" s="4"/>
      <c r="L83" s="2"/>
      <c r="M83" s="3"/>
      <c r="N83" s="4"/>
      <c r="O83" s="2"/>
      <c r="P83" s="3"/>
      <c r="Q83" s="4"/>
    </row>
    <row r="84" spans="1:17" x14ac:dyDescent="0.25">
      <c r="A84" s="175"/>
      <c r="B84" s="177"/>
      <c r="C84" s="2" t="s">
        <v>35</v>
      </c>
      <c r="D84" s="3">
        <v>4000</v>
      </c>
      <c r="E84" s="4"/>
      <c r="F84" s="2" t="s">
        <v>39</v>
      </c>
      <c r="G84" s="3">
        <v>3000</v>
      </c>
      <c r="H84" s="4"/>
      <c r="I84" s="2"/>
      <c r="J84" s="3"/>
      <c r="K84" s="4"/>
      <c r="L84" s="2"/>
      <c r="M84" s="3"/>
      <c r="N84" s="4"/>
      <c r="O84" s="2"/>
      <c r="P84" s="3"/>
      <c r="Q84" s="4"/>
    </row>
    <row r="85" spans="1:17" x14ac:dyDescent="0.25">
      <c r="A85" s="175"/>
      <c r="B85" s="177"/>
      <c r="C85" s="2" t="s">
        <v>191</v>
      </c>
      <c r="D85" s="3">
        <v>2000</v>
      </c>
      <c r="E85" s="4"/>
      <c r="F85" s="2" t="s">
        <v>226</v>
      </c>
      <c r="G85" s="3">
        <v>2000</v>
      </c>
      <c r="H85" s="4"/>
      <c r="I85" s="2"/>
      <c r="J85" s="3"/>
      <c r="K85" s="4"/>
      <c r="L85" s="2"/>
      <c r="M85" s="3"/>
      <c r="N85" s="4"/>
      <c r="O85" s="2"/>
      <c r="P85" s="3"/>
      <c r="Q85" s="4"/>
    </row>
    <row r="86" spans="1:17" x14ac:dyDescent="0.25">
      <c r="A86" s="175"/>
      <c r="B86" s="177"/>
      <c r="C86" s="2" t="s">
        <v>37</v>
      </c>
      <c r="D86" s="3">
        <v>2000</v>
      </c>
      <c r="E86" s="4"/>
      <c r="F86" s="2" t="s">
        <v>227</v>
      </c>
      <c r="G86" s="3">
        <v>2000</v>
      </c>
      <c r="H86" s="4"/>
      <c r="I86" s="2"/>
      <c r="J86" s="3"/>
      <c r="K86" s="4"/>
      <c r="L86" s="2"/>
      <c r="M86" s="3"/>
      <c r="N86" s="4"/>
      <c r="O86" s="2"/>
      <c r="P86" s="3"/>
      <c r="Q86" s="4"/>
    </row>
    <row r="87" spans="1:17" x14ac:dyDescent="0.25">
      <c r="A87" s="175"/>
      <c r="B87" s="177"/>
      <c r="C87" s="2" t="s">
        <v>193</v>
      </c>
      <c r="D87" s="27">
        <v>1000</v>
      </c>
      <c r="E87" s="4"/>
      <c r="F87" s="2" t="s">
        <v>228</v>
      </c>
      <c r="G87" s="27">
        <v>2000</v>
      </c>
      <c r="H87" s="4"/>
      <c r="I87" s="2"/>
      <c r="J87" s="3"/>
      <c r="K87" s="4"/>
      <c r="L87" s="2"/>
      <c r="M87" s="3"/>
      <c r="N87" s="4"/>
      <c r="O87" s="2"/>
      <c r="P87" s="3"/>
      <c r="Q87" s="4"/>
    </row>
    <row r="88" spans="1:17" x14ac:dyDescent="0.25">
      <c r="A88" s="175"/>
      <c r="B88" s="177"/>
      <c r="C88" s="2" t="s">
        <v>38</v>
      </c>
      <c r="D88" s="3">
        <v>800</v>
      </c>
      <c r="E88" s="4"/>
      <c r="F88" s="2" t="s">
        <v>36</v>
      </c>
      <c r="G88" s="3">
        <v>1000</v>
      </c>
      <c r="H88" s="4"/>
      <c r="I88" s="2"/>
      <c r="J88" s="3"/>
      <c r="K88" s="4"/>
      <c r="L88" s="2"/>
      <c r="M88" s="3"/>
      <c r="N88" s="4"/>
      <c r="O88" s="2"/>
      <c r="P88" s="27"/>
      <c r="Q88" s="4"/>
    </row>
    <row r="89" spans="1:17" x14ac:dyDescent="0.25">
      <c r="A89" s="175"/>
      <c r="B89" s="177"/>
      <c r="C89" s="2" t="s">
        <v>229</v>
      </c>
      <c r="D89" s="27">
        <v>500</v>
      </c>
      <c r="E89" s="4"/>
      <c r="F89" s="2" t="s">
        <v>41</v>
      </c>
      <c r="G89" s="27">
        <v>0</v>
      </c>
      <c r="H89" s="4"/>
      <c r="I89" s="2"/>
      <c r="J89" s="3"/>
      <c r="K89" s="4"/>
      <c r="L89" s="2"/>
      <c r="M89" s="3"/>
      <c r="N89" s="4"/>
      <c r="O89" s="2"/>
      <c r="P89" s="3"/>
      <c r="Q89" s="4"/>
    </row>
    <row r="90" spans="1:17" x14ac:dyDescent="0.25">
      <c r="A90" s="175"/>
      <c r="B90" s="177"/>
      <c r="C90" s="2" t="s">
        <v>40</v>
      </c>
      <c r="D90" s="27">
        <v>0</v>
      </c>
      <c r="E90" s="4"/>
      <c r="F90" s="2"/>
      <c r="G90" s="3"/>
      <c r="H90" s="4"/>
      <c r="I90" s="2"/>
      <c r="J90" s="3"/>
      <c r="K90" s="4"/>
      <c r="L90" s="2"/>
      <c r="M90" s="3"/>
      <c r="N90" s="4"/>
      <c r="O90" s="2"/>
      <c r="P90" s="27"/>
      <c r="Q90" s="4"/>
    </row>
    <row r="91" spans="1:17" x14ac:dyDescent="0.25">
      <c r="A91" s="175"/>
      <c r="B91" s="177"/>
      <c r="C91" s="2" t="s">
        <v>192</v>
      </c>
      <c r="D91" s="27">
        <v>0</v>
      </c>
      <c r="E91" s="4"/>
      <c r="F91" s="2"/>
      <c r="G91" s="3"/>
      <c r="H91" s="4"/>
      <c r="I91" s="2"/>
      <c r="J91" s="3"/>
      <c r="K91" s="4"/>
      <c r="L91" s="2"/>
      <c r="M91" s="3"/>
      <c r="N91" s="4"/>
      <c r="O91" s="2"/>
      <c r="P91" s="27"/>
      <c r="Q91" s="4"/>
    </row>
    <row r="92" spans="1:17" x14ac:dyDescent="0.25">
      <c r="A92" s="175"/>
      <c r="B92" s="177"/>
      <c r="C92" s="122" t="s">
        <v>194</v>
      </c>
      <c r="D92" s="3"/>
      <c r="E92" s="36" t="s">
        <v>59</v>
      </c>
      <c r="F92" s="122" t="s">
        <v>194</v>
      </c>
      <c r="G92" s="91"/>
      <c r="H92" s="36" t="s">
        <v>59</v>
      </c>
      <c r="I92" s="122" t="s">
        <v>194</v>
      </c>
      <c r="J92" s="34"/>
      <c r="K92" s="36" t="s">
        <v>59</v>
      </c>
      <c r="L92" s="122"/>
      <c r="M92" s="3"/>
      <c r="N92" s="36" t="s">
        <v>59</v>
      </c>
      <c r="O92" s="122"/>
      <c r="P92" s="3"/>
      <c r="Q92" s="36" t="s">
        <v>59</v>
      </c>
    </row>
    <row r="93" spans="1:17" ht="15" x14ac:dyDescent="0.4">
      <c r="A93" s="175"/>
      <c r="B93" s="177"/>
      <c r="C93" s="123" t="s">
        <v>137</v>
      </c>
      <c r="D93" s="23"/>
      <c r="E93" s="24" t="s">
        <v>60</v>
      </c>
      <c r="F93" s="123" t="s">
        <v>137</v>
      </c>
      <c r="G93" s="23"/>
      <c r="H93" s="24" t="s">
        <v>60</v>
      </c>
      <c r="I93" s="123" t="s">
        <v>137</v>
      </c>
      <c r="J93" s="35" t="s">
        <v>20</v>
      </c>
      <c r="K93" s="24" t="s">
        <v>60</v>
      </c>
      <c r="L93" s="123" t="s">
        <v>137</v>
      </c>
      <c r="M93" s="23"/>
      <c r="N93" s="24" t="s">
        <v>60</v>
      </c>
      <c r="O93" s="123" t="s">
        <v>137</v>
      </c>
      <c r="P93" s="23"/>
      <c r="Q93" s="24" t="s">
        <v>60</v>
      </c>
    </row>
    <row r="94" spans="1:17" x14ac:dyDescent="0.25">
      <c r="A94" s="176"/>
      <c r="B94" s="178"/>
      <c r="C94" s="43">
        <f>+'[3]QTD Mgmt Summary'!E27*-1</f>
        <v>13598</v>
      </c>
      <c r="D94" s="25">
        <f>SUM(D83:D93)</f>
        <v>20300</v>
      </c>
      <c r="E94" s="32">
        <f>+D94-C94</f>
        <v>6702</v>
      </c>
      <c r="F94" s="43">
        <v>11558</v>
      </c>
      <c r="G94" s="25">
        <f>SUM(G83:G93)</f>
        <v>15000</v>
      </c>
      <c r="H94" s="32">
        <f>+G94-F94</f>
        <v>3442</v>
      </c>
      <c r="I94" s="43">
        <f>+C94+F94</f>
        <v>25156</v>
      </c>
      <c r="J94" s="25">
        <f>+D94+G94</f>
        <v>35300</v>
      </c>
      <c r="K94" s="32">
        <f>+J94-I94</f>
        <v>10144</v>
      </c>
      <c r="L94" s="160">
        <f>+O94</f>
        <v>15600.6</v>
      </c>
      <c r="M94" s="25">
        <f>SUM(M83:M93)</f>
        <v>0</v>
      </c>
      <c r="N94" s="32">
        <f>+M94-L94</f>
        <v>-15600.6</v>
      </c>
      <c r="O94" s="43">
        <f>+'[2]QTD Mgmt Summary'!D27*1.35</f>
        <v>15600.6</v>
      </c>
      <c r="P94" s="25">
        <f>SUM(P83:P93)</f>
        <v>0</v>
      </c>
      <c r="Q94" s="32">
        <f>+P94-O94</f>
        <v>-15600.6</v>
      </c>
    </row>
    <row r="95" spans="1:17" ht="16.5" thickBot="1" x14ac:dyDescent="0.45">
      <c r="A95" s="169" t="s">
        <v>26</v>
      </c>
      <c r="B95" s="172" t="s">
        <v>27</v>
      </c>
      <c r="C95" s="44" t="s">
        <v>19</v>
      </c>
      <c r="D95" s="45" t="s">
        <v>20</v>
      </c>
      <c r="E95" s="46">
        <f>COUNTA(C96:C96)</f>
        <v>1</v>
      </c>
      <c r="F95" s="44" t="s">
        <v>19</v>
      </c>
      <c r="G95" s="45" t="s">
        <v>20</v>
      </c>
      <c r="H95" s="46">
        <f>COUNTA(F96:F96)</f>
        <v>1</v>
      </c>
      <c r="I95" s="44"/>
      <c r="J95" s="45"/>
      <c r="K95" s="46">
        <f>+E95+H95</f>
        <v>2</v>
      </c>
      <c r="L95" s="44" t="s">
        <v>19</v>
      </c>
      <c r="M95" s="45" t="s">
        <v>20</v>
      </c>
      <c r="N95" s="46">
        <f>COUNTA(L96:L96)</f>
        <v>1</v>
      </c>
      <c r="O95" s="44" t="s">
        <v>19</v>
      </c>
      <c r="P95" s="45" t="s">
        <v>20</v>
      </c>
      <c r="Q95" s="46">
        <f>COUNTA(O96:O96)</f>
        <v>0</v>
      </c>
    </row>
    <row r="96" spans="1:17" x14ac:dyDescent="0.25">
      <c r="A96" s="170"/>
      <c r="B96" s="173"/>
      <c r="C96" s="2" t="s">
        <v>142</v>
      </c>
      <c r="D96" s="3">
        <v>750</v>
      </c>
      <c r="E96" s="4"/>
      <c r="F96" s="2" t="s">
        <v>143</v>
      </c>
      <c r="G96" s="3">
        <v>10000</v>
      </c>
      <c r="H96" s="4"/>
      <c r="I96" s="2"/>
      <c r="J96" s="3"/>
      <c r="K96" s="4"/>
      <c r="L96" s="2" t="s">
        <v>144</v>
      </c>
      <c r="M96" s="3">
        <v>7500</v>
      </c>
      <c r="N96" s="4"/>
      <c r="O96" s="2"/>
      <c r="P96" s="27"/>
      <c r="Q96" s="4"/>
    </row>
    <row r="97" spans="1:17" x14ac:dyDescent="0.25">
      <c r="A97" s="170"/>
      <c r="B97" s="173"/>
      <c r="C97" s="122" t="s">
        <v>194</v>
      </c>
      <c r="D97" s="3"/>
      <c r="E97" s="36" t="s">
        <v>59</v>
      </c>
      <c r="F97" s="122" t="s">
        <v>194</v>
      </c>
      <c r="G97" s="91"/>
      <c r="H97" s="36" t="s">
        <v>59</v>
      </c>
      <c r="I97" s="122" t="s">
        <v>194</v>
      </c>
      <c r="J97" s="34"/>
      <c r="K97" s="36" t="s">
        <v>59</v>
      </c>
      <c r="L97" s="122"/>
      <c r="M97" s="3"/>
      <c r="N97" s="36" t="s">
        <v>59</v>
      </c>
      <c r="O97" s="122"/>
      <c r="P97" s="3"/>
      <c r="Q97" s="36" t="s">
        <v>59</v>
      </c>
    </row>
    <row r="98" spans="1:17" ht="15" x14ac:dyDescent="0.4">
      <c r="A98" s="170"/>
      <c r="B98" s="173"/>
      <c r="C98" s="123" t="s">
        <v>137</v>
      </c>
      <c r="D98" s="23"/>
      <c r="E98" s="24" t="s">
        <v>60</v>
      </c>
      <c r="F98" s="123" t="s">
        <v>137</v>
      </c>
      <c r="G98" s="23"/>
      <c r="H98" s="24" t="s">
        <v>60</v>
      </c>
      <c r="I98" s="123" t="s">
        <v>137</v>
      </c>
      <c r="J98" s="35" t="s">
        <v>20</v>
      </c>
      <c r="K98" s="24" t="s">
        <v>60</v>
      </c>
      <c r="L98" s="123" t="s">
        <v>137</v>
      </c>
      <c r="M98" s="23"/>
      <c r="N98" s="24" t="s">
        <v>60</v>
      </c>
      <c r="O98" s="123" t="s">
        <v>137</v>
      </c>
      <c r="P98" s="23"/>
      <c r="Q98" s="24" t="s">
        <v>60</v>
      </c>
    </row>
    <row r="99" spans="1:17" x14ac:dyDescent="0.25">
      <c r="A99" s="171"/>
      <c r="B99" s="174"/>
      <c r="C99" s="43">
        <f>+'[3]QTD Mgmt Summary'!E31*-1</f>
        <v>7712</v>
      </c>
      <c r="D99" s="25">
        <f>SUM(D96:D98)</f>
        <v>750</v>
      </c>
      <c r="E99" s="32">
        <f>+D99-C99</f>
        <v>-6962</v>
      </c>
      <c r="F99" s="43">
        <v>7712</v>
      </c>
      <c r="G99" s="25">
        <f>SUM(G96:G98)</f>
        <v>10000</v>
      </c>
      <c r="H99" s="32">
        <f>+G99-F99</f>
        <v>2288</v>
      </c>
      <c r="I99" s="43">
        <f>+C99+F99</f>
        <v>15424</v>
      </c>
      <c r="J99" s="25">
        <f>+D99+G99</f>
        <v>10750</v>
      </c>
      <c r="K99" s="32">
        <f>+J99-I99</f>
        <v>-4674</v>
      </c>
      <c r="L99" s="160">
        <f>+O99</f>
        <v>10411.200000000001</v>
      </c>
      <c r="M99" s="25">
        <f>SUM(M96:M98)</f>
        <v>7500</v>
      </c>
      <c r="N99" s="32">
        <f>+M99-L99</f>
        <v>-2911.2000000000007</v>
      </c>
      <c r="O99" s="43">
        <f>+'[2]QTD Mgmt Summary'!D31*1.35</f>
        <v>10411.200000000001</v>
      </c>
      <c r="P99" s="25">
        <f>SUM(P96:P98)</f>
        <v>0</v>
      </c>
      <c r="Q99" s="32">
        <f>+P99-O99</f>
        <v>-10411.200000000001</v>
      </c>
    </row>
    <row r="100" spans="1:17" ht="16.5" thickBot="1" x14ac:dyDescent="0.45">
      <c r="A100" s="169"/>
      <c r="B100" s="172" t="s">
        <v>0</v>
      </c>
      <c r="C100" s="44" t="s">
        <v>19</v>
      </c>
      <c r="D100" s="45" t="s">
        <v>20</v>
      </c>
      <c r="E100" s="46">
        <f>COUNTA(C101:C104)</f>
        <v>2</v>
      </c>
      <c r="F100" s="44" t="s">
        <v>19</v>
      </c>
      <c r="G100" s="45" t="s">
        <v>20</v>
      </c>
      <c r="H100" s="46">
        <f>COUNTA(F101:F104)</f>
        <v>4</v>
      </c>
      <c r="I100" s="44"/>
      <c r="J100" s="45"/>
      <c r="K100" s="46">
        <f>+E100+H100</f>
        <v>6</v>
      </c>
      <c r="L100" s="44" t="s">
        <v>19</v>
      </c>
      <c r="M100" s="45" t="s">
        <v>20</v>
      </c>
      <c r="N100" s="46">
        <f>COUNTA(L101:L104)</f>
        <v>2</v>
      </c>
      <c r="O100" s="44" t="s">
        <v>19</v>
      </c>
      <c r="P100" s="45" t="s">
        <v>20</v>
      </c>
      <c r="Q100" s="46">
        <f>COUNTA(O101:O104)</f>
        <v>0</v>
      </c>
    </row>
    <row r="101" spans="1:17" x14ac:dyDescent="0.25">
      <c r="A101" s="175"/>
      <c r="B101" s="177"/>
      <c r="C101" s="2" t="s">
        <v>91</v>
      </c>
      <c r="D101" s="3">
        <v>0</v>
      </c>
      <c r="E101" s="4"/>
      <c r="F101" s="2" t="s">
        <v>90</v>
      </c>
      <c r="G101" s="3">
        <v>26000</v>
      </c>
      <c r="H101" s="4"/>
      <c r="I101" s="2"/>
      <c r="J101" s="3"/>
      <c r="K101" s="4"/>
      <c r="L101" s="2" t="s">
        <v>116</v>
      </c>
      <c r="M101" s="3">
        <v>2000</v>
      </c>
      <c r="N101" s="4"/>
      <c r="O101" s="2"/>
      <c r="P101" s="3"/>
      <c r="Q101" s="4"/>
    </row>
    <row r="102" spans="1:17" x14ac:dyDescent="0.25">
      <c r="A102" s="175"/>
      <c r="B102" s="177"/>
      <c r="C102" s="2" t="s">
        <v>117</v>
      </c>
      <c r="D102" s="3">
        <v>0</v>
      </c>
      <c r="E102" s="4"/>
      <c r="F102" s="2" t="s">
        <v>147</v>
      </c>
      <c r="G102" s="3">
        <v>8000</v>
      </c>
      <c r="H102" s="4"/>
      <c r="I102" s="2"/>
      <c r="J102" s="3"/>
      <c r="K102" s="4"/>
      <c r="L102" s="2" t="s">
        <v>118</v>
      </c>
      <c r="M102" s="3">
        <v>2000</v>
      </c>
      <c r="N102" s="4"/>
      <c r="O102" s="2"/>
      <c r="P102" s="3"/>
      <c r="Q102" s="4"/>
    </row>
    <row r="103" spans="1:17" x14ac:dyDescent="0.25">
      <c r="A103" s="175"/>
      <c r="B103" s="177"/>
      <c r="C103" s="2"/>
      <c r="D103" s="3"/>
      <c r="E103" s="4"/>
      <c r="F103" s="2" t="s">
        <v>91</v>
      </c>
      <c r="G103" s="3">
        <v>0</v>
      </c>
      <c r="H103" s="4"/>
      <c r="I103" s="2"/>
      <c r="J103" s="3"/>
      <c r="K103" s="4"/>
      <c r="L103" s="2"/>
      <c r="M103" s="3"/>
      <c r="N103" s="4"/>
      <c r="O103" s="2"/>
      <c r="P103" s="3"/>
      <c r="Q103" s="4"/>
    </row>
    <row r="104" spans="1:17" x14ac:dyDescent="0.25">
      <c r="A104" s="175"/>
      <c r="B104" s="177"/>
      <c r="C104" s="2"/>
      <c r="D104" s="3"/>
      <c r="E104" s="4"/>
      <c r="F104" s="2" t="s">
        <v>117</v>
      </c>
      <c r="G104" s="3">
        <v>0</v>
      </c>
      <c r="H104" s="4"/>
      <c r="I104" s="2"/>
      <c r="J104" s="3"/>
      <c r="K104" s="4"/>
      <c r="L104" s="2"/>
      <c r="M104" s="3"/>
      <c r="N104" s="4"/>
      <c r="O104" s="2"/>
      <c r="P104" s="3"/>
      <c r="Q104" s="4"/>
    </row>
    <row r="105" spans="1:17" x14ac:dyDescent="0.25">
      <c r="A105" s="175"/>
      <c r="B105" s="177"/>
      <c r="C105" s="122" t="s">
        <v>194</v>
      </c>
      <c r="D105" s="3"/>
      <c r="E105" s="36" t="s">
        <v>59</v>
      </c>
      <c r="F105" s="122" t="s">
        <v>194</v>
      </c>
      <c r="H105" s="36" t="s">
        <v>59</v>
      </c>
      <c r="I105" s="122" t="s">
        <v>194</v>
      </c>
      <c r="J105" s="34"/>
      <c r="K105" s="36" t="s">
        <v>59</v>
      </c>
      <c r="L105" s="122"/>
      <c r="M105" s="3"/>
      <c r="N105" s="36" t="s">
        <v>59</v>
      </c>
      <c r="O105" s="122"/>
      <c r="P105" s="3"/>
      <c r="Q105" s="36" t="s">
        <v>59</v>
      </c>
    </row>
    <row r="106" spans="1:17" ht="15" x14ac:dyDescent="0.4">
      <c r="A106" s="175"/>
      <c r="B106" s="177"/>
      <c r="C106" s="123" t="s">
        <v>137</v>
      </c>
      <c r="D106" s="23"/>
      <c r="E106" s="24" t="s">
        <v>60</v>
      </c>
      <c r="F106" s="123" t="s">
        <v>137</v>
      </c>
      <c r="G106" s="23"/>
      <c r="H106" s="24" t="s">
        <v>60</v>
      </c>
      <c r="I106" s="123" t="s">
        <v>137</v>
      </c>
      <c r="J106" s="35" t="s">
        <v>20</v>
      </c>
      <c r="K106" s="24" t="s">
        <v>60</v>
      </c>
      <c r="L106" s="123" t="s">
        <v>137</v>
      </c>
      <c r="M106" s="23"/>
      <c r="N106" s="24" t="s">
        <v>60</v>
      </c>
      <c r="O106" s="123" t="s">
        <v>137</v>
      </c>
      <c r="P106" s="23"/>
      <c r="Q106" s="24" t="s">
        <v>60</v>
      </c>
    </row>
    <row r="107" spans="1:17" x14ac:dyDescent="0.25">
      <c r="A107" s="176"/>
      <c r="B107" s="178"/>
      <c r="C107" s="43">
        <f>+'[3]QTD Mgmt Summary'!E32*-1</f>
        <v>4656</v>
      </c>
      <c r="D107" s="25">
        <f>SUM(D101:D106)</f>
        <v>0</v>
      </c>
      <c r="E107" s="32">
        <f>+D107-C107</f>
        <v>-4656</v>
      </c>
      <c r="F107" s="43">
        <v>4656</v>
      </c>
      <c r="G107" s="25">
        <f>SUM(G101:G106)</f>
        <v>34000</v>
      </c>
      <c r="H107" s="32">
        <f>+G107-F107</f>
        <v>29344</v>
      </c>
      <c r="I107" s="43">
        <f>+C107+F107</f>
        <v>9312</v>
      </c>
      <c r="J107" s="25">
        <f>+D107+G107</f>
        <v>34000</v>
      </c>
      <c r="K107" s="32">
        <f>+J107-I107</f>
        <v>24688</v>
      </c>
      <c r="L107" s="43">
        <f>+[1]Summary!$C$26*1.35</f>
        <v>6285.6</v>
      </c>
      <c r="M107" s="25">
        <f>SUM(M101:M106)</f>
        <v>4000</v>
      </c>
      <c r="N107" s="32">
        <f>+M107-L107</f>
        <v>-2285.6000000000004</v>
      </c>
      <c r="O107" s="43">
        <f>+'[2]QTD Mgmt Summary'!D32*1.35</f>
        <v>6285.6</v>
      </c>
      <c r="P107" s="25">
        <f>SUM(P101:P106)</f>
        <v>0</v>
      </c>
      <c r="Q107" s="32">
        <f>+P107-O107</f>
        <v>-6285.6</v>
      </c>
    </row>
    <row r="108" spans="1:17" ht="16.5" thickBot="1" x14ac:dyDescent="0.45">
      <c r="A108" s="169"/>
      <c r="B108" s="172" t="s">
        <v>186</v>
      </c>
      <c r="C108" s="44" t="s">
        <v>19</v>
      </c>
      <c r="D108" s="45" t="s">
        <v>20</v>
      </c>
      <c r="E108" s="46">
        <v>28</v>
      </c>
      <c r="F108" s="44" t="s">
        <v>19</v>
      </c>
      <c r="G108" s="45" t="s">
        <v>20</v>
      </c>
      <c r="H108" s="46">
        <v>31</v>
      </c>
      <c r="I108" s="44"/>
      <c r="J108" s="45"/>
      <c r="K108" s="46">
        <f>+E108+H108</f>
        <v>59</v>
      </c>
      <c r="L108" s="44" t="s">
        <v>19</v>
      </c>
      <c r="M108" s="45" t="s">
        <v>20</v>
      </c>
      <c r="N108" s="46">
        <v>13</v>
      </c>
      <c r="O108" s="44" t="s">
        <v>19</v>
      </c>
      <c r="P108" s="45" t="s">
        <v>20</v>
      </c>
      <c r="Q108" s="46">
        <v>2</v>
      </c>
    </row>
    <row r="109" spans="1:17" x14ac:dyDescent="0.25">
      <c r="A109" s="175"/>
      <c r="B109" s="177"/>
      <c r="C109" s="54" t="s">
        <v>108</v>
      </c>
      <c r="D109" s="12">
        <v>20000</v>
      </c>
      <c r="E109" s="9"/>
      <c r="F109" s="8" t="s">
        <v>170</v>
      </c>
      <c r="G109" s="7">
        <v>2500</v>
      </c>
      <c r="H109" s="9"/>
      <c r="I109" s="2"/>
      <c r="J109" s="3"/>
      <c r="K109" s="4"/>
      <c r="L109" s="8" t="s">
        <v>181</v>
      </c>
      <c r="M109" s="3">
        <v>2000</v>
      </c>
      <c r="N109" s="4"/>
      <c r="O109" s="8" t="s">
        <v>216</v>
      </c>
      <c r="P109" s="7">
        <v>500</v>
      </c>
      <c r="Q109" s="9"/>
    </row>
    <row r="110" spans="1:17" x14ac:dyDescent="0.25">
      <c r="A110" s="175"/>
      <c r="B110" s="177"/>
      <c r="C110" s="8" t="s">
        <v>163</v>
      </c>
      <c r="D110" s="7">
        <v>3500</v>
      </c>
      <c r="E110" s="9"/>
      <c r="F110" s="8" t="s">
        <v>244</v>
      </c>
      <c r="G110" s="7">
        <v>2000</v>
      </c>
      <c r="H110" s="9"/>
      <c r="I110" s="2"/>
      <c r="J110" s="3"/>
      <c r="K110" s="4"/>
      <c r="L110" s="8" t="s">
        <v>182</v>
      </c>
      <c r="M110" s="3">
        <v>2000</v>
      </c>
      <c r="N110" s="4"/>
      <c r="O110" s="8" t="s">
        <v>246</v>
      </c>
      <c r="P110" s="7">
        <v>0</v>
      </c>
      <c r="Q110" s="9"/>
    </row>
    <row r="111" spans="1:17" x14ac:dyDescent="0.25">
      <c r="A111" s="175"/>
      <c r="B111" s="177"/>
      <c r="C111" s="8" t="s">
        <v>165</v>
      </c>
      <c r="D111" s="7">
        <v>2000</v>
      </c>
      <c r="E111" s="9"/>
      <c r="F111" s="8" t="s">
        <v>57</v>
      </c>
      <c r="G111" s="7">
        <v>1100</v>
      </c>
      <c r="H111" s="9"/>
      <c r="I111" s="2"/>
      <c r="J111" s="3"/>
      <c r="K111" s="4"/>
      <c r="L111" s="8" t="s">
        <v>174</v>
      </c>
      <c r="M111" s="7">
        <v>1000</v>
      </c>
      <c r="N111" s="4"/>
      <c r="O111" s="8"/>
      <c r="P111" s="7"/>
      <c r="Q111" s="9"/>
    </row>
    <row r="112" spans="1:17" x14ac:dyDescent="0.25">
      <c r="A112" s="175"/>
      <c r="B112" s="177"/>
      <c r="C112" s="8" t="s">
        <v>88</v>
      </c>
      <c r="D112" s="7">
        <v>1000</v>
      </c>
      <c r="E112" s="9"/>
      <c r="F112" s="8" t="s">
        <v>204</v>
      </c>
      <c r="G112" s="7">
        <v>1000</v>
      </c>
      <c r="H112" s="9"/>
      <c r="I112" s="2"/>
      <c r="J112" s="3"/>
      <c r="K112" s="4"/>
      <c r="L112" s="8" t="s">
        <v>166</v>
      </c>
      <c r="M112" s="7">
        <v>800</v>
      </c>
      <c r="N112" s="4"/>
      <c r="O112" s="8"/>
      <c r="P112" s="7"/>
      <c r="Q112" s="9"/>
    </row>
    <row r="113" spans="1:18" x14ac:dyDescent="0.25">
      <c r="A113" s="175"/>
      <c r="B113" s="177"/>
      <c r="C113" s="8" t="s">
        <v>263</v>
      </c>
      <c r="D113" s="7">
        <v>1000</v>
      </c>
      <c r="E113" s="9"/>
      <c r="F113" s="8" t="s">
        <v>198</v>
      </c>
      <c r="G113" s="7">
        <v>1000</v>
      </c>
      <c r="H113" s="9"/>
      <c r="I113" s="2"/>
      <c r="J113" s="3"/>
      <c r="K113" s="4"/>
      <c r="L113" s="8" t="s">
        <v>183</v>
      </c>
      <c r="M113" s="3">
        <v>500</v>
      </c>
      <c r="N113" s="4"/>
      <c r="O113" s="8"/>
      <c r="P113" s="7"/>
      <c r="Q113" s="9"/>
    </row>
    <row r="114" spans="1:18" x14ac:dyDescent="0.25">
      <c r="A114" s="175"/>
      <c r="B114" s="177"/>
      <c r="C114" s="7" t="s">
        <v>164</v>
      </c>
      <c r="D114" s="7">
        <v>850</v>
      </c>
      <c r="E114" s="9"/>
      <c r="F114" s="8" t="s">
        <v>141</v>
      </c>
      <c r="G114" s="7">
        <v>1000</v>
      </c>
      <c r="H114" s="9"/>
      <c r="I114" s="2"/>
      <c r="J114" s="3"/>
      <c r="K114" s="4"/>
      <c r="L114" s="8" t="s">
        <v>184</v>
      </c>
      <c r="M114" s="3">
        <v>500</v>
      </c>
      <c r="N114" s="4"/>
      <c r="O114" s="8"/>
      <c r="P114" s="7"/>
      <c r="Q114" s="9"/>
      <c r="R114" s="96"/>
    </row>
    <row r="115" spans="1:18" x14ac:dyDescent="0.25">
      <c r="A115" s="175"/>
      <c r="B115" s="177"/>
      <c r="C115" s="8" t="s">
        <v>167</v>
      </c>
      <c r="D115" s="7">
        <v>500</v>
      </c>
      <c r="E115" s="9"/>
      <c r="F115" s="8" t="s">
        <v>177</v>
      </c>
      <c r="G115" s="7">
        <v>1000</v>
      </c>
      <c r="H115" s="9"/>
      <c r="I115" s="2"/>
      <c r="J115" s="3"/>
      <c r="K115" s="4"/>
      <c r="L115" s="8" t="s">
        <v>210</v>
      </c>
      <c r="M115" s="3">
        <v>500</v>
      </c>
      <c r="N115" s="4"/>
      <c r="O115" s="8"/>
      <c r="P115" s="7"/>
      <c r="Q115" s="9"/>
      <c r="R115" s="120"/>
    </row>
    <row r="116" spans="1:18" x14ac:dyDescent="0.25">
      <c r="A116" s="175"/>
      <c r="B116" s="177"/>
      <c r="C116" s="8" t="s">
        <v>65</v>
      </c>
      <c r="D116" s="7">
        <v>500</v>
      </c>
      <c r="E116" s="9"/>
      <c r="F116" s="8" t="s">
        <v>173</v>
      </c>
      <c r="G116" s="7">
        <v>1000</v>
      </c>
      <c r="H116" s="9"/>
      <c r="I116" s="2"/>
      <c r="J116" s="3"/>
      <c r="K116" s="4"/>
      <c r="L116" s="8" t="s">
        <v>211</v>
      </c>
      <c r="M116" s="3">
        <v>500</v>
      </c>
      <c r="N116" s="4"/>
      <c r="O116" s="8"/>
      <c r="P116" s="7"/>
      <c r="Q116" s="9"/>
    </row>
    <row r="117" spans="1:18" x14ac:dyDescent="0.25">
      <c r="A117" s="175"/>
      <c r="B117" s="177"/>
      <c r="C117" s="8" t="s">
        <v>168</v>
      </c>
      <c r="D117" s="7">
        <v>500</v>
      </c>
      <c r="E117" s="9"/>
      <c r="F117" s="8" t="s">
        <v>171</v>
      </c>
      <c r="G117" s="7">
        <v>1000</v>
      </c>
      <c r="H117" s="9"/>
      <c r="I117" s="2"/>
      <c r="J117" s="3"/>
      <c r="K117" s="4"/>
      <c r="L117" s="8" t="s">
        <v>212</v>
      </c>
      <c r="M117" s="3">
        <v>500</v>
      </c>
      <c r="N117" s="4"/>
      <c r="O117" s="8"/>
      <c r="P117" s="7"/>
      <c r="Q117" s="9"/>
    </row>
    <row r="118" spans="1:18" x14ac:dyDescent="0.25">
      <c r="A118" s="175"/>
      <c r="B118" s="177"/>
      <c r="C118" s="8" t="s">
        <v>262</v>
      </c>
      <c r="D118" s="7">
        <v>500</v>
      </c>
      <c r="E118" s="9"/>
      <c r="F118" s="8" t="s">
        <v>172</v>
      </c>
      <c r="G118" s="7">
        <v>1000</v>
      </c>
      <c r="H118" s="9"/>
      <c r="I118" s="2"/>
      <c r="J118" s="3"/>
      <c r="K118" s="4"/>
      <c r="L118" s="2" t="s">
        <v>267</v>
      </c>
      <c r="M118" s="3">
        <v>500</v>
      </c>
      <c r="N118" s="4"/>
      <c r="O118" s="8"/>
      <c r="P118" s="7"/>
      <c r="Q118" s="9"/>
    </row>
    <row r="119" spans="1:18" x14ac:dyDescent="0.25">
      <c r="A119" s="175"/>
      <c r="B119" s="177"/>
      <c r="C119" s="8" t="s">
        <v>264</v>
      </c>
      <c r="D119" s="7">
        <v>550</v>
      </c>
      <c r="E119" s="9"/>
      <c r="F119" s="8" t="s">
        <v>175</v>
      </c>
      <c r="G119" s="7">
        <v>1000</v>
      </c>
      <c r="H119" s="9"/>
      <c r="I119" s="2"/>
      <c r="J119" s="3"/>
      <c r="K119" s="4"/>
      <c r="L119" s="8" t="s">
        <v>205</v>
      </c>
      <c r="M119" s="3">
        <v>349.73399999999998</v>
      </c>
      <c r="N119" s="4"/>
      <c r="O119" s="8"/>
      <c r="P119" s="7"/>
      <c r="Q119" s="9"/>
    </row>
    <row r="120" spans="1:18" x14ac:dyDescent="0.25">
      <c r="A120" s="175"/>
      <c r="B120" s="177"/>
      <c r="C120" s="8"/>
      <c r="D120" s="7"/>
      <c r="E120" s="9"/>
      <c r="F120" s="8" t="s">
        <v>176</v>
      </c>
      <c r="G120" s="7">
        <v>1000</v>
      </c>
      <c r="H120" s="9"/>
      <c r="I120" s="2"/>
      <c r="J120" s="3"/>
      <c r="K120" s="4"/>
      <c r="L120" s="8" t="s">
        <v>252</v>
      </c>
      <c r="M120" s="7">
        <v>250</v>
      </c>
      <c r="N120" s="4"/>
      <c r="O120" s="8"/>
      <c r="P120" s="7"/>
      <c r="Q120" s="9"/>
    </row>
    <row r="121" spans="1:18" x14ac:dyDescent="0.25">
      <c r="A121" s="175"/>
      <c r="B121" s="177"/>
      <c r="C121" s="8"/>
      <c r="D121" s="7"/>
      <c r="E121" s="9"/>
      <c r="F121" s="8" t="s">
        <v>205</v>
      </c>
      <c r="G121" s="7">
        <v>537.35299999999995</v>
      </c>
      <c r="H121" s="9"/>
      <c r="I121" s="2"/>
      <c r="J121" s="3"/>
      <c r="K121" s="4"/>
      <c r="L121" s="8" t="s">
        <v>246</v>
      </c>
      <c r="M121" s="7">
        <v>0</v>
      </c>
      <c r="N121" s="4"/>
      <c r="O121" s="8"/>
      <c r="P121" s="7"/>
      <c r="Q121" s="9"/>
    </row>
    <row r="122" spans="1:18" x14ac:dyDescent="0.25">
      <c r="A122" s="175"/>
      <c r="B122" s="177"/>
      <c r="C122" s="8"/>
      <c r="D122" s="7"/>
      <c r="E122" s="9"/>
      <c r="F122" s="8" t="s">
        <v>245</v>
      </c>
      <c r="G122" s="7">
        <v>500</v>
      </c>
      <c r="H122" s="9"/>
      <c r="I122" s="2"/>
      <c r="J122" s="3"/>
      <c r="K122" s="4"/>
      <c r="L122" s="2"/>
      <c r="M122" s="3"/>
      <c r="N122" s="4"/>
      <c r="O122" s="8"/>
      <c r="P122" s="7"/>
      <c r="Q122" s="9"/>
    </row>
    <row r="123" spans="1:18" x14ac:dyDescent="0.25">
      <c r="A123" s="175"/>
      <c r="B123" s="177"/>
      <c r="C123" s="8"/>
      <c r="D123" s="7"/>
      <c r="E123" s="9"/>
      <c r="F123" s="8" t="s">
        <v>179</v>
      </c>
      <c r="G123" s="7">
        <v>500</v>
      </c>
      <c r="H123" s="9"/>
      <c r="I123" s="2"/>
      <c r="J123" s="3"/>
      <c r="K123" s="4"/>
      <c r="L123" s="2"/>
      <c r="M123" s="3"/>
      <c r="N123" s="4"/>
      <c r="O123" s="8"/>
      <c r="P123" s="7"/>
      <c r="Q123" s="9"/>
    </row>
    <row r="124" spans="1:18" x14ac:dyDescent="0.25">
      <c r="A124" s="175"/>
      <c r="B124" s="177"/>
      <c r="C124" s="8"/>
      <c r="D124" s="7"/>
      <c r="E124" s="9"/>
      <c r="F124" s="8" t="s">
        <v>178</v>
      </c>
      <c r="G124" s="7">
        <v>500</v>
      </c>
      <c r="H124" s="9"/>
      <c r="I124" s="2"/>
      <c r="J124" s="3"/>
      <c r="K124" s="4"/>
      <c r="L124" s="2"/>
      <c r="M124" s="3"/>
      <c r="N124" s="4"/>
      <c r="O124" s="8"/>
      <c r="P124" s="7"/>
      <c r="Q124" s="9"/>
    </row>
    <row r="125" spans="1:18" x14ac:dyDescent="0.25">
      <c r="A125" s="175"/>
      <c r="B125" s="177"/>
      <c r="C125" s="8"/>
      <c r="D125" s="7"/>
      <c r="E125" s="9"/>
      <c r="F125" s="8" t="s">
        <v>265</v>
      </c>
      <c r="G125" s="7">
        <v>1300</v>
      </c>
      <c r="H125" s="9"/>
      <c r="I125" s="2"/>
      <c r="J125" s="3"/>
      <c r="K125" s="4"/>
      <c r="L125" s="2"/>
      <c r="M125" s="3"/>
      <c r="N125" s="4"/>
      <c r="O125" s="8"/>
      <c r="P125" s="7"/>
      <c r="Q125" s="9"/>
    </row>
    <row r="126" spans="1:18" x14ac:dyDescent="0.25">
      <c r="A126" s="175"/>
      <c r="B126" s="177"/>
      <c r="C126" s="8"/>
      <c r="D126" s="7"/>
      <c r="E126" s="9"/>
      <c r="F126" s="8"/>
      <c r="G126" s="7"/>
      <c r="H126" s="9"/>
      <c r="I126" s="2"/>
      <c r="J126" s="3"/>
      <c r="K126" s="4"/>
      <c r="L126" s="2"/>
      <c r="M126" s="3"/>
      <c r="N126" s="4"/>
      <c r="O126" s="8"/>
      <c r="P126" s="7"/>
      <c r="Q126" s="9"/>
    </row>
    <row r="127" spans="1:18" x14ac:dyDescent="0.25">
      <c r="A127" s="175"/>
      <c r="B127" s="177"/>
      <c r="C127" s="8"/>
      <c r="D127" s="7"/>
      <c r="E127" s="9"/>
      <c r="F127" s="8"/>
      <c r="G127" s="7"/>
      <c r="H127" s="9"/>
      <c r="I127" s="2"/>
      <c r="J127" s="3"/>
      <c r="K127" s="4"/>
      <c r="L127" s="2"/>
      <c r="M127" s="3"/>
      <c r="N127" s="4"/>
      <c r="O127" s="8"/>
      <c r="P127" s="7"/>
      <c r="Q127" s="9"/>
    </row>
    <row r="128" spans="1:18" ht="15" x14ac:dyDescent="0.4">
      <c r="A128" s="175"/>
      <c r="B128" s="177"/>
      <c r="C128" s="122" t="s">
        <v>194</v>
      </c>
      <c r="D128" s="23"/>
      <c r="E128" s="36" t="s">
        <v>59</v>
      </c>
      <c r="F128" s="122" t="s">
        <v>194</v>
      </c>
      <c r="G128" s="23"/>
      <c r="H128" s="36" t="s">
        <v>59</v>
      </c>
      <c r="I128" s="122" t="s">
        <v>194</v>
      </c>
      <c r="J128" s="34"/>
      <c r="K128" s="36" t="s">
        <v>59</v>
      </c>
      <c r="L128" s="122"/>
      <c r="M128" s="23"/>
      <c r="N128" s="36" t="s">
        <v>59</v>
      </c>
      <c r="O128" s="122"/>
      <c r="P128" s="23"/>
      <c r="Q128" s="36" t="s">
        <v>59</v>
      </c>
    </row>
    <row r="129" spans="1:17" ht="15" x14ac:dyDescent="0.4">
      <c r="A129" s="175"/>
      <c r="B129" s="177"/>
      <c r="C129" s="123" t="s">
        <v>137</v>
      </c>
      <c r="D129" s="91"/>
      <c r="E129" s="24" t="s">
        <v>60</v>
      </c>
      <c r="F129" s="123" t="s">
        <v>137</v>
      </c>
      <c r="G129" s="91"/>
      <c r="H129" s="24" t="s">
        <v>60</v>
      </c>
      <c r="I129" s="123" t="s">
        <v>137</v>
      </c>
      <c r="J129" s="91"/>
      <c r="K129" s="24" t="s">
        <v>60</v>
      </c>
      <c r="L129" s="123" t="s">
        <v>137</v>
      </c>
      <c r="M129" s="91"/>
      <c r="N129" s="90" t="s">
        <v>60</v>
      </c>
      <c r="O129" s="123" t="s">
        <v>137</v>
      </c>
      <c r="P129" s="91"/>
      <c r="Q129" s="24" t="s">
        <v>60</v>
      </c>
    </row>
    <row r="130" spans="1:17" x14ac:dyDescent="0.25">
      <c r="A130" s="176"/>
      <c r="B130" s="178"/>
      <c r="C130" s="43">
        <f>+'[3]QTD Mgmt Summary'!E28*-1</f>
        <v>13017</v>
      </c>
      <c r="D130" s="25">
        <f>SUM(D109:D129)</f>
        <v>30900</v>
      </c>
      <c r="E130" s="25">
        <f>+D130-C130</f>
        <v>17883</v>
      </c>
      <c r="F130" s="43">
        <f>20242+1113</f>
        <v>21355</v>
      </c>
      <c r="G130" s="25">
        <f>SUM(G109:G127)</f>
        <v>17937.352999999999</v>
      </c>
      <c r="H130" s="25">
        <f>+G130-F130</f>
        <v>-3417.6470000000008</v>
      </c>
      <c r="I130" s="43">
        <f>+C130+F130</f>
        <v>34372</v>
      </c>
      <c r="J130" s="25">
        <f>+D130+G130</f>
        <v>48837.353000000003</v>
      </c>
      <c r="K130" s="25">
        <f>+J130-I130</f>
        <v>14465.353000000003</v>
      </c>
      <c r="L130" s="160">
        <f>+O130</f>
        <v>24871.050000000003</v>
      </c>
      <c r="M130" s="25">
        <f>SUM(M109:M129)</f>
        <v>9399.7340000000004</v>
      </c>
      <c r="N130" s="25">
        <f>+M130-L130</f>
        <v>-15471.316000000003</v>
      </c>
      <c r="O130" s="43">
        <f>+'[2]QTD Mgmt Summary'!D28*1.35</f>
        <v>24871.050000000003</v>
      </c>
      <c r="P130" s="25">
        <f>SUM(P109:P129)</f>
        <v>500</v>
      </c>
      <c r="Q130" s="32">
        <f>+P130-O130</f>
        <v>-24371.050000000003</v>
      </c>
    </row>
    <row r="131" spans="1:17" ht="16.5" thickBot="1" x14ac:dyDescent="0.45">
      <c r="A131" s="169"/>
      <c r="B131" s="172" t="s">
        <v>188</v>
      </c>
      <c r="C131" s="44" t="s">
        <v>19</v>
      </c>
      <c r="D131" s="45" t="s">
        <v>20</v>
      </c>
      <c r="E131" s="46">
        <v>142</v>
      </c>
      <c r="F131" s="44" t="s">
        <v>19</v>
      </c>
      <c r="G131" s="45" t="s">
        <v>20</v>
      </c>
      <c r="H131" s="46">
        <v>38</v>
      </c>
      <c r="I131" s="44"/>
      <c r="J131" s="45"/>
      <c r="K131" s="46">
        <f>+E131+H131</f>
        <v>180</v>
      </c>
      <c r="L131" s="44" t="s">
        <v>19</v>
      </c>
      <c r="M131" s="45" t="s">
        <v>20</v>
      </c>
      <c r="N131" s="46">
        <v>1</v>
      </c>
      <c r="O131" s="44" t="s">
        <v>19</v>
      </c>
      <c r="P131" s="45" t="s">
        <v>20</v>
      </c>
      <c r="Q131" s="46">
        <v>0</v>
      </c>
    </row>
    <row r="132" spans="1:17" x14ac:dyDescent="0.25">
      <c r="A132" s="170"/>
      <c r="B132" s="173"/>
      <c r="C132" s="8" t="s">
        <v>203</v>
      </c>
      <c r="D132" s="7">
        <v>350</v>
      </c>
      <c r="E132" s="9"/>
      <c r="F132" s="8" t="s">
        <v>189</v>
      </c>
      <c r="G132" s="7">
        <v>600</v>
      </c>
      <c r="H132" s="9"/>
      <c r="I132" s="2"/>
      <c r="J132" s="3"/>
      <c r="K132" s="4"/>
      <c r="L132" s="8" t="s">
        <v>247</v>
      </c>
      <c r="M132" s="7">
        <v>0</v>
      </c>
      <c r="N132" s="4"/>
      <c r="O132" s="8"/>
      <c r="P132" s="7"/>
      <c r="Q132" s="9"/>
    </row>
    <row r="133" spans="1:17" x14ac:dyDescent="0.25">
      <c r="A133" s="170"/>
      <c r="B133" s="173"/>
      <c r="C133" s="8" t="s">
        <v>197</v>
      </c>
      <c r="D133" s="7">
        <v>306</v>
      </c>
      <c r="E133" s="9"/>
      <c r="F133" s="8" t="s">
        <v>180</v>
      </c>
      <c r="G133" s="7">
        <v>500</v>
      </c>
      <c r="H133" s="9"/>
      <c r="I133" s="2"/>
      <c r="J133" s="3"/>
      <c r="K133" s="4"/>
      <c r="L133" s="2"/>
      <c r="M133" s="3"/>
      <c r="N133" s="4"/>
      <c r="O133" s="8"/>
      <c r="P133" s="7"/>
      <c r="Q133" s="9"/>
    </row>
    <row r="134" spans="1:17" x14ac:dyDescent="0.25">
      <c r="A134" s="170"/>
      <c r="B134" s="173"/>
      <c r="C134" s="8" t="s">
        <v>169</v>
      </c>
      <c r="D134" s="7">
        <v>300</v>
      </c>
      <c r="E134" s="9"/>
      <c r="F134" s="8" t="s">
        <v>215</v>
      </c>
      <c r="G134" s="7">
        <v>250</v>
      </c>
      <c r="H134" s="9"/>
      <c r="I134" s="2"/>
      <c r="J134" s="3"/>
      <c r="K134" s="4"/>
      <c r="L134" s="2"/>
      <c r="M134" s="3"/>
      <c r="N134" s="4"/>
      <c r="O134" s="8"/>
      <c r="P134" s="7"/>
      <c r="Q134" s="9"/>
    </row>
    <row r="135" spans="1:17" x14ac:dyDescent="0.25">
      <c r="A135" s="170"/>
      <c r="B135" s="173"/>
      <c r="C135" s="8" t="s">
        <v>196</v>
      </c>
      <c r="D135" s="7">
        <v>300</v>
      </c>
      <c r="E135" s="9"/>
      <c r="F135" s="8" t="s">
        <v>266</v>
      </c>
      <c r="G135" s="7">
        <v>2041</v>
      </c>
      <c r="H135" s="9"/>
      <c r="I135" s="2"/>
      <c r="J135" s="3"/>
      <c r="K135" s="4"/>
      <c r="L135" s="2"/>
      <c r="M135" s="3"/>
      <c r="N135" s="4"/>
      <c r="O135" s="8"/>
      <c r="P135" s="7"/>
      <c r="Q135" s="9"/>
    </row>
    <row r="136" spans="1:17" x14ac:dyDescent="0.25">
      <c r="A136" s="170"/>
      <c r="B136" s="173"/>
      <c r="C136" s="8" t="s">
        <v>243</v>
      </c>
      <c r="D136" s="7">
        <v>4984</v>
      </c>
      <c r="E136" s="9"/>
      <c r="F136" s="8"/>
      <c r="G136" s="7"/>
      <c r="H136" s="9"/>
      <c r="I136" s="2"/>
      <c r="J136" s="3"/>
      <c r="K136" s="4"/>
      <c r="L136" s="2"/>
      <c r="M136" s="3"/>
      <c r="N136" s="4"/>
      <c r="O136" s="8"/>
      <c r="P136" s="7"/>
      <c r="Q136" s="9"/>
    </row>
    <row r="137" spans="1:17" ht="15" x14ac:dyDescent="0.4">
      <c r="A137" s="170"/>
      <c r="B137" s="173"/>
      <c r="C137" s="122" t="s">
        <v>194</v>
      </c>
      <c r="D137" s="23"/>
      <c r="E137" s="36" t="s">
        <v>59</v>
      </c>
      <c r="F137" s="122" t="s">
        <v>194</v>
      </c>
      <c r="G137" s="23"/>
      <c r="H137" s="36" t="s">
        <v>59</v>
      </c>
      <c r="I137" s="122" t="s">
        <v>194</v>
      </c>
      <c r="J137" s="34"/>
      <c r="K137" s="36" t="s">
        <v>59</v>
      </c>
      <c r="L137" s="122"/>
      <c r="M137" s="23"/>
      <c r="N137" s="36" t="s">
        <v>59</v>
      </c>
      <c r="O137" s="122"/>
      <c r="P137" s="23"/>
      <c r="Q137" s="36" t="s">
        <v>59</v>
      </c>
    </row>
    <row r="138" spans="1:17" ht="15" x14ac:dyDescent="0.4">
      <c r="A138" s="170"/>
      <c r="B138" s="173"/>
      <c r="C138" s="123" t="s">
        <v>137</v>
      </c>
      <c r="D138" s="91"/>
      <c r="E138" s="24" t="s">
        <v>60</v>
      </c>
      <c r="F138" s="123" t="s">
        <v>137</v>
      </c>
      <c r="G138" s="91"/>
      <c r="H138" s="24" t="s">
        <v>60</v>
      </c>
      <c r="I138" s="123" t="s">
        <v>137</v>
      </c>
      <c r="J138" s="91"/>
      <c r="K138" s="24" t="s">
        <v>60</v>
      </c>
      <c r="L138" s="123" t="s">
        <v>137</v>
      </c>
      <c r="M138" s="91"/>
      <c r="N138" s="90" t="s">
        <v>60</v>
      </c>
      <c r="O138" s="123" t="s">
        <v>137</v>
      </c>
      <c r="P138" s="91"/>
      <c r="Q138" s="24" t="s">
        <v>60</v>
      </c>
    </row>
    <row r="139" spans="1:17" x14ac:dyDescent="0.25">
      <c r="A139" s="171"/>
      <c r="B139" s="174"/>
      <c r="C139" s="43">
        <f>+('[3]QTD Mgmt Summary'!E29+'[3]QTD Mgmt Summary'!E30)*-1</f>
        <v>1288</v>
      </c>
      <c r="D139" s="25">
        <f>SUM(D132:D138)</f>
        <v>6240</v>
      </c>
      <c r="E139" s="25">
        <f>+D139-C139</f>
        <v>4952</v>
      </c>
      <c r="F139" s="43">
        <f>7202+17949+1690</f>
        <v>26841</v>
      </c>
      <c r="G139" s="25">
        <f>SUM(G132:G138)</f>
        <v>3391</v>
      </c>
      <c r="H139" s="25">
        <f>+G139-F139</f>
        <v>-23450</v>
      </c>
      <c r="I139" s="43">
        <f>+C139+F139</f>
        <v>28129</v>
      </c>
      <c r="J139" s="25">
        <f>+D139+G139</f>
        <v>9631</v>
      </c>
      <c r="K139" s="25">
        <f>+J139-I139</f>
        <v>-18498</v>
      </c>
      <c r="L139" s="160">
        <f>+O139</f>
        <v>16788.600000000002</v>
      </c>
      <c r="M139" s="25">
        <f>SUM(M132:M138)</f>
        <v>0</v>
      </c>
      <c r="N139" s="25">
        <f>+M139-L139</f>
        <v>-16788.600000000002</v>
      </c>
      <c r="O139" s="43">
        <f>+('[2]QTD Mgmt Summary'!D29+'[2]QTD Mgmt Summary'!D30)*1.35</f>
        <v>16788.600000000002</v>
      </c>
      <c r="P139" s="25">
        <f>SUM(P132:P138)</f>
        <v>0</v>
      </c>
      <c r="Q139" s="32">
        <f>+P139-O139</f>
        <v>-16788.600000000002</v>
      </c>
    </row>
    <row r="140" spans="1:17" s="11" customFormat="1" ht="15" customHeight="1" thickBot="1" x14ac:dyDescent="0.45">
      <c r="A140" s="175" t="s">
        <v>32</v>
      </c>
      <c r="B140" s="177" t="s">
        <v>33</v>
      </c>
      <c r="C140" s="44" t="s">
        <v>19</v>
      </c>
      <c r="D140" s="45" t="s">
        <v>20</v>
      </c>
      <c r="E140" s="46">
        <f>COUNTA(C141:C145)</f>
        <v>5</v>
      </c>
      <c r="F140" s="44" t="s">
        <v>19</v>
      </c>
      <c r="G140" s="45" t="s">
        <v>20</v>
      </c>
      <c r="H140" s="46">
        <f>COUNTA(F141:F145)</f>
        <v>1</v>
      </c>
      <c r="I140" s="44"/>
      <c r="J140" s="45"/>
      <c r="K140" s="46">
        <f>+E140+H140</f>
        <v>6</v>
      </c>
      <c r="L140" s="44" t="s">
        <v>19</v>
      </c>
      <c r="M140" s="45" t="s">
        <v>20</v>
      </c>
      <c r="N140" s="46">
        <f>COUNTA(L141:L145)</f>
        <v>2</v>
      </c>
      <c r="O140" s="44" t="s">
        <v>19</v>
      </c>
      <c r="P140" s="45" t="s">
        <v>20</v>
      </c>
      <c r="Q140" s="46">
        <f>COUNTA(O141:O145)</f>
        <v>1</v>
      </c>
    </row>
    <row r="141" spans="1:17" s="11" customFormat="1" ht="12" customHeight="1" x14ac:dyDescent="0.25">
      <c r="A141" s="175"/>
      <c r="B141" s="177"/>
      <c r="C141" s="2" t="s">
        <v>104</v>
      </c>
      <c r="D141" s="3">
        <v>10000</v>
      </c>
      <c r="E141" s="4"/>
      <c r="F141" s="2" t="s">
        <v>101</v>
      </c>
      <c r="G141" s="3">
        <v>0</v>
      </c>
      <c r="H141" s="4"/>
      <c r="I141" s="2"/>
      <c r="J141" s="3"/>
      <c r="K141" s="4"/>
      <c r="L141" s="2" t="s">
        <v>105</v>
      </c>
      <c r="M141" s="3">
        <v>0</v>
      </c>
      <c r="N141" s="4"/>
      <c r="O141" s="2" t="s">
        <v>151</v>
      </c>
      <c r="P141" s="3">
        <v>10000</v>
      </c>
      <c r="Q141" s="4"/>
    </row>
    <row r="142" spans="1:17" s="11" customFormat="1" ht="12" customHeight="1" x14ac:dyDescent="0.25">
      <c r="A142" s="175"/>
      <c r="B142" s="177"/>
      <c r="C142" s="2" t="s">
        <v>224</v>
      </c>
      <c r="D142" s="3">
        <v>10000</v>
      </c>
      <c r="E142" s="4"/>
      <c r="F142" s="2"/>
      <c r="G142" s="3"/>
      <c r="H142" s="4"/>
      <c r="I142" s="2"/>
      <c r="J142" s="3"/>
      <c r="K142" s="4"/>
      <c r="L142" s="2" t="s">
        <v>106</v>
      </c>
      <c r="M142" s="3">
        <v>0</v>
      </c>
      <c r="N142" s="4"/>
      <c r="O142" s="2"/>
      <c r="P142" s="3"/>
      <c r="Q142" s="4"/>
    </row>
    <row r="143" spans="1:17" s="11" customFormat="1" ht="12" customHeight="1" x14ac:dyDescent="0.25">
      <c r="A143" s="175"/>
      <c r="B143" s="177"/>
      <c r="C143" s="2" t="s">
        <v>223</v>
      </c>
      <c r="D143" s="3">
        <v>7500</v>
      </c>
      <c r="E143" s="4"/>
      <c r="F143" s="2"/>
      <c r="G143" s="3"/>
      <c r="H143" s="4"/>
      <c r="I143" s="2"/>
      <c r="J143" s="3"/>
      <c r="K143" s="4"/>
      <c r="L143" s="2"/>
      <c r="M143" s="3"/>
      <c r="N143" s="4"/>
      <c r="O143" s="2"/>
      <c r="P143" s="3"/>
      <c r="Q143" s="4"/>
    </row>
    <row r="144" spans="1:17" s="11" customFormat="1" ht="12" customHeight="1" x14ac:dyDescent="0.25">
      <c r="A144" s="175"/>
      <c r="B144" s="177"/>
      <c r="C144" s="2" t="s">
        <v>103</v>
      </c>
      <c r="D144" s="3">
        <v>0</v>
      </c>
      <c r="E144" s="4"/>
      <c r="F144" s="2"/>
      <c r="G144" s="3"/>
      <c r="H144" s="4"/>
      <c r="I144" s="2"/>
      <c r="J144" s="3"/>
      <c r="K144" s="4"/>
      <c r="L144" s="2"/>
      <c r="M144" s="3"/>
      <c r="N144" s="4"/>
      <c r="O144" s="5"/>
      <c r="P144" s="3"/>
      <c r="Q144" s="4"/>
    </row>
    <row r="145" spans="1:17" s="11" customFormat="1" ht="12" customHeight="1" x14ac:dyDescent="0.25">
      <c r="A145" s="175"/>
      <c r="B145" s="177"/>
      <c r="C145" s="2" t="s">
        <v>102</v>
      </c>
      <c r="D145" s="3">
        <v>0</v>
      </c>
      <c r="E145" s="4"/>
      <c r="F145" s="2"/>
      <c r="G145" s="3"/>
      <c r="H145" s="4"/>
      <c r="I145" s="2"/>
      <c r="J145" s="3"/>
      <c r="K145" s="4"/>
      <c r="L145" s="2"/>
      <c r="M145" s="3"/>
      <c r="N145" s="4"/>
      <c r="O145" s="5"/>
      <c r="P145" s="3"/>
      <c r="Q145" s="4"/>
    </row>
    <row r="146" spans="1:17" s="11" customFormat="1" ht="12" customHeight="1" x14ac:dyDescent="0.25">
      <c r="A146" s="175"/>
      <c r="B146" s="177"/>
      <c r="C146" s="122" t="s">
        <v>194</v>
      </c>
      <c r="D146" s="3"/>
      <c r="E146" s="36" t="s">
        <v>59</v>
      </c>
      <c r="F146" s="122" t="s">
        <v>194</v>
      </c>
      <c r="G146" s="1"/>
      <c r="H146" s="36" t="s">
        <v>59</v>
      </c>
      <c r="I146" s="122" t="s">
        <v>194</v>
      </c>
      <c r="J146" s="34"/>
      <c r="K146" s="36" t="s">
        <v>59</v>
      </c>
      <c r="L146" s="122"/>
      <c r="M146" s="3"/>
      <c r="N146" s="36" t="s">
        <v>59</v>
      </c>
      <c r="O146" s="122"/>
      <c r="P146" s="3"/>
      <c r="Q146" s="36" t="s">
        <v>59</v>
      </c>
    </row>
    <row r="147" spans="1:17" s="11" customFormat="1" ht="15" customHeight="1" x14ac:dyDescent="0.4">
      <c r="A147" s="175"/>
      <c r="B147" s="177"/>
      <c r="C147" s="123" t="s">
        <v>137</v>
      </c>
      <c r="D147" s="23"/>
      <c r="E147" s="24" t="s">
        <v>60</v>
      </c>
      <c r="F147" s="123" t="s">
        <v>137</v>
      </c>
      <c r="G147" s="23"/>
      <c r="H147" s="24" t="s">
        <v>60</v>
      </c>
      <c r="I147" s="123" t="s">
        <v>137</v>
      </c>
      <c r="J147" s="35" t="s">
        <v>20</v>
      </c>
      <c r="K147" s="24" t="s">
        <v>60</v>
      </c>
      <c r="L147" s="123" t="s">
        <v>137</v>
      </c>
      <c r="M147" s="23"/>
      <c r="N147" s="24" t="s">
        <v>60</v>
      </c>
      <c r="O147" s="123" t="s">
        <v>137</v>
      </c>
      <c r="P147" s="23"/>
      <c r="Q147" s="24" t="s">
        <v>60</v>
      </c>
    </row>
    <row r="148" spans="1:17" s="11" customFormat="1" ht="12" customHeight="1" x14ac:dyDescent="0.25">
      <c r="A148" s="176"/>
      <c r="B148" s="178"/>
      <c r="C148" s="43">
        <f>+'[3]QTD Mgmt Summary'!$E$35*-1</f>
        <v>33723</v>
      </c>
      <c r="D148" s="25">
        <f>SUM(D141:D147)</f>
        <v>27500</v>
      </c>
      <c r="E148" s="32">
        <f>+D148-C148</f>
        <v>-6223</v>
      </c>
      <c r="F148" s="43">
        <v>15390</v>
      </c>
      <c r="G148" s="25">
        <f>SUM(G141:G147)</f>
        <v>0</v>
      </c>
      <c r="H148" s="32">
        <f>+G148-F148</f>
        <v>-15390</v>
      </c>
      <c r="I148" s="43">
        <f>+C148+F148</f>
        <v>49113</v>
      </c>
      <c r="J148" s="25">
        <f>+D148+G148</f>
        <v>27500</v>
      </c>
      <c r="K148" s="32">
        <f>+J148-I148</f>
        <v>-21613</v>
      </c>
      <c r="L148" s="43">
        <f>+[1]Summary!$C$35*1.35</f>
        <v>20761.650000000001</v>
      </c>
      <c r="M148" s="25">
        <f>SUM(M141:M147)</f>
        <v>0</v>
      </c>
      <c r="N148" s="32">
        <f>+M148-L148</f>
        <v>-20761.650000000001</v>
      </c>
      <c r="O148" s="43">
        <f>+'[2]QTD Mgmt Summary'!$D$35*1.35</f>
        <v>20769.75</v>
      </c>
      <c r="P148" s="25">
        <f>SUM(P141:P147)</f>
        <v>10000</v>
      </c>
      <c r="Q148" s="32">
        <f>+P148-O148</f>
        <v>-10769.75</v>
      </c>
    </row>
    <row r="149" spans="1:17" s="11" customFormat="1" ht="15" customHeight="1" thickBot="1" x14ac:dyDescent="0.45">
      <c r="A149" s="169" t="s">
        <v>34</v>
      </c>
      <c r="B149" s="172" t="s">
        <v>113</v>
      </c>
      <c r="C149" s="44" t="s">
        <v>19</v>
      </c>
      <c r="D149" s="45" t="s">
        <v>20</v>
      </c>
      <c r="E149" s="46">
        <f>COUNTA(C150:C155)</f>
        <v>5</v>
      </c>
      <c r="F149" s="44" t="s">
        <v>19</v>
      </c>
      <c r="G149" s="45" t="s">
        <v>20</v>
      </c>
      <c r="H149" s="46">
        <f>COUNTA(F150:F155)</f>
        <v>6</v>
      </c>
      <c r="I149" s="44"/>
      <c r="J149" s="45"/>
      <c r="K149" s="46">
        <f>+E149+H149</f>
        <v>11</v>
      </c>
      <c r="L149" s="44" t="s">
        <v>19</v>
      </c>
      <c r="M149" s="45" t="s">
        <v>20</v>
      </c>
      <c r="N149" s="46">
        <f>COUNTA(L150:L155)</f>
        <v>0</v>
      </c>
      <c r="O149" s="44" t="s">
        <v>19</v>
      </c>
      <c r="P149" s="45" t="s">
        <v>20</v>
      </c>
      <c r="Q149" s="46">
        <f>COUNTA(O150:O155)</f>
        <v>0</v>
      </c>
    </row>
    <row r="150" spans="1:17" s="11" customFormat="1" ht="12.75" customHeight="1" x14ac:dyDescent="0.4">
      <c r="A150" s="175"/>
      <c r="B150" s="177"/>
      <c r="C150" s="37" t="s">
        <v>126</v>
      </c>
      <c r="D150" s="38">
        <v>0</v>
      </c>
      <c r="E150" s="40"/>
      <c r="F150" s="37" t="s">
        <v>67</v>
      </c>
      <c r="G150" s="38">
        <v>0</v>
      </c>
      <c r="H150" s="24"/>
      <c r="I150" s="2"/>
      <c r="J150" s="3"/>
      <c r="K150" s="4"/>
      <c r="L150" s="2"/>
      <c r="M150" s="3"/>
      <c r="N150" s="4"/>
      <c r="O150" s="37"/>
      <c r="P150" s="38"/>
      <c r="Q150" s="39"/>
    </row>
    <row r="151" spans="1:17" s="11" customFormat="1" ht="12.75" customHeight="1" x14ac:dyDescent="0.4">
      <c r="A151" s="175"/>
      <c r="B151" s="177"/>
      <c r="C151" s="37" t="s">
        <v>66</v>
      </c>
      <c r="D151" s="38">
        <v>0</v>
      </c>
      <c r="E151" s="40"/>
      <c r="F151" s="37" t="s">
        <v>256</v>
      </c>
      <c r="G151" s="38">
        <v>0</v>
      </c>
      <c r="H151" s="24"/>
      <c r="I151" s="2"/>
      <c r="J151" s="3"/>
      <c r="K151" s="4"/>
      <c r="L151" s="2"/>
      <c r="M151" s="3"/>
      <c r="N151" s="4"/>
      <c r="O151" s="37"/>
      <c r="P151" s="38"/>
      <c r="Q151" s="39"/>
    </row>
    <row r="152" spans="1:17" s="11" customFormat="1" ht="12.75" customHeight="1" x14ac:dyDescent="0.4">
      <c r="A152" s="175"/>
      <c r="B152" s="177"/>
      <c r="C152" s="37" t="s">
        <v>254</v>
      </c>
      <c r="D152" s="38">
        <v>0</v>
      </c>
      <c r="E152" s="40"/>
      <c r="F152" s="37" t="s">
        <v>125</v>
      </c>
      <c r="G152" s="38">
        <v>0</v>
      </c>
      <c r="H152" s="24"/>
      <c r="I152" s="2"/>
      <c r="J152" s="3"/>
      <c r="K152" s="4"/>
      <c r="L152" s="2"/>
      <c r="M152" s="3"/>
      <c r="N152" s="4"/>
      <c r="O152" s="37"/>
      <c r="P152" s="38"/>
      <c r="Q152" s="39"/>
    </row>
    <row r="153" spans="1:17" s="11" customFormat="1" ht="12.75" customHeight="1" x14ac:dyDescent="0.4">
      <c r="A153" s="175"/>
      <c r="B153" s="177"/>
      <c r="C153" s="37" t="s">
        <v>255</v>
      </c>
      <c r="D153" s="38">
        <v>0</v>
      </c>
      <c r="E153" s="40"/>
      <c r="F153" s="37" t="s">
        <v>68</v>
      </c>
      <c r="G153" s="38">
        <v>0</v>
      </c>
      <c r="H153" s="24"/>
      <c r="I153" s="2"/>
      <c r="J153" s="3"/>
      <c r="K153" s="4"/>
      <c r="L153" s="2"/>
      <c r="M153" s="3"/>
      <c r="N153" s="4"/>
      <c r="O153" s="37"/>
      <c r="P153" s="38"/>
      <c r="Q153" s="39"/>
    </row>
    <row r="154" spans="1:17" s="11" customFormat="1" ht="12.75" customHeight="1" x14ac:dyDescent="0.4">
      <c r="A154" s="175"/>
      <c r="B154" s="177"/>
      <c r="C154" s="37" t="s">
        <v>107</v>
      </c>
      <c r="D154" s="38">
        <v>0</v>
      </c>
      <c r="E154" s="40"/>
      <c r="F154" s="37" t="s">
        <v>69</v>
      </c>
      <c r="G154" s="38">
        <v>0</v>
      </c>
      <c r="H154" s="24"/>
      <c r="I154" s="2"/>
      <c r="J154" s="3"/>
      <c r="K154" s="4"/>
      <c r="L154" s="2"/>
      <c r="M154" s="3"/>
      <c r="N154" s="4"/>
      <c r="O154" s="37"/>
      <c r="P154" s="38"/>
      <c r="Q154" s="39"/>
    </row>
    <row r="155" spans="1:17" s="11" customFormat="1" ht="12.75" customHeight="1" x14ac:dyDescent="0.4">
      <c r="A155" s="175"/>
      <c r="B155" s="177"/>
      <c r="C155" s="37"/>
      <c r="D155" s="38"/>
      <c r="E155" s="40"/>
      <c r="F155" s="37" t="s">
        <v>126</v>
      </c>
      <c r="G155" s="38">
        <v>0</v>
      </c>
      <c r="H155" s="24"/>
      <c r="I155" s="2"/>
      <c r="J155" s="3"/>
      <c r="K155" s="4"/>
      <c r="L155" s="2"/>
      <c r="M155" s="3"/>
      <c r="N155" s="4"/>
      <c r="O155" s="37"/>
      <c r="P155" s="38"/>
      <c r="Q155" s="39"/>
    </row>
    <row r="156" spans="1:17" s="11" customFormat="1" ht="12" customHeight="1" x14ac:dyDescent="0.25">
      <c r="A156" s="175"/>
      <c r="B156" s="177"/>
      <c r="C156" s="122" t="s">
        <v>194</v>
      </c>
      <c r="D156" s="3"/>
      <c r="E156" s="36" t="s">
        <v>59</v>
      </c>
      <c r="F156" s="122" t="s">
        <v>194</v>
      </c>
      <c r="G156" s="1"/>
      <c r="H156" s="36" t="s">
        <v>59</v>
      </c>
      <c r="I156" s="122" t="s">
        <v>194</v>
      </c>
      <c r="J156" s="34"/>
      <c r="K156" s="36" t="s">
        <v>59</v>
      </c>
      <c r="L156" s="122"/>
      <c r="M156" s="3"/>
      <c r="N156" s="36" t="s">
        <v>59</v>
      </c>
      <c r="O156" s="122"/>
      <c r="P156" s="3"/>
      <c r="Q156" s="36" t="s">
        <v>59</v>
      </c>
    </row>
    <row r="157" spans="1:17" s="11" customFormat="1" ht="15" customHeight="1" x14ac:dyDescent="0.4">
      <c r="A157" s="175"/>
      <c r="B157" s="177"/>
      <c r="C157" s="123" t="s">
        <v>137</v>
      </c>
      <c r="D157" s="23"/>
      <c r="E157" s="24" t="s">
        <v>60</v>
      </c>
      <c r="F157" s="123" t="s">
        <v>137</v>
      </c>
      <c r="G157" s="23"/>
      <c r="H157" s="24" t="s">
        <v>60</v>
      </c>
      <c r="I157" s="123" t="s">
        <v>137</v>
      </c>
      <c r="J157" s="35" t="s">
        <v>20</v>
      </c>
      <c r="K157" s="24" t="s">
        <v>60</v>
      </c>
      <c r="L157" s="123" t="s">
        <v>137</v>
      </c>
      <c r="M157" s="23"/>
      <c r="N157" s="24" t="s">
        <v>60</v>
      </c>
      <c r="O157" s="123" t="s">
        <v>137</v>
      </c>
      <c r="P157" s="23"/>
      <c r="Q157" s="24" t="s">
        <v>60</v>
      </c>
    </row>
    <row r="158" spans="1:17" s="11" customFormat="1" ht="12" customHeight="1" x14ac:dyDescent="0.25">
      <c r="A158" s="176"/>
      <c r="B158" s="178"/>
      <c r="C158" s="43">
        <f>+'[3]QTD Mgmt Summary'!$E$36*-1</f>
        <v>5862</v>
      </c>
      <c r="D158" s="25">
        <f>SUM(D150:D157)</f>
        <v>0</v>
      </c>
      <c r="E158" s="32">
        <f>+D158-C158</f>
        <v>-5862</v>
      </c>
      <c r="F158" s="43">
        <v>8000</v>
      </c>
      <c r="G158" s="25">
        <f>SUM(G150:G157)</f>
        <v>0</v>
      </c>
      <c r="H158" s="32">
        <f>+G158-F158</f>
        <v>-8000</v>
      </c>
      <c r="I158" s="43">
        <f>+C158+F158</f>
        <v>13862</v>
      </c>
      <c r="J158" s="25">
        <f>+D158+G158</f>
        <v>0</v>
      </c>
      <c r="K158" s="32">
        <f>+J158-I158</f>
        <v>-13862</v>
      </c>
      <c r="L158" s="43">
        <f>+O158</f>
        <v>2700</v>
      </c>
      <c r="M158" s="25">
        <f>SUM(M150:M157)</f>
        <v>0</v>
      </c>
      <c r="N158" s="32">
        <f>+M158-L158</f>
        <v>-2700</v>
      </c>
      <c r="O158" s="43">
        <f>+'[2]QTD Mgmt Summary'!$D$36*1.35</f>
        <v>2700</v>
      </c>
      <c r="P158" s="25">
        <f>SUM(P150:P157)</f>
        <v>0</v>
      </c>
      <c r="Q158" s="32">
        <f>+P158-O158</f>
        <v>-2700</v>
      </c>
    </row>
    <row r="159" spans="1:17" ht="16.5" thickBot="1" x14ac:dyDescent="0.45">
      <c r="A159" s="169" t="s">
        <v>3</v>
      </c>
      <c r="B159" s="172" t="s">
        <v>6</v>
      </c>
      <c r="C159" s="44" t="s">
        <v>19</v>
      </c>
      <c r="D159" s="45" t="s">
        <v>20</v>
      </c>
      <c r="E159" s="46">
        <f>COUNTA(C160:C172)</f>
        <v>13</v>
      </c>
      <c r="F159" s="44" t="s">
        <v>19</v>
      </c>
      <c r="G159" s="45" t="s">
        <v>20</v>
      </c>
      <c r="H159" s="46">
        <f>COUNTA(F160:F170)</f>
        <v>1</v>
      </c>
      <c r="I159" s="44"/>
      <c r="J159" s="45"/>
      <c r="K159" s="46">
        <f>+E159+H159</f>
        <v>14</v>
      </c>
      <c r="L159" s="44" t="s">
        <v>19</v>
      </c>
      <c r="M159" s="45" t="s">
        <v>20</v>
      </c>
      <c r="N159" s="46">
        <f>COUNTA(L160:L170)</f>
        <v>0</v>
      </c>
      <c r="O159" s="44" t="s">
        <v>19</v>
      </c>
      <c r="P159" s="45" t="s">
        <v>20</v>
      </c>
      <c r="Q159" s="46">
        <f>COUNTA(O160:O170)</f>
        <v>0</v>
      </c>
    </row>
    <row r="160" spans="1:17" ht="12.75" customHeight="1" x14ac:dyDescent="0.4">
      <c r="A160" s="175"/>
      <c r="B160" s="177"/>
      <c r="C160" s="28" t="s">
        <v>73</v>
      </c>
      <c r="D160" s="29">
        <v>1000</v>
      </c>
      <c r="E160" s="24"/>
      <c r="F160" s="28" t="s">
        <v>82</v>
      </c>
      <c r="G160" s="29">
        <v>0</v>
      </c>
      <c r="H160" s="24"/>
      <c r="I160" s="2"/>
      <c r="J160" s="3"/>
      <c r="K160" s="4"/>
      <c r="L160" s="2"/>
      <c r="M160" s="3"/>
      <c r="N160" s="4"/>
      <c r="O160" s="2"/>
      <c r="P160" s="3"/>
      <c r="Q160" s="4"/>
    </row>
    <row r="161" spans="1:17" ht="12.75" customHeight="1" x14ac:dyDescent="0.4">
      <c r="A161" s="175"/>
      <c r="B161" s="177"/>
      <c r="C161" s="28" t="s">
        <v>74</v>
      </c>
      <c r="D161" s="29">
        <v>0</v>
      </c>
      <c r="E161" s="24"/>
      <c r="F161" s="28"/>
      <c r="G161" s="29"/>
      <c r="H161" s="24"/>
      <c r="I161" s="2"/>
      <c r="J161" s="3"/>
      <c r="K161" s="4"/>
      <c r="L161" s="2"/>
      <c r="M161" s="3"/>
      <c r="N161" s="4"/>
      <c r="O161" s="2"/>
      <c r="P161" s="3"/>
      <c r="Q161" s="4"/>
    </row>
    <row r="162" spans="1:17" ht="12.75" customHeight="1" x14ac:dyDescent="0.4">
      <c r="A162" s="175"/>
      <c r="B162" s="177"/>
      <c r="C162" s="28" t="s">
        <v>75</v>
      </c>
      <c r="D162" s="29">
        <v>0</v>
      </c>
      <c r="E162" s="24"/>
      <c r="F162" s="28"/>
      <c r="G162" s="29"/>
      <c r="H162" s="24"/>
      <c r="I162" s="2"/>
      <c r="J162" s="3"/>
      <c r="K162" s="4"/>
      <c r="L162" s="2"/>
      <c r="M162" s="3"/>
      <c r="N162" s="4"/>
      <c r="O162" s="2"/>
      <c r="P162" s="3"/>
      <c r="Q162" s="4"/>
    </row>
    <row r="163" spans="1:17" ht="12.75" customHeight="1" x14ac:dyDescent="0.4">
      <c r="A163" s="175"/>
      <c r="B163" s="177"/>
      <c r="C163" s="28" t="s">
        <v>76</v>
      </c>
      <c r="D163" s="29">
        <v>0</v>
      </c>
      <c r="E163" s="24"/>
      <c r="F163" s="28"/>
      <c r="G163" s="29"/>
      <c r="H163" s="24"/>
      <c r="I163" s="2"/>
      <c r="J163" s="3"/>
      <c r="K163" s="4"/>
      <c r="L163" s="2"/>
      <c r="M163" s="3"/>
      <c r="N163" s="4"/>
      <c r="O163" s="2"/>
      <c r="P163" s="3"/>
      <c r="Q163" s="4"/>
    </row>
    <row r="164" spans="1:17" ht="12.75" customHeight="1" x14ac:dyDescent="0.4">
      <c r="A164" s="175"/>
      <c r="B164" s="177"/>
      <c r="C164" s="28" t="s">
        <v>77</v>
      </c>
      <c r="D164" s="29">
        <v>0</v>
      </c>
      <c r="E164" s="24"/>
      <c r="F164" s="28"/>
      <c r="G164" s="29"/>
      <c r="H164" s="24"/>
      <c r="I164" s="2"/>
      <c r="J164" s="3"/>
      <c r="K164" s="4"/>
      <c r="L164" s="2"/>
      <c r="M164" s="3"/>
      <c r="N164" s="4"/>
      <c r="O164" s="2"/>
      <c r="P164" s="3"/>
      <c r="Q164" s="4"/>
    </row>
    <row r="165" spans="1:17" ht="12.75" customHeight="1" x14ac:dyDescent="0.4">
      <c r="A165" s="175"/>
      <c r="B165" s="177"/>
      <c r="C165" s="28" t="s">
        <v>78</v>
      </c>
      <c r="D165" s="29">
        <v>0</v>
      </c>
      <c r="E165" s="24"/>
      <c r="F165" s="28"/>
      <c r="G165" s="29"/>
      <c r="H165" s="24"/>
      <c r="I165" s="2"/>
      <c r="J165" s="3"/>
      <c r="K165" s="4"/>
      <c r="L165" s="2"/>
      <c r="M165" s="3"/>
      <c r="N165" s="4"/>
      <c r="O165" s="2"/>
      <c r="P165" s="3"/>
      <c r="Q165" s="4"/>
    </row>
    <row r="166" spans="1:17" ht="12.75" customHeight="1" x14ac:dyDescent="0.4">
      <c r="A166" s="175"/>
      <c r="B166" s="177"/>
      <c r="C166" s="28" t="s">
        <v>79</v>
      </c>
      <c r="D166" s="29">
        <v>0</v>
      </c>
      <c r="E166" s="24"/>
      <c r="F166" s="28"/>
      <c r="G166" s="29"/>
      <c r="H166" s="24"/>
      <c r="I166" s="2"/>
      <c r="J166" s="3"/>
      <c r="K166" s="4"/>
      <c r="L166" s="2"/>
      <c r="M166" s="3"/>
      <c r="N166" s="4"/>
      <c r="O166" s="2"/>
      <c r="P166" s="3"/>
      <c r="Q166" s="4"/>
    </row>
    <row r="167" spans="1:17" ht="12.75" customHeight="1" x14ac:dyDescent="0.4">
      <c r="A167" s="175"/>
      <c r="B167" s="177"/>
      <c r="C167" s="28" t="s">
        <v>80</v>
      </c>
      <c r="D167" s="29">
        <v>0</v>
      </c>
      <c r="E167" s="24"/>
      <c r="F167" s="28"/>
      <c r="G167" s="29"/>
      <c r="H167" s="24"/>
      <c r="I167" s="2"/>
      <c r="J167" s="3"/>
      <c r="K167" s="4"/>
      <c r="L167" s="2"/>
      <c r="M167" s="3"/>
      <c r="N167" s="4"/>
      <c r="O167" s="2"/>
      <c r="P167" s="3"/>
      <c r="Q167" s="4"/>
    </row>
    <row r="168" spans="1:17" ht="12.75" customHeight="1" x14ac:dyDescent="0.4">
      <c r="A168" s="175"/>
      <c r="B168" s="177"/>
      <c r="C168" s="2" t="s">
        <v>72</v>
      </c>
      <c r="D168" s="3">
        <v>0</v>
      </c>
      <c r="E168" s="24"/>
      <c r="F168" s="28"/>
      <c r="G168" s="29"/>
      <c r="H168" s="24"/>
      <c r="I168" s="2"/>
      <c r="J168" s="3"/>
      <c r="K168" s="4"/>
      <c r="L168" s="2"/>
      <c r="M168" s="3"/>
      <c r="N168" s="4"/>
      <c r="O168" s="2"/>
      <c r="P168" s="3"/>
      <c r="Q168" s="4"/>
    </row>
    <row r="169" spans="1:17" ht="12.75" customHeight="1" x14ac:dyDescent="0.4">
      <c r="A169" s="175"/>
      <c r="B169" s="177"/>
      <c r="C169" s="2" t="s">
        <v>71</v>
      </c>
      <c r="D169" s="3">
        <v>0</v>
      </c>
      <c r="E169" s="24"/>
      <c r="F169" s="28"/>
      <c r="G169" s="29"/>
      <c r="H169" s="24"/>
      <c r="I169" s="2"/>
      <c r="J169" s="3"/>
      <c r="K169" s="4"/>
      <c r="L169" s="2"/>
      <c r="M169" s="3"/>
      <c r="N169" s="4"/>
      <c r="O169" s="2"/>
      <c r="P169" s="3"/>
      <c r="Q169" s="4"/>
    </row>
    <row r="170" spans="1:17" ht="12.75" customHeight="1" x14ac:dyDescent="0.4">
      <c r="A170" s="175"/>
      <c r="B170" s="177"/>
      <c r="C170" s="2" t="s">
        <v>70</v>
      </c>
      <c r="D170" s="3">
        <v>0</v>
      </c>
      <c r="E170" s="24"/>
      <c r="F170" s="28"/>
      <c r="G170" s="29"/>
      <c r="H170" s="24"/>
      <c r="I170" s="2"/>
      <c r="J170" s="3"/>
      <c r="K170" s="4"/>
      <c r="L170" s="2"/>
      <c r="M170" s="3"/>
      <c r="N170" s="4"/>
      <c r="O170" s="2"/>
      <c r="P170" s="3"/>
      <c r="Q170" s="4"/>
    </row>
    <row r="171" spans="1:17" ht="12.75" customHeight="1" x14ac:dyDescent="0.4">
      <c r="A171" s="175"/>
      <c r="B171" s="177"/>
      <c r="C171" s="28" t="s">
        <v>81</v>
      </c>
      <c r="D171" s="29">
        <v>0</v>
      </c>
      <c r="E171" s="24"/>
      <c r="F171" s="28"/>
      <c r="G171" s="29"/>
      <c r="H171" s="24"/>
      <c r="I171" s="2"/>
      <c r="J171" s="3"/>
      <c r="K171" s="4"/>
      <c r="L171" s="2"/>
      <c r="M171" s="3"/>
      <c r="N171" s="4"/>
      <c r="O171" s="2"/>
      <c r="P171" s="3"/>
      <c r="Q171" s="4"/>
    </row>
    <row r="172" spans="1:17" ht="12.75" customHeight="1" x14ac:dyDescent="0.4">
      <c r="A172" s="175"/>
      <c r="B172" s="177"/>
      <c r="C172" s="28" t="s">
        <v>83</v>
      </c>
      <c r="D172" s="29">
        <v>0</v>
      </c>
      <c r="E172" s="24"/>
      <c r="F172" s="28"/>
      <c r="G172" s="29"/>
      <c r="H172" s="24"/>
      <c r="I172" s="2"/>
      <c r="J172" s="3"/>
      <c r="K172" s="4"/>
      <c r="L172" s="2"/>
      <c r="M172" s="3"/>
      <c r="N172" s="4"/>
      <c r="O172" s="2"/>
      <c r="P172" s="3"/>
      <c r="Q172" s="4"/>
    </row>
    <row r="173" spans="1:17" ht="12.75" customHeight="1" x14ac:dyDescent="0.25">
      <c r="A173" s="175"/>
      <c r="B173" s="177"/>
      <c r="C173" s="122" t="s">
        <v>194</v>
      </c>
      <c r="D173" s="3"/>
      <c r="E173" s="36" t="s">
        <v>59</v>
      </c>
      <c r="F173" s="122" t="s">
        <v>194</v>
      </c>
      <c r="H173" s="36" t="s">
        <v>59</v>
      </c>
      <c r="I173" s="122" t="s">
        <v>194</v>
      </c>
      <c r="J173" s="34"/>
      <c r="K173" s="36" t="s">
        <v>59</v>
      </c>
      <c r="L173" s="122"/>
      <c r="M173" s="3"/>
      <c r="N173" s="36" t="s">
        <v>59</v>
      </c>
      <c r="O173" s="122"/>
      <c r="P173" s="3"/>
      <c r="Q173" s="36" t="s">
        <v>59</v>
      </c>
    </row>
    <row r="174" spans="1:17" ht="15" x14ac:dyDescent="0.4">
      <c r="A174" s="175"/>
      <c r="B174" s="177"/>
      <c r="C174" s="123" t="s">
        <v>137</v>
      </c>
      <c r="D174" s="23"/>
      <c r="E174" s="24" t="s">
        <v>60</v>
      </c>
      <c r="F174" s="123" t="s">
        <v>137</v>
      </c>
      <c r="G174" s="23"/>
      <c r="H174" s="24" t="s">
        <v>60</v>
      </c>
      <c r="I174" s="123" t="s">
        <v>137</v>
      </c>
      <c r="J174" s="35" t="s">
        <v>20</v>
      </c>
      <c r="K174" s="24" t="s">
        <v>60</v>
      </c>
      <c r="L174" s="123" t="s">
        <v>137</v>
      </c>
      <c r="M174" s="23"/>
      <c r="N174" s="24" t="s">
        <v>60</v>
      </c>
      <c r="O174" s="123" t="s">
        <v>137</v>
      </c>
      <c r="P174" s="23"/>
      <c r="Q174" s="24" t="s">
        <v>60</v>
      </c>
    </row>
    <row r="175" spans="1:17" x14ac:dyDescent="0.25">
      <c r="A175" s="176"/>
      <c r="B175" s="178"/>
      <c r="C175" s="43">
        <f>+'[3]QTD Mgmt Summary'!$E$37*-1</f>
        <v>39061</v>
      </c>
      <c r="D175" s="25">
        <f>SUM(D160:D174)</f>
        <v>1000</v>
      </c>
      <c r="E175" s="32">
        <f>+D175-C175</f>
        <v>-38061</v>
      </c>
      <c r="F175" s="43">
        <v>19955</v>
      </c>
      <c r="G175" s="25">
        <f>SUM(G160:G174)</f>
        <v>0</v>
      </c>
      <c r="H175" s="32">
        <f>+G175-F175</f>
        <v>-19955</v>
      </c>
      <c r="I175" s="43">
        <f>+C175+F175</f>
        <v>59016</v>
      </c>
      <c r="J175" s="25">
        <f>+D175+G175</f>
        <v>1000</v>
      </c>
      <c r="K175" s="32">
        <f>+J175-I175</f>
        <v>-58016</v>
      </c>
      <c r="L175" s="43">
        <f>+([1]Summary!$C$37+[1]Summary!$C$38)*1.35</f>
        <v>19445.400000000001</v>
      </c>
      <c r="M175" s="25">
        <f>SUM(M160:M174)</f>
        <v>0</v>
      </c>
      <c r="N175" s="32">
        <f>+M175-L175</f>
        <v>-19445.400000000001</v>
      </c>
      <c r="O175" s="43">
        <f>+'[2]QTD Mgmt Summary'!$D$37*1.35</f>
        <v>19851.75</v>
      </c>
      <c r="P175" s="25">
        <f>SUM(P160:P174)</f>
        <v>0</v>
      </c>
      <c r="Q175" s="32">
        <f>+P175-O175</f>
        <v>-19851.75</v>
      </c>
    </row>
    <row r="176" spans="1:17" s="11" customFormat="1" ht="15" customHeight="1" thickBot="1" x14ac:dyDescent="0.45">
      <c r="A176" s="169" t="s">
        <v>92</v>
      </c>
      <c r="B176" s="172" t="s">
        <v>114</v>
      </c>
      <c r="C176" s="44" t="s">
        <v>19</v>
      </c>
      <c r="D176" s="45" t="s">
        <v>20</v>
      </c>
      <c r="E176" s="46">
        <f>COUNTA(C177:C178)</f>
        <v>1</v>
      </c>
      <c r="F176" s="44" t="s">
        <v>19</v>
      </c>
      <c r="G176" s="45" t="s">
        <v>20</v>
      </c>
      <c r="H176" s="46">
        <f>COUNTA(F177:F178)</f>
        <v>0</v>
      </c>
      <c r="I176" s="44"/>
      <c r="J176" s="45"/>
      <c r="K176" s="46">
        <f>+E176+H176</f>
        <v>1</v>
      </c>
      <c r="L176" s="44" t="s">
        <v>19</v>
      </c>
      <c r="M176" s="45" t="s">
        <v>20</v>
      </c>
      <c r="N176" s="46">
        <f>COUNTA(L177:L178)</f>
        <v>0</v>
      </c>
      <c r="O176" s="44" t="s">
        <v>19</v>
      </c>
      <c r="P176" s="45" t="s">
        <v>20</v>
      </c>
      <c r="Q176" s="46">
        <f>COUNTA(O177:O178)</f>
        <v>0</v>
      </c>
    </row>
    <row r="177" spans="1:17" s="11" customFormat="1" ht="12" customHeight="1" x14ac:dyDescent="0.25">
      <c r="A177" s="175"/>
      <c r="B177" s="177"/>
      <c r="C177" s="2" t="s">
        <v>93</v>
      </c>
      <c r="D177" s="3">
        <v>30000</v>
      </c>
      <c r="E177" s="4"/>
      <c r="F177" s="2"/>
      <c r="G177" s="3"/>
      <c r="H177" s="4"/>
      <c r="I177" s="2"/>
      <c r="J177" s="3"/>
      <c r="K177" s="4"/>
      <c r="L177" s="2"/>
      <c r="M177" s="3"/>
      <c r="N177" s="4"/>
      <c r="O177" s="2"/>
      <c r="P177" s="3"/>
      <c r="Q177" s="4"/>
    </row>
    <row r="178" spans="1:17" s="11" customFormat="1" ht="12" customHeight="1" x14ac:dyDescent="0.25">
      <c r="A178" s="175"/>
      <c r="B178" s="177"/>
      <c r="C178" s="2"/>
      <c r="D178" s="3"/>
      <c r="E178" s="4"/>
      <c r="F178" s="3"/>
      <c r="G178" s="3"/>
      <c r="H178" s="4"/>
      <c r="I178" s="2"/>
      <c r="J178" s="3"/>
      <c r="K178" s="4"/>
      <c r="L178" s="2"/>
      <c r="M178" s="3"/>
      <c r="N178" s="4"/>
      <c r="O178" s="2"/>
      <c r="P178" s="3"/>
      <c r="Q178" s="4"/>
    </row>
    <row r="179" spans="1:17" s="11" customFormat="1" ht="12" customHeight="1" x14ac:dyDescent="0.25">
      <c r="A179" s="175"/>
      <c r="B179" s="177"/>
      <c r="C179" s="122" t="s">
        <v>194</v>
      </c>
      <c r="D179" s="6"/>
      <c r="E179" s="36" t="s">
        <v>59</v>
      </c>
      <c r="F179" s="122" t="s">
        <v>194</v>
      </c>
      <c r="G179" s="13"/>
      <c r="H179" s="36" t="s">
        <v>59</v>
      </c>
      <c r="I179" s="122" t="s">
        <v>194</v>
      </c>
      <c r="J179" s="34"/>
      <c r="K179" s="36" t="s">
        <v>59</v>
      </c>
      <c r="L179" s="122"/>
      <c r="M179" s="6"/>
      <c r="N179" s="36" t="s">
        <v>59</v>
      </c>
      <c r="O179" s="122" t="s">
        <v>194</v>
      </c>
      <c r="P179" s="6"/>
      <c r="Q179" s="36" t="s">
        <v>59</v>
      </c>
    </row>
    <row r="180" spans="1:17" s="11" customFormat="1" ht="15" customHeight="1" x14ac:dyDescent="0.4">
      <c r="A180" s="175"/>
      <c r="B180" s="177"/>
      <c r="C180" s="123" t="s">
        <v>137</v>
      </c>
      <c r="D180" s="23"/>
      <c r="E180" s="24" t="s">
        <v>60</v>
      </c>
      <c r="F180" s="123" t="s">
        <v>137</v>
      </c>
      <c r="G180" s="23"/>
      <c r="H180" s="24" t="s">
        <v>60</v>
      </c>
      <c r="I180" s="123" t="s">
        <v>137</v>
      </c>
      <c r="J180" s="35" t="s">
        <v>20</v>
      </c>
      <c r="K180" s="24" t="s">
        <v>60</v>
      </c>
      <c r="L180" s="123" t="s">
        <v>137</v>
      </c>
      <c r="M180" s="23"/>
      <c r="N180" s="24" t="s">
        <v>60</v>
      </c>
      <c r="O180" s="123" t="s">
        <v>137</v>
      </c>
      <c r="P180" s="23"/>
      <c r="Q180" s="24" t="s">
        <v>60</v>
      </c>
    </row>
    <row r="181" spans="1:17" s="11" customFormat="1" ht="12" customHeight="1" x14ac:dyDescent="0.25">
      <c r="A181" s="176"/>
      <c r="B181" s="178"/>
      <c r="C181" s="43">
        <f>+'[3]QTD Mgmt Summary'!$E$41*-1</f>
        <v>55573</v>
      </c>
      <c r="D181" s="25">
        <f>SUM(D177:D180)</f>
        <v>30000</v>
      </c>
      <c r="E181" s="47">
        <f>+D181-C181</f>
        <v>-25573</v>
      </c>
      <c r="F181" s="43">
        <v>0</v>
      </c>
      <c r="G181" s="25">
        <f>SUM(G177:G180)</f>
        <v>0</v>
      </c>
      <c r="H181" s="25">
        <f>+G181-F181</f>
        <v>0</v>
      </c>
      <c r="I181" s="43">
        <f>+C181+F181</f>
        <v>55573</v>
      </c>
      <c r="J181" s="25">
        <f>+D181+G181</f>
        <v>30000</v>
      </c>
      <c r="K181" s="32">
        <f>+J181-I181</f>
        <v>-25573</v>
      </c>
      <c r="L181" s="43">
        <f>+F181*1.35</f>
        <v>0</v>
      </c>
      <c r="M181" s="25">
        <f>SUM(M177:M180)</f>
        <v>0</v>
      </c>
      <c r="N181" s="25">
        <f>+M181-L181</f>
        <v>0</v>
      </c>
      <c r="O181" s="43">
        <f>+L181</f>
        <v>0</v>
      </c>
      <c r="P181" s="25">
        <f>SUM(P177:P180)</f>
        <v>0</v>
      </c>
      <c r="Q181" s="47">
        <f>+P181-O181</f>
        <v>0</v>
      </c>
    </row>
    <row r="182" spans="1:17" s="11" customFormat="1" ht="9" customHeight="1" x14ac:dyDescent="0.25">
      <c r="A182" s="41"/>
      <c r="B182" s="41"/>
      <c r="C182" s="42"/>
      <c r="D182" s="48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</row>
    <row r="183" spans="1:17" ht="13.5" thickBot="1" x14ac:dyDescent="0.3">
      <c r="A183" s="56"/>
      <c r="B183" s="53"/>
      <c r="C183" s="43">
        <f>+C181+C175+C158+C148+C139+C130+C107+C99+C94+C81+C65+C51+C36+C23</f>
        <v>252118.5</v>
      </c>
      <c r="D183" s="43">
        <f>+D181+D175+D158+D148+D139+D130+D107+D99+D94+D81+D65+D51+D36+D23</f>
        <v>352593</v>
      </c>
      <c r="E183" s="32">
        <f>+D183-C183</f>
        <v>100474.5</v>
      </c>
      <c r="F183" s="43">
        <f>+F181+F175+F158+F148+F139+F130+F107+F99+F94+F81+F65+F51+F36+F23</f>
        <v>234395</v>
      </c>
      <c r="G183" s="43">
        <f>+G181+G175+G158+G148+G139+G130+G107+G99+G94+G81+G65+G51+G36+G23</f>
        <v>350153.353</v>
      </c>
      <c r="H183" s="32">
        <f>+G183-F183</f>
        <v>115758.353</v>
      </c>
      <c r="I183" s="43">
        <f>+I181+I175+I158+I148+I139+I130+I107+I99+I94+I81+I65+I51+I36+I23</f>
        <v>486513.5</v>
      </c>
      <c r="J183" s="43">
        <f>+J181+J175+J158+J148+J139+J130+J107+J99+J94+J81+J65+J51+J36+J23</f>
        <v>702746.353</v>
      </c>
      <c r="K183" s="32">
        <f>+J183-I183</f>
        <v>216232.853</v>
      </c>
      <c r="L183" s="43">
        <f>+L181+L175+L158+L148+L139+L130+L107+L99+L94+L81+L65+L51+L36+L23</f>
        <v>201623.85000000003</v>
      </c>
      <c r="M183" s="43">
        <f>+M181+M175+M158+M148+M139+M130+M107+M99+M94+M81+M65+M51+M36+M23</f>
        <v>119899.734</v>
      </c>
      <c r="N183" s="32">
        <f>+M183-L183</f>
        <v>-81724.116000000038</v>
      </c>
      <c r="O183" s="43">
        <f>+O181+O175+O158+O148+O139+O130+O107+O99+O94+O81+O65+O51+O36+O23</f>
        <v>227319.75</v>
      </c>
      <c r="P183" s="43">
        <f>+P181+P175+P158+P148+P139+P130+P107+P99+P94+P81+P65+P51+P36+P23</f>
        <v>15500</v>
      </c>
      <c r="Q183" s="32">
        <f>+P183-O183</f>
        <v>-211819.75</v>
      </c>
    </row>
    <row r="184" spans="1:17" s="10" customFormat="1" ht="18" customHeight="1" thickBot="1" x14ac:dyDescent="0.3">
      <c r="A184" s="50"/>
      <c r="B184" s="50"/>
      <c r="D184" s="51"/>
      <c r="E184" s="52">
        <f>+E6+E24+E37+E52+E66+E82+E95+E100+E131+E140+E149+E159+E176+E108</f>
        <v>243</v>
      </c>
      <c r="F184" s="49"/>
      <c r="G184" s="51"/>
      <c r="H184" s="52">
        <f>+H6+H24+H37+H52+H66+H82+H95+H100+H131+H140+H149+H159+H176+H108</f>
        <v>132</v>
      </c>
      <c r="I184" s="49"/>
      <c r="J184" s="51"/>
      <c r="K184" s="46">
        <f>+E184+H184</f>
        <v>375</v>
      </c>
      <c r="L184" s="49"/>
      <c r="M184" s="51"/>
      <c r="N184" s="52">
        <f>+N6+N24+N37+N52+N66+N82+N95+N100+N131+N140+N149+N159+N176+N108</f>
        <v>31</v>
      </c>
      <c r="O184" s="49"/>
      <c r="P184" s="49" t="s">
        <v>132</v>
      </c>
      <c r="Q184" s="52">
        <f>+Q6+Q24+Q37+Q52+Q66+Q82+Q95+Q100+Q131+Q140+Q149+Q159+Q176+Q108</f>
        <v>5</v>
      </c>
    </row>
    <row r="185" spans="1:17" s="26" customFormat="1" ht="6.75" customHeight="1" x14ac:dyDescent="0.25">
      <c r="A185" s="11"/>
      <c r="B185" s="1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C186" s="13" t="s">
        <v>217</v>
      </c>
    </row>
    <row r="187" spans="1:17" x14ac:dyDescent="0.25">
      <c r="C187" s="43">
        <f>+('[3]QTD Mgmt Summary'!$E$33+'[3]QTD Mgmt Summary'!$E$38)*-1</f>
        <v>196545.5</v>
      </c>
    </row>
    <row r="188" spans="1:17" x14ac:dyDescent="0.25">
      <c r="C188" s="161">
        <f>+C183-C187</f>
        <v>55573</v>
      </c>
    </row>
  </sheetData>
  <mergeCells count="28">
    <mergeCell ref="A95:A99"/>
    <mergeCell ref="B95:B99"/>
    <mergeCell ref="A6:A23"/>
    <mergeCell ref="B6:B23"/>
    <mergeCell ref="A37:A51"/>
    <mergeCell ref="B37:B51"/>
    <mergeCell ref="A24:A36"/>
    <mergeCell ref="B24:B36"/>
    <mergeCell ref="A52:A65"/>
    <mergeCell ref="B52:B65"/>
    <mergeCell ref="A66:A81"/>
    <mergeCell ref="B66:B81"/>
    <mergeCell ref="A140:A148"/>
    <mergeCell ref="B140:B148"/>
    <mergeCell ref="A82:A94"/>
    <mergeCell ref="B82:B94"/>
    <mergeCell ref="A100:A107"/>
    <mergeCell ref="B100:B107"/>
    <mergeCell ref="A108:A130"/>
    <mergeCell ref="B108:B130"/>
    <mergeCell ref="A131:A139"/>
    <mergeCell ref="B131:B139"/>
    <mergeCell ref="A176:A181"/>
    <mergeCell ref="B176:B181"/>
    <mergeCell ref="A149:A158"/>
    <mergeCell ref="B149:B158"/>
    <mergeCell ref="A159:A175"/>
    <mergeCell ref="B159:B175"/>
  </mergeCells>
  <printOptions horizontalCentered="1"/>
  <pageMargins left="0.25" right="0.25" top="0.22" bottom="0.24" header="0.27" footer="0.27"/>
  <pageSetup scale="58" fitToHeight="2" orientation="portrait" r:id="rId1"/>
  <headerFooter alignWithMargins="0"/>
  <rowBreaks count="1" manualBreakCount="1">
    <brk id="9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9"/>
  <sheetViews>
    <sheetView tabSelected="1" workbookViewId="0"/>
  </sheetViews>
  <sheetFormatPr defaultRowHeight="12.75" x14ac:dyDescent="0.25"/>
  <cols>
    <col min="1" max="2" width="2.7109375" style="57" customWidth="1"/>
    <col min="3" max="3" width="25.7109375" style="78" customWidth="1"/>
    <col min="4" max="4" width="8.7109375" style="57" customWidth="1"/>
    <col min="5" max="5" width="7.7109375" style="78" customWidth="1"/>
    <col min="6" max="6" width="7.7109375" style="57" customWidth="1"/>
    <col min="7" max="7" width="11.7109375" style="78" customWidth="1"/>
    <col min="8" max="8" width="9.85546875" style="57" customWidth="1"/>
    <col min="9" max="9" width="25.28515625" style="57" customWidth="1"/>
    <col min="10" max="10" width="8.7109375" style="57" customWidth="1"/>
    <col min="11" max="12" width="7.7109375" style="57" customWidth="1"/>
    <col min="13" max="13" width="11.7109375" style="57" customWidth="1"/>
    <col min="14" max="14" width="11.28515625" style="57" customWidth="1"/>
    <col min="15" max="15" width="13.7109375" style="57" customWidth="1"/>
    <col min="16" max="17" width="7.7109375" style="57" customWidth="1"/>
    <col min="18" max="18" width="13.7109375" style="57" customWidth="1"/>
    <col min="19" max="20" width="7.7109375" style="57" customWidth="1"/>
    <col min="21" max="16384" width="9.140625" style="57"/>
  </cols>
  <sheetData>
    <row r="1" spans="1:20" ht="9.75" customHeight="1" x14ac:dyDescent="0.25">
      <c r="B1" s="58"/>
      <c r="C1" s="59"/>
      <c r="D1" s="58"/>
      <c r="E1" s="59"/>
      <c r="F1" s="58"/>
      <c r="G1" s="60"/>
    </row>
    <row r="2" spans="1:20" s="68" customFormat="1" ht="27" customHeight="1" x14ac:dyDescent="0.4">
      <c r="A2" s="61" t="s">
        <v>13</v>
      </c>
      <c r="B2" s="61"/>
      <c r="C2" s="62"/>
      <c r="D2" s="63"/>
      <c r="E2" s="62"/>
      <c r="F2" s="63"/>
      <c r="G2" s="64"/>
      <c r="H2" s="65"/>
      <c r="I2" s="65"/>
      <c r="J2" s="65"/>
      <c r="K2" s="65"/>
      <c r="L2" s="65"/>
      <c r="M2" s="66" t="s">
        <v>219</v>
      </c>
      <c r="O2" s="65"/>
      <c r="P2" s="65"/>
      <c r="Q2" s="67"/>
    </row>
    <row r="3" spans="1:20" s="69" customFormat="1" ht="13.5" customHeight="1" x14ac:dyDescent="0.25">
      <c r="B3" s="70"/>
      <c r="C3" s="71"/>
      <c r="E3" s="72"/>
      <c r="F3" s="73"/>
      <c r="G3" s="74"/>
      <c r="H3" s="75"/>
      <c r="I3" s="88"/>
      <c r="J3" s="89"/>
      <c r="K3" s="89"/>
      <c r="L3" s="89"/>
      <c r="M3" s="89" t="str">
        <f>+'Hotlist - Identified '!Q3</f>
        <v>Results based on Activity through July 27, 2000</v>
      </c>
      <c r="O3" s="75"/>
      <c r="P3" s="75"/>
      <c r="Q3" s="166" t="s">
        <v>253</v>
      </c>
      <c r="T3" s="76"/>
    </row>
    <row r="4" spans="1:20" s="69" customFormat="1" ht="15" customHeight="1" x14ac:dyDescent="0.2">
      <c r="B4" s="70"/>
      <c r="C4" s="72"/>
      <c r="D4" s="73"/>
      <c r="E4" s="72"/>
      <c r="F4" s="73"/>
      <c r="G4" s="74"/>
      <c r="H4" s="75"/>
      <c r="I4" s="75"/>
      <c r="J4" s="75"/>
      <c r="K4" s="75"/>
      <c r="L4" s="75"/>
      <c r="M4" s="75"/>
      <c r="N4" s="75"/>
      <c r="O4" s="75"/>
      <c r="P4" s="75"/>
    </row>
    <row r="5" spans="1:20" ht="15" customHeight="1" x14ac:dyDescent="0.25">
      <c r="A5" s="77"/>
      <c r="B5" s="77"/>
      <c r="R5" s="79"/>
    </row>
    <row r="6" spans="1:20" ht="15" customHeight="1" x14ac:dyDescent="0.25">
      <c r="A6" s="77"/>
      <c r="B6" s="77"/>
      <c r="C6" s="181" t="s">
        <v>4</v>
      </c>
      <c r="D6" s="182"/>
      <c r="E6" s="182"/>
      <c r="F6" s="182"/>
      <c r="G6" s="183"/>
      <c r="I6" s="181" t="s">
        <v>0</v>
      </c>
      <c r="J6" s="182"/>
      <c r="K6" s="182"/>
      <c r="L6" s="182"/>
      <c r="M6" s="183"/>
      <c r="R6" s="79"/>
    </row>
    <row r="7" spans="1:20" ht="15" customHeight="1" x14ac:dyDescent="0.4">
      <c r="A7" s="77"/>
      <c r="B7" s="77"/>
      <c r="C7" s="105" t="s">
        <v>19</v>
      </c>
      <c r="D7" s="97"/>
      <c r="E7" s="106" t="s">
        <v>20</v>
      </c>
      <c r="F7" s="97"/>
      <c r="G7" s="98"/>
      <c r="H7" s="99"/>
      <c r="I7" s="105" t="s">
        <v>19</v>
      </c>
      <c r="J7" s="97"/>
      <c r="K7" s="106" t="s">
        <v>20</v>
      </c>
      <c r="L7" s="97"/>
      <c r="M7" s="98"/>
    </row>
    <row r="8" spans="1:20" ht="15" customHeight="1" x14ac:dyDescent="0.4">
      <c r="A8" s="77"/>
      <c r="B8" s="77"/>
      <c r="C8" s="100" t="s">
        <v>130</v>
      </c>
      <c r="D8" s="97"/>
      <c r="E8" s="124">
        <v>400</v>
      </c>
      <c r="F8" s="97"/>
      <c r="G8" s="98"/>
      <c r="H8" s="99"/>
      <c r="I8" s="114"/>
      <c r="J8" s="101"/>
      <c r="K8" s="124"/>
      <c r="L8" s="97"/>
      <c r="M8" s="98"/>
    </row>
    <row r="9" spans="1:20" ht="15" customHeight="1" x14ac:dyDescent="0.4">
      <c r="A9" s="77"/>
      <c r="B9" s="77"/>
      <c r="C9" s="100"/>
      <c r="D9" s="97"/>
      <c r="E9" s="124"/>
      <c r="F9" s="97"/>
      <c r="G9" s="98"/>
      <c r="H9" s="99"/>
      <c r="I9" s="108" t="s">
        <v>185</v>
      </c>
      <c r="J9" s="97"/>
      <c r="K9" s="125">
        <f>+[3]GrossMargin!$J$35</f>
        <v>0</v>
      </c>
      <c r="L9" s="97"/>
      <c r="M9" s="98"/>
    </row>
    <row r="10" spans="1:20" ht="15" customHeight="1" x14ac:dyDescent="0.4">
      <c r="A10" s="77"/>
      <c r="B10" s="77"/>
      <c r="C10" s="100" t="s">
        <v>185</v>
      </c>
      <c r="D10" s="97"/>
      <c r="E10" s="125">
        <f>+[3]GrossMargin!$J$25-SUM(E8:E9)</f>
        <v>-270</v>
      </c>
      <c r="F10" s="97"/>
      <c r="G10" s="98"/>
      <c r="H10" s="99"/>
      <c r="I10" s="105" t="s">
        <v>137</v>
      </c>
      <c r="J10" s="97"/>
      <c r="K10" s="106"/>
      <c r="L10" s="97"/>
      <c r="M10" s="107" t="s">
        <v>119</v>
      </c>
    </row>
    <row r="11" spans="1:20" ht="15" customHeight="1" x14ac:dyDescent="0.4">
      <c r="A11" s="77"/>
      <c r="B11" s="77"/>
      <c r="C11" s="105" t="s">
        <v>137</v>
      </c>
      <c r="D11" s="97"/>
      <c r="E11" s="106"/>
      <c r="F11" s="97"/>
      <c r="G11" s="107" t="s">
        <v>119</v>
      </c>
      <c r="H11" s="99"/>
      <c r="I11" s="110">
        <f>+'[3]QTD Mgmt Summary'!D32</f>
        <v>4656</v>
      </c>
      <c r="J11" s="111"/>
      <c r="K11" s="112">
        <f>SUM(K8:K10)</f>
        <v>0</v>
      </c>
      <c r="L11" s="111"/>
      <c r="M11" s="113">
        <f>I11-K11</f>
        <v>4656</v>
      </c>
    </row>
    <row r="12" spans="1:20" ht="15" customHeight="1" x14ac:dyDescent="0.25">
      <c r="A12" s="82"/>
      <c r="B12" s="82"/>
      <c r="C12" s="110">
        <f>+'[3]QTD Mgmt Summary'!D22</f>
        <v>19618</v>
      </c>
      <c r="D12" s="111"/>
      <c r="E12" s="112">
        <f>SUM(E8:E11)</f>
        <v>130</v>
      </c>
      <c r="F12" s="111"/>
      <c r="G12" s="113">
        <f>C12-E12</f>
        <v>19488</v>
      </c>
      <c r="H12" s="99"/>
    </row>
    <row r="13" spans="1:20" ht="15" customHeight="1" x14ac:dyDescent="0.25">
      <c r="A13" s="82"/>
      <c r="B13" s="82"/>
      <c r="C13" s="84"/>
      <c r="D13" s="85"/>
      <c r="E13" s="84"/>
      <c r="F13" s="85"/>
      <c r="G13" s="84"/>
      <c r="I13" s="181" t="s">
        <v>186</v>
      </c>
      <c r="J13" s="182"/>
      <c r="K13" s="182"/>
      <c r="L13" s="182"/>
      <c r="M13" s="183"/>
    </row>
    <row r="14" spans="1:20" ht="15" customHeight="1" x14ac:dyDescent="0.4">
      <c r="A14" s="82"/>
      <c r="B14" s="82"/>
      <c r="C14" s="181" t="s">
        <v>5</v>
      </c>
      <c r="D14" s="182"/>
      <c r="E14" s="182"/>
      <c r="F14" s="182"/>
      <c r="G14" s="183"/>
      <c r="I14" s="105" t="s">
        <v>19</v>
      </c>
      <c r="J14" s="97"/>
      <c r="K14" s="106" t="s">
        <v>20</v>
      </c>
      <c r="L14" s="97"/>
      <c r="M14" s="98"/>
    </row>
    <row r="15" spans="1:20" ht="15" customHeight="1" x14ac:dyDescent="0.4">
      <c r="A15" s="82"/>
      <c r="B15" s="82"/>
      <c r="C15" s="142" t="s">
        <v>19</v>
      </c>
      <c r="D15" s="143"/>
      <c r="E15" s="144" t="s">
        <v>20</v>
      </c>
      <c r="F15" s="143"/>
      <c r="G15" s="145"/>
      <c r="I15" s="121" t="s">
        <v>218</v>
      </c>
      <c r="J15" s="104"/>
      <c r="K15" s="124">
        <v>140</v>
      </c>
      <c r="L15" s="102"/>
      <c r="M15" s="103"/>
    </row>
    <row r="16" spans="1:20" ht="15" customHeight="1" x14ac:dyDescent="0.4">
      <c r="A16" s="77"/>
      <c r="B16" s="77"/>
      <c r="C16" s="100" t="s">
        <v>261</v>
      </c>
      <c r="D16" s="97"/>
      <c r="E16" s="124">
        <v>7900</v>
      </c>
      <c r="F16" s="97"/>
      <c r="G16" s="98"/>
      <c r="H16" s="99"/>
      <c r="I16" s="121"/>
      <c r="J16" s="104"/>
      <c r="K16" s="124"/>
      <c r="L16" s="102"/>
      <c r="M16" s="103"/>
    </row>
    <row r="17" spans="1:14" ht="15" customHeight="1" x14ac:dyDescent="0.4">
      <c r="A17" s="77"/>
      <c r="B17" s="77"/>
      <c r="C17" s="105"/>
      <c r="D17" s="97"/>
      <c r="E17" s="106"/>
      <c r="F17" s="97"/>
      <c r="G17" s="98"/>
      <c r="H17" s="99"/>
      <c r="I17" s="121"/>
      <c r="J17" s="104"/>
      <c r="K17" s="124"/>
      <c r="L17" s="102"/>
      <c r="M17" s="103"/>
    </row>
    <row r="18" spans="1:14" ht="15" customHeight="1" x14ac:dyDescent="0.4">
      <c r="A18" s="82"/>
      <c r="B18" s="82"/>
      <c r="C18" s="100" t="s">
        <v>185</v>
      </c>
      <c r="D18" s="97"/>
      <c r="E18" s="146">
        <f>+[3]GrossMargin!$J$26-SUM(E16:E17)</f>
        <v>512</v>
      </c>
      <c r="F18" s="130"/>
      <c r="G18" s="98"/>
      <c r="H18" s="99"/>
      <c r="I18" s="121" t="s">
        <v>185</v>
      </c>
      <c r="J18" s="115"/>
      <c r="K18" s="125">
        <f>+[3]GrossMargin!$J$31-SUM(K15:K17)</f>
        <v>7458</v>
      </c>
      <c r="L18" s="97"/>
      <c r="M18" s="98"/>
    </row>
    <row r="19" spans="1:14" ht="15" customHeight="1" x14ac:dyDescent="0.4">
      <c r="A19" s="82"/>
      <c r="B19" s="82"/>
      <c r="C19" s="147" t="s">
        <v>137</v>
      </c>
      <c r="D19" s="148"/>
      <c r="E19" s="151"/>
      <c r="F19" s="148"/>
      <c r="G19" s="150" t="s">
        <v>119</v>
      </c>
      <c r="H19" s="99"/>
      <c r="I19" s="105" t="s">
        <v>137</v>
      </c>
      <c r="J19" s="97"/>
      <c r="K19" s="106"/>
      <c r="L19" s="97"/>
      <c r="M19" s="107" t="s">
        <v>119</v>
      </c>
    </row>
    <row r="20" spans="1:14" ht="15" customHeight="1" x14ac:dyDescent="0.25">
      <c r="A20" s="82"/>
      <c r="B20" s="82"/>
      <c r="C20" s="110">
        <f>+'[3]QTD Mgmt Summary'!D23</f>
        <v>17163</v>
      </c>
      <c r="D20" s="83"/>
      <c r="E20" s="112">
        <f>SUM(E16:E19)</f>
        <v>8412</v>
      </c>
      <c r="F20" s="83"/>
      <c r="G20" s="113">
        <f>C20-E20</f>
        <v>8751</v>
      </c>
      <c r="H20" s="99"/>
      <c r="I20" s="110">
        <f>+'[3]QTD Mgmt Summary'!D28</f>
        <v>20615</v>
      </c>
      <c r="J20" s="111"/>
      <c r="K20" s="112">
        <f>SUM(K15:K19)</f>
        <v>7598</v>
      </c>
      <c r="L20" s="111"/>
      <c r="M20" s="113">
        <f>I20-K20</f>
        <v>13017</v>
      </c>
    </row>
    <row r="21" spans="1:14" ht="15" customHeight="1" x14ac:dyDescent="0.25">
      <c r="A21" s="82"/>
      <c r="B21" s="82"/>
      <c r="C21" s="84"/>
      <c r="D21" s="85"/>
      <c r="E21" s="84"/>
      <c r="F21" s="85"/>
      <c r="G21" s="84"/>
      <c r="N21" s="78"/>
    </row>
    <row r="22" spans="1:14" ht="15" customHeight="1" x14ac:dyDescent="0.25">
      <c r="A22" s="82"/>
      <c r="B22" s="82"/>
      <c r="C22" s="181" t="s">
        <v>138</v>
      </c>
      <c r="D22" s="182"/>
      <c r="E22" s="182"/>
      <c r="F22" s="182"/>
      <c r="G22" s="183"/>
      <c r="I22" s="181" t="s">
        <v>187</v>
      </c>
      <c r="J22" s="182"/>
      <c r="K22" s="182"/>
      <c r="L22" s="182"/>
      <c r="M22" s="183"/>
    </row>
    <row r="23" spans="1:14" ht="15" customHeight="1" x14ac:dyDescent="0.4">
      <c r="A23" s="82"/>
      <c r="B23" s="82"/>
      <c r="C23" s="105" t="s">
        <v>19</v>
      </c>
      <c r="D23" s="97"/>
      <c r="E23" s="106" t="s">
        <v>20</v>
      </c>
      <c r="F23" s="97"/>
      <c r="G23" s="98"/>
      <c r="I23" s="105" t="s">
        <v>19</v>
      </c>
      <c r="J23" s="97"/>
      <c r="K23" s="106" t="s">
        <v>20</v>
      </c>
      <c r="L23" s="80"/>
      <c r="M23" s="81"/>
    </row>
    <row r="24" spans="1:14" ht="15" customHeight="1" x14ac:dyDescent="0.4">
      <c r="A24" s="82"/>
      <c r="B24" s="82"/>
      <c r="C24" s="108"/>
      <c r="D24" s="99"/>
      <c r="E24" s="124"/>
      <c r="F24" s="102"/>
      <c r="G24" s="103"/>
      <c r="I24" s="121" t="s">
        <v>248</v>
      </c>
      <c r="J24" s="97"/>
      <c r="K24" s="124">
        <v>396</v>
      </c>
      <c r="L24" s="80"/>
      <c r="M24" s="81"/>
      <c r="N24" s="139"/>
    </row>
    <row r="25" spans="1:14" ht="15" customHeight="1" x14ac:dyDescent="0.4">
      <c r="A25" s="82"/>
      <c r="B25" s="82"/>
      <c r="C25" s="108"/>
      <c r="D25" s="99"/>
      <c r="E25" s="124"/>
      <c r="F25" s="102"/>
      <c r="G25" s="103"/>
      <c r="I25" s="121" t="s">
        <v>248</v>
      </c>
      <c r="J25" s="97"/>
      <c r="K25" s="124">
        <v>396</v>
      </c>
      <c r="L25" s="80"/>
      <c r="M25" s="81"/>
      <c r="N25" s="78"/>
    </row>
    <row r="26" spans="1:14" ht="15" customHeight="1" x14ac:dyDescent="0.4">
      <c r="A26" s="82"/>
      <c r="B26" s="82"/>
      <c r="C26" s="108" t="s">
        <v>185</v>
      </c>
      <c r="D26" s="99"/>
      <c r="E26" s="126">
        <f>+[3]GrossMargin!$J$27</f>
        <v>405</v>
      </c>
      <c r="F26" s="102"/>
      <c r="G26" s="103"/>
      <c r="I26" s="121" t="s">
        <v>251</v>
      </c>
      <c r="J26" s="97"/>
      <c r="K26" s="124">
        <v>244</v>
      </c>
      <c r="L26" s="80"/>
      <c r="M26" s="81"/>
      <c r="N26" s="78"/>
    </row>
    <row r="27" spans="1:14" ht="15" customHeight="1" x14ac:dyDescent="0.4">
      <c r="A27" s="82"/>
      <c r="B27" s="82"/>
      <c r="C27" s="105" t="s">
        <v>137</v>
      </c>
      <c r="D27" s="97"/>
      <c r="E27" s="106"/>
      <c r="F27" s="97"/>
      <c r="G27" s="107" t="s">
        <v>119</v>
      </c>
      <c r="I27" s="121" t="s">
        <v>249</v>
      </c>
      <c r="J27" s="97"/>
      <c r="K27" s="124">
        <v>244</v>
      </c>
      <c r="L27" s="80"/>
      <c r="M27" s="81"/>
      <c r="N27" s="78"/>
    </row>
    <row r="28" spans="1:14" ht="15" customHeight="1" x14ac:dyDescent="0.4">
      <c r="A28" s="82"/>
      <c r="B28" s="82"/>
      <c r="C28" s="110">
        <f>+'[3]QTD Mgmt Summary'!D24</f>
        <v>28361</v>
      </c>
      <c r="D28" s="111"/>
      <c r="E28" s="112">
        <f>SUM(E24:E27)</f>
        <v>405</v>
      </c>
      <c r="F28" s="111"/>
      <c r="G28" s="113">
        <f>C28-E28</f>
        <v>27956</v>
      </c>
      <c r="I28" s="121" t="s">
        <v>250</v>
      </c>
      <c r="J28" s="97"/>
      <c r="K28" s="124">
        <v>152</v>
      </c>
      <c r="L28" s="80"/>
      <c r="M28" s="81"/>
    </row>
    <row r="29" spans="1:14" ht="15" customHeight="1" x14ac:dyDescent="0.25">
      <c r="A29" s="82"/>
      <c r="B29" s="82"/>
      <c r="C29" s="84"/>
      <c r="D29" s="85"/>
      <c r="E29" s="84"/>
      <c r="F29" s="93"/>
      <c r="G29" s="94"/>
      <c r="I29" s="108" t="s">
        <v>268</v>
      </c>
      <c r="J29" s="99"/>
      <c r="K29" s="124">
        <v>276</v>
      </c>
      <c r="L29" s="102"/>
      <c r="M29" s="103"/>
    </row>
    <row r="30" spans="1:14" ht="15" customHeight="1" x14ac:dyDescent="0.4">
      <c r="A30" s="82"/>
      <c r="B30" s="82"/>
      <c r="C30" s="92" t="s">
        <v>206</v>
      </c>
      <c r="D30" s="93"/>
      <c r="E30" s="93"/>
      <c r="F30" s="140"/>
      <c r="G30" s="141"/>
      <c r="I30" s="108"/>
      <c r="J30" s="99"/>
      <c r="K30" s="124"/>
      <c r="L30" s="102"/>
      <c r="M30" s="103"/>
    </row>
    <row r="31" spans="1:14" ht="15" customHeight="1" x14ac:dyDescent="0.4">
      <c r="A31" s="82"/>
      <c r="B31" s="82"/>
      <c r="C31" s="105" t="s">
        <v>19</v>
      </c>
      <c r="D31" s="97"/>
      <c r="E31" s="106" t="s">
        <v>20</v>
      </c>
      <c r="F31" s="102"/>
      <c r="G31" s="103"/>
      <c r="I31" s="108" t="s">
        <v>185</v>
      </c>
      <c r="J31" s="99"/>
      <c r="K31" s="126">
        <f>+[3]GrossMargin!$J$32+[3]GrossMargin!$J$33-SUM(K24:K30)</f>
        <v>8972</v>
      </c>
      <c r="L31" s="102"/>
      <c r="M31" s="103"/>
    </row>
    <row r="32" spans="1:14" ht="15" customHeight="1" x14ac:dyDescent="0.4">
      <c r="A32" s="77"/>
      <c r="B32" s="77"/>
      <c r="C32" s="105"/>
      <c r="D32" s="97"/>
      <c r="E32" s="106"/>
      <c r="F32" s="102"/>
      <c r="G32" s="103"/>
      <c r="I32" s="105" t="s">
        <v>137</v>
      </c>
      <c r="J32" s="97"/>
      <c r="K32" s="106"/>
      <c r="L32" s="97"/>
      <c r="M32" s="107" t="s">
        <v>119</v>
      </c>
    </row>
    <row r="33" spans="1:14" ht="15" customHeight="1" x14ac:dyDescent="0.25">
      <c r="A33" s="82"/>
      <c r="B33" s="82"/>
      <c r="C33" s="108"/>
      <c r="D33" s="109"/>
      <c r="E33" s="127"/>
      <c r="F33" s="102"/>
      <c r="G33" s="103"/>
      <c r="I33" s="110">
        <f>+'[3]QTD Mgmt Summary'!D29+'[3]QTD Mgmt Summary'!D30</f>
        <v>11968</v>
      </c>
      <c r="J33" s="111"/>
      <c r="K33" s="112">
        <f>SUM(K24:K31)</f>
        <v>10680</v>
      </c>
      <c r="L33" s="111"/>
      <c r="M33" s="113">
        <f>I33-K33</f>
        <v>1288</v>
      </c>
      <c r="N33" s="78"/>
    </row>
    <row r="34" spans="1:14" ht="15" customHeight="1" x14ac:dyDescent="0.4">
      <c r="A34" s="82"/>
      <c r="B34" s="82"/>
      <c r="C34" s="108" t="s">
        <v>185</v>
      </c>
      <c r="D34" s="97"/>
      <c r="E34" s="125">
        <f>+[3]GrossMargin!$J$28</f>
        <v>3553</v>
      </c>
      <c r="F34" s="102"/>
      <c r="G34" s="103"/>
      <c r="H34" s="78"/>
    </row>
    <row r="35" spans="1:14" ht="15" customHeight="1" x14ac:dyDescent="0.4">
      <c r="A35" s="82"/>
      <c r="B35" s="82"/>
      <c r="C35" s="105" t="s">
        <v>137</v>
      </c>
      <c r="D35" s="97"/>
      <c r="E35" s="106"/>
      <c r="F35" s="97"/>
      <c r="G35" s="107" t="s">
        <v>119</v>
      </c>
      <c r="H35" s="78"/>
      <c r="I35" s="181" t="s">
        <v>2</v>
      </c>
      <c r="J35" s="182"/>
      <c r="K35" s="182"/>
      <c r="L35" s="182"/>
      <c r="M35" s="183"/>
    </row>
    <row r="36" spans="1:14" ht="15" customHeight="1" x14ac:dyDescent="0.4">
      <c r="A36" s="82"/>
      <c r="B36" s="82"/>
      <c r="C36" s="110">
        <f>+'[3]QTD Mgmt Summary'!D25</f>
        <v>18712</v>
      </c>
      <c r="D36" s="111"/>
      <c r="E36" s="112">
        <f>SUM(E33:E35)</f>
        <v>3553</v>
      </c>
      <c r="F36" s="111"/>
      <c r="G36" s="113">
        <f>C36-E36</f>
        <v>15159</v>
      </c>
      <c r="H36" s="78"/>
      <c r="I36" s="105" t="s">
        <v>19</v>
      </c>
      <c r="J36" s="97"/>
      <c r="K36" s="106" t="s">
        <v>20</v>
      </c>
      <c r="L36" s="97"/>
      <c r="M36" s="98"/>
      <c r="N36" s="139"/>
    </row>
    <row r="37" spans="1:14" ht="15" customHeight="1" x14ac:dyDescent="0.4">
      <c r="A37" s="82"/>
      <c r="B37" s="82"/>
      <c r="C37" s="84"/>
      <c r="D37" s="85"/>
      <c r="E37" s="84"/>
      <c r="F37" s="85"/>
      <c r="G37" s="84"/>
      <c r="I37" s="114"/>
      <c r="J37" s="101"/>
      <c r="K37" s="129"/>
      <c r="L37" s="97"/>
      <c r="M37" s="98"/>
      <c r="N37" s="139"/>
    </row>
    <row r="38" spans="1:14" ht="15" customHeight="1" x14ac:dyDescent="0.4">
      <c r="A38" s="82"/>
      <c r="B38" s="82"/>
      <c r="C38" s="92" t="s">
        <v>100</v>
      </c>
      <c r="D38" s="93"/>
      <c r="E38" s="93"/>
      <c r="F38" s="93"/>
      <c r="G38" s="94"/>
      <c r="I38" s="114"/>
      <c r="J38" s="101"/>
      <c r="K38" s="129"/>
      <c r="L38" s="97"/>
      <c r="M38" s="98"/>
    </row>
    <row r="39" spans="1:14" ht="15" customHeight="1" x14ac:dyDescent="0.4">
      <c r="A39" s="82"/>
      <c r="B39" s="82"/>
      <c r="C39" s="142" t="s">
        <v>19</v>
      </c>
      <c r="D39" s="143"/>
      <c r="E39" s="144" t="s">
        <v>20</v>
      </c>
      <c r="F39" s="143"/>
      <c r="G39" s="145"/>
      <c r="I39" s="108" t="s">
        <v>185</v>
      </c>
      <c r="J39" s="97"/>
      <c r="K39" s="125">
        <f>+[3]GrossMargin!$J$40</f>
        <v>-18333</v>
      </c>
      <c r="L39" s="102"/>
      <c r="M39" s="103"/>
    </row>
    <row r="40" spans="1:14" ht="15" customHeight="1" x14ac:dyDescent="0.4">
      <c r="A40" s="82"/>
      <c r="B40" s="82"/>
      <c r="C40" s="8" t="s">
        <v>225</v>
      </c>
      <c r="D40" s="109"/>
      <c r="E40" s="127">
        <v>250</v>
      </c>
      <c r="F40" s="130"/>
      <c r="G40" s="98"/>
      <c r="I40" s="105" t="s">
        <v>137</v>
      </c>
      <c r="J40" s="97"/>
      <c r="K40" s="106"/>
      <c r="L40" s="97"/>
      <c r="M40" s="107" t="s">
        <v>119</v>
      </c>
    </row>
    <row r="41" spans="1:14" ht="15" customHeight="1" x14ac:dyDescent="0.4">
      <c r="A41" s="77"/>
      <c r="B41" s="77"/>
      <c r="C41" s="8" t="s">
        <v>221</v>
      </c>
      <c r="D41" s="109"/>
      <c r="E41" s="127">
        <v>0</v>
      </c>
      <c r="F41" s="130"/>
      <c r="G41" s="98"/>
      <c r="I41" s="110">
        <f>+'[3]QTD Mgmt Summary'!$D$35</f>
        <v>15390</v>
      </c>
      <c r="J41" s="111"/>
      <c r="K41" s="112">
        <f>SUM(K37:K40)</f>
        <v>-18333</v>
      </c>
      <c r="L41" s="111"/>
      <c r="M41" s="113">
        <f>I41-K41</f>
        <v>33723</v>
      </c>
    </row>
    <row r="42" spans="1:14" ht="15" customHeight="1" x14ac:dyDescent="0.4">
      <c r="A42" s="77"/>
      <c r="B42" s="77"/>
      <c r="C42" s="108" t="s">
        <v>185</v>
      </c>
      <c r="D42" s="97"/>
      <c r="E42" s="146">
        <f>+[3]GrossMargin!$J$29-SUM(E40:E41)</f>
        <v>-151</v>
      </c>
      <c r="F42" s="130"/>
      <c r="G42" s="98"/>
      <c r="I42" s="84"/>
      <c r="J42" s="85"/>
      <c r="K42" s="84"/>
      <c r="L42" s="85"/>
      <c r="M42" s="84"/>
    </row>
    <row r="43" spans="1:14" ht="15" customHeight="1" x14ac:dyDescent="0.4">
      <c r="A43" s="77"/>
      <c r="B43" s="77"/>
      <c r="C43" s="147" t="s">
        <v>137</v>
      </c>
      <c r="D43" s="148"/>
      <c r="E43" s="149"/>
      <c r="F43" s="148"/>
      <c r="G43" s="150" t="s">
        <v>119</v>
      </c>
      <c r="I43" s="92" t="s">
        <v>139</v>
      </c>
      <c r="J43" s="93"/>
      <c r="K43" s="93"/>
      <c r="L43" s="93"/>
      <c r="M43" s="94"/>
    </row>
    <row r="44" spans="1:14" ht="15" customHeight="1" x14ac:dyDescent="0.4">
      <c r="A44" s="77"/>
      <c r="B44" s="77"/>
      <c r="C44" s="110">
        <f>+'[3]QTD Mgmt Summary'!D26</f>
        <v>6373.5</v>
      </c>
      <c r="D44" s="111"/>
      <c r="E44" s="112">
        <f>SUM(E40:E43)</f>
        <v>99</v>
      </c>
      <c r="F44" s="111"/>
      <c r="G44" s="113">
        <f>C44-E44</f>
        <v>6274.5</v>
      </c>
      <c r="I44" s="105" t="s">
        <v>19</v>
      </c>
      <c r="J44" s="97"/>
      <c r="K44" s="106" t="s">
        <v>20</v>
      </c>
      <c r="L44" s="97"/>
      <c r="M44" s="98"/>
    </row>
    <row r="45" spans="1:14" ht="15" customHeight="1" x14ac:dyDescent="0.25">
      <c r="A45" s="77"/>
      <c r="B45" s="77"/>
      <c r="C45" s="84"/>
      <c r="D45" s="85"/>
      <c r="E45" s="84"/>
      <c r="F45" s="85"/>
      <c r="G45" s="84"/>
      <c r="I45" s="121" t="s">
        <v>218</v>
      </c>
      <c r="J45" s="102"/>
      <c r="K45" s="127">
        <v>0</v>
      </c>
      <c r="L45" s="102"/>
      <c r="M45" s="167"/>
    </row>
    <row r="46" spans="1:14" ht="15" customHeight="1" x14ac:dyDescent="0.4">
      <c r="A46" s="82"/>
      <c r="B46" s="82"/>
      <c r="C46" s="92" t="s">
        <v>89</v>
      </c>
      <c r="D46" s="93"/>
      <c r="E46" s="93"/>
      <c r="F46" s="93"/>
      <c r="G46" s="94"/>
      <c r="I46" s="114" t="s">
        <v>185</v>
      </c>
      <c r="J46" s="97"/>
      <c r="K46" s="146">
        <f>+[3]GrossMargin!$J$41-SUM(K45)</f>
        <v>-862</v>
      </c>
      <c r="L46" s="102"/>
      <c r="M46" s="103"/>
    </row>
    <row r="47" spans="1:14" ht="15" customHeight="1" x14ac:dyDescent="0.4">
      <c r="A47" s="82"/>
      <c r="B47" s="82"/>
      <c r="C47" s="105" t="s">
        <v>19</v>
      </c>
      <c r="D47" s="97"/>
      <c r="E47" s="106" t="s">
        <v>20</v>
      </c>
      <c r="F47" s="97"/>
      <c r="G47" s="98"/>
      <c r="I47" s="147" t="s">
        <v>137</v>
      </c>
      <c r="J47" s="148"/>
      <c r="K47" s="151"/>
      <c r="L47" s="148"/>
      <c r="M47" s="150" t="s">
        <v>119</v>
      </c>
    </row>
    <row r="48" spans="1:14" ht="15" customHeight="1" x14ac:dyDescent="0.4">
      <c r="A48" s="82"/>
      <c r="B48" s="82"/>
      <c r="C48" s="100"/>
      <c r="D48" s="102"/>
      <c r="E48" s="129"/>
      <c r="F48" s="97"/>
      <c r="G48" s="98"/>
      <c r="I48" s="110">
        <f>+'[3]QTD Mgmt Summary'!$D$36</f>
        <v>5000</v>
      </c>
      <c r="J48" s="111"/>
      <c r="K48" s="112">
        <f>SUM(K46:K47)</f>
        <v>-862</v>
      </c>
      <c r="L48" s="111"/>
      <c r="M48" s="113">
        <f>I48-K48</f>
        <v>5862</v>
      </c>
    </row>
    <row r="49" spans="1:14" ht="15" customHeight="1" x14ac:dyDescent="0.25">
      <c r="A49" s="82"/>
      <c r="B49" s="82"/>
      <c r="C49" s="100"/>
      <c r="D49" s="101"/>
      <c r="E49" s="129"/>
      <c r="F49" s="102"/>
      <c r="G49" s="103"/>
      <c r="I49" s="116"/>
      <c r="J49" s="117"/>
      <c r="K49" s="116"/>
      <c r="L49" s="117"/>
      <c r="M49" s="116"/>
    </row>
    <row r="50" spans="1:14" ht="15" customHeight="1" x14ac:dyDescent="0.4">
      <c r="A50" s="82"/>
      <c r="B50" s="82"/>
      <c r="C50" s="100" t="s">
        <v>185</v>
      </c>
      <c r="D50" s="97"/>
      <c r="E50" s="125">
        <f>+[3]GrossMargin!$J$30</f>
        <v>-2042</v>
      </c>
      <c r="F50" s="102"/>
      <c r="G50" s="103"/>
      <c r="I50" s="92" t="s">
        <v>8</v>
      </c>
      <c r="J50" s="93"/>
      <c r="K50" s="93"/>
      <c r="L50" s="93"/>
      <c r="M50" s="94"/>
    </row>
    <row r="51" spans="1:14" ht="15" customHeight="1" x14ac:dyDescent="0.4">
      <c r="A51" s="77"/>
      <c r="B51" s="77"/>
      <c r="C51" s="105" t="s">
        <v>137</v>
      </c>
      <c r="D51" s="97"/>
      <c r="E51" s="106"/>
      <c r="F51" s="97"/>
      <c r="G51" s="107" t="s">
        <v>119</v>
      </c>
      <c r="I51" s="105" t="s">
        <v>19</v>
      </c>
      <c r="J51" s="97"/>
      <c r="K51" s="106" t="s">
        <v>20</v>
      </c>
      <c r="L51" s="97"/>
      <c r="M51" s="98"/>
    </row>
    <row r="52" spans="1:14" ht="15" customHeight="1" x14ac:dyDescent="0.4">
      <c r="A52" s="82"/>
      <c r="B52" s="82"/>
      <c r="C52" s="110">
        <f>+'[3]QTD Mgmt Summary'!D27</f>
        <v>11556</v>
      </c>
      <c r="D52" s="111"/>
      <c r="E52" s="112">
        <f>SUM(E48:E51)</f>
        <v>-2042</v>
      </c>
      <c r="F52" s="111"/>
      <c r="G52" s="113">
        <f>C52-E52</f>
        <v>13598</v>
      </c>
      <c r="I52" s="114"/>
      <c r="J52" s="101"/>
      <c r="K52" s="128"/>
      <c r="L52" s="97"/>
      <c r="M52" s="98"/>
    </row>
    <row r="53" spans="1:14" ht="15" customHeight="1" x14ac:dyDescent="0.4">
      <c r="A53" s="82"/>
      <c r="B53" s="82"/>
      <c r="C53" s="57"/>
      <c r="E53" s="57"/>
      <c r="G53" s="57"/>
      <c r="I53" s="114"/>
      <c r="J53" s="101"/>
      <c r="K53" s="128"/>
      <c r="L53" s="97"/>
      <c r="M53" s="98"/>
    </row>
    <row r="54" spans="1:14" ht="15" customHeight="1" x14ac:dyDescent="0.4">
      <c r="A54" s="82"/>
      <c r="B54" s="82"/>
      <c r="C54" s="92" t="s">
        <v>140</v>
      </c>
      <c r="D54" s="93"/>
      <c r="E54" s="93"/>
      <c r="F54" s="93"/>
      <c r="G54" s="94"/>
      <c r="I54" s="114" t="s">
        <v>185</v>
      </c>
      <c r="J54" s="97"/>
      <c r="K54" s="125">
        <f>+[3]GrossMargin!$J$44</f>
        <v>-25156</v>
      </c>
      <c r="L54" s="97"/>
      <c r="M54" s="98"/>
    </row>
    <row r="55" spans="1:14" ht="15" customHeight="1" x14ac:dyDescent="0.4">
      <c r="A55" s="82"/>
      <c r="B55" s="82"/>
      <c r="C55" s="105" t="s">
        <v>19</v>
      </c>
      <c r="D55" s="97"/>
      <c r="E55" s="106" t="s">
        <v>20</v>
      </c>
      <c r="G55" s="57"/>
      <c r="I55" s="105" t="s">
        <v>137</v>
      </c>
      <c r="J55" s="97"/>
      <c r="K55" s="106"/>
      <c r="L55" s="97"/>
      <c r="M55" s="107" t="s">
        <v>119</v>
      </c>
    </row>
    <row r="56" spans="1:14" ht="15" customHeight="1" x14ac:dyDescent="0.4">
      <c r="A56" s="82"/>
      <c r="B56" s="82"/>
      <c r="C56" s="114" t="s">
        <v>185</v>
      </c>
      <c r="D56" s="97"/>
      <c r="E56" s="125">
        <f>+[3]GrossMargin!$J$34</f>
        <v>0</v>
      </c>
      <c r="G56" s="57"/>
      <c r="I56" s="110">
        <f>+'[3]QTD Mgmt Summary'!$D$37</f>
        <v>13905</v>
      </c>
      <c r="J56" s="111"/>
      <c r="K56" s="112">
        <f>SUM(K52:K55)</f>
        <v>-25156</v>
      </c>
      <c r="L56" s="111"/>
      <c r="M56" s="113">
        <f>I56-K56</f>
        <v>39061</v>
      </c>
    </row>
    <row r="57" spans="1:14" ht="15" customHeight="1" x14ac:dyDescent="0.4">
      <c r="A57" s="82"/>
      <c r="B57" s="82"/>
      <c r="C57" s="105" t="s">
        <v>137</v>
      </c>
      <c r="D57" s="97"/>
      <c r="E57" s="106"/>
      <c r="F57" s="97"/>
      <c r="G57" s="107" t="s">
        <v>119</v>
      </c>
      <c r="I57" s="84"/>
      <c r="J57" s="85"/>
      <c r="K57" s="84"/>
      <c r="L57" s="85"/>
      <c r="M57" s="84"/>
    </row>
    <row r="58" spans="1:14" ht="15" customHeight="1" x14ac:dyDescent="0.25">
      <c r="A58" s="82"/>
      <c r="B58" s="82"/>
      <c r="C58" s="110">
        <f>+'[3]QTD Mgmt Summary'!D31</f>
        <v>7712</v>
      </c>
      <c r="D58" s="111"/>
      <c r="E58" s="112">
        <f>SUM(E56:E57)</f>
        <v>0</v>
      </c>
      <c r="F58" s="111"/>
      <c r="G58" s="113">
        <f>C58-E58</f>
        <v>7712</v>
      </c>
      <c r="I58" s="92" t="s">
        <v>1</v>
      </c>
      <c r="J58" s="93"/>
      <c r="K58" s="93"/>
      <c r="L58" s="93"/>
      <c r="M58" s="94"/>
    </row>
    <row r="59" spans="1:14" ht="15" customHeight="1" x14ac:dyDescent="0.4">
      <c r="A59" s="82"/>
      <c r="B59" s="82"/>
      <c r="C59" s="57"/>
      <c r="E59" s="57"/>
      <c r="G59" s="57"/>
      <c r="I59" s="105" t="s">
        <v>19</v>
      </c>
      <c r="J59" s="97"/>
      <c r="K59" s="106" t="s">
        <v>20</v>
      </c>
      <c r="L59" s="97"/>
      <c r="M59" s="98"/>
    </row>
    <row r="60" spans="1:14" ht="15" customHeight="1" x14ac:dyDescent="0.4">
      <c r="A60" s="82"/>
      <c r="B60" s="82"/>
      <c r="C60" s="86" t="str">
        <f ca="1">CELL("filename")</f>
        <v xml:space="preserve">O:\Fin_Ops\Finrpt\CONSOL\Mgmt Summary\2000\3Q 2000\The Hot List\[Hot List 0727.xls]Hotlist - Identified </v>
      </c>
      <c r="E60" s="57"/>
      <c r="G60" s="57">
        <v>0</v>
      </c>
      <c r="I60" s="114" t="s">
        <v>185</v>
      </c>
      <c r="J60" s="97"/>
      <c r="K60" s="125">
        <f>+[3]GrossMargin!$J$50</f>
        <v>-55573</v>
      </c>
      <c r="L60" s="102"/>
      <c r="M60" s="103"/>
    </row>
    <row r="61" spans="1:14" ht="15" customHeight="1" x14ac:dyDescent="0.4">
      <c r="A61" s="82"/>
      <c r="B61" s="82"/>
      <c r="C61" s="86">
        <f ca="1">NOW()</f>
        <v>36735.586899074071</v>
      </c>
      <c r="E61" s="57"/>
      <c r="G61" s="57"/>
      <c r="I61" s="105" t="s">
        <v>137</v>
      </c>
      <c r="J61" s="97"/>
      <c r="K61" s="106"/>
      <c r="L61" s="97"/>
      <c r="M61" s="107" t="s">
        <v>119</v>
      </c>
      <c r="N61" s="118"/>
    </row>
    <row r="62" spans="1:14" ht="15" customHeight="1" x14ac:dyDescent="0.25">
      <c r="A62" s="82"/>
      <c r="B62" s="82"/>
      <c r="E62" s="57"/>
      <c r="G62" s="57"/>
      <c r="I62" s="110">
        <f>+'[3]QTD Mgmt Summary'!$D$41</f>
        <v>0</v>
      </c>
      <c r="J62" s="111"/>
      <c r="K62" s="112">
        <f>SUM(K60:K61)</f>
        <v>-55573</v>
      </c>
      <c r="L62" s="111"/>
      <c r="M62" s="113">
        <f>I62-K62</f>
        <v>55573</v>
      </c>
    </row>
    <row r="63" spans="1:14" ht="15" customHeight="1" x14ac:dyDescent="0.25">
      <c r="A63" s="82"/>
      <c r="B63" s="82"/>
      <c r="E63" s="57"/>
      <c r="G63" s="57"/>
    </row>
    <row r="64" spans="1:14" ht="15" customHeight="1" x14ac:dyDescent="0.25">
      <c r="A64" s="82"/>
      <c r="B64" s="82"/>
      <c r="E64" s="57"/>
      <c r="G64" s="57"/>
      <c r="I64" s="110">
        <f>+I62+I41+I20+I33+I11+C52+C44+C36+C28+C20+C12+C58+I48+I56</f>
        <v>181029.5</v>
      </c>
      <c r="J64" s="111"/>
      <c r="K64" s="112">
        <f>+K62+K41+K20+K33+K11+E52+E44+E36+E28+E20+E12+E58+K48+K56</f>
        <v>-71089</v>
      </c>
      <c r="L64" s="111"/>
      <c r="M64" s="113">
        <f>IF(I64-K64&gt;0,I64-K64,)</f>
        <v>252118.5</v>
      </c>
    </row>
    <row r="65" spans="1:9" ht="15" customHeight="1" x14ac:dyDescent="0.25">
      <c r="A65" s="82"/>
      <c r="B65" s="82"/>
      <c r="E65" s="57"/>
      <c r="G65" s="57"/>
    </row>
    <row r="66" spans="1:9" ht="15" customHeight="1" x14ac:dyDescent="0.25">
      <c r="A66" s="82"/>
      <c r="B66" s="82"/>
    </row>
    <row r="67" spans="1:9" ht="15" customHeight="1" x14ac:dyDescent="0.25">
      <c r="A67" s="82"/>
      <c r="B67" s="82"/>
    </row>
    <row r="68" spans="1:9" ht="15" customHeight="1" x14ac:dyDescent="0.25">
      <c r="A68" s="82"/>
      <c r="B68" s="82"/>
    </row>
    <row r="69" spans="1:9" ht="15" customHeight="1" x14ac:dyDescent="0.25">
      <c r="A69" s="82"/>
      <c r="B69" s="82"/>
    </row>
    <row r="70" spans="1:9" ht="15" customHeight="1" x14ac:dyDescent="0.25">
      <c r="A70" s="82"/>
      <c r="B70" s="82"/>
    </row>
    <row r="71" spans="1:9" ht="15" customHeight="1" x14ac:dyDescent="0.25">
      <c r="A71" s="82"/>
      <c r="B71" s="82"/>
    </row>
    <row r="72" spans="1:9" ht="15" customHeight="1" x14ac:dyDescent="0.25">
      <c r="A72" s="82"/>
      <c r="B72" s="82"/>
    </row>
    <row r="73" spans="1:9" ht="15" customHeight="1" x14ac:dyDescent="0.25">
      <c r="A73" s="82"/>
      <c r="B73" s="82"/>
    </row>
    <row r="74" spans="1:9" ht="15" customHeight="1" x14ac:dyDescent="0.25">
      <c r="A74" s="82"/>
      <c r="B74" s="82"/>
    </row>
    <row r="75" spans="1:9" ht="15" customHeight="1" x14ac:dyDescent="0.25">
      <c r="A75" s="82"/>
      <c r="B75" s="82"/>
    </row>
    <row r="76" spans="1:9" ht="15" customHeight="1" x14ac:dyDescent="0.25">
      <c r="A76" s="82"/>
      <c r="B76" s="82"/>
    </row>
    <row r="77" spans="1:9" ht="15" customHeight="1" x14ac:dyDescent="0.25">
      <c r="A77" s="82"/>
      <c r="B77" s="82"/>
      <c r="I77" s="164" t="s">
        <v>217</v>
      </c>
    </row>
    <row r="78" spans="1:9" ht="15" customHeight="1" x14ac:dyDescent="0.25">
      <c r="I78" s="162">
        <f>+'[3]QTD Mgmt Summary'!$D$33+'[3]QTD Mgmt Summary'!$D$38+'[3]QTD Mgmt Summary'!$D$41</f>
        <v>181029.5</v>
      </c>
    </row>
    <row r="79" spans="1:9" ht="15" customHeight="1" x14ac:dyDescent="0.25">
      <c r="I79" s="163">
        <f>+I64-I78</f>
        <v>0</v>
      </c>
    </row>
  </sheetData>
  <mergeCells count="7">
    <mergeCell ref="I35:M35"/>
    <mergeCell ref="I13:M13"/>
    <mergeCell ref="I6:M6"/>
    <mergeCell ref="C6:G6"/>
    <mergeCell ref="I22:M22"/>
    <mergeCell ref="C14:G14"/>
    <mergeCell ref="C22:G22"/>
  </mergeCells>
  <pageMargins left="0.25" right="0.25" top="0.25" bottom="0.25" header="0.5" footer="0.5"/>
  <pageSetup scale="70" orientation="portrait" r:id="rId1"/>
  <headerFooter alignWithMargins="0"/>
  <rowBreaks count="2" manualBreakCount="2">
    <brk id="93" max="16383" man="1"/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2000-07-28T15:06:08Z</cp:lastPrinted>
  <dcterms:created xsi:type="dcterms:W3CDTF">1999-10-18T12:36:30Z</dcterms:created>
  <dcterms:modified xsi:type="dcterms:W3CDTF">2023-09-17T00:29:39Z</dcterms:modified>
</cp:coreProperties>
</file>