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29DA15-E8F1-4A40-A597-916E3448337D}" xr6:coauthVersionLast="47" xr6:coauthVersionMax="47" xr10:uidLastSave="{00000000-0000-0000-0000-000000000000}"/>
  <bookViews>
    <workbookView xWindow="-120" yWindow="-120" windowWidth="38640" windowHeight="15720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B4" i="2"/>
  <c r="G10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M21" i="2"/>
  <c r="N21" i="2"/>
  <c r="I22" i="2"/>
  <c r="L22" i="2"/>
  <c r="N22" i="2"/>
  <c r="I23" i="2"/>
  <c r="L23" i="2"/>
  <c r="N23" i="2"/>
  <c r="I24" i="2"/>
  <c r="L24" i="2"/>
  <c r="N24" i="2"/>
  <c r="D26" i="2"/>
  <c r="E26" i="2"/>
  <c r="F26" i="2"/>
  <c r="G26" i="2"/>
  <c r="H26" i="2"/>
  <c r="I26" i="2"/>
  <c r="J26" i="2"/>
  <c r="K26" i="2"/>
  <c r="L26" i="2"/>
  <c r="M26" i="2"/>
  <c r="N26" i="2"/>
  <c r="F28" i="2"/>
  <c r="I28" i="2"/>
  <c r="L28" i="2"/>
  <c r="M28" i="2"/>
  <c r="N28" i="2"/>
  <c r="I29" i="2"/>
  <c r="L29" i="2"/>
  <c r="N29" i="2"/>
  <c r="I30" i="2"/>
  <c r="L30" i="2"/>
  <c r="N30" i="2"/>
  <c r="D32" i="2"/>
  <c r="E32" i="2"/>
  <c r="F32" i="2"/>
  <c r="G32" i="2"/>
  <c r="H32" i="2"/>
  <c r="I32" i="2"/>
  <c r="J32" i="2"/>
  <c r="K32" i="2"/>
  <c r="L32" i="2"/>
  <c r="M32" i="2"/>
  <c r="N32" i="2"/>
  <c r="D35" i="2"/>
  <c r="E35" i="2"/>
  <c r="F35" i="2"/>
  <c r="G35" i="2"/>
  <c r="H35" i="2"/>
  <c r="I35" i="2"/>
  <c r="J35" i="2"/>
  <c r="K35" i="2"/>
  <c r="L35" i="2"/>
  <c r="M35" i="2"/>
  <c r="N35" i="2"/>
  <c r="I37" i="2"/>
  <c r="L37" i="2"/>
  <c r="M37" i="2"/>
  <c r="N37" i="2"/>
  <c r="D39" i="2"/>
  <c r="E39" i="2"/>
  <c r="F39" i="2"/>
  <c r="G39" i="2"/>
  <c r="H39" i="2"/>
  <c r="I39" i="2"/>
  <c r="J39" i="2"/>
  <c r="K39" i="2"/>
  <c r="L39" i="2"/>
  <c r="M39" i="2"/>
  <c r="N3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<sst xmlns="http://schemas.openxmlformats.org/spreadsheetml/2006/main" count="502" uniqueCount="156">
  <si>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</si>
  <si>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</si>
  <si>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</si>
  <si>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</si>
  <si>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</si>
  <si>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</si>
  <si>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</si>
  <si>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</si>
  <si>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</si>
  <si>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</si>
  <si>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</si>
  <si>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</si>
  <si>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</si>
  <si>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</si>
  <si>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</si>
  <si>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</si>
  <si>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</si>
  <si>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</si>
  <si>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</si>
  <si>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</si>
  <si>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</si>
  <si>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</si>
  <si>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</si>
  <si>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</si>
  <si>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</si>
  <si>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</si>
  <si>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</si>
  <si>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</si>
  <si>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</si>
  <si>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</si>
  <si>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</si>
  <si>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</si>
  <si>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</si>
  <si>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</si>
  <si>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</si>
  <si>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</si>
  <si>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</si>
  <si>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</si>
  <si>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</si>
  <si>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</si>
  <si>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</si>
  <si>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</si>
  <si>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</si>
  <si>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</si>
  <si>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</si>
  <si>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</si>
  <si>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</si>
  <si>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</si>
  <si>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</si>
  <si>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</si>
  <si>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</si>
  <si>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</si>
  <si>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</si>
  <si>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</si>
  <si>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</si>
  <si>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</si>
  <si>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</si>
  <si>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</si>
  <si>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</si>
  <si>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</si>
  <si>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</si>
  <si>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</si>
  <si>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</si>
  <si>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</si>
  <si>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</si>
  <si>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</si>
  <si>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</si>
  <si>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</si>
  <si>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</si>
  <si>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</si>
  <si>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</si>
  <si>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</si>
  <si>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</si>
  <si>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</si>
  <si>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</si>
  <si>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</si>
  <si>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</si>
  <si>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</si>
  <si>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</si>
  <si>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</si>
  <si>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</si>
  <si>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</si>
  <si>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</si>
  <si>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</si>
  <si>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</si>
  <si>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</si>
  <si>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</si>
  <si>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</si>
  <si>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</si>
  <si>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</si>
  <si>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</si>
  <si>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</si>
  <si>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</si>
  <si>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</si>
  <si>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</si>
  <si>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</si>
  <si>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</si>
  <si>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</si>
  <si>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</si>
  <si>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</si>
  <si>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</si>
  <si>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</si>
  <si>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</si>
  <si>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</si>
  <si>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</si>
  <si>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</si>
  <si>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</si>
  <si>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</si>
  <si>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</si>
  <si>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</si>
  <si>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</si>
  <si>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</si>
  <si>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</si>
  <si>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</si>
  <si>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</si>
  <si>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</si>
  <si>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</si>
  <si>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</si>
  <si>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</si>
  <si>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</si>
  <si>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</si>
  <si>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</si>
  <si>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</si>
  <si>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</si>
  <si>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</si>
  <si>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</si>
  <si>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</si>
  <si>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</si>
  <si>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</si>
  <si>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</si>
  <si>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</si>
  <si>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</si>
  <si>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</si>
  <si>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</si>
  <si>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</si>
  <si>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</si>
  <si>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</si>
  <si>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</si>
  <si>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</si>
  <si>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</si>
  <si>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</si>
  <si>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</si>
  <si>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</si>
  <si>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</si>
  <si>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</si>
  <si>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</si>
  <si>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</si>
  <si>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</si>
  <si>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</si>
  <si>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</si>
  <si>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</si>
  <si>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</si>
  <si>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McKinsey study; Diamond Tech study</t>
  </si>
  <si>
    <t>McKinsey study exp xfer to Transportation; Employee exp &amp; other allocations</t>
  </si>
  <si>
    <t>Employee cost and EEX legal</t>
  </si>
  <si>
    <t>Results based on activity through December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</si>
</sst>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7615F408-19E9-8C4B-0C3B-09A190129D10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>
          <a:extLst>
            <a:ext uri="{FF2B5EF4-FFF2-40B4-BE49-F238E27FC236}">
              <a16:creationId xmlns:a16="http://schemas.microsoft.com/office/drawing/2014/main" id="{ED240B10-DF76-9CE9-2B8F-CC674486E85E}"/>
            </a:ext>
          </a:extLst>
        </xdr:cNvPr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>
          <a:extLst>
            <a:ext uri="{FF2B5EF4-FFF2-40B4-BE49-F238E27FC236}">
              <a16:creationId xmlns:a16="http://schemas.microsoft.com/office/drawing/2014/main" id="{E121D4B1-EECA-7136-1850-E1DD97D2CF1B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>
          <a:extLst>
            <a:ext uri="{FF2B5EF4-FFF2-40B4-BE49-F238E27FC236}">
              <a16:creationId xmlns:a16="http://schemas.microsoft.com/office/drawing/2014/main" id="{F67012BD-477D-7AC8-54E4-3A331136717F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18742036-1163-1824-5FB3-895A5007D5C9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>
          <a:extLst>
            <a:ext uri="{FF2B5EF4-FFF2-40B4-BE49-F238E27FC236}">
              <a16:creationId xmlns:a16="http://schemas.microsoft.com/office/drawing/2014/main" id="{595CDA5C-D16E-E7A0-84B3-DF165CE82BF9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>
          <a:extLst>
            <a:ext uri="{FF2B5EF4-FFF2-40B4-BE49-F238E27FC236}">
              <a16:creationId xmlns:a16="http://schemas.microsoft.com/office/drawing/2014/main" id="{7D130425-DAA9-26FE-399C-4E7712407CDF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BEA29D88-F1C2-97DE-0EAF-67159CF3294E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CB49F7F5-7A89-AC8D-E825-3F2BCA8BF95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D7BD043D-9586-6887-37A0-1BD2162F5F81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1EC5DD4D-C5CE-EB88-C207-D2F45706BF80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35FFF2F2-8E6F-327C-4459-AFADC58F463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5D852F2-278D-3203-2F3C-9E9734B414EA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25938F03-5298-9F6E-A604-B5A8E1A31B0D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C503049F-3A89-C4ED-E85B-8436649B0019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A49C6657-B75A-952A-9626-DF9CEE1B6D98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2DDBE7DE-529A-01B2-DA54-BE0F96F5BD4F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B398A6DC-D1F2-7971-52B5-E88B15C14E8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7599258B-333F-2B82-7B2C-A816579B49E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69D2BEA9-5F1D-A057-F172-95D504A6947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B5CD3DB8-F380-FA72-B56E-F17EDE7B6B9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B86235B2-FE87-C799-0F52-767E6046F089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8">
          <cell r="C8">
            <v>-12282.617</v>
          </cell>
          <cell r="G8">
            <v>14692</v>
          </cell>
        </row>
        <row r="9">
          <cell r="C9">
            <v>7127.7023100000006</v>
          </cell>
          <cell r="G9">
            <v>4677.8999999999996</v>
          </cell>
        </row>
        <row r="10">
          <cell r="C10">
            <v>6768</v>
          </cell>
          <cell r="G10">
            <v>1698.6</v>
          </cell>
        </row>
        <row r="11">
          <cell r="C11">
            <v>3217</v>
          </cell>
          <cell r="G11">
            <v>1714.8000000000002</v>
          </cell>
        </row>
        <row r="12">
          <cell r="C12">
            <v>0</v>
          </cell>
          <cell r="G12">
            <v>1929.5</v>
          </cell>
        </row>
        <row r="13">
          <cell r="C13">
            <v>125.49299999999994</v>
          </cell>
          <cell r="G13">
            <v>1807.1410000000001</v>
          </cell>
        </row>
        <row r="14">
          <cell r="C14">
            <v>0</v>
          </cell>
          <cell r="G14">
            <v>1525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-3089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55168.468000000001</v>
          </cell>
        </row>
      </sheetData>
      <sheetData sheetId="3">
        <row r="22">
          <cell r="E22">
            <v>2429</v>
          </cell>
        </row>
        <row r="23">
          <cell r="E23">
            <v>-1616</v>
          </cell>
        </row>
        <row r="28">
          <cell r="M28">
            <v>22184.526000000002</v>
          </cell>
        </row>
        <row r="30">
          <cell r="M30">
            <v>30934.941999999999</v>
          </cell>
        </row>
        <row r="37">
          <cell r="M37">
            <v>2049</v>
          </cell>
        </row>
      </sheetData>
      <sheetData sheetId="4"/>
      <sheetData sheetId="5">
        <row r="10">
          <cell r="D10">
            <v>-12153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6915</v>
          </cell>
          <cell r="E11">
            <v>132.97831000000002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6768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3217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-427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-820.50699999999995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1476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-3089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1564.5783100000008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1424.1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1893.5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1525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36346.188999999998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36346.188999999998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-4855.5543571884082</v>
      </c>
      <c r="P9" s="37"/>
      <c r="Q9" s="133">
        <f t="shared" ref="Q9:Q16" si="3">+J9-C9</f>
        <v>-43653.811000000002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-44254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38241.559000000001</v>
      </c>
      <c r="D10" s="36">
        <f>+'[1]Mgmt Summary'!D10+'[2]Mgmt Summary'!D10+'Mgmt Summary'!D10</f>
        <v>14767.6</v>
      </c>
      <c r="E10" s="135">
        <f t="shared" si="0"/>
        <v>23473.959000000003</v>
      </c>
      <c r="F10" s="36"/>
      <c r="G10" s="133">
        <f>+'[1]Mgmt Summary'!G10+'[2]Mgmt Summary'!G10+'Mgmt Summary'!G10</f>
        <v>14990.27492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14990.27492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-1397.4250800000009</v>
      </c>
      <c r="P10" s="37"/>
      <c r="Q10" s="133">
        <f t="shared" si="3"/>
        <v>-23251.284080000001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-22682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3563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3563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1586.1</v>
      </c>
      <c r="N11" s="36">
        <f>+'[1]Mgmt Summary'!N11+'[2]Mgmt Summary'!N11+'Mgmt Summary'!N11</f>
        <v>691.1</v>
      </c>
      <c r="O11" s="136">
        <f t="shared" si="2"/>
        <v>1285.8000000000002</v>
      </c>
      <c r="P11" s="37"/>
      <c r="Q11" s="133">
        <f t="shared" si="3"/>
        <v>1313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-7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9644.4459999999999</v>
      </c>
      <c r="D12" s="36">
        <f>+'[1]Mgmt Summary'!D12+'[2]Mgmt Summary'!D12+'Mgmt Summary'!D12</f>
        <v>5097.3999999999996</v>
      </c>
      <c r="E12" s="135">
        <f t="shared" si="0"/>
        <v>4547.0460000000003</v>
      </c>
      <c r="F12" s="36"/>
      <c r="G12" s="133">
        <f>+'[1]Mgmt Summary'!G12+'[2]Mgmt Summary'!G12+'Mgmt Summary'!G12</f>
        <v>12565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12565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6843.5</v>
      </c>
      <c r="P12" s="37"/>
      <c r="Q12" s="133">
        <f t="shared" si="3"/>
        <v>2920.5540000000001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2921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23136.891</v>
      </c>
      <c r="D13" s="36">
        <f>+'[1]Mgmt Summary'!D13+'[2]Mgmt Summary'!D13+'Mgmt Summary'!D13</f>
        <v>4230.8999999999996</v>
      </c>
      <c r="E13" s="135">
        <f t="shared" si="0"/>
        <v>18905.991000000002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4289.8</v>
      </c>
      <c r="N13" s="36">
        <f>+'[1]Mgmt Summary'!N13+'[2]Mgmt Summary'!N13+'Mgmt Summary'!N13</f>
        <v>936.6</v>
      </c>
      <c r="O13" s="136">
        <f t="shared" si="2"/>
        <v>-4006.4</v>
      </c>
      <c r="P13" s="37"/>
      <c r="Q13" s="133">
        <f t="shared" si="3"/>
        <v>-21916.891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-22167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>
        <f>+'[1]Mgmt Summary'!D14+'[2]Mgmt Summary'!D14+'Mgmt Summary'!D14</f>
        <v>8599.3410000000003</v>
      </c>
      <c r="E14" s="164">
        <f t="shared" si="0"/>
        <v>20777.671999999999</v>
      </c>
      <c r="F14" s="140"/>
      <c r="G14" s="139">
        <f>+'[1]Mgmt Summary'!G14+'[2]Mgmt Summary'!G14+'Mgmt Summary'!G14</f>
        <v>47739.7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47739.7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>
        <f t="shared" si="2"/>
        <v>39613.758999999998</v>
      </c>
      <c r="P14" s="181"/>
      <c r="Q14" s="139">
        <f t="shared" si="3"/>
        <v>18362.686999999998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18363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192749.90900000001</v>
      </c>
      <c r="D18" s="44">
        <f>SUM(D9:D17)</f>
        <v>75933.240999999995</v>
      </c>
      <c r="E18" s="45">
        <f>+C18-D18</f>
        <v>116816.66800000002</v>
      </c>
      <c r="F18" s="36"/>
      <c r="G18" s="43">
        <f>SUM(G9:G17)</f>
        <v>116424.16391999999</v>
      </c>
      <c r="H18" s="44">
        <f>SUM(H9:H16)</f>
        <v>0</v>
      </c>
      <c r="I18" s="45">
        <f>SUM(I15:I17)</f>
        <v>0</v>
      </c>
      <c r="J18" s="46">
        <f>SUM(J9:J17)</f>
        <v>116424.16391999999</v>
      </c>
      <c r="K18" s="44">
        <f>SUM(K15:K16)</f>
        <v>0</v>
      </c>
      <c r="L18" s="43">
        <f>SUM(L9:L17)</f>
        <v>1918.5</v>
      </c>
      <c r="M18" s="44">
        <f>SUM(M9:M17)</f>
        <v>46041.056468399009</v>
      </c>
      <c r="N18" s="44">
        <f>SUM(N9:N17)</f>
        <v>31730.927888789396</v>
      </c>
      <c r="O18" s="46">
        <f>SUM(O9:O17)</f>
        <v>36733.679562811587</v>
      </c>
      <c r="P18" s="44">
        <f>SUM(P15:P16)</f>
        <v>0</v>
      </c>
      <c r="Q18" s="43">
        <f>SUM(Q9:Q17)</f>
        <v>-76325.745079999993</v>
      </c>
      <c r="R18" s="44">
        <f>SUM(R15:R17)</f>
        <v>0</v>
      </c>
      <c r="S18" s="44">
        <f>SUM(S9:S17)</f>
        <v>189</v>
      </c>
      <c r="T18" s="44">
        <f>SUM(T9:T17)</f>
        <v>-1940</v>
      </c>
      <c r="U18" s="44">
        <f>SUM(U9:U17)</f>
        <v>-600</v>
      </c>
      <c r="V18" s="45">
        <f>SUM(V9:V17)</f>
        <v>-78676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28734.941999999999</v>
      </c>
      <c r="E20" s="135">
        <f>C20-D20</f>
        <v>-28734.941999999999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48615.454888789405</v>
      </c>
      <c r="N20" s="36">
        <f>+'[1]Mgmt Summary'!N21+'[2]Mgmt Summary'!N21+'Mgmt Summary'!N30</f>
        <v>-19280.512888789402</v>
      </c>
      <c r="O20" s="136">
        <f>J20-K20-M20-N20-L20</f>
        <v>-29334.942000000003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191022.08200000002</v>
      </c>
      <c r="D24" s="44">
        <f>SUM(D18:D23)</f>
        <v>101269.18299999999</v>
      </c>
      <c r="E24" s="45">
        <f>SUM(E18:E23)</f>
        <v>89752.899000000019</v>
      </c>
      <c r="F24" s="36"/>
      <c r="G24" s="43">
        <f t="shared" ref="G24:N24" si="5">SUM(G18:G23)</f>
        <v>114696.33691999999</v>
      </c>
      <c r="H24" s="44">
        <f t="shared" si="5"/>
        <v>0</v>
      </c>
      <c r="I24" s="44">
        <f t="shared" si="5"/>
        <v>0</v>
      </c>
      <c r="J24" s="46">
        <f t="shared" si="5"/>
        <v>114696.33691999999</v>
      </c>
      <c r="K24" s="44">
        <f t="shared" si="5"/>
        <v>0</v>
      </c>
      <c r="L24" s="43">
        <f t="shared" si="5"/>
        <v>-555</v>
      </c>
      <c r="M24" s="44">
        <f t="shared" si="5"/>
        <v>94656.511357188414</v>
      </c>
      <c r="N24" s="44">
        <f t="shared" si="5"/>
        <v>12450.414999999994</v>
      </c>
      <c r="O24" s="46">
        <f>J24-K24-M24-N24-L24</f>
        <v>8144.4105628115794</v>
      </c>
      <c r="P24" s="37"/>
      <c r="Q24" s="43">
        <f t="shared" ref="Q24:V24" si="6">SUM(Q18:Q23)</f>
        <v>-76325.745079999993</v>
      </c>
      <c r="R24" s="44">
        <f t="shared" si="6"/>
        <v>0</v>
      </c>
      <c r="S24" s="44">
        <f t="shared" si="6"/>
        <v>-627</v>
      </c>
      <c r="T24" s="44">
        <f t="shared" si="6"/>
        <v>-2540</v>
      </c>
      <c r="U24" s="44">
        <f t="shared" si="6"/>
        <v>-600</v>
      </c>
      <c r="V24" s="45">
        <f t="shared" si="6"/>
        <v>-80092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191022.08200000002</v>
      </c>
      <c r="D28" s="40">
        <f>SUM(D24:D26)</f>
        <v>99906.18299999999</v>
      </c>
      <c r="E28" s="41">
        <f>SUM(E24:E26)</f>
        <v>91115.899000000019</v>
      </c>
      <c r="F28" s="36"/>
      <c r="G28" s="39">
        <f t="shared" ref="G28:N28" si="7">SUM(G24:G26)</f>
        <v>114696.33691999999</v>
      </c>
      <c r="H28" s="40">
        <f t="shared" si="7"/>
        <v>0</v>
      </c>
      <c r="I28" s="40">
        <f t="shared" si="7"/>
        <v>0</v>
      </c>
      <c r="J28" s="42">
        <f t="shared" si="7"/>
        <v>114696.33691999999</v>
      </c>
      <c r="K28" s="40">
        <f t="shared" si="7"/>
        <v>0</v>
      </c>
      <c r="L28" s="39">
        <f t="shared" si="7"/>
        <v>-555</v>
      </c>
      <c r="M28" s="40">
        <f t="shared" si="7"/>
        <v>93293.511357188414</v>
      </c>
      <c r="N28" s="40">
        <f t="shared" si="7"/>
        <v>12450.414999999994</v>
      </c>
      <c r="O28" s="42">
        <f>J28-K28-M28-N28-L28</f>
        <v>9507.4105628115794</v>
      </c>
      <c r="P28" s="37"/>
      <c r="Q28" s="39">
        <f t="shared" ref="Q28:V28" si="8">SUM(Q24:Q26)</f>
        <v>-76325.745079999993</v>
      </c>
      <c r="R28" s="40">
        <f t="shared" si="8"/>
        <v>0</v>
      </c>
      <c r="S28" s="40">
        <f t="shared" si="8"/>
        <v>-627</v>
      </c>
      <c r="T28" s="40">
        <f t="shared" si="8"/>
        <v>-2540</v>
      </c>
      <c r="U28" s="40">
        <f t="shared" si="8"/>
        <v>-600</v>
      </c>
      <c r="V28" s="41">
        <f t="shared" si="8"/>
        <v>-80092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F17" sqref="F17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75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5">
      <c r="A4" s="289" t="str">
        <f>+GrossMargin!B4</f>
        <v>Results based on activity through December 14,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8622.2749199999998</v>
      </c>
      <c r="D8" s="226">
        <f>+'Mgmt Summary'!C10</f>
        <v>12747.159</v>
      </c>
      <c r="E8" s="227">
        <f>-D8+C8</f>
        <v>-4124.8840799999998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3944.3749200000002</v>
      </c>
      <c r="L8" s="226">
        <f t="shared" si="0"/>
        <v>7500.259</v>
      </c>
      <c r="M8" s="227">
        <f>K8-L8</f>
        <v>-3555.8840799999998</v>
      </c>
      <c r="N8" s="295"/>
      <c r="O8" s="225">
        <f>+C8-'[3]QTD Mgmt Summary'!C9</f>
        <v>1494.5726099999993</v>
      </c>
      <c r="P8" s="226">
        <f>+G8-'[3]QTD Mgmt Summary'!G9</f>
        <v>0</v>
      </c>
      <c r="Q8" s="227">
        <f>O8-P8</f>
        <v>1494.5726099999993</v>
      </c>
    </row>
    <row r="9" spans="1:22" s="32" customFormat="1" ht="13.5" customHeight="1">
      <c r="A9" s="223" t="s">
        <v>44</v>
      </c>
      <c r="B9" s="224"/>
      <c r="C9" s="225">
        <f>+'Mgmt Summary'!J11</f>
        <v>6807</v>
      </c>
      <c r="D9" s="226">
        <f>+'Mgmt Summary'!C11</f>
        <v>750</v>
      </c>
      <c r="E9" s="227">
        <f>-D9+C9</f>
        <v>6057</v>
      </c>
      <c r="F9" s="228"/>
      <c r="G9" s="225">
        <f>+Expenses!D11+'CapChrg-AllocExp'!K12+'CapChrg-AllocExp'!D12</f>
        <v>1698.6</v>
      </c>
      <c r="H9" s="226">
        <f>+Expenses!E11+'CapChrg-AllocExp'!L12+'CapChrg-AllocExp'!E12</f>
        <v>378.6</v>
      </c>
      <c r="I9" s="227">
        <f>+H9-G9</f>
        <v>-1320</v>
      </c>
      <c r="J9" s="228"/>
      <c r="K9" s="225">
        <f t="shared" si="0"/>
        <v>5108.3999999999996</v>
      </c>
      <c r="L9" s="226">
        <f t="shared" si="0"/>
        <v>371.4</v>
      </c>
      <c r="M9" s="227">
        <f>K9-L9</f>
        <v>4737</v>
      </c>
      <c r="N9" s="295"/>
      <c r="O9" s="225">
        <f>+C9-'[3]QTD Mgmt Summary'!C10</f>
        <v>39</v>
      </c>
      <c r="P9" s="226">
        <f>+G9-'[3]QTD Mgmt Summary'!G10</f>
        <v>0</v>
      </c>
      <c r="Q9" s="227">
        <f>O9-P9</f>
        <v>39</v>
      </c>
    </row>
    <row r="10" spans="1:22" s="32" customFormat="1" ht="13.5" customHeight="1">
      <c r="A10" s="223" t="s">
        <v>64</v>
      </c>
      <c r="B10" s="224"/>
      <c r="C10" s="225">
        <f>+'Mgmt Summary'!J12</f>
        <v>3105</v>
      </c>
      <c r="D10" s="226">
        <f>+'Mgmt Summary'!C12</f>
        <v>3214.846</v>
      </c>
      <c r="E10" s="227">
        <f>-D10+C10</f>
        <v>-109.846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1390.1999999999998</v>
      </c>
      <c r="L10" s="226">
        <f t="shared" si="0"/>
        <v>1500.0459999999998</v>
      </c>
      <c r="M10" s="227">
        <f>K10-L10</f>
        <v>-109.846</v>
      </c>
      <c r="N10" s="295"/>
      <c r="O10" s="225">
        <f>+C10-'[3]QTD Mgmt Summary'!C11</f>
        <v>-112</v>
      </c>
      <c r="P10" s="226">
        <f>+G10-'[3]QTD Mgmt Summary'!G11</f>
        <v>0</v>
      </c>
      <c r="Q10" s="227">
        <f>O10-P10</f>
        <v>-112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7712.2910000000002</v>
      </c>
      <c r="E11" s="227">
        <f>-D11+C11</f>
        <v>-7712.2910000000002</v>
      </c>
      <c r="F11" s="228"/>
      <c r="G11" s="225">
        <f>+Expenses!D13+'CapChrg-AllocExp'!K14+'CapChrg-AllocExp'!D14</f>
        <v>1929.5</v>
      </c>
      <c r="H11" s="226">
        <f>+Expenses!E13+'CapChrg-AllocExp'!L14+'CapChrg-AllocExp'!E14</f>
        <v>1679.5</v>
      </c>
      <c r="I11" s="227">
        <f>+H11-G11</f>
        <v>-250</v>
      </c>
      <c r="J11" s="228"/>
      <c r="K11" s="225">
        <f t="shared" si="0"/>
        <v>-1929.5</v>
      </c>
      <c r="L11" s="226">
        <f t="shared" si="0"/>
        <v>6032.7910000000002</v>
      </c>
      <c r="M11" s="227">
        <f>K11-L11</f>
        <v>-7962.2910000000002</v>
      </c>
      <c r="N11" s="295"/>
      <c r="O11" s="225">
        <f>+C11-'[3]QTD Mgmt Summary'!C12</f>
        <v>0</v>
      </c>
      <c r="P11" s="226">
        <f>+G11-'[3]QTD Mgmt Summary'!G12</f>
        <v>0</v>
      </c>
      <c r="Q11" s="227">
        <f>O11-P11</f>
        <v>0</v>
      </c>
    </row>
    <row r="12" spans="1:22" s="32" customFormat="1" ht="13.5" customHeight="1">
      <c r="A12" s="223" t="s">
        <v>50</v>
      </c>
      <c r="B12" s="224"/>
      <c r="C12" s="225">
        <f>+'Mgmt Summary'!J14</f>
        <v>1625</v>
      </c>
      <c r="D12" s="226">
        <f>+'Mgmt Summary'!C14</f>
        <v>11483.213</v>
      </c>
      <c r="E12" s="227">
        <f>-D12+C12</f>
        <v>-9858.2129999999997</v>
      </c>
      <c r="F12" s="228"/>
      <c r="G12" s="225">
        <f>+Expenses!D14+'CapChrg-AllocExp'!K15+'CapChrg-AllocExp'!D15</f>
        <v>1807.1410000000001</v>
      </c>
      <c r="H12" s="226">
        <f>+Expenses!E14+'CapChrg-AllocExp'!L15+'CapChrg-AllocExp'!E15</f>
        <v>1807.1410000000001</v>
      </c>
      <c r="I12" s="227">
        <f>+H12-G12</f>
        <v>0</v>
      </c>
      <c r="J12" s="228"/>
      <c r="K12" s="225">
        <f t="shared" si="0"/>
        <v>-182.14100000000008</v>
      </c>
      <c r="L12" s="226">
        <f t="shared" si="0"/>
        <v>9676.0720000000001</v>
      </c>
      <c r="M12" s="227">
        <f>K12-L12</f>
        <v>-9858.2129999999997</v>
      </c>
      <c r="N12" s="295"/>
      <c r="O12" s="225">
        <f>+C12-'[3]QTD Mgmt Summary'!C13</f>
        <v>1499.5070000000001</v>
      </c>
      <c r="P12" s="226">
        <f>+G12-'[3]QTD Mgmt Summary'!G13</f>
        <v>0</v>
      </c>
      <c r="Q12" s="227">
        <f>O12-P12</f>
        <v>1499.5070000000001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20159.27492</v>
      </c>
      <c r="D14" s="235">
        <f t="shared" si="1"/>
        <v>35907.509000000005</v>
      </c>
      <c r="E14" s="236">
        <f t="shared" si="1"/>
        <v>-15748.23408</v>
      </c>
      <c r="F14" s="237">
        <f t="shared" si="1"/>
        <v>0</v>
      </c>
      <c r="G14" s="234">
        <f t="shared" si="1"/>
        <v>11827.940999999999</v>
      </c>
      <c r="H14" s="235">
        <f t="shared" si="1"/>
        <v>10826.940999999999</v>
      </c>
      <c r="I14" s="236">
        <f t="shared" si="1"/>
        <v>-1001</v>
      </c>
      <c r="J14" s="237">
        <f t="shared" si="1"/>
        <v>0</v>
      </c>
      <c r="K14" s="234">
        <f t="shared" si="1"/>
        <v>8331.3339200000009</v>
      </c>
      <c r="L14" s="235">
        <f t="shared" si="1"/>
        <v>25080.567999999999</v>
      </c>
      <c r="M14" s="236">
        <f t="shared" si="1"/>
        <v>-16749.234080000002</v>
      </c>
      <c r="N14" s="296"/>
      <c r="O14" s="234">
        <f>SUM(O8:O13)</f>
        <v>2921.0796099999993</v>
      </c>
      <c r="P14" s="235">
        <f>SUM(P8:P13)</f>
        <v>0</v>
      </c>
      <c r="Q14" s="236">
        <f>SUM(Q8:Q13)</f>
        <v>2921.0796099999993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11827.941000000001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10826.941000000001</v>
      </c>
      <c r="I16" s="227">
        <f>+H16-G16</f>
        <v>-1001</v>
      </c>
      <c r="J16" s="228"/>
      <c r="K16" s="225">
        <f t="shared" ref="K16:L19" si="2">C16-G16</f>
        <v>-11827.941000000001</v>
      </c>
      <c r="L16" s="226">
        <f t="shared" si="2"/>
        <v>-10826.941000000001</v>
      </c>
      <c r="M16" s="227">
        <f>K16-L16</f>
        <v>-1001</v>
      </c>
      <c r="N16" s="295"/>
      <c r="O16" s="225">
        <f>+C16-'[3]QTD Mgmt Summary'!C29</f>
        <v>0</v>
      </c>
      <c r="P16" s="226">
        <f>+G16-'[3]QTD Mgmt Summary'!G29</f>
        <v>-19107.000999999997</v>
      </c>
      <c r="Q16" s="227">
        <f>O16-P16</f>
        <v>19107.000999999997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-11827.941000000001</v>
      </c>
      <c r="H17" s="226">
        <f>-H16</f>
        <v>-10826.941000000001</v>
      </c>
      <c r="I17" s="227">
        <f>+H17-G17</f>
        <v>1001</v>
      </c>
      <c r="J17" s="228"/>
      <c r="K17" s="225">
        <f t="shared" si="2"/>
        <v>11827.941000000001</v>
      </c>
      <c r="L17" s="226">
        <f t="shared" si="2"/>
        <v>10826.941000000001</v>
      </c>
      <c r="M17" s="227">
        <f>K17-L17</f>
        <v>1001</v>
      </c>
      <c r="N17" s="295"/>
      <c r="O17" s="225">
        <f>+C17-'[3]QTD Mgmt Summary'!C30</f>
        <v>0</v>
      </c>
      <c r="P17" s="226">
        <f>+G17-'[3]QTD Mgmt Summary'!G30</f>
        <v>622.47400000000016</v>
      </c>
      <c r="Q17" s="227">
        <f>O17-P17</f>
        <v>-622.47400000000016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296"/>
      <c r="O21" s="234">
        <f>SUM(O16:O19)</f>
        <v>0</v>
      </c>
      <c r="P21" s="235">
        <f>SUM(P16:P19)</f>
        <v>-17929.526999999995</v>
      </c>
      <c r="Q21" s="236">
        <f>SUM(Q16:Q19)</f>
        <v>17929.526999999995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29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>
        <f>SUM(G21:G23)</f>
        <v>189</v>
      </c>
      <c r="H25" s="240">
        <f>SUM(H21:H23)</f>
        <v>0</v>
      </c>
      <c r="I25" s="26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64">
        <f>SUM(M21:M23)</f>
        <v>-189</v>
      </c>
      <c r="N25" s="296"/>
      <c r="O25" s="239">
        <f>SUM(O21:O23)</f>
        <v>0</v>
      </c>
      <c r="P25" s="240">
        <f>SUM(P21:P23)</f>
        <v>-19131.526999999995</v>
      </c>
      <c r="Q25" s="264">
        <f>SUM(Q21:Q23)</f>
        <v>19131.526999999995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5" zoomScale="95" workbookViewId="0">
      <selection activeCell="F17" sqref="F17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-7852.8109999999997</v>
      </c>
      <c r="D8" s="226">
        <f>+'Mgmt Summary'!C9</f>
        <v>30000</v>
      </c>
      <c r="E8" s="227">
        <f t="shared" ref="E8:E13" si="0">-D8+C8</f>
        <v>-37852.811000000002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-22544.811000000002</v>
      </c>
      <c r="L8" s="226">
        <f t="shared" ref="K8:L13" si="2">D8-H8</f>
        <v>15908</v>
      </c>
      <c r="M8" s="227">
        <f t="shared" ref="M8:M13" si="3">K8-L8</f>
        <v>-38452.811000000002</v>
      </c>
      <c r="N8" s="295"/>
      <c r="O8" s="225">
        <f>+C8-'[3]QTD Mgmt Summary'!C8</f>
        <v>4429.8060000000005</v>
      </c>
      <c r="P8" s="226">
        <f>-G8+'[3]QTD Mgmt Summary'!G8</f>
        <v>0</v>
      </c>
      <c r="Q8" s="227">
        <f>+O8+P8</f>
        <v>4429.8060000000005</v>
      </c>
    </row>
    <row r="9" spans="1:22" s="32" customFormat="1" ht="13.5" customHeight="1">
      <c r="A9" s="223" t="s">
        <v>1</v>
      </c>
      <c r="B9" s="224"/>
      <c r="C9" s="225">
        <f>+'Mgmt Summary'!J10</f>
        <v>8622.2749199999998</v>
      </c>
      <c r="D9" s="226">
        <f>+'Mgmt Summary'!C10</f>
        <v>12747.159</v>
      </c>
      <c r="E9" s="227">
        <f t="shared" si="0"/>
        <v>-4124.8840799999998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3944.3749200000002</v>
      </c>
      <c r="L9" s="226">
        <f t="shared" si="2"/>
        <v>7500.259</v>
      </c>
      <c r="M9" s="227">
        <f t="shared" si="3"/>
        <v>-3555.8840799999998</v>
      </c>
      <c r="N9" s="295"/>
      <c r="O9" s="225">
        <f>+C9-'[3]QTD Mgmt Summary'!C9</f>
        <v>1494.5726099999993</v>
      </c>
      <c r="P9" s="226">
        <f>-G9+'[3]QTD Mgmt Summary'!G9</f>
        <v>0</v>
      </c>
      <c r="Q9" s="227">
        <f t="shared" ref="Q9:Q16" si="4">+O9+P9</f>
        <v>1494.5726099999993</v>
      </c>
    </row>
    <row r="10" spans="1:22" s="32" customFormat="1" ht="13.5" customHeight="1">
      <c r="A10" s="223" t="s">
        <v>44</v>
      </c>
      <c r="B10" s="224"/>
      <c r="C10" s="225">
        <f>+'Mgmt Summary'!J11</f>
        <v>6807</v>
      </c>
      <c r="D10" s="226">
        <f>+'Mgmt Summary'!C11</f>
        <v>750</v>
      </c>
      <c r="E10" s="227">
        <f t="shared" si="0"/>
        <v>6057</v>
      </c>
      <c r="F10" s="228"/>
      <c r="G10" s="225">
        <f>+Expenses!D11+'CapChrg-AllocExp'!K12+'CapChrg-AllocExp'!D12</f>
        <v>1698.6</v>
      </c>
      <c r="H10" s="226">
        <f>+Expenses!E11+'CapChrg-AllocExp'!L12+'CapChrg-AllocExp'!E12</f>
        <v>378.6</v>
      </c>
      <c r="I10" s="227">
        <f t="shared" si="1"/>
        <v>-1320</v>
      </c>
      <c r="J10" s="228"/>
      <c r="K10" s="225">
        <f t="shared" si="2"/>
        <v>5108.3999999999996</v>
      </c>
      <c r="L10" s="226">
        <f t="shared" si="2"/>
        <v>371.4</v>
      </c>
      <c r="M10" s="227">
        <f t="shared" si="3"/>
        <v>4737</v>
      </c>
      <c r="N10" s="295"/>
      <c r="O10" s="225">
        <f>+C10-'[3]QTD Mgmt Summary'!C10</f>
        <v>39</v>
      </c>
      <c r="P10" s="226">
        <f>-G10+'[3]QTD Mgmt Summary'!G10</f>
        <v>0</v>
      </c>
      <c r="Q10" s="227">
        <f t="shared" si="4"/>
        <v>39</v>
      </c>
    </row>
    <row r="11" spans="1:22" s="32" customFormat="1" ht="13.5" customHeight="1">
      <c r="A11" s="223" t="s">
        <v>64</v>
      </c>
      <c r="B11" s="224"/>
      <c r="C11" s="225">
        <f>+'Mgmt Summary'!J12</f>
        <v>3105</v>
      </c>
      <c r="D11" s="226">
        <f>+'Mgmt Summary'!C12</f>
        <v>3214.846</v>
      </c>
      <c r="E11" s="227">
        <f t="shared" si="0"/>
        <v>-109.846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1390.1999999999998</v>
      </c>
      <c r="L11" s="226">
        <f t="shared" si="2"/>
        <v>1500.0459999999998</v>
      </c>
      <c r="M11" s="227">
        <f t="shared" si="3"/>
        <v>-109.846</v>
      </c>
      <c r="N11" s="295"/>
      <c r="O11" s="225">
        <f>+C11-'[3]QTD Mgmt Summary'!C11</f>
        <v>-112</v>
      </c>
      <c r="P11" s="226">
        <f>-G11+'[3]QTD Mgmt Summary'!G11</f>
        <v>0</v>
      </c>
      <c r="Q11" s="227">
        <f t="shared" si="4"/>
        <v>-112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7712.2910000000002</v>
      </c>
      <c r="E12" s="227">
        <f t="shared" si="0"/>
        <v>-7712.2910000000002</v>
      </c>
      <c r="F12" s="228"/>
      <c r="G12" s="225">
        <f>+Expenses!D13+'CapChrg-AllocExp'!K14+'CapChrg-AllocExp'!D14</f>
        <v>1929.5</v>
      </c>
      <c r="H12" s="226">
        <f>+Expenses!E13+'CapChrg-AllocExp'!L14+'CapChrg-AllocExp'!E14</f>
        <v>1679.5</v>
      </c>
      <c r="I12" s="227">
        <f t="shared" si="1"/>
        <v>-250</v>
      </c>
      <c r="J12" s="228"/>
      <c r="K12" s="225">
        <f t="shared" si="2"/>
        <v>-1929.5</v>
      </c>
      <c r="L12" s="226">
        <f t="shared" si="2"/>
        <v>6032.7910000000002</v>
      </c>
      <c r="M12" s="227">
        <f t="shared" si="3"/>
        <v>-7962.2910000000002</v>
      </c>
      <c r="N12" s="295"/>
      <c r="O12" s="225">
        <f>+C12-'[3]QTD Mgmt Summary'!C12</f>
        <v>0</v>
      </c>
      <c r="P12" s="226">
        <f>-G12+'[3]QTD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1625</v>
      </c>
      <c r="D13" s="226">
        <f>+'Mgmt Summary'!C14</f>
        <v>11483.213</v>
      </c>
      <c r="E13" s="227">
        <f t="shared" si="0"/>
        <v>-9858.2129999999997</v>
      </c>
      <c r="F13" s="228"/>
      <c r="G13" s="225">
        <f>+Expenses!D14+'CapChrg-AllocExp'!K15+'CapChrg-AllocExp'!D15</f>
        <v>1807.1410000000001</v>
      </c>
      <c r="H13" s="226">
        <f>+Expenses!E14+'CapChrg-AllocExp'!L15+'CapChrg-AllocExp'!E15</f>
        <v>1807.1410000000001</v>
      </c>
      <c r="I13" s="227">
        <f t="shared" si="1"/>
        <v>0</v>
      </c>
      <c r="J13" s="228"/>
      <c r="K13" s="225">
        <f t="shared" si="2"/>
        <v>-182.14100000000008</v>
      </c>
      <c r="L13" s="226">
        <f t="shared" si="2"/>
        <v>9676.0720000000001</v>
      </c>
      <c r="M13" s="227">
        <f t="shared" si="3"/>
        <v>-9858.2129999999997</v>
      </c>
      <c r="N13" s="295"/>
      <c r="O13" s="225">
        <f>+C13-'[3]QTD Mgmt Summary'!C13</f>
        <v>1499.5070000000001</v>
      </c>
      <c r="P13" s="300">
        <f>(-G13+'[3]QTD Mgmt Summary'!G13)*0</f>
        <v>0</v>
      </c>
      <c r="Q13" s="227">
        <f t="shared" si="4"/>
        <v>1499.5070000000001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6.5">
      <c r="A18" s="229" t="s">
        <v>106</v>
      </c>
      <c r="B18" s="219"/>
      <c r="C18" s="234">
        <f>SUM(C8:C17)</f>
        <v>12306.46392</v>
      </c>
      <c r="D18" s="235">
        <f t="shared" ref="D18:M18" si="8">SUM(D8:D17)</f>
        <v>76007.508999999991</v>
      </c>
      <c r="E18" s="236">
        <f t="shared" si="8"/>
        <v>-63701.045079999996</v>
      </c>
      <c r="F18" s="237">
        <f t="shared" si="8"/>
        <v>0</v>
      </c>
      <c r="G18" s="234">
        <f t="shared" si="8"/>
        <v>28794.940999999999</v>
      </c>
      <c r="H18" s="235">
        <f t="shared" si="8"/>
        <v>24918.940999999999</v>
      </c>
      <c r="I18" s="236">
        <f t="shared" si="8"/>
        <v>-3876</v>
      </c>
      <c r="J18" s="237">
        <f t="shared" si="8"/>
        <v>0</v>
      </c>
      <c r="K18" s="234">
        <f t="shared" si="8"/>
        <v>-16488.477080000001</v>
      </c>
      <c r="L18" s="235">
        <f t="shared" si="8"/>
        <v>51088.567999999999</v>
      </c>
      <c r="M18" s="236">
        <f t="shared" si="8"/>
        <v>-67577.045079999996</v>
      </c>
      <c r="N18" s="296"/>
      <c r="O18" s="234">
        <f>SUM(O8:O17)</f>
        <v>7350.8856099999994</v>
      </c>
      <c r="P18" s="235">
        <f>SUM(P8:P17)</f>
        <v>0</v>
      </c>
      <c r="Q18" s="236">
        <f>SUM(Q8:Q17)</f>
        <v>7350.8856099999994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0</v>
      </c>
      <c r="P22" s="226">
        <f>-G22+'[3]QTD Mgmt Summary'!G22</f>
        <v>0</v>
      </c>
      <c r="Q22" s="227">
        <f>+O22+P22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6.5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9435.4639200000001</v>
      </c>
      <c r="D27" s="235">
        <f>+D18+D24</f>
        <v>82298.508999999991</v>
      </c>
      <c r="E27" s="236">
        <f>+E18+E24</f>
        <v>-72863.045079999996</v>
      </c>
      <c r="F27" s="237">
        <f>SUM(F24:F25)</f>
        <v>0</v>
      </c>
      <c r="G27" s="234">
        <f>+G18+G24</f>
        <v>35847.940999999999</v>
      </c>
      <c r="H27" s="235">
        <f>+H18+H24</f>
        <v>30622.940999999999</v>
      </c>
      <c r="I27" s="236">
        <f>+I18+I24</f>
        <v>-5225</v>
      </c>
      <c r="J27" s="237">
        <f>SUM(J24:J25)</f>
        <v>0</v>
      </c>
      <c r="K27" s="234">
        <f>+K18+K24</f>
        <v>-26412.477080000001</v>
      </c>
      <c r="L27" s="235">
        <f>+L18+L24</f>
        <v>51675.567999999999</v>
      </c>
      <c r="M27" s="236">
        <f>+M18+M24</f>
        <v>-78088.045079999996</v>
      </c>
      <c r="N27" s="296"/>
      <c r="O27" s="234">
        <f>+O18+O24</f>
        <v>7350.8856099999994</v>
      </c>
      <c r="P27" s="235">
        <f>+P18+P24</f>
        <v>0</v>
      </c>
      <c r="Q27" s="236">
        <f>+Q18+Q24</f>
        <v>7350.8856099999994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29334.941999999999</v>
      </c>
      <c r="H29" s="226">
        <f>+'Mgmt Summary'!D30</f>
        <v>28734.941999999999</v>
      </c>
      <c r="I29" s="227">
        <f>+H29-G29</f>
        <v>-600</v>
      </c>
      <c r="J29" s="228"/>
      <c r="K29" s="225">
        <f>C29-G29</f>
        <v>-29334.941999999999</v>
      </c>
      <c r="L29" s="226">
        <f>D29-H29</f>
        <v>-28734.941999999999</v>
      </c>
      <c r="M29" s="227">
        <f>K29-L29</f>
        <v>-600</v>
      </c>
      <c r="N29" s="295"/>
      <c r="O29" s="225">
        <f>+C29-'[3]QTD Mgmt Summary'!C29</f>
        <v>0</v>
      </c>
      <c r="P29" s="226">
        <f>(-G29+'[3]QTD Mgmt Summary'!G29)*0</f>
        <v>0</v>
      </c>
      <c r="Q29" s="227">
        <f>+O29+P29</f>
        <v>0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-12450.415000000001</v>
      </c>
      <c r="H30" s="226">
        <f>+'Mgmt Summary'!D31</f>
        <v>-11850.415000000001</v>
      </c>
      <c r="I30" s="227">
        <f>+H30-G30</f>
        <v>600</v>
      </c>
      <c r="J30" s="228"/>
      <c r="K30" s="225">
        <f t="shared" ref="K30:L32" si="10">C30-G30</f>
        <v>12450.415000000001</v>
      </c>
      <c r="L30" s="226">
        <f t="shared" si="10"/>
        <v>11850.415000000001</v>
      </c>
      <c r="M30" s="227">
        <f>K30-L30</f>
        <v>600</v>
      </c>
      <c r="N30" s="295"/>
      <c r="O30" s="225">
        <f>+C30-'[3]QTD Mgmt Summary'!C30</f>
        <v>0</v>
      </c>
      <c r="P30" s="226">
        <f>(-G30+'[3]QTD Mgmt Summary'!G30)*0</f>
        <v>0</v>
      </c>
      <c r="Q30" s="227">
        <f>+O30+P30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295"/>
      <c r="O32" s="225">
        <f>+C32-'[3]QTD Mgmt Summary'!C32</f>
        <v>0</v>
      </c>
      <c r="P32" s="226">
        <f>-G32+'[3]QTD Mgmt Summary'!G32</f>
        <v>0</v>
      </c>
      <c r="Q32" s="227">
        <f>+O32+P32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8915.4639200000001</v>
      </c>
      <c r="D34" s="235">
        <f>SUM(D27:D32)</f>
        <v>81778.508999999991</v>
      </c>
      <c r="E34" s="236">
        <f>SUM(E27:E32)</f>
        <v>-72863.045079999996</v>
      </c>
      <c r="F34" s="237"/>
      <c r="G34" s="234">
        <f>SUM(G27:G32)</f>
        <v>51519.468000000001</v>
      </c>
      <c r="H34" s="235">
        <f>SUM(H27:H32)</f>
        <v>45478.468000000001</v>
      </c>
      <c r="I34" s="236">
        <f>SUM(I27:I32)</f>
        <v>-6041</v>
      </c>
      <c r="J34" s="237"/>
      <c r="K34" s="234">
        <f>SUM(K27:K32)</f>
        <v>-42604.004079999999</v>
      </c>
      <c r="L34" s="235">
        <f>SUM(L27:L32)</f>
        <v>36300.040999999997</v>
      </c>
      <c r="M34" s="236">
        <f>SUM(M27:M32)</f>
        <v>-78904.045079999996</v>
      </c>
      <c r="N34" s="296"/>
      <c r="O34" s="234">
        <f>SUM(O27:O32)</f>
        <v>7350.8856099999994</v>
      </c>
      <c r="P34" s="235">
        <f>SUM(P27:P32)</f>
        <v>0</v>
      </c>
      <c r="Q34" s="236">
        <f>SUM(Q27:Q32)</f>
        <v>7350.8856099999994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295"/>
      <c r="O36" s="225">
        <f>+C36-'[3]QTD Mgmt Summary'!C36</f>
        <v>0</v>
      </c>
      <c r="P36" s="226">
        <f>-G36+'[3]QTD Mgmt Summary'!G36</f>
        <v>0</v>
      </c>
      <c r="Q36" s="227">
        <f>+O36+P36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8915.4639200000001</v>
      </c>
      <c r="D38" s="240">
        <f>+D34-D36</f>
        <v>81778.508999999991</v>
      </c>
      <c r="E38" s="264">
        <f>+E34-E36</f>
        <v>-72863.045079999996</v>
      </c>
      <c r="F38" s="241"/>
      <c r="G38" s="239">
        <f>SUM(G34:G36)</f>
        <v>53568.468000000001</v>
      </c>
      <c r="H38" s="240">
        <f>SUM(H34:H36)</f>
        <v>47527.468000000001</v>
      </c>
      <c r="I38" s="264">
        <f>SUM(I34:I36)</f>
        <v>-6041</v>
      </c>
      <c r="J38" s="241"/>
      <c r="K38" s="239">
        <f>SUM(K34:K36)</f>
        <v>-44653.004079999999</v>
      </c>
      <c r="L38" s="240">
        <f>SUM(L34:L36)</f>
        <v>34251.040999999997</v>
      </c>
      <c r="M38" s="264">
        <f>SUM(M34:M36)</f>
        <v>-78904.045079999996</v>
      </c>
      <c r="N38" s="296"/>
      <c r="O38" s="239">
        <f>SUM(O34:O36)</f>
        <v>7350.8856099999994</v>
      </c>
      <c r="P38" s="240">
        <f>SUM(P34:P36)</f>
        <v>0</v>
      </c>
      <c r="Q38" s="264">
        <f>SUM(Q34:Q36)</f>
        <v>7350.8856099999994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5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7529.5069999999996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18.572609999999997</v>
      </c>
      <c r="G45" s="269" t="s">
        <v>119</v>
      </c>
      <c r="H45" s="270"/>
      <c r="I45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-197.19399999999999</v>
      </c>
      <c r="G46" s="269" t="s">
        <v>28</v>
      </c>
      <c r="H46" s="270"/>
      <c r="I46" s="272">
        <f>-G36+'[3]QTD Mgmt Summary'!$G$36</f>
        <v>0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5" hidden="1">
      <c r="C48" s="279" t="s">
        <v>121</v>
      </c>
      <c r="D48" s="280"/>
      <c r="E48" s="281">
        <f>SUM(E44:E47)</f>
        <v>7350.8856099999994</v>
      </c>
      <c r="G48" s="279" t="s">
        <v>121</v>
      </c>
      <c r="H48" s="280"/>
      <c r="I48" s="285">
        <f>SUM(I44:I47)</f>
        <v>0</v>
      </c>
      <c r="J48" s="286"/>
    </row>
    <row r="49" spans="3:10" hidden="1"/>
    <row r="50" spans="3:10" ht="13.5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1564.5783100000008</v>
      </c>
      <c r="G51" s="269" t="s">
        <v>122</v>
      </c>
      <c r="H51" s="270"/>
      <c r="I51" s="272">
        <f>+'[3]QTD Mgmt Summary'!$G$38</f>
        <v>55168.468000000001</v>
      </c>
      <c r="J51" s="287"/>
    </row>
    <row r="52" spans="3:10" hidden="1">
      <c r="C52" s="269" t="s">
        <v>123</v>
      </c>
      <c r="D52" s="270"/>
      <c r="E52" s="271">
        <f>+GrossMargin!I39</f>
        <v>8915.4639200000001</v>
      </c>
      <c r="G52" s="269" t="s">
        <v>123</v>
      </c>
      <c r="H52" s="270"/>
      <c r="I52" s="272">
        <f>+G38</f>
        <v>53568.468000000001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5" hidden="1">
      <c r="C54" s="279" t="s">
        <v>124</v>
      </c>
      <c r="D54" s="280"/>
      <c r="E54" s="281">
        <f>+E52-E51</f>
        <v>7350.8856099999994</v>
      </c>
      <c r="G54" s="279" t="s">
        <v>124</v>
      </c>
      <c r="H54" s="280"/>
      <c r="I54" s="285">
        <f>+I52-I51</f>
        <v>-1600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F17" sqref="F1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 t="s">
        <v>155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-7852.8109999999997</v>
      </c>
      <c r="H9" s="36">
        <f>GrossMargin!J10</f>
        <v>0</v>
      </c>
      <c r="I9" s="36">
        <f>GrossMargin!K10</f>
        <v>0</v>
      </c>
      <c r="J9" s="136">
        <f t="shared" ref="J9:J15" si="1">SUM(G9:I9)</f>
        <v>-7852.8109999999997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-22544.811000000002</v>
      </c>
      <c r="P9" s="37"/>
      <c r="Q9" s="133">
        <f t="shared" ref="Q9:Q15" si="3">+J9-C9</f>
        <v>-37852.811000000002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-38453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12747.159</v>
      </c>
      <c r="D10" s="36">
        <f>Expenses!E10+'CapChrg-AllocExp'!E11+'CapChrg-AllocExp'!L11</f>
        <v>5246.9</v>
      </c>
      <c r="E10" s="135">
        <f t="shared" si="0"/>
        <v>7500.259</v>
      </c>
      <c r="F10" s="36"/>
      <c r="G10" s="133">
        <f>GrossMargin!I11</f>
        <v>8622.2749199999998</v>
      </c>
      <c r="H10" s="36">
        <f>GrossMargin!J11</f>
        <v>0</v>
      </c>
      <c r="I10" s="36">
        <f>GrossMargin!K11</f>
        <v>0</v>
      </c>
      <c r="J10" s="136">
        <f t="shared" si="1"/>
        <v>8622.2749199999998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3944.3749200000002</v>
      </c>
      <c r="P10" s="37"/>
      <c r="Q10" s="133">
        <f t="shared" si="3"/>
        <v>-4124.8840799999998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-3556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6807</v>
      </c>
      <c r="H11" s="36">
        <f>GrossMargin!J12</f>
        <v>0</v>
      </c>
      <c r="I11" s="36">
        <f>GrossMargin!K12</f>
        <v>0</v>
      </c>
      <c r="J11" s="136">
        <f t="shared" si="1"/>
        <v>6807</v>
      </c>
      <c r="K11" s="137"/>
      <c r="L11" s="133">
        <f>'CapChrg-AllocExp'!D12</f>
        <v>0</v>
      </c>
      <c r="M11" s="36">
        <f>Expenses!D11</f>
        <v>1424.1</v>
      </c>
      <c r="N11" s="36">
        <f>'CapChrg-AllocExp'!K12</f>
        <v>274.5</v>
      </c>
      <c r="O11" s="136">
        <f t="shared" si="2"/>
        <v>5108.3999999999996</v>
      </c>
      <c r="P11" s="37"/>
      <c r="Q11" s="133">
        <f t="shared" si="3"/>
        <v>6057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4737</v>
      </c>
      <c r="W11" s="32"/>
    </row>
    <row r="12" spans="1:24" ht="13.5" customHeight="1">
      <c r="A12" s="107" t="s">
        <v>64</v>
      </c>
      <c r="B12" s="35"/>
      <c r="C12" s="133">
        <f>GrossMargin!M13</f>
        <v>3214.846</v>
      </c>
      <c r="D12" s="36">
        <f>Expenses!E12+'CapChrg-AllocExp'!E13+'CapChrg-AllocExp'!L13</f>
        <v>1714.8000000000002</v>
      </c>
      <c r="E12" s="135">
        <f t="shared" si="0"/>
        <v>1500.0459999999998</v>
      </c>
      <c r="F12" s="36"/>
      <c r="G12" s="133">
        <f>GrossMargin!I13</f>
        <v>3105</v>
      </c>
      <c r="H12" s="36">
        <f>GrossMargin!J13</f>
        <v>0</v>
      </c>
      <c r="I12" s="36">
        <f>GrossMargin!K13</f>
        <v>0</v>
      </c>
      <c r="J12" s="136">
        <f t="shared" si="1"/>
        <v>3105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1390.2</v>
      </c>
      <c r="P12" s="37"/>
      <c r="Q12" s="133">
        <f t="shared" si="3"/>
        <v>-109.846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-110</v>
      </c>
      <c r="W12" s="32"/>
    </row>
    <row r="13" spans="1:24" ht="13.5" customHeight="1">
      <c r="A13" s="107" t="s">
        <v>71</v>
      </c>
      <c r="B13" s="35"/>
      <c r="C13" s="133">
        <f>GrossMargin!M14</f>
        <v>7712.2910000000002</v>
      </c>
      <c r="D13" s="36">
        <f>Expenses!E13+'CapChrg-AllocExp'!E14+'CapChrg-AllocExp'!L14</f>
        <v>1679.5</v>
      </c>
      <c r="E13" s="135">
        <f t="shared" si="0"/>
        <v>6032.7910000000002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1893.5</v>
      </c>
      <c r="N13" s="36">
        <f>'CapChrg-AllocExp'!K14</f>
        <v>36</v>
      </c>
      <c r="O13" s="136">
        <f t="shared" si="2"/>
        <v>-1929.5</v>
      </c>
      <c r="P13" s="37"/>
      <c r="Q13" s="133">
        <f t="shared" si="3"/>
        <v>-7712.2910000000002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-7962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>
        <f>+Expenses!E14+'CapChrg-AllocExp'!E15+'CapChrg-AllocExp'!L15</f>
        <v>1807.1410000000001</v>
      </c>
      <c r="E14" s="164">
        <f t="shared" si="0"/>
        <v>9676.0720000000001</v>
      </c>
      <c r="F14" s="140"/>
      <c r="G14" s="139">
        <f>+GrossMargin!I21</f>
        <v>1625</v>
      </c>
      <c r="H14" s="140">
        <f>GrossMargin!J15</f>
        <v>0</v>
      </c>
      <c r="I14" s="140">
        <f>+GrossMargin!K21</f>
        <v>0</v>
      </c>
      <c r="J14" s="179">
        <f t="shared" si="1"/>
        <v>1625</v>
      </c>
      <c r="K14" s="180"/>
      <c r="L14" s="139">
        <f>+'CapChrg-AllocExp'!D15</f>
        <v>0</v>
      </c>
      <c r="M14" s="36">
        <f>Expenses!D14</f>
        <v>896.12600000000009</v>
      </c>
      <c r="N14" s="140">
        <f>+'CapChrg-AllocExp'!K15</f>
        <v>911.0150000000001</v>
      </c>
      <c r="O14" s="179">
        <f t="shared" si="2"/>
        <v>-182.14100000000019</v>
      </c>
      <c r="P14" s="181"/>
      <c r="Q14" s="139">
        <f t="shared" si="3"/>
        <v>-9858.2129999999997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-9858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>
        <f>SUM(C9:C18)</f>
        <v>76007.508999999991</v>
      </c>
      <c r="D19" s="44">
        <f>SUM(D9:D18)</f>
        <v>24918.940999999999</v>
      </c>
      <c r="E19" s="45">
        <f>SUM(E9:E18)</f>
        <v>51088.567999999999</v>
      </c>
      <c r="F19" s="36"/>
      <c r="G19" s="43">
        <f t="shared" ref="G19:O19" si="5">SUM(G9:G18)</f>
        <v>12306.46392</v>
      </c>
      <c r="H19" s="44">
        <f t="shared" si="5"/>
        <v>0</v>
      </c>
      <c r="I19" s="45">
        <f t="shared" si="5"/>
        <v>0</v>
      </c>
      <c r="J19" s="46">
        <f t="shared" si="5"/>
        <v>12306.46392</v>
      </c>
      <c r="K19" s="44">
        <f t="shared" si="5"/>
        <v>0</v>
      </c>
      <c r="L19" s="43">
        <f t="shared" si="5"/>
        <v>658</v>
      </c>
      <c r="M19" s="44">
        <f t="shared" si="5"/>
        <v>15686.526000000002</v>
      </c>
      <c r="N19" s="44">
        <f t="shared" si="5"/>
        <v>12450.415000000001</v>
      </c>
      <c r="O19" s="46">
        <f t="shared" si="5"/>
        <v>-16488.477079999997</v>
      </c>
      <c r="P19" s="180"/>
      <c r="Q19" s="43">
        <f t="shared" ref="Q19:V19" si="6">SUM(Q9:Q18)</f>
        <v>-63701.045079999996</v>
      </c>
      <c r="R19" s="44">
        <f t="shared" si="6"/>
        <v>0</v>
      </c>
      <c r="S19" s="44">
        <f t="shared" si="6"/>
        <v>189</v>
      </c>
      <c r="T19" s="44">
        <f t="shared" si="6"/>
        <v>-3465</v>
      </c>
      <c r="U19" s="44">
        <f t="shared" si="6"/>
        <v>-600</v>
      </c>
      <c r="V19" s="45">
        <f t="shared" si="6"/>
        <v>-67577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82298.508999999991</v>
      </c>
      <c r="D28" s="44">
        <f>+D19+D25</f>
        <v>30622.940999999999</v>
      </c>
      <c r="E28" s="45">
        <f>+E19+E25</f>
        <v>51675.567999999999</v>
      </c>
      <c r="F28" s="36">
        <f>SUM(F25:F26)</f>
        <v>0</v>
      </c>
      <c r="G28" s="43">
        <f t="shared" ref="G28:O28" si="9">+G19+G25</f>
        <v>9435.4639200000001</v>
      </c>
      <c r="H28" s="44">
        <f t="shared" si="9"/>
        <v>0</v>
      </c>
      <c r="I28" s="45">
        <f t="shared" si="9"/>
        <v>0</v>
      </c>
      <c r="J28" s="46">
        <f t="shared" si="9"/>
        <v>9435.4639200000001</v>
      </c>
      <c r="K28" s="44">
        <f t="shared" si="9"/>
        <v>0</v>
      </c>
      <c r="L28" s="43">
        <f t="shared" si="9"/>
        <v>1213</v>
      </c>
      <c r="M28" s="44">
        <f t="shared" si="9"/>
        <v>22184.526000000002</v>
      </c>
      <c r="N28" s="44">
        <f t="shared" si="9"/>
        <v>12450.415000000001</v>
      </c>
      <c r="O28" s="46">
        <f t="shared" si="9"/>
        <v>-26412.477079999997</v>
      </c>
      <c r="P28" s="180"/>
      <c r="Q28" s="43">
        <f t="shared" ref="Q28:V28" si="10">+Q19+Q25</f>
        <v>-72863.045079999996</v>
      </c>
      <c r="R28" s="44">
        <f t="shared" si="10"/>
        <v>0</v>
      </c>
      <c r="S28" s="44">
        <f t="shared" si="10"/>
        <v>816</v>
      </c>
      <c r="T28" s="44">
        <f t="shared" si="10"/>
        <v>-5441</v>
      </c>
      <c r="U28" s="44">
        <f t="shared" si="10"/>
        <v>-600</v>
      </c>
      <c r="V28" s="45">
        <f t="shared" si="10"/>
        <v>-78088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28734.941999999999</v>
      </c>
      <c r="E30" s="135">
        <f>C30-D30</f>
        <v>-28734.941999999999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29334.941999999999</v>
      </c>
      <c r="N30" s="36">
        <v>0</v>
      </c>
      <c r="O30" s="136">
        <f>J30-K30-M30-N30-L30</f>
        <v>-29334.941999999999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103</v>
      </c>
      <c r="B31" s="35"/>
      <c r="C31" s="133">
        <v>0</v>
      </c>
      <c r="D31" s="36">
        <f>+'CapChrg-AllocExp'!L29</f>
        <v>-11850.415000000001</v>
      </c>
      <c r="E31" s="135">
        <f>C31-D31</f>
        <v>11850.415000000001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-12450.415000000001</v>
      </c>
      <c r="O31" s="136">
        <f>J31-K31-M31-N31-L31</f>
        <v>12450.415000000001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81778.508999999991</v>
      </c>
      <c r="D35" s="44">
        <f>SUM(D28:D34)</f>
        <v>45478.468000000001</v>
      </c>
      <c r="E35" s="45">
        <f>SUM(E28:E34)</f>
        <v>36300.040999999997</v>
      </c>
      <c r="F35" s="36"/>
      <c r="G35" s="43">
        <f t="shared" ref="G35:N35" si="11">SUM(G28:G34)</f>
        <v>8915.4639200000001</v>
      </c>
      <c r="H35" s="44">
        <f t="shared" si="11"/>
        <v>0</v>
      </c>
      <c r="I35" s="44">
        <f t="shared" si="11"/>
        <v>0</v>
      </c>
      <c r="J35" s="46">
        <f t="shared" si="11"/>
        <v>8915.4639200000001</v>
      </c>
      <c r="K35" s="44">
        <f t="shared" si="11"/>
        <v>0</v>
      </c>
      <c r="L35" s="43">
        <f t="shared" si="11"/>
        <v>0</v>
      </c>
      <c r="M35" s="44">
        <f t="shared" si="11"/>
        <v>51519.468000000001</v>
      </c>
      <c r="N35" s="44">
        <f t="shared" si="11"/>
        <v>0</v>
      </c>
      <c r="O35" s="46">
        <f>J35-K35-M35-N35-L35</f>
        <v>-42604.004079999999</v>
      </c>
      <c r="P35" s="37"/>
      <c r="Q35" s="43">
        <f t="shared" ref="Q35:V35" si="12">SUM(Q28:Q34)</f>
        <v>-72863.045079999996</v>
      </c>
      <c r="R35" s="44">
        <f t="shared" si="12"/>
        <v>0</v>
      </c>
      <c r="S35" s="44">
        <f t="shared" si="12"/>
        <v>0</v>
      </c>
      <c r="T35" s="44">
        <f t="shared" si="12"/>
        <v>-5441</v>
      </c>
      <c r="U35" s="44">
        <f t="shared" si="12"/>
        <v>-600</v>
      </c>
      <c r="V35" s="45">
        <f t="shared" si="12"/>
        <v>-78904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81778.508999999991</v>
      </c>
      <c r="D39" s="40">
        <f>SUM(D35:D37)</f>
        <v>47527.468000000001</v>
      </c>
      <c r="E39" s="41">
        <f>SUM(E35:E37)</f>
        <v>34251.040999999997</v>
      </c>
      <c r="F39" s="36"/>
      <c r="G39" s="39">
        <f t="shared" ref="G39:V39" si="13">SUM(G35:G37)</f>
        <v>8915.4639200000001</v>
      </c>
      <c r="H39" s="40">
        <f t="shared" si="13"/>
        <v>0</v>
      </c>
      <c r="I39" s="40">
        <f t="shared" si="13"/>
        <v>0</v>
      </c>
      <c r="J39" s="42">
        <f t="shared" si="13"/>
        <v>8915.4639200000001</v>
      </c>
      <c r="K39" s="40">
        <f t="shared" si="13"/>
        <v>0</v>
      </c>
      <c r="L39" s="39">
        <f t="shared" si="13"/>
        <v>0</v>
      </c>
      <c r="M39" s="40">
        <f t="shared" si="13"/>
        <v>53568.468000000001</v>
      </c>
      <c r="N39" s="40">
        <f t="shared" si="13"/>
        <v>0</v>
      </c>
      <c r="O39" s="42">
        <f>J39-K39-M39-N39-L39</f>
        <v>-44653.004079999999</v>
      </c>
      <c r="P39" s="37"/>
      <c r="Q39" s="39">
        <f t="shared" si="13"/>
        <v>-72863.045079999996</v>
      </c>
      <c r="R39" s="40">
        <f t="shared" si="13"/>
        <v>0</v>
      </c>
      <c r="S39" s="40">
        <f t="shared" si="13"/>
        <v>0</v>
      </c>
      <c r="T39" s="40">
        <f t="shared" si="13"/>
        <v>-5441</v>
      </c>
      <c r="U39" s="40">
        <f t="shared" si="13"/>
        <v>-600</v>
      </c>
      <c r="V39" s="41">
        <f t="shared" si="13"/>
        <v>-78904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topLeftCell="A3" zoomScaleNormal="100" workbookViewId="0">
      <selection activeCell="D42" sqref="D42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December 14,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4627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-197.19399999999999</v>
      </c>
      <c r="G9" s="138">
        <f>+GrossMargin!H10-[3]GrossMargin!H10</f>
        <v>0</v>
      </c>
      <c r="H9" s="134">
        <f t="shared" ref="H9:H14" si="0">SUM(C9:G9)</f>
        <v>4429.8059999999996</v>
      </c>
      <c r="I9" s="133">
        <f>GrossMargin!J10-[3]GrossMargin!J10</f>
        <v>0</v>
      </c>
      <c r="J9" s="36">
        <f>+GrossMargin!K10-[3]GrossMargin!K10</f>
        <v>0</v>
      </c>
      <c r="K9" s="135">
        <f t="shared" ref="K9:K14" si="1">SUM(H9:J9)</f>
        <v>4429.8059999999996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1476</v>
      </c>
      <c r="D10" s="36">
        <f>+GrossMargin!E11-[3]GrossMargin!E11</f>
        <v>18.572609999999997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1494.5726099999999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1494.5726099999999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39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39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39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-112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-112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-112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301">
        <f>+GrossMargin!D15-[3]GrossMargin!D15</f>
        <v>477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477</v>
      </c>
      <c r="I14" s="133">
        <f>GrossMargin!J15-[3]GrossMargin!J15</f>
        <v>0</v>
      </c>
      <c r="J14" s="246">
        <f>+GrossMargin!K15-[3]GrossMargin!K15</f>
        <v>0</v>
      </c>
      <c r="K14" s="303">
        <f t="shared" si="1"/>
        <v>477</v>
      </c>
    </row>
    <row r="15" spans="1:11" ht="13.5" hidden="1" customHeight="1">
      <c r="A15" s="242" t="s">
        <v>150</v>
      </c>
      <c r="B15" s="249"/>
      <c r="C15" s="244">
        <f>+GrossMargin!D16-[3]GrossMargin!D16</f>
        <v>322.50699999999995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322.50699999999995</v>
      </c>
      <c r="I15" s="133">
        <f>GrossMargin!J16-[3]GrossMargin!J16</f>
        <v>0</v>
      </c>
      <c r="J15" s="246">
        <f>+GrossMargin!K16-[3]GrossMargin!K16</f>
        <v>0</v>
      </c>
      <c r="K15" s="303">
        <f>SUM(H15:J15)</f>
        <v>322.50699999999995</v>
      </c>
    </row>
    <row r="16" spans="1:11" ht="13.5" hidden="1" customHeight="1">
      <c r="A16" s="242" t="s">
        <v>84</v>
      </c>
      <c r="B16" s="249"/>
      <c r="C16" s="301">
        <f>+GrossMargin!D17-[3]GrossMargin!D17</f>
        <v>700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700</v>
      </c>
      <c r="I16" s="133">
        <f>GrossMargin!J17-[3]GrossMargin!J17</f>
        <v>0</v>
      </c>
      <c r="J16" s="246">
        <f>+GrossMargin!K17-[3]GrossMargin!K17</f>
        <v>0</v>
      </c>
      <c r="K16" s="303">
        <f>SUM(H16:J16)</f>
        <v>700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>
        <f>GrossMargin!J18-[3]GrossMargin!J18</f>
        <v>0</v>
      </c>
      <c r="J17" s="246">
        <f>+GrossMargin!K18-[3]GrossMargin!K18</f>
        <v>0</v>
      </c>
      <c r="K17" s="303">
        <f>SUM(H17:J17)</f>
        <v>0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>
        <f>GrossMargin!J19-[3]GrossMargin!J19</f>
        <v>0</v>
      </c>
      <c r="J18" s="246">
        <f>+GrossMargin!K19-[3]GrossMargin!K19</f>
        <v>0</v>
      </c>
      <c r="K18" s="303">
        <f>SUM(H18:J18)</f>
        <v>0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>
        <f>GrossMargin!J20-[3]GrossMargin!J20</f>
        <v>0</v>
      </c>
      <c r="J19" s="256">
        <f>+GrossMargin!K20-[3]GrossMargin!K20</f>
        <v>0</v>
      </c>
      <c r="K19" s="306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1499.5070000000001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1499.5070000000001</v>
      </c>
      <c r="I20" s="307">
        <f t="shared" si="2"/>
        <v>0</v>
      </c>
      <c r="J20" s="36">
        <f t="shared" si="2"/>
        <v>0</v>
      </c>
      <c r="K20" s="135">
        <f t="shared" si="2"/>
        <v>1499.5070000000001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GrossMargin!J22-[3]GrossMargin!J22</f>
        <v>0</v>
      </c>
      <c r="J21" s="36">
        <f>+GrossMargin!K22-[3]GrossMargin!K22</f>
        <v>0</v>
      </c>
      <c r="K21" s="135">
        <f>SUM(H21:J21)</f>
        <v>0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GrossMargin!J23-[3]GrossMargin!J23</f>
        <v>0</v>
      </c>
      <c r="J22" s="36">
        <f>GrossMargin!K23-[3]GrossMargin!K23</f>
        <v>0</v>
      </c>
      <c r="K22" s="135">
        <f>SUM(H22:J22)</f>
        <v>0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>
        <f>GrossMargin!J24-[3]GrossMargin!J24</f>
        <v>0</v>
      </c>
      <c r="J23" s="36">
        <f>+GrossMargin!K24-[3]GrossMargin!K28</f>
        <v>0</v>
      </c>
      <c r="K23" s="135">
        <f>SUM(H23:J23)</f>
        <v>0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7529.5069999999996</v>
      </c>
      <c r="D25" s="44">
        <f t="shared" si="3"/>
        <v>18.572609999999997</v>
      </c>
      <c r="E25" s="44">
        <f t="shared" si="3"/>
        <v>0</v>
      </c>
      <c r="F25" s="44">
        <f t="shared" si="3"/>
        <v>-197.19399999999999</v>
      </c>
      <c r="G25" s="45">
        <f t="shared" si="3"/>
        <v>0</v>
      </c>
      <c r="H25" s="46">
        <f t="shared" si="3"/>
        <v>7350.8856099999994</v>
      </c>
      <c r="I25" s="44">
        <f t="shared" si="3"/>
        <v>0</v>
      </c>
      <c r="J25" s="44">
        <f t="shared" si="3"/>
        <v>0</v>
      </c>
      <c r="K25" s="45">
        <f t="shared" si="3"/>
        <v>7350.8856099999994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GrossMargin!J28-[3]GrossMargin!J28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GrossMargin!J29-[3]GrossMargin!J29</f>
        <v>0</v>
      </c>
      <c r="J28" s="36">
        <f>+GrossMargin!K29-[3]GrossMargin!K24</f>
        <v>0</v>
      </c>
      <c r="K28" s="135">
        <f>SUM(H28:J28)</f>
        <v>0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0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0</v>
      </c>
      <c r="I29" s="133">
        <f>GrossMargin!J30-[3]GrossMargin!J30</f>
        <v>0</v>
      </c>
      <c r="J29" s="36">
        <f>GrossMargin!K30-[3]GrossMargin!K30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0</v>
      </c>
      <c r="F31" s="44">
        <f t="shared" si="4"/>
        <v>0</v>
      </c>
      <c r="G31" s="45">
        <f t="shared" si="4"/>
        <v>0</v>
      </c>
      <c r="H31" s="46">
        <f t="shared" si="4"/>
        <v>0</v>
      </c>
      <c r="I31" s="44">
        <f t="shared" si="4"/>
        <v>0</v>
      </c>
      <c r="J31" s="44">
        <f t="shared" si="4"/>
        <v>0</v>
      </c>
      <c r="K31" s="45">
        <f t="shared" si="4"/>
        <v>0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7529.5069999999996</v>
      </c>
      <c r="D34" s="44">
        <f t="shared" ref="D34:K34" si="5">+D25+D31</f>
        <v>18.572609999999997</v>
      </c>
      <c r="E34" s="44">
        <f t="shared" si="5"/>
        <v>0</v>
      </c>
      <c r="F34" s="44">
        <f t="shared" si="5"/>
        <v>-197.19399999999999</v>
      </c>
      <c r="G34" s="45">
        <f t="shared" si="5"/>
        <v>0</v>
      </c>
      <c r="H34" s="46">
        <f t="shared" si="5"/>
        <v>7350.8856099999994</v>
      </c>
      <c r="I34" s="44">
        <f t="shared" si="5"/>
        <v>0</v>
      </c>
      <c r="J34" s="44">
        <f t="shared" si="5"/>
        <v>0</v>
      </c>
      <c r="K34" s="45">
        <f t="shared" si="5"/>
        <v>7350.8856099999994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7529.5069999999996</v>
      </c>
      <c r="D38" s="40">
        <f>SUM(D34:D36)</f>
        <v>18.572609999999997</v>
      </c>
      <c r="E38" s="40">
        <f>SUM(E34:E37)</f>
        <v>0</v>
      </c>
      <c r="F38" s="40">
        <f>SUM(F34:F36)</f>
        <v>-197.19399999999999</v>
      </c>
      <c r="G38" s="41">
        <f>SUM(G34:G36)</f>
        <v>0</v>
      </c>
      <c r="H38" s="39">
        <f>SUM(C38:G38)</f>
        <v>7350.8856099999994</v>
      </c>
      <c r="I38" s="39">
        <f>SUM(I34:I36)</f>
        <v>0</v>
      </c>
      <c r="J38" s="40">
        <f>SUM(J34:J36)</f>
        <v>0</v>
      </c>
      <c r="K38" s="41">
        <f>SUM(H38:J38)</f>
        <v>7350.8856099999994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5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75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1" zoomScaleNormal="100" workbookViewId="0">
      <selection activeCell="D42" sqref="D41:D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December 14,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-7526</v>
      </c>
      <c r="E10" s="140">
        <v>0</v>
      </c>
      <c r="F10" s="140">
        <v>0</v>
      </c>
      <c r="G10" s="140">
        <f>-129.617-197.194</f>
        <v>-326.81099999999998</v>
      </c>
      <c r="H10" s="138">
        <v>0</v>
      </c>
      <c r="I10" s="136">
        <f t="shared" ref="I10:I20" si="0">SUM(D10:H10)</f>
        <v>-7852.8109999999997</v>
      </c>
      <c r="J10" s="137"/>
      <c r="K10" s="36">
        <v>0</v>
      </c>
      <c r="L10" s="36">
        <f>+I10+K10</f>
        <v>-7852.8109999999997</v>
      </c>
      <c r="M10" s="253">
        <v>30000</v>
      </c>
      <c r="N10" s="135">
        <f t="shared" ref="N10:N30" si="1">L10-M10</f>
        <v>-37852.811000000002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8391</v>
      </c>
      <c r="E11" s="140">
        <f>413.82992-262.279</f>
        <v>151.55092000000002</v>
      </c>
      <c r="F11" s="140">
        <v>79.724000000000004</v>
      </c>
      <c r="G11" s="140">
        <v>0</v>
      </c>
      <c r="H11" s="138">
        <v>0</v>
      </c>
      <c r="I11" s="136">
        <f t="shared" si="0"/>
        <v>8622.2749199999998</v>
      </c>
      <c r="J11" s="137"/>
      <c r="K11" s="36">
        <v>0</v>
      </c>
      <c r="L11" s="36">
        <f t="shared" ref="L11:L30" si="2">+I11+K11</f>
        <v>8622.2749199999998</v>
      </c>
      <c r="M11" s="253">
        <f>ROUND(_xll.HPVAL($A11,$A$1,$A$2,$A$3,$A$4,$A$6)/1000,3)</f>
        <v>12747.159</v>
      </c>
      <c r="N11" s="135">
        <f t="shared" si="1"/>
        <v>-4124.8840799999998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6807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6807</v>
      </c>
      <c r="J12" s="137"/>
      <c r="K12" s="36">
        <v>0</v>
      </c>
      <c r="L12" s="36">
        <f t="shared" si="2"/>
        <v>6807</v>
      </c>
      <c r="M12" s="253">
        <f>ROUND(_xll.HPVAL($A12,$A$1,$A$2,$A$3,$A$4,$A$6)/1000,1)</f>
        <v>750</v>
      </c>
      <c r="N12" s="135">
        <f t="shared" si="1"/>
        <v>6057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3105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3105</v>
      </c>
      <c r="J13" s="137"/>
      <c r="K13" s="36">
        <v>0</v>
      </c>
      <c r="L13" s="36">
        <f t="shared" si="2"/>
        <v>3105</v>
      </c>
      <c r="M13" s="253">
        <f>ROUND(_xll.HPVAL($A13,$A$1,$A$2,$A$3,$A$4,$A$6)/1000,3)</f>
        <v>3214.846</v>
      </c>
      <c r="N13" s="135">
        <f t="shared" si="1"/>
        <v>-109.846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f>ROUND(_xll.HPVAL($A14,$A$1,$A$2,$A$3,$A$4,$A$6)/1000,3)</f>
        <v>7712.2910000000002</v>
      </c>
      <c r="N14" s="135">
        <f t="shared" si="1"/>
        <v>-7712.2910000000002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50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50</v>
      </c>
      <c r="J15" s="246"/>
      <c r="K15" s="246">
        <v>0</v>
      </c>
      <c r="L15" s="36">
        <f t="shared" si="2"/>
        <v>50</v>
      </c>
      <c r="M15" s="253">
        <v>0</v>
      </c>
      <c r="N15" s="247">
        <f>L15-M15</f>
        <v>50</v>
      </c>
    </row>
    <row r="16" spans="1:16" ht="13.5" hidden="1" customHeight="1">
      <c r="A16" s="12" t="s">
        <v>51</v>
      </c>
      <c r="B16" s="242" t="s">
        <v>150</v>
      </c>
      <c r="C16" s="243"/>
      <c r="D16" s="244">
        <v>-498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-498</v>
      </c>
      <c r="J16" s="246"/>
      <c r="K16" s="246">
        <v>0</v>
      </c>
      <c r="L16" s="36">
        <f>+I16+K16</f>
        <v>-498</v>
      </c>
      <c r="M16" s="253">
        <v>0</v>
      </c>
      <c r="N16" s="247">
        <f>L16-M16</f>
        <v>-498</v>
      </c>
    </row>
    <row r="17" spans="1:16" ht="13.5" hidden="1" customHeight="1">
      <c r="B17" s="242" t="s">
        <v>84</v>
      </c>
      <c r="C17" s="243"/>
      <c r="D17" s="244">
        <v>2176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2176</v>
      </c>
      <c r="J17" s="246"/>
      <c r="K17" s="246">
        <v>0</v>
      </c>
      <c r="L17" s="36">
        <f t="shared" si="2"/>
        <v>2176</v>
      </c>
      <c r="M17" s="255">
        <v>0</v>
      </c>
      <c r="N17" s="247">
        <f>L17-M17</f>
        <v>2176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1625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1625</v>
      </c>
      <c r="J21" s="137"/>
      <c r="K21" s="36">
        <f>SUM(K15:K20)</f>
        <v>0</v>
      </c>
      <c r="L21" s="36">
        <f t="shared" si="2"/>
        <v>1625</v>
      </c>
      <c r="M21" s="253">
        <f>33848.881-22365.668-2500.002+2500.002</f>
        <v>11483.213</v>
      </c>
      <c r="N21" s="135">
        <f>L21-M21</f>
        <v>-9858.2129999999997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12402</v>
      </c>
      <c r="E26" s="44">
        <f t="shared" ref="E26:N26" si="4">+E10+E11+E12+E13+E14+E21+E22+E23+E24</f>
        <v>151.55092000000002</v>
      </c>
      <c r="F26" s="44">
        <f t="shared" si="4"/>
        <v>79.724000000000004</v>
      </c>
      <c r="G26" s="44">
        <f t="shared" si="4"/>
        <v>-326.81099999999998</v>
      </c>
      <c r="H26" s="45">
        <f t="shared" si="4"/>
        <v>0</v>
      </c>
      <c r="I26" s="46">
        <f t="shared" si="4"/>
        <v>12306.46392</v>
      </c>
      <c r="J26" s="44">
        <f t="shared" si="4"/>
        <v>0</v>
      </c>
      <c r="K26" s="44">
        <f t="shared" si="4"/>
        <v>0</v>
      </c>
      <c r="L26" s="44">
        <f t="shared" si="4"/>
        <v>12306.46392</v>
      </c>
      <c r="M26" s="45">
        <f t="shared" si="4"/>
        <v>76007.508999999991</v>
      </c>
      <c r="N26" s="45">
        <f t="shared" si="4"/>
        <v>-63701.045079999996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12402</v>
      </c>
      <c r="E35" s="44">
        <f t="shared" ref="E35:N35" si="6">+E26+E32</f>
        <v>151.55092000000002</v>
      </c>
      <c r="F35" s="44">
        <f t="shared" si="6"/>
        <v>-2791.2759999999998</v>
      </c>
      <c r="G35" s="44">
        <f t="shared" si="6"/>
        <v>-326.81099999999998</v>
      </c>
      <c r="H35" s="45">
        <f t="shared" si="6"/>
        <v>0</v>
      </c>
      <c r="I35" s="46">
        <f t="shared" si="6"/>
        <v>9435.4639200000001</v>
      </c>
      <c r="J35" s="44">
        <f t="shared" si="6"/>
        <v>0</v>
      </c>
      <c r="K35" s="44">
        <f t="shared" si="6"/>
        <v>0</v>
      </c>
      <c r="L35" s="44">
        <f t="shared" si="6"/>
        <v>9435.4639200000001</v>
      </c>
      <c r="M35" s="45">
        <f t="shared" si="6"/>
        <v>82298.508999999991</v>
      </c>
      <c r="N35" s="45">
        <f t="shared" si="6"/>
        <v>-72863.045079999996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12402</v>
      </c>
      <c r="E39" s="40">
        <f>+E35+E37</f>
        <v>151.55092000000002</v>
      </c>
      <c r="F39" s="40">
        <f>+F35+F37</f>
        <v>-2791.2759999999998</v>
      </c>
      <c r="G39" s="40">
        <f>+G35+G37</f>
        <v>-846.81099999999992</v>
      </c>
      <c r="H39" s="41">
        <f>+H35+H37</f>
        <v>0</v>
      </c>
      <c r="I39" s="42">
        <f>SUM(I35:I37)</f>
        <v>8915.4639200000001</v>
      </c>
      <c r="J39" s="40">
        <f>SUM(J35:J37)</f>
        <v>0</v>
      </c>
      <c r="K39" s="39">
        <f>+K35+K37</f>
        <v>0</v>
      </c>
      <c r="L39" s="40">
        <f>+L35+L37</f>
        <v>8915.4639200000001</v>
      </c>
      <c r="M39" s="41">
        <f>+M35+M37</f>
        <v>81778.508999999991</v>
      </c>
      <c r="N39" s="41">
        <f>SUM(N35:N37)</f>
        <v>-72863.045079999996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F17" sqref="F17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5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153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+E11+1000+120+200</f>
        <v>1424.1</v>
      </c>
      <c r="E11" s="173">
        <f>ROUND(_xll.HPVAL($A11,$A$1,$A$2,$A$3,$A$4,$A$6)/1000,1)</f>
        <v>104.1</v>
      </c>
      <c r="F11" s="143">
        <f t="shared" si="0"/>
        <v>-1320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+E13+250</f>
        <v>1893.5</v>
      </c>
      <c r="E13" s="173">
        <f>ROUND(_xll.HPVAL($A13,$A$1,$A$2,$A$3,$A$4,$A$6)/1000,1)</f>
        <v>1643.5</v>
      </c>
      <c r="F13" s="143">
        <f t="shared" si="0"/>
        <v>-250</v>
      </c>
      <c r="G13" s="52"/>
      <c r="H13" s="251" t="s">
        <v>154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152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>
        <f>SUM(D9:D17)</f>
        <v>15686.526000000002</v>
      </c>
      <c r="E18" s="57">
        <f>SUM(E9:E17)</f>
        <v>12221.526000000002</v>
      </c>
      <c r="F18" s="183">
        <f>SUM(F9:F17)</f>
        <v>-3465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22184.526000000002</v>
      </c>
      <c r="E27" s="57">
        <f>+E18+E24</f>
        <v>16743.526000000002</v>
      </c>
      <c r="F27" s="183">
        <f>+F18+F24</f>
        <v>-5441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26030+'CapChrg-AllocExp'!M29+1188-998.93+12.872+4103-1600</f>
        <v>29334.941999999999</v>
      </c>
      <c r="E29" s="142">
        <f>26030+1188-998.93+12.872+4103-1600</f>
        <v>28734.941999999999</v>
      </c>
      <c r="F29" s="143">
        <f>E29-D29</f>
        <v>-600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51519.468000000001</v>
      </c>
      <c r="E32" s="48">
        <f>SUM(E27:E30)</f>
        <v>45478.468000000001</v>
      </c>
      <c r="F32" s="49">
        <f>SUM(F27:F30)</f>
        <v>-6041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F17" sqref="F17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14,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-1600</v>
      </c>
      <c r="D29" s="142">
        <f>+Expenses!E29-[3]Expenses!E29</f>
        <v>-1600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-1600</v>
      </c>
      <c r="D32" s="48">
        <f>SUM(D27:D30)</f>
        <v>-1600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F17" sqref="F17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5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12450.415000000001</v>
      </c>
      <c r="L17" s="57">
        <f>SUM(L10:L16)</f>
        <v>11850.415000000001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12450.415000000001</v>
      </c>
      <c r="L22" s="57">
        <f>SUM(L17:L20)</f>
        <v>11850.415000000001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12450.415000000001</v>
      </c>
      <c r="L26" s="57">
        <f>+L22+L24</f>
        <v>11850.415000000001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-12450.415000000001</v>
      </c>
      <c r="L29" s="142">
        <f>-L26</f>
        <v>-11850.415000000001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2000-12-15T18:23:43Z</cp:lastPrinted>
  <dcterms:created xsi:type="dcterms:W3CDTF">1999-10-18T12:36:30Z</dcterms:created>
  <dcterms:modified xsi:type="dcterms:W3CDTF">2023-09-17T00:40:00Z</dcterms:modified>
</cp:coreProperties>
</file>