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B80013-98AA-411F-80DA-D7462A7F9B81}" xr6:coauthVersionLast="47" xr6:coauthVersionMax="47" xr10:uidLastSave="{00000000-0000-0000-0000-000000000000}"/>
  <bookViews>
    <workbookView xWindow="-120" yWindow="-120" windowWidth="38640" windowHeight="15720" tabRatio="926" firstSheet="1" activeTab="2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D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<sst xmlns="http://schemas.openxmlformats.org/spreadsheetml/2006/main" count="425" uniqueCount="131">
  <si>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</si>
  <si>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</si>
  <si>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</si>
  <si>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</si>
  <si>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</si>
  <si>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</si>
  <si>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</si>
  <si>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</si>
  <si>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</si>
  <si>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</si>
  <si>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</si>
  <si>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</si>
  <si>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</si>
  <si>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</si>
  <si>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</si>
  <si>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</si>
  <si>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</si>
  <si>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</si>
  <si>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</si>
  <si>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</si>
  <si>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</si>
  <si>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</si>
  <si>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</si>
  <si>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</si>
  <si>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</si>
  <si>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</si>
  <si>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</si>
  <si>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</si>
  <si>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</si>
  <si>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</si>
  <si>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</si>
  <si>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</si>
  <si>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</si>
  <si>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</si>
  <si>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</si>
  <si>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</si>
  <si>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</si>
  <si>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</si>
  <si>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</si>
  <si>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</si>
  <si>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</si>
  <si>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</si>
  <si>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</si>
  <si>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</si>
  <si>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</si>
  <si>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</si>
  <si>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</si>
  <si>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</si>
  <si>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</si>
  <si>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</si>
  <si>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</si>
  <si>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</si>
  <si>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</si>
  <si>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</si>
  <si>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</si>
  <si>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</si>
  <si>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</si>
  <si>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</si>
  <si>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</si>
  <si>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</si>
  <si>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</si>
  <si>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</si>
  <si>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</si>
  <si>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</si>
  <si>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</si>
  <si>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</si>
  <si>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</si>
  <si>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</si>
  <si>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</si>
  <si>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</si>
  <si>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</si>
  <si>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</si>
  <si>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</si>
  <si>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</si>
  <si>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</si>
  <si>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</si>
  <si>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</si>
  <si>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</si>
  <si>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</si>
  <si>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</si>
  <si>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</si>
  <si>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</si>
  <si>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</si>
  <si>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</si>
  <si>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</si>
  <si>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</si>
  <si>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</si>
  <si>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</si>
  <si>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</si>
  <si>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</si>
  <si>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</si>
  <si>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</si>
  <si>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</si>
  <si>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</si>
  <si>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</si>
  <si>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</si>
  <si>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</si>
  <si>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</si>
  <si>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</si>
  <si>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</si>
  <si>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</si>
  <si>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</si>
  <si>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</si>
  <si>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</si>
  <si>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</si>
  <si>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</si>
  <si>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</si>
  <si>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</si>
  <si>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</si>
  <si>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</si>
  <si>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</si>
  <si>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</si>
  <si>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</si>
  <si>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</si>
  <si>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</si>
  <si>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</si>
  <si>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</si>
  <si>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</si>
  <si>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</si>
  <si>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</si>
  <si>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</si>
  <si>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</si>
  <si>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</si>
  <si>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</si>
  <si>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</si>
  <si>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</si>
  <si>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</si>
  <si>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</si>
  <si>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</si>
  <si>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</si>
  <si>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Results based on activity through February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</si>
</sst>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1996714B-6515-A27C-B0BC-2E462DD78252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BF7FC00B-D060-9234-484C-3645CF8B51A6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B66DC281-FD0B-8F31-7A7F-213F9C156798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B9F1EFF1-BEBB-06A9-DE83-3875602AB159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>
          <a:extLst>
            <a:ext uri="{FF2B5EF4-FFF2-40B4-BE49-F238E27FC236}">
              <a16:creationId xmlns:a16="http://schemas.microsoft.com/office/drawing/2014/main" id="{5A574F43-590C-E5C2-A60D-AD66AAC91CEC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>
          <a:extLst>
            <a:ext uri="{FF2B5EF4-FFF2-40B4-BE49-F238E27FC236}">
              <a16:creationId xmlns:a16="http://schemas.microsoft.com/office/drawing/2014/main" id="{7A549BC5-8F1A-ECE3-2329-5E7D1B08B64D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E96CAC38-A3F6-D312-D3B0-0FCD02256F8A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AA34B434-C924-A03A-5282-CF84AA809A0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BC47FCBA-4515-8F11-3FC7-F37AEB145914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DDF48D05-9F03-6B6E-A208-24F78A2EF30A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7650600D-3C36-65F7-E65A-FD2DCF0210ED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45B6B804-AE5C-FA85-0CBF-F88440627215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E39AA1A8-6D56-B3AE-1F60-BA9E2A4A6E49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F97DDFBB-25FD-9322-1283-EFECAEE31E03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94D06209-186F-14F0-3840-75D6A17FCFFE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BECF2C35-8A0C-F22E-6760-563C6FE988D2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F24B5456-8148-AD40-444A-1BCD485E933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9268E9FA-E462-93CE-B3E3-61B0FC2A78E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174BD6CB-FE0A-2D11-2942-2D6EFB3A468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33E94AB1-67F7-8C5F-83BC-7FE106D1BFF4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5CD3BE51-CDDA-C8EA-7D07-DA035CD899DC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-11805</v>
          </cell>
          <cell r="G8">
            <v>17128.77</v>
          </cell>
        </row>
        <row r="9">
          <cell r="C9">
            <v>6876.4954699999998</v>
          </cell>
          <cell r="G9">
            <v>7821.5169999999998</v>
          </cell>
        </row>
        <row r="10">
          <cell r="C10">
            <v>-2813</v>
          </cell>
          <cell r="G10">
            <v>2056.681</v>
          </cell>
        </row>
        <row r="11">
          <cell r="C11">
            <v>1615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3048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274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-859</v>
          </cell>
          <cell r="G17">
            <v>1177.3579999999999</v>
          </cell>
        </row>
        <row r="18">
          <cell r="C18">
            <v>0</v>
          </cell>
          <cell r="G18">
            <v>767.23099999999999</v>
          </cell>
        </row>
        <row r="23">
          <cell r="C23">
            <v>0</v>
          </cell>
          <cell r="G23">
            <v>27654</v>
          </cell>
        </row>
        <row r="24">
          <cell r="C24">
            <v>0</v>
          </cell>
          <cell r="G24">
            <v>-22347.853000000003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 refreshError="1">
        <row r="29">
          <cell r="C29">
            <v>95688.75</v>
          </cell>
          <cell r="D29">
            <v>50699.392</v>
          </cell>
          <cell r="G29">
            <v>-4163.5045300000002</v>
          </cell>
          <cell r="M29">
            <v>50949.391999999993</v>
          </cell>
        </row>
      </sheetData>
      <sheetData sheetId="3" refreshError="1"/>
      <sheetData sheetId="4">
        <row r="10">
          <cell r="D10">
            <v>-11805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6742</v>
          </cell>
          <cell r="E11">
            <v>72.153000000000006</v>
          </cell>
          <cell r="F11">
            <v>0</v>
          </cell>
          <cell r="G11">
            <v>62.342469999999999</v>
          </cell>
          <cell r="H11">
            <v>0</v>
          </cell>
          <cell r="K11">
            <v>0</v>
          </cell>
        </row>
        <row r="12">
          <cell r="D12">
            <v>-2813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1615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-271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1457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1866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274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-859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25.358000000000004</v>
          </cell>
          <cell r="E18">
            <v>25.358000000000004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27654</v>
          </cell>
          <cell r="E24">
            <v>27654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122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6.5">
      <c r="A3" s="308" t="s">
        <v>123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-13905</v>
      </c>
      <c r="H9" s="36">
        <f>GrossMargin!J10</f>
        <v>0</v>
      </c>
      <c r="I9" s="36">
        <f>+'Mgmt Summary'!I9</f>
        <v>0</v>
      </c>
      <c r="J9" s="136">
        <f>SUM(G9:I9)</f>
        <v>-13905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-31033.77</v>
      </c>
      <c r="P9" s="37"/>
      <c r="Q9" s="133">
        <f>+'Mgmt Summary'!Q9</f>
        <v>-53905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-53905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3961.5909999999999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3961.5909999999999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-3859.9259999999999</v>
      </c>
      <c r="P10" s="37"/>
      <c r="Q10" s="133">
        <f>+'Mgmt Summary'!Q10</f>
        <v>-9788.4089999999997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-9788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-3861</v>
      </c>
      <c r="H11" s="36">
        <f>GrossMargin!J12</f>
        <v>0</v>
      </c>
      <c r="I11" s="36">
        <f>+'Mgmt Summary'!I11</f>
        <v>0</v>
      </c>
      <c r="J11" s="136">
        <f t="shared" si="1"/>
        <v>-3861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-5917.6810000000005</v>
      </c>
      <c r="P11" s="37"/>
      <c r="Q11" s="133">
        <f>+'Mgmt Summary'!Q11</f>
        <v>-8861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-8861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2228</v>
      </c>
      <c r="H12" s="36">
        <f>GrossMargin!J13</f>
        <v>0</v>
      </c>
      <c r="I12" s="36">
        <f>+'Mgmt Summary'!I12</f>
        <v>0</v>
      </c>
      <c r="J12" s="136">
        <f t="shared" si="1"/>
        <v>2228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-1503.5229999999999</v>
      </c>
      <c r="P12" s="37"/>
      <c r="Q12" s="133">
        <f>+'Mgmt Summary'!Q12</f>
        <v>-6281.2510000000002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-6281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3612</v>
      </c>
      <c r="H14" s="36">
        <f>GrossMargin!J15</f>
        <v>0</v>
      </c>
      <c r="I14" s="36">
        <f>+'Mgmt Summary'!I14</f>
        <v>0</v>
      </c>
      <c r="J14" s="136">
        <f t="shared" si="1"/>
        <v>3612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-2170.386</v>
      </c>
      <c r="P14" s="37"/>
      <c r="Q14" s="133">
        <f>+'Mgmt Summary'!Q14</f>
        <v>-16388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-16388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-1493.25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-1423.5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1177.3579999999999</v>
      </c>
      <c r="E23" s="135">
        <f>C23-D23</f>
        <v>-2035.8590000000002</v>
      </c>
      <c r="F23" s="36"/>
      <c r="G23" s="133">
        <f>+'Mgmt Summary'!G18</f>
        <v>-859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25.358000000000004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-0.49899999999979627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5341.1080000000002</v>
      </c>
      <c r="E25" s="45">
        <f>SUM(E21:E24)</f>
        <v>-1786.6090000000002</v>
      </c>
      <c r="F25" s="36">
        <f>SUM(F19:F23)</f>
        <v>0</v>
      </c>
      <c r="G25" s="43">
        <f t="shared" ref="G25:O25" si="6">SUM(G21:G24)</f>
        <v>388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2265.1080000000002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-3166.4989999999998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-3166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27654</v>
      </c>
      <c r="E30" s="135">
        <f>C30-D30</f>
        <v>-27654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27654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zoomScale="95" workbookViewId="0">
      <selection activeCell="G22" sqref="G22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1,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116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-13905</v>
      </c>
      <c r="D8" s="226">
        <f>+'Mgmt Summary'!C9</f>
        <v>40000</v>
      </c>
      <c r="E8" s="227">
        <f t="shared" ref="E8:E13" si="0">-D8+C8</f>
        <v>-53905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-31033.77</v>
      </c>
      <c r="L8" s="226">
        <f t="shared" ref="K8:L13" si="2">D8-H8</f>
        <v>22871.23</v>
      </c>
      <c r="M8" s="227">
        <f t="shared" ref="M8:M13" si="3">K8-L8</f>
        <v>-53905</v>
      </c>
      <c r="N8" s="290"/>
      <c r="O8" s="225">
        <f>+C8-'[1]QTD Mgmt Summary'!C8</f>
        <v>-2100</v>
      </c>
      <c r="P8" s="226">
        <f>-G8+'[1]QTD Mgmt Summary'!G8</f>
        <v>0</v>
      </c>
      <c r="Q8" s="227">
        <f>+O8+P8</f>
        <v>-2100</v>
      </c>
    </row>
    <row r="9" spans="1:22" s="32" customFormat="1" ht="13.5" customHeight="1">
      <c r="A9" s="223" t="s">
        <v>1</v>
      </c>
      <c r="B9" s="224"/>
      <c r="C9" s="225">
        <f>+'Mgmt Summary'!J10</f>
        <v>3961.5909999999999</v>
      </c>
      <c r="D9" s="226">
        <f>+'Mgmt Summary'!C10</f>
        <v>13750</v>
      </c>
      <c r="E9" s="227">
        <f t="shared" si="0"/>
        <v>-9788.4089999999997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-3859.9259999999999</v>
      </c>
      <c r="L9" s="226">
        <f t="shared" si="2"/>
        <v>5928.4830000000002</v>
      </c>
      <c r="M9" s="227">
        <f t="shared" si="3"/>
        <v>-9788.4089999999997</v>
      </c>
      <c r="N9" s="290"/>
      <c r="O9" s="225">
        <f>+C9-'[1]QTD Mgmt Summary'!C9</f>
        <v>-2914.9044699999999</v>
      </c>
      <c r="P9" s="226">
        <f>-G9+'[1]QTD Mgmt Summary'!G9</f>
        <v>0</v>
      </c>
      <c r="Q9" s="227">
        <f t="shared" ref="Q9:Q16" si="4">+O9+P9</f>
        <v>-2914.9044699999999</v>
      </c>
    </row>
    <row r="10" spans="1:22" s="32" customFormat="1" ht="13.5" customHeight="1">
      <c r="A10" s="223" t="s">
        <v>44</v>
      </c>
      <c r="B10" s="224"/>
      <c r="C10" s="225">
        <f>+'Mgmt Summary'!J11</f>
        <v>-3861</v>
      </c>
      <c r="D10" s="226">
        <f>+'Mgmt Summary'!C11</f>
        <v>5000</v>
      </c>
      <c r="E10" s="227">
        <f t="shared" si="0"/>
        <v>-8861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-5917.6810000000005</v>
      </c>
      <c r="L10" s="226">
        <f t="shared" si="2"/>
        <v>2943.319</v>
      </c>
      <c r="M10" s="227">
        <f t="shared" si="3"/>
        <v>-8861</v>
      </c>
      <c r="N10" s="290"/>
      <c r="O10" s="225">
        <f>+C10-'[1]QTD Mgmt Summary'!C10</f>
        <v>-1048</v>
      </c>
      <c r="P10" s="226">
        <f>-G10+'[1]QTD Mgmt Summary'!G10</f>
        <v>0</v>
      </c>
      <c r="Q10" s="227">
        <f t="shared" si="4"/>
        <v>-1048</v>
      </c>
    </row>
    <row r="11" spans="1:22" s="32" customFormat="1" ht="13.5" customHeight="1">
      <c r="A11" s="223" t="s">
        <v>64</v>
      </c>
      <c r="B11" s="224"/>
      <c r="C11" s="225">
        <f>+'Mgmt Summary'!J12</f>
        <v>2228</v>
      </c>
      <c r="D11" s="226">
        <f>+'Mgmt Summary'!C12</f>
        <v>8509.2510000000002</v>
      </c>
      <c r="E11" s="227">
        <f t="shared" si="0"/>
        <v>-6281.2510000000002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-1503.5230000000001</v>
      </c>
      <c r="L11" s="226">
        <f t="shared" si="2"/>
        <v>4777.7280000000001</v>
      </c>
      <c r="M11" s="227">
        <f t="shared" si="3"/>
        <v>-6281.2510000000002</v>
      </c>
      <c r="N11" s="290"/>
      <c r="O11" s="225">
        <f>+C11-'[1]QTD Mgmt Summary'!C11</f>
        <v>613</v>
      </c>
      <c r="P11" s="226">
        <f>-G11+'[1]QTD Mgmt Summary'!G11</f>
        <v>0</v>
      </c>
      <c r="Q11" s="227">
        <f t="shared" si="4"/>
        <v>613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3612</v>
      </c>
      <c r="D13" s="226">
        <f>+'Mgmt Summary'!C14</f>
        <v>20000</v>
      </c>
      <c r="E13" s="227">
        <f t="shared" si="0"/>
        <v>-16388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-2170.3860000000004</v>
      </c>
      <c r="L13" s="226">
        <f t="shared" si="2"/>
        <v>14217.614</v>
      </c>
      <c r="M13" s="227">
        <f t="shared" si="3"/>
        <v>-16388</v>
      </c>
      <c r="N13" s="290"/>
      <c r="O13" s="225">
        <f>+C13-'[1]QTD Mgmt Summary'!C13</f>
        <v>564</v>
      </c>
      <c r="P13" s="294">
        <f>(-G13+'[1]QTD Mgmt Summary'!G13)*0</f>
        <v>0</v>
      </c>
      <c r="Q13" s="227">
        <f t="shared" si="4"/>
        <v>564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-1493.25</v>
      </c>
      <c r="L15" s="226">
        <f t="shared" si="7"/>
        <v>424.75</v>
      </c>
      <c r="M15" s="227">
        <f t="shared" si="6"/>
        <v>-1918</v>
      </c>
      <c r="N15" s="290"/>
      <c r="O15" s="225">
        <f>+C15-'[1]QTD Mgmt Summary'!C15</f>
        <v>808</v>
      </c>
      <c r="P15" s="226">
        <f>-G15+'[1]QTD Mgmt Summary'!G15</f>
        <v>0</v>
      </c>
      <c r="Q15" s="227">
        <f t="shared" si="4"/>
        <v>808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-1423.5</v>
      </c>
      <c r="L16" s="226">
        <f t="shared" si="7"/>
        <v>-175.5</v>
      </c>
      <c r="M16" s="227">
        <f t="shared" si="6"/>
        <v>-1248</v>
      </c>
      <c r="N16" s="290"/>
      <c r="O16" s="225">
        <f>+C16-'[1]QTD Mgmt Summary'!C16</f>
        <v>165</v>
      </c>
      <c r="P16" s="226">
        <f>-G16+'[1]QTD Mgmt Summary'!G16</f>
        <v>0</v>
      </c>
      <c r="Q16" s="227">
        <f t="shared" si="4"/>
        <v>165</v>
      </c>
    </row>
    <row r="17" spans="1:17" s="32" customFormat="1" ht="13.5" customHeight="1">
      <c r="A17" s="223" t="s">
        <v>93</v>
      </c>
      <c r="B17" s="224"/>
      <c r="C17" s="258">
        <f>+'Mgmt Summary'!J18</f>
        <v>-859</v>
      </c>
      <c r="D17" s="259">
        <f>+'Mgmt Summary'!C18</f>
        <v>-858.5010000000002</v>
      </c>
      <c r="E17" s="260">
        <f t="shared" si="5"/>
        <v>-0.49899999999979627</v>
      </c>
      <c r="F17" s="228"/>
      <c r="G17" s="258">
        <f>+Expenses!D18+'CapChrg-AllocExp'!K19+'CapChrg-AllocExp'!D19</f>
        <v>1177.3579999999999</v>
      </c>
      <c r="H17" s="259">
        <f>+Expenses!E18+'CapChrg-AllocExp'!L19+'CapChrg-AllocExp'!E19</f>
        <v>1177.3579999999999</v>
      </c>
      <c r="I17" s="260">
        <f>+H17-G17</f>
        <v>0</v>
      </c>
      <c r="J17" s="228"/>
      <c r="K17" s="258">
        <f t="shared" si="7"/>
        <v>-2036.3579999999999</v>
      </c>
      <c r="L17" s="259">
        <f t="shared" si="7"/>
        <v>-2035.8590000000002</v>
      </c>
      <c r="M17" s="260">
        <f t="shared" si="6"/>
        <v>-0.49899999999979627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-7576.4089999999997</v>
      </c>
      <c r="D21" s="235">
        <f>SUM(D8:D20)</f>
        <v>96188.75</v>
      </c>
      <c r="E21" s="236">
        <f>SUM(E8:E20)</f>
        <v>-103765.159</v>
      </c>
      <c r="F21" s="237"/>
      <c r="G21" s="234">
        <f>SUM(G8:G20)</f>
        <v>47026.732000000004</v>
      </c>
      <c r="H21" s="235">
        <f>SUM(H8:H20)</f>
        <v>46776.732000000004</v>
      </c>
      <c r="I21" s="236">
        <f>SUM(I8:I20)</f>
        <v>-250</v>
      </c>
      <c r="J21" s="237"/>
      <c r="K21" s="234">
        <f>SUM(K8:K20)</f>
        <v>-54603.141000000011</v>
      </c>
      <c r="L21" s="235">
        <f>SUM(L8:L20)</f>
        <v>49412.018000000004</v>
      </c>
      <c r="M21" s="236">
        <f>SUM(M8:M20)</f>
        <v>-104015.159</v>
      </c>
      <c r="N21" s="291"/>
      <c r="O21" s="234">
        <f>SUM(O8:O20)</f>
        <v>-3912.9044699999995</v>
      </c>
      <c r="P21" s="235">
        <f>SUM(P8:P20)</f>
        <v>0</v>
      </c>
      <c r="Q21" s="236">
        <f>SUM(Q8:Q20)</f>
        <v>-3912.9044699999995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27654</v>
      </c>
      <c r="H23" s="226">
        <f>+'Mgmt Summary'!D24</f>
        <v>27654</v>
      </c>
      <c r="I23" s="227">
        <f>+H23-G23</f>
        <v>0</v>
      </c>
      <c r="J23" s="228"/>
      <c r="K23" s="225">
        <f>C23-G23</f>
        <v>-27654</v>
      </c>
      <c r="L23" s="226">
        <f>D23-H23</f>
        <v>-27654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-8076.4089999999997</v>
      </c>
      <c r="D28" s="235">
        <f>SUM(D21:D26)</f>
        <v>95688.75</v>
      </c>
      <c r="E28" s="236">
        <f>SUM(E21:E26)</f>
        <v>-103765.159</v>
      </c>
      <c r="F28" s="237"/>
      <c r="G28" s="234">
        <f>SUM(G21:G26)</f>
        <v>50949.392</v>
      </c>
      <c r="H28" s="235">
        <f>SUM(H21:H26)</f>
        <v>50699.392</v>
      </c>
      <c r="I28" s="236">
        <f>SUM(I21:I26)</f>
        <v>-250</v>
      </c>
      <c r="J28" s="237"/>
      <c r="K28" s="234">
        <f>SUM(K21:K26)</f>
        <v>-59025.800999999999</v>
      </c>
      <c r="L28" s="235">
        <f>SUM(L21:L26)</f>
        <v>44989.358000000007</v>
      </c>
      <c r="M28" s="236">
        <f>SUM(M21:M26)</f>
        <v>-104015.159</v>
      </c>
      <c r="N28" s="291"/>
      <c r="O28" s="234">
        <f>SUM(O21:O26)</f>
        <v>-3912.9044699999995</v>
      </c>
      <c r="P28" s="235">
        <f>SUM(P21:P26)</f>
        <v>0</v>
      </c>
      <c r="Q28" s="236">
        <f>SUM(Q21:Q26)</f>
        <v>-3912.9044699999995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-8076.4089999999997</v>
      </c>
      <c r="D32" s="240">
        <f>+D28-D30</f>
        <v>95688.75</v>
      </c>
      <c r="E32" s="264">
        <f>+E28-E30</f>
        <v>-103765.159</v>
      </c>
      <c r="F32" s="241"/>
      <c r="G32" s="239">
        <f>SUM(G28:G30)</f>
        <v>51257.392</v>
      </c>
      <c r="H32" s="240">
        <f>SUM(H28:H30)</f>
        <v>51007.392</v>
      </c>
      <c r="I32" s="264">
        <f>SUM(I28:I30)</f>
        <v>-250</v>
      </c>
      <c r="J32" s="241"/>
      <c r="K32" s="239">
        <f>SUM(K28:K30)</f>
        <v>-59333.800999999999</v>
      </c>
      <c r="L32" s="240">
        <f>SUM(L28:L30)</f>
        <v>44681.358000000007</v>
      </c>
      <c r="M32" s="264">
        <f>SUM(M28:M30)</f>
        <v>-104015.159</v>
      </c>
      <c r="N32" s="291"/>
      <c r="O32" s="239">
        <f>SUM(O28:O30)</f>
        <v>-3912.9044699999995</v>
      </c>
      <c r="P32" s="240">
        <f>SUM(P28:P30)</f>
        <v>0</v>
      </c>
      <c r="Q32" s="264">
        <f>SUM(Q28:Q30)</f>
        <v>-3912.9044699999995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-4086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32.437999999999988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140.65753000000001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-3912.9044699999999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-8076.4089999999997</v>
      </c>
      <c r="G46" s="269" t="s">
        <v>108</v>
      </c>
      <c r="H46" s="270"/>
      <c r="I46" s="272">
        <f>+G32</f>
        <v>51257.392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-8076.4089999999997</v>
      </c>
      <c r="G48" s="279" t="s">
        <v>109</v>
      </c>
      <c r="H48" s="280"/>
      <c r="I48" s="285">
        <f>+I46-I45</f>
        <v>51257.392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tabSelected="1" zoomScaleNormal="100" workbookViewId="0">
      <selection activeCell="G9" sqref="G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118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5">
      <c r="A3" s="313" t="s">
        <v>130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-13905</v>
      </c>
      <c r="H9" s="36">
        <f>GrossMargin!J10</f>
        <v>0</v>
      </c>
      <c r="I9" s="36">
        <f>GrossMargin!K10</f>
        <v>0</v>
      </c>
      <c r="J9" s="136">
        <f t="shared" ref="J9:J15" si="1">SUM(G9:I9)</f>
        <v>-13905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-31033.77</v>
      </c>
      <c r="P9" s="37"/>
      <c r="Q9" s="133">
        <f t="shared" ref="Q9:Q15" si="3">+J9-C9</f>
        <v>-53905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-53905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3961.5909999999999</v>
      </c>
      <c r="H10" s="36">
        <f>GrossMargin!J11</f>
        <v>0</v>
      </c>
      <c r="I10" s="36">
        <f>GrossMargin!K11</f>
        <v>0</v>
      </c>
      <c r="J10" s="136">
        <f t="shared" si="1"/>
        <v>3961.5909999999999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-3859.9259999999999</v>
      </c>
      <c r="P10" s="37"/>
      <c r="Q10" s="133">
        <f t="shared" si="3"/>
        <v>-9788.4089999999997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-9788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-3861</v>
      </c>
      <c r="H11" s="36">
        <f>GrossMargin!J12</f>
        <v>0</v>
      </c>
      <c r="I11" s="36">
        <f>GrossMargin!K12</f>
        <v>0</v>
      </c>
      <c r="J11" s="136">
        <f t="shared" si="1"/>
        <v>-3861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-5917.6810000000005</v>
      </c>
      <c r="P11" s="37"/>
      <c r="Q11" s="133">
        <f t="shared" si="3"/>
        <v>-8861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-8861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2228</v>
      </c>
      <c r="H12" s="36">
        <f>GrossMargin!J13</f>
        <v>0</v>
      </c>
      <c r="I12" s="36">
        <f>GrossMargin!K13</f>
        <v>0</v>
      </c>
      <c r="J12" s="136">
        <f t="shared" si="1"/>
        <v>2228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-1503.5229999999999</v>
      </c>
      <c r="P12" s="37"/>
      <c r="Q12" s="133">
        <f t="shared" si="3"/>
        <v>-6281.2510000000002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-6281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3612</v>
      </c>
      <c r="H14" s="140">
        <f>GrossMargin!J15</f>
        <v>0</v>
      </c>
      <c r="I14" s="140">
        <f>+GrossMargin!K21</f>
        <v>0</v>
      </c>
      <c r="J14" s="179">
        <f t="shared" si="1"/>
        <v>3612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-2170.386</v>
      </c>
      <c r="P14" s="181"/>
      <c r="Q14" s="139">
        <f t="shared" si="3"/>
        <v>-16388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-16388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-1493.25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-1423.5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1177.3579999999999</v>
      </c>
      <c r="E18" s="164">
        <f>C18-D18</f>
        <v>-2035.8590000000002</v>
      </c>
      <c r="F18" s="140"/>
      <c r="G18" s="139">
        <f>+GrossMargin!I25</f>
        <v>-859</v>
      </c>
      <c r="H18" s="140">
        <f>GrossMargin!J20</f>
        <v>0</v>
      </c>
      <c r="I18" s="140">
        <f>+GrossMargin!K25</f>
        <v>0</v>
      </c>
      <c r="J18" s="179">
        <f>SUM(G18:I18)</f>
        <v>-859</v>
      </c>
      <c r="K18" s="180"/>
      <c r="L18" s="139">
        <f>+'CapChrg-AllocExp'!D19</f>
        <v>591</v>
      </c>
      <c r="M18" s="36">
        <f>Expenses!D18</f>
        <v>25.358000000000004</v>
      </c>
      <c r="N18" s="140">
        <f>+'CapChrg-AllocExp'!K19</f>
        <v>561</v>
      </c>
      <c r="O18" s="179">
        <f>J18-K18-M18-N18-L18</f>
        <v>-2036.3579999999999</v>
      </c>
      <c r="P18" s="181"/>
      <c r="Q18" s="139">
        <f>+J18-C18</f>
        <v>-0.49899999999979627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46776.732000000004</v>
      </c>
      <c r="E22" s="45">
        <f>SUM(E9:E21)</f>
        <v>49412.018000000004</v>
      </c>
      <c r="F22" s="36"/>
      <c r="G22" s="43">
        <f t="shared" ref="G22:O22" si="5">SUM(G9:G21)</f>
        <v>-7576.4089999999997</v>
      </c>
      <c r="H22" s="44">
        <f t="shared" si="5"/>
        <v>0</v>
      </c>
      <c r="I22" s="45">
        <f t="shared" si="5"/>
        <v>0</v>
      </c>
      <c r="J22" s="46">
        <f t="shared" si="5"/>
        <v>-7576.4089999999997</v>
      </c>
      <c r="K22" s="44">
        <f t="shared" si="5"/>
        <v>0</v>
      </c>
      <c r="L22" s="43">
        <f t="shared" si="5"/>
        <v>1383.4870000000001</v>
      </c>
      <c r="M22" s="44">
        <f t="shared" si="5"/>
        <v>23295.391999999996</v>
      </c>
      <c r="N22" s="44">
        <f t="shared" si="5"/>
        <v>22347.853000000003</v>
      </c>
      <c r="O22" s="46">
        <f t="shared" si="5"/>
        <v>-54603.141000000011</v>
      </c>
      <c r="P22" s="180"/>
      <c r="Q22" s="43">
        <f t="shared" ref="Q22:V22" si="6">SUM(Q9:Q21)</f>
        <v>-103765.159</v>
      </c>
      <c r="R22" s="44">
        <f t="shared" si="6"/>
        <v>0</v>
      </c>
      <c r="S22" s="44">
        <f t="shared" si="6"/>
        <v>0</v>
      </c>
      <c r="T22" s="44">
        <f t="shared" si="6"/>
        <v>-250</v>
      </c>
      <c r="U22" s="44">
        <f t="shared" si="6"/>
        <v>0</v>
      </c>
      <c r="V22" s="45">
        <f t="shared" si="6"/>
        <v>-104014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27654</v>
      </c>
      <c r="E24" s="135">
        <f>C24-D24</f>
        <v>-27654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27654</v>
      </c>
      <c r="N24" s="36">
        <v>0</v>
      </c>
      <c r="O24" s="136">
        <f>J24-K24-M24-N24-L24</f>
        <v>-27654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44989.358000000007</v>
      </c>
      <c r="F29" s="36"/>
      <c r="G29" s="43">
        <f t="shared" ref="G29:O29" si="7">SUM(G22:G28)</f>
        <v>-8076.4089999999997</v>
      </c>
      <c r="H29" s="44">
        <f t="shared" si="7"/>
        <v>0</v>
      </c>
      <c r="I29" s="45">
        <f t="shared" si="7"/>
        <v>0</v>
      </c>
      <c r="J29" s="46">
        <f t="shared" si="7"/>
        <v>-8076.4089999999997</v>
      </c>
      <c r="K29" s="44">
        <f t="shared" si="7"/>
        <v>0</v>
      </c>
      <c r="L29" s="43">
        <f t="shared" si="7"/>
        <v>0</v>
      </c>
      <c r="M29" s="44">
        <f t="shared" si="7"/>
        <v>50949.391999999993</v>
      </c>
      <c r="N29" s="44">
        <f t="shared" si="7"/>
        <v>0</v>
      </c>
      <c r="O29" s="46">
        <f t="shared" si="7"/>
        <v>-59025.800999999999</v>
      </c>
      <c r="P29" s="180"/>
      <c r="Q29" s="43">
        <f t="shared" ref="Q29:V29" si="8">SUM(Q22:Q28)</f>
        <v>-103765.159</v>
      </c>
      <c r="R29" s="44">
        <f t="shared" si="8"/>
        <v>0</v>
      </c>
      <c r="S29" s="44">
        <f t="shared" si="8"/>
        <v>0</v>
      </c>
      <c r="T29" s="44">
        <f t="shared" si="8"/>
        <v>-250</v>
      </c>
      <c r="U29" s="44">
        <f t="shared" si="8"/>
        <v>0</v>
      </c>
      <c r="V29" s="45">
        <f t="shared" si="8"/>
        <v>-104014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44681.358000000007</v>
      </c>
      <c r="F33" s="36"/>
      <c r="G33" s="39">
        <f t="shared" ref="G33:V33" si="9">SUM(G29:G31)</f>
        <v>-8076.4089999999997</v>
      </c>
      <c r="H33" s="40">
        <f t="shared" si="9"/>
        <v>0</v>
      </c>
      <c r="I33" s="40">
        <f t="shared" si="9"/>
        <v>0</v>
      </c>
      <c r="J33" s="42">
        <f t="shared" si="9"/>
        <v>-8076.4089999999997</v>
      </c>
      <c r="K33" s="40">
        <f t="shared" si="9"/>
        <v>0</v>
      </c>
      <c r="L33" s="39">
        <f t="shared" si="9"/>
        <v>0</v>
      </c>
      <c r="M33" s="40">
        <f t="shared" si="9"/>
        <v>51257.391999999993</v>
      </c>
      <c r="N33" s="40">
        <f t="shared" si="9"/>
        <v>0</v>
      </c>
      <c r="O33" s="42">
        <f>J33-K33-M33-N33-L33</f>
        <v>-59333.800999999992</v>
      </c>
      <c r="P33" s="37"/>
      <c r="Q33" s="39">
        <f t="shared" si="9"/>
        <v>-103765.159</v>
      </c>
      <c r="R33" s="40">
        <f t="shared" si="9"/>
        <v>0</v>
      </c>
      <c r="S33" s="40">
        <f t="shared" si="9"/>
        <v>0</v>
      </c>
      <c r="T33" s="40">
        <f t="shared" si="9"/>
        <v>-250</v>
      </c>
      <c r="U33" s="40">
        <f t="shared" si="9"/>
        <v>0</v>
      </c>
      <c r="V33" s="41">
        <f t="shared" si="9"/>
        <v>-104014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F37" sqref="F37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February 1,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-2100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-2100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-2100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-2885</v>
      </c>
      <c r="D10" s="140">
        <f>+GrossMargin!E11-[1]GrossMargin!E11</f>
        <v>32.437999999999988</v>
      </c>
      <c r="E10" s="36">
        <f>+GrossMargin!F11-[1]GrossMargin!F11</f>
        <v>0</v>
      </c>
      <c r="F10" s="36">
        <f>+GrossMargin!G11-[1]GrossMargin!G11</f>
        <v>-62.342469999999999</v>
      </c>
      <c r="G10" s="138">
        <f>+GrossMargin!H11-[1]GrossMargin!H11</f>
        <v>0</v>
      </c>
      <c r="H10" s="300">
        <f t="shared" si="0"/>
        <v>-2914.9044699999999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-2914.9044699999999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-1048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-1048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-1048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613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613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613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-48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-48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-48</v>
      </c>
    </row>
    <row r="15" spans="1:11" ht="13.5" hidden="1" customHeight="1">
      <c r="A15" s="242" t="s">
        <v>115</v>
      </c>
      <c r="B15" s="249"/>
      <c r="C15" s="244">
        <f>+GrossMargin!D16-[1]GrossMargin!D16</f>
        <v>124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124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124</v>
      </c>
    </row>
    <row r="16" spans="1:11" ht="13.5" hidden="1" customHeight="1">
      <c r="A16" s="242" t="s">
        <v>84</v>
      </c>
      <c r="B16" s="249"/>
      <c r="C16" s="295">
        <f>+GrossMargin!D17-[1]GrossMargin!D17</f>
        <v>490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490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490</v>
      </c>
    </row>
    <row r="17" spans="1:11" ht="13.5" hidden="1" customHeight="1">
      <c r="A17" s="242" t="s">
        <v>82</v>
      </c>
      <c r="B17" s="249"/>
      <c r="C17" s="295">
        <f>+GrossMargin!D18-[1]GrossMargin!D18</f>
        <v>-2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-2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-2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564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564</v>
      </c>
      <c r="I20" s="299">
        <f t="shared" si="2"/>
        <v>0</v>
      </c>
      <c r="J20" s="36">
        <f t="shared" si="2"/>
        <v>0</v>
      </c>
      <c r="K20" s="135">
        <f t="shared" si="2"/>
        <v>564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770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38</v>
      </c>
      <c r="G22" s="138">
        <f>+GrossMargin!H23-[1]GrossMargin!H23</f>
        <v>0</v>
      </c>
      <c r="H22" s="300">
        <f t="shared" si="3"/>
        <v>808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808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165</v>
      </c>
      <c r="G23" s="138">
        <f>+GrossMargin!H24-[1]GrossMargin!H24</f>
        <v>0</v>
      </c>
      <c r="H23" s="134">
        <f t="shared" si="3"/>
        <v>165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165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-4086</v>
      </c>
      <c r="D28" s="44">
        <f t="shared" si="5"/>
        <v>32.437999999999988</v>
      </c>
      <c r="E28" s="44">
        <f t="shared" si="5"/>
        <v>0</v>
      </c>
      <c r="F28" s="44">
        <f t="shared" si="5"/>
        <v>140.65753000000001</v>
      </c>
      <c r="G28" s="45">
        <f t="shared" si="5"/>
        <v>0</v>
      </c>
      <c r="H28" s="46">
        <f t="shared" si="5"/>
        <v>-3912.9044699999995</v>
      </c>
      <c r="I28" s="44">
        <f t="shared" si="5"/>
        <v>0</v>
      </c>
      <c r="J28" s="44">
        <f t="shared" si="5"/>
        <v>0</v>
      </c>
      <c r="K28" s="45">
        <f t="shared" si="5"/>
        <v>-3912.9044699999995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-4086</v>
      </c>
      <c r="D32" s="40">
        <f>SUM(D28:D30)</f>
        <v>32.437999999999988</v>
      </c>
      <c r="E32" s="40">
        <f>SUM(E28:E31)</f>
        <v>0</v>
      </c>
      <c r="F32" s="40">
        <f>SUM(F28:F30)</f>
        <v>140.65753000000001</v>
      </c>
      <c r="G32" s="41">
        <f>SUM(G28:G30)</f>
        <v>0</v>
      </c>
      <c r="H32" s="39">
        <f>SUM(C32:G32)</f>
        <v>-3912.9044699999999</v>
      </c>
      <c r="I32" s="39">
        <f>SUM(I28:I30)</f>
        <v>0</v>
      </c>
      <c r="J32" s="40">
        <f>SUM(J28:J30)</f>
        <v>0</v>
      </c>
      <c r="K32" s="41">
        <f>SUM(H32:J32)</f>
        <v>-3912.9044699999999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F37" sqref="F37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February 1,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-13905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-13905</v>
      </c>
      <c r="J10" s="137"/>
      <c r="K10" s="36">
        <v>0</v>
      </c>
      <c r="L10" s="36">
        <f>+I10+K10</f>
        <v>-13905</v>
      </c>
      <c r="M10" s="253">
        <v>40000</v>
      </c>
      <c r="N10" s="135">
        <f t="shared" ref="N10:N22" si="1">L10-M10</f>
        <v>-53905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-4-D12</f>
        <v>3857</v>
      </c>
      <c r="E11" s="140">
        <f>38.964+65.627</f>
        <v>104.59099999999999</v>
      </c>
      <c r="F11" s="140">
        <v>0</v>
      </c>
      <c r="G11" s="140">
        <v>0</v>
      </c>
      <c r="H11" s="138">
        <v>0</v>
      </c>
      <c r="I11" s="136">
        <f t="shared" si="0"/>
        <v>3961.5909999999999</v>
      </c>
      <c r="J11" s="137"/>
      <c r="K11" s="36">
        <v>0</v>
      </c>
      <c r="L11" s="36">
        <f t="shared" ref="L11:L22" si="2">+I11+K11</f>
        <v>3961.5909999999999</v>
      </c>
      <c r="M11" s="253">
        <v>13750</v>
      </c>
      <c r="N11" s="135">
        <f t="shared" si="1"/>
        <v>-9788.4089999999997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-3861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-3861</v>
      </c>
      <c r="J12" s="137"/>
      <c r="K12" s="36">
        <v>0</v>
      </c>
      <c r="L12" s="36">
        <f t="shared" si="2"/>
        <v>-3861</v>
      </c>
      <c r="M12" s="253">
        <f>1875+3125</f>
        <v>5000</v>
      </c>
      <c r="N12" s="135">
        <f t="shared" si="1"/>
        <v>-8861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2228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2228</v>
      </c>
      <c r="J13" s="137"/>
      <c r="K13" s="36">
        <v>0</v>
      </c>
      <c r="L13" s="36">
        <f t="shared" si="2"/>
        <v>2228</v>
      </c>
      <c r="M13" s="253">
        <v>8509.2510000000002</v>
      </c>
      <c r="N13" s="135">
        <f t="shared" si="1"/>
        <v>-6281.2510000000002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-319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-319</v>
      </c>
      <c r="J15" s="246"/>
      <c r="K15" s="246">
        <v>0</v>
      </c>
      <c r="L15" s="36">
        <f t="shared" si="2"/>
        <v>-319</v>
      </c>
      <c r="M15" s="255">
        <v>0</v>
      </c>
      <c r="N15" s="247">
        <f>L15-M15</f>
        <v>-319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1581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1581</v>
      </c>
      <c r="J16" s="246"/>
      <c r="K16" s="246">
        <v>0</v>
      </c>
      <c r="L16" s="36">
        <f>+I16+K16</f>
        <v>1581</v>
      </c>
      <c r="M16" s="255">
        <v>0</v>
      </c>
      <c r="N16" s="247">
        <f>L16-M16</f>
        <v>1581</v>
      </c>
    </row>
    <row r="17" spans="1:16" ht="13.5" hidden="1" customHeight="1">
      <c r="B17" s="242" t="s">
        <v>84</v>
      </c>
      <c r="C17" s="243"/>
      <c r="D17" s="244">
        <v>2356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2356</v>
      </c>
      <c r="J17" s="246"/>
      <c r="K17" s="246">
        <v>0</v>
      </c>
      <c r="L17" s="36">
        <f t="shared" si="2"/>
        <v>2356</v>
      </c>
      <c r="M17" s="255">
        <v>0</v>
      </c>
      <c r="N17" s="247">
        <f>L17-M17</f>
        <v>2356</v>
      </c>
      <c r="P17" s="166"/>
    </row>
    <row r="18" spans="1:16" ht="13.5" hidden="1" customHeight="1">
      <c r="B18" s="242" t="s">
        <v>82</v>
      </c>
      <c r="C18" s="243"/>
      <c r="D18" s="244">
        <v>-6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-6</v>
      </c>
      <c r="J18" s="246"/>
      <c r="K18" s="246">
        <v>0</v>
      </c>
      <c r="L18" s="36">
        <f t="shared" si="2"/>
        <v>-6</v>
      </c>
      <c r="M18" s="255">
        <v>0</v>
      </c>
      <c r="N18" s="247">
        <f t="shared" si="1"/>
        <v>-6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3612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3612</v>
      </c>
      <c r="J21" s="137"/>
      <c r="K21" s="36">
        <f>SUM(K15:K20)</f>
        <v>0</v>
      </c>
      <c r="L21" s="36">
        <f t="shared" si="2"/>
        <v>3612</v>
      </c>
      <c r="M21" s="253">
        <v>20000</v>
      </c>
      <c r="N21" s="135">
        <f>L21-M21</f>
        <v>-16388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140">
        <v>-859</v>
      </c>
      <c r="H25" s="138">
        <v>0</v>
      </c>
      <c r="I25" s="136">
        <f t="shared" si="4"/>
        <v>-859</v>
      </c>
      <c r="J25" s="137"/>
      <c r="K25" s="36">
        <v>0</v>
      </c>
      <c r="L25" s="36">
        <f>+I25+K25</f>
        <v>-859</v>
      </c>
      <c r="M25" s="253">
        <f>2126.499-3240+255</f>
        <v>-858.5010000000002</v>
      </c>
      <c r="N25" s="135">
        <f>L25-M25</f>
        <v>-0.49899999999979627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-7025</v>
      </c>
      <c r="E29" s="40">
        <f t="shared" si="5"/>
        <v>104.59099999999999</v>
      </c>
      <c r="F29" s="40">
        <f t="shared" si="5"/>
        <v>0</v>
      </c>
      <c r="G29" s="40">
        <f t="shared" si="5"/>
        <v>-656</v>
      </c>
      <c r="H29" s="41">
        <f t="shared" si="5"/>
        <v>0</v>
      </c>
      <c r="I29" s="42">
        <f t="shared" si="5"/>
        <v>-7576.4089999999997</v>
      </c>
      <c r="J29" s="40">
        <f t="shared" si="5"/>
        <v>0</v>
      </c>
      <c r="K29" s="39">
        <f t="shared" si="5"/>
        <v>0</v>
      </c>
      <c r="L29" s="40">
        <f t="shared" si="5"/>
        <v>-7576.4089999999997</v>
      </c>
      <c r="M29" s="41">
        <f t="shared" si="5"/>
        <v>96188.75</v>
      </c>
      <c r="N29" s="41">
        <f t="shared" si="5"/>
        <v>-103765.159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-7025</v>
      </c>
      <c r="E33" s="40">
        <f>+E29+E31</f>
        <v>104.59099999999999</v>
      </c>
      <c r="F33" s="40">
        <f>+F29+F31</f>
        <v>0</v>
      </c>
      <c r="G33" s="40">
        <f>+G29+G31</f>
        <v>-1156</v>
      </c>
      <c r="H33" s="41">
        <f>+H29+H31</f>
        <v>0</v>
      </c>
      <c r="I33" s="42">
        <f>SUM(I29:I31)</f>
        <v>-8076.4089999999997</v>
      </c>
      <c r="J33" s="40">
        <f>SUM(J29:J31)</f>
        <v>0</v>
      </c>
      <c r="K33" s="39">
        <f>+K29+K31</f>
        <v>0</v>
      </c>
      <c r="L33" s="40">
        <f>+L29+L31</f>
        <v>-8076.4089999999997</v>
      </c>
      <c r="M33" s="41">
        <f>+M29+M31</f>
        <v>95688.75</v>
      </c>
      <c r="N33" s="41">
        <f>SUM(N29:N31)</f>
        <v>-103765.159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G22" sqref="G22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5">
      <c r="A3" s="11">
        <v>36861</v>
      </c>
      <c r="B3" s="324" t="s">
        <v>120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February 1,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25.358000000000004</v>
      </c>
      <c r="E18" s="173">
        <f>425.358-250-100-50</f>
        <v>25.358000000000004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23295.391999999996</v>
      </c>
      <c r="E22" s="57">
        <f>SUM(E9:E21)</f>
        <v>23045.391999999996</v>
      </c>
      <c r="F22" s="183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27654</v>
      </c>
      <c r="E24" s="142">
        <v>27654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50949.391999999993</v>
      </c>
      <c r="E27" s="48">
        <f>SUM(E22:E25)</f>
        <v>50699.391999999993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6" t="s">
        <v>49</v>
      </c>
      <c r="E30" s="327"/>
      <c r="F30" s="328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4" t="s">
        <v>39</v>
      </c>
      <c r="I31" s="315"/>
      <c r="J31" s="315"/>
      <c r="K31" s="31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G22" sqref="G22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5">
      <c r="A3" s="324" t="s">
        <v>125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February 1,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7" t="s">
        <v>49</v>
      </c>
      <c r="D30" s="318"/>
      <c r="E30" s="319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0" t="s">
        <v>39</v>
      </c>
      <c r="H31" s="321"/>
      <c r="I31" s="321"/>
      <c r="J31" s="322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3" zoomScaleNormal="100" workbookViewId="0">
      <selection activeCell="G22" sqref="G22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5">
      <c r="A3" s="10" t="s">
        <v>31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February 1,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5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2001-02-02T21:09:39Z</cp:lastPrinted>
  <dcterms:created xsi:type="dcterms:W3CDTF">1999-10-18T12:36:30Z</dcterms:created>
  <dcterms:modified xsi:type="dcterms:W3CDTF">2023-09-17T00:41:02Z</dcterms:modified>
</cp:coreProperties>
</file>