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363556-86E7-4B36-851C-EDC5F4E7A99B}" xr6:coauthVersionLast="47" xr6:coauthVersionMax="47" xr10:uidLastSave="{00000000-0000-0000-0000-000000000000}"/>
  <bookViews>
    <workbookView xWindow="-120" yWindow="-120" windowWidth="38640" windowHeight="15720"/>
  </bookViews>
  <sheets>
    <sheet name="Weekly Report" sheetId="9" r:id="rId1"/>
    <sheet name="Data" sheetId="7" r:id="rId2"/>
    <sheet name="EIM New Deals" sheetId="12" r:id="rId3"/>
    <sheet name="WE 2-22 EOL Data" sheetId="16" r:id="rId4"/>
    <sheet name="WE 2-28 EOL Data" sheetId="17" r:id="rId5"/>
    <sheet name="WE 2-15 EOL Data" sheetId="14" state="hidden" r:id="rId6"/>
    <sheet name="WE 2-8 EOL Data" sheetId="13" state="hidden" r:id="rId7"/>
    <sheet name="WE 2-1 EOL Data" sheetId="11" state="hidden" r:id="rId8"/>
    <sheet name="template from individuals" sheetId="3" state="hidden" r:id="rId9"/>
    <sheet name="template from eol" sheetId="10" state="hidden" r:id="rId10"/>
    <sheet name="Data People" sheetId="1" state="hidden" r:id="rId11"/>
  </sheets>
  <externalReferences>
    <externalReference r:id="rId12"/>
    <externalReference r:id="rId13"/>
    <externalReference r:id="rId14"/>
  </externalReferences>
  <definedNames>
    <definedName name="_xlnm._FilterDatabase" localSheetId="1" hidden="1">Data!$A$53:$G$77</definedName>
    <definedName name="DATARANGE">[3]DATA!$A$3:$Y$93</definedName>
    <definedName name="DATE">[3]DATA!$C$1</definedName>
    <definedName name="_xlnm.Print_Area" localSheetId="2">'EIM New Deals'!$A$1:$Q$33</definedName>
    <definedName name="_xlnm.Print_Area" localSheetId="8">'template from individuals'!$A$1:$I$33</definedName>
    <definedName name="_xlnm.Print_Area" localSheetId="0">'Weekly Report'!$A$1:$W$87</definedName>
    <definedName name="_xlnm.Print_Titles" localSheetId="2">'EIM New Deals'!$A:$A</definedName>
    <definedName name="SUMM_ALLOC">[3]ALLOCATION!$A$6:$C$48</definedName>
  </definedNames>
  <calcPr calcId="0" fullCalcOnLoad="1"/>
</workbook>
</file>

<file path=xl/calcChain.xml><?xml version="1.0" encoding="utf-8"?>
<calcChain xmlns="http://schemas.openxmlformats.org/spreadsheetml/2006/main">
  <c r="F12" i="7" l="1"/>
  <c r="G12" i="7"/>
  <c r="H12" i="7"/>
  <c r="I12" i="7"/>
  <c r="J12" i="7"/>
  <c r="K12" i="7"/>
  <c r="L12" i="7"/>
  <c r="M12" i="7"/>
  <c r="N12" i="7"/>
  <c r="F13" i="7"/>
  <c r="G13" i="7"/>
  <c r="H13" i="7"/>
  <c r="I13" i="7"/>
  <c r="J13" i="7"/>
  <c r="K13" i="7"/>
  <c r="L13" i="7"/>
  <c r="M13" i="7"/>
  <c r="N13" i="7"/>
  <c r="K14" i="7"/>
  <c r="L14" i="7"/>
  <c r="M14" i="7"/>
  <c r="N14" i="7"/>
  <c r="F15" i="7"/>
  <c r="G15" i="7"/>
  <c r="H15" i="7"/>
  <c r="I15" i="7"/>
  <c r="J15" i="7"/>
  <c r="K15" i="7"/>
  <c r="L15" i="7"/>
  <c r="M15" i="7"/>
  <c r="N15" i="7"/>
  <c r="F16" i="7"/>
  <c r="G16" i="7"/>
  <c r="H16" i="7"/>
  <c r="I16" i="7"/>
  <c r="J16" i="7"/>
  <c r="K16" i="7"/>
  <c r="L16" i="7"/>
  <c r="M16" i="7"/>
  <c r="N16" i="7"/>
  <c r="F17" i="7"/>
  <c r="G17" i="7"/>
  <c r="H17" i="7"/>
  <c r="I17" i="7"/>
  <c r="J17" i="7"/>
  <c r="K17" i="7"/>
  <c r="L17" i="7"/>
  <c r="M17" i="7"/>
  <c r="N17" i="7"/>
  <c r="F18" i="7"/>
  <c r="G18" i="7"/>
  <c r="H18" i="7"/>
  <c r="I18" i="7"/>
  <c r="J18" i="7"/>
  <c r="K18" i="7"/>
  <c r="L18" i="7"/>
  <c r="M18" i="7"/>
  <c r="N18" i="7"/>
  <c r="F19" i="7"/>
  <c r="G19" i="7"/>
  <c r="H19" i="7"/>
  <c r="I19" i="7"/>
  <c r="J19" i="7"/>
  <c r="K19" i="7"/>
  <c r="L19" i="7"/>
  <c r="M19" i="7"/>
  <c r="N19" i="7"/>
  <c r="K20" i="7"/>
  <c r="L20" i="7"/>
  <c r="M20" i="7"/>
  <c r="N20" i="7"/>
  <c r="F21" i="7"/>
  <c r="G21" i="7"/>
  <c r="H21" i="7"/>
  <c r="I21" i="7"/>
  <c r="J21" i="7"/>
  <c r="K21" i="7"/>
  <c r="L21" i="7"/>
  <c r="M21" i="7"/>
  <c r="N21" i="7"/>
  <c r="F22" i="7"/>
  <c r="G22" i="7"/>
  <c r="H22" i="7"/>
  <c r="I22" i="7"/>
  <c r="J22" i="7"/>
  <c r="K22" i="7"/>
  <c r="L22" i="7"/>
  <c r="M22" i="7"/>
  <c r="N22" i="7"/>
  <c r="F23" i="7"/>
  <c r="G23" i="7"/>
  <c r="H23" i="7"/>
  <c r="I23" i="7"/>
  <c r="J23" i="7"/>
  <c r="K23" i="7"/>
  <c r="L23" i="7"/>
  <c r="M23" i="7"/>
  <c r="N23" i="7"/>
  <c r="F24" i="7"/>
  <c r="J24" i="7"/>
  <c r="K24" i="7"/>
  <c r="L24" i="7"/>
  <c r="M24" i="7"/>
  <c r="N24" i="7"/>
  <c r="K27" i="7"/>
  <c r="L27" i="7"/>
  <c r="M27" i="7"/>
  <c r="N27" i="7"/>
  <c r="F28" i="7"/>
  <c r="G28" i="7"/>
  <c r="H28" i="7"/>
  <c r="I28" i="7"/>
  <c r="J28" i="7"/>
  <c r="K28" i="7"/>
  <c r="L28" i="7"/>
  <c r="M28" i="7"/>
  <c r="N28" i="7"/>
  <c r="F29" i="7"/>
  <c r="G29" i="7"/>
  <c r="H29" i="7"/>
  <c r="I29" i="7"/>
  <c r="J29" i="7"/>
  <c r="K29" i="7"/>
  <c r="L29" i="7"/>
  <c r="M29" i="7"/>
  <c r="N29" i="7"/>
  <c r="K30" i="7"/>
  <c r="L30" i="7"/>
  <c r="M30" i="7"/>
  <c r="N30" i="7"/>
  <c r="F31" i="7"/>
  <c r="G31" i="7"/>
  <c r="H31" i="7"/>
  <c r="I31" i="7"/>
  <c r="J31" i="7"/>
  <c r="K31" i="7"/>
  <c r="L31" i="7"/>
  <c r="M31" i="7"/>
  <c r="N31" i="7"/>
  <c r="K36" i="7"/>
  <c r="L36" i="7"/>
  <c r="M36" i="7"/>
  <c r="N36" i="7"/>
  <c r="F37" i="7"/>
  <c r="G37" i="7"/>
  <c r="H37" i="7"/>
  <c r="I37" i="7"/>
  <c r="J37" i="7"/>
  <c r="K37" i="7"/>
  <c r="L37" i="7"/>
  <c r="M37" i="7"/>
  <c r="N37" i="7"/>
  <c r="F38" i="7"/>
  <c r="G38" i="7"/>
  <c r="H38" i="7"/>
  <c r="I38" i="7"/>
  <c r="J38" i="7"/>
  <c r="K38" i="7"/>
  <c r="L38" i="7"/>
  <c r="M38" i="7"/>
  <c r="N38" i="7"/>
  <c r="H39" i="7"/>
  <c r="I39" i="7"/>
  <c r="J39" i="7"/>
  <c r="K39" i="7"/>
  <c r="L39" i="7"/>
  <c r="M39" i="7"/>
  <c r="N39" i="7"/>
  <c r="J40" i="7"/>
  <c r="K40" i="7"/>
  <c r="L40" i="7"/>
  <c r="M40" i="7"/>
  <c r="N40" i="7"/>
  <c r="J41" i="7"/>
  <c r="K41" i="7"/>
  <c r="L41" i="7"/>
  <c r="M41" i="7"/>
  <c r="N41" i="7"/>
  <c r="E54" i="7"/>
  <c r="E62" i="7"/>
  <c r="E70" i="7"/>
  <c r="G46" i="1"/>
  <c r="G52" i="1"/>
  <c r="C55" i="10"/>
  <c r="E55" i="10"/>
  <c r="G55" i="10"/>
  <c r="I55" i="10"/>
  <c r="C58" i="10"/>
  <c r="E58" i="10"/>
  <c r="G58" i="10"/>
  <c r="I58" i="10"/>
  <c r="B66" i="10"/>
  <c r="C66" i="10"/>
  <c r="D66" i="10"/>
  <c r="E66" i="10"/>
  <c r="F66" i="10"/>
  <c r="G66" i="10"/>
  <c r="H66" i="10"/>
  <c r="I66" i="10"/>
  <c r="B67" i="10"/>
  <c r="C67" i="10"/>
  <c r="D67" i="10"/>
  <c r="E67" i="10"/>
  <c r="F67" i="10"/>
  <c r="G67" i="10"/>
  <c r="H67" i="10"/>
  <c r="I67" i="10"/>
  <c r="B68" i="10"/>
  <c r="C68" i="10"/>
  <c r="D68" i="10"/>
  <c r="E68" i="10"/>
  <c r="F68" i="10"/>
  <c r="G68" i="10"/>
  <c r="H68" i="10"/>
  <c r="I68" i="10"/>
  <c r="B69" i="10"/>
  <c r="C69" i="10"/>
  <c r="D69" i="10"/>
  <c r="E69" i="10"/>
  <c r="F69" i="10"/>
  <c r="G69" i="10"/>
  <c r="H69" i="10"/>
  <c r="I69" i="10"/>
  <c r="B70" i="10"/>
  <c r="C70" i="10"/>
  <c r="D70" i="10"/>
  <c r="E70" i="10"/>
  <c r="F70" i="10"/>
  <c r="G70" i="10"/>
  <c r="H70" i="10"/>
  <c r="I70" i="10"/>
  <c r="B71" i="10"/>
  <c r="C71" i="10"/>
  <c r="D71" i="10"/>
  <c r="E71" i="10"/>
  <c r="F71" i="10"/>
  <c r="G71" i="10"/>
  <c r="H71" i="10"/>
  <c r="I71" i="10"/>
  <c r="B72" i="10"/>
  <c r="C72" i="10"/>
  <c r="D72" i="10"/>
  <c r="E72" i="10"/>
  <c r="F72" i="10"/>
  <c r="G72" i="10"/>
  <c r="H72" i="10"/>
  <c r="I72" i="10"/>
  <c r="B73" i="10"/>
  <c r="C73" i="10"/>
  <c r="D73" i="10"/>
  <c r="E73" i="10"/>
  <c r="F73" i="10"/>
  <c r="G73" i="10"/>
  <c r="H73" i="10"/>
  <c r="I73" i="10"/>
  <c r="B74" i="10"/>
  <c r="C74" i="10"/>
  <c r="D74" i="10"/>
  <c r="E74" i="10"/>
  <c r="F74" i="10"/>
  <c r="G74" i="10"/>
  <c r="H74" i="10"/>
  <c r="I74" i="10"/>
  <c r="B75" i="10"/>
  <c r="C75" i="10"/>
  <c r="D75" i="10"/>
  <c r="E75" i="10"/>
  <c r="F75" i="10"/>
  <c r="G75" i="10"/>
  <c r="H75" i="10"/>
  <c r="I75" i="10"/>
  <c r="B76" i="10"/>
  <c r="C76" i="10"/>
  <c r="D76" i="10"/>
  <c r="E76" i="10"/>
  <c r="F76" i="10"/>
  <c r="G76" i="10"/>
  <c r="H76" i="10"/>
  <c r="I76" i="10"/>
  <c r="B77" i="10"/>
  <c r="C77" i="10"/>
  <c r="D77" i="10"/>
  <c r="E77" i="10"/>
  <c r="F77" i="10"/>
  <c r="G77" i="10"/>
  <c r="H77" i="10"/>
  <c r="I77" i="10"/>
  <c r="J37" i="3"/>
  <c r="J38" i="3"/>
  <c r="J39" i="3"/>
  <c r="J40" i="3"/>
  <c r="J41" i="3"/>
  <c r="B42" i="3"/>
  <c r="H42" i="3"/>
  <c r="J42" i="3"/>
  <c r="B43" i="3"/>
  <c r="C43" i="3"/>
  <c r="D43" i="3"/>
  <c r="E43" i="3"/>
  <c r="F43" i="3"/>
  <c r="G43" i="3"/>
  <c r="H43" i="3"/>
  <c r="I43" i="3"/>
  <c r="J43" i="3"/>
  <c r="J44" i="3"/>
  <c r="J45" i="3"/>
  <c r="J46" i="3"/>
  <c r="J47" i="3"/>
  <c r="J48" i="3"/>
  <c r="J49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B60" i="3"/>
  <c r="C60" i="3"/>
  <c r="D60" i="3"/>
  <c r="E60" i="3"/>
  <c r="F60" i="3"/>
  <c r="G60" i="3"/>
  <c r="H60" i="3"/>
  <c r="I60" i="3"/>
  <c r="B62" i="3"/>
  <c r="C62" i="3"/>
  <c r="D62" i="3"/>
  <c r="E62" i="3"/>
  <c r="F62" i="3"/>
  <c r="G62" i="3"/>
  <c r="H62" i="3"/>
  <c r="I62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6" i="11"/>
  <c r="C6" i="11"/>
  <c r="B7" i="11"/>
  <c r="C7" i="11"/>
  <c r="B9" i="11"/>
  <c r="C9" i="11"/>
  <c r="B10" i="11"/>
  <c r="C10" i="11"/>
  <c r="B11" i="11"/>
  <c r="C11" i="11"/>
  <c r="B12" i="11"/>
  <c r="C12" i="11"/>
  <c r="B14" i="11"/>
  <c r="C14" i="11"/>
  <c r="B29" i="11"/>
  <c r="C29" i="11"/>
  <c r="B30" i="11"/>
  <c r="C30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9" i="11"/>
  <c r="C55" i="11"/>
  <c r="C58" i="11"/>
  <c r="B6" i="14"/>
  <c r="C6" i="14"/>
  <c r="B7" i="14"/>
  <c r="C7" i="14"/>
  <c r="B9" i="14"/>
  <c r="C9" i="14"/>
  <c r="B10" i="14"/>
  <c r="C10" i="14"/>
  <c r="B11" i="14"/>
  <c r="C11" i="14"/>
  <c r="B12" i="14"/>
  <c r="C12" i="14"/>
  <c r="B13" i="14"/>
  <c r="C13" i="14"/>
  <c r="B14" i="14"/>
  <c r="C14" i="14"/>
  <c r="B16" i="14"/>
  <c r="C16" i="14"/>
  <c r="B17" i="14"/>
  <c r="C17" i="14"/>
  <c r="B29" i="14"/>
  <c r="C29" i="14"/>
  <c r="B30" i="14"/>
  <c r="C30" i="14"/>
  <c r="B32" i="14"/>
  <c r="C32" i="14"/>
  <c r="B33" i="14"/>
  <c r="C33" i="14"/>
  <c r="B34" i="14"/>
  <c r="C34" i="14"/>
  <c r="B35" i="14"/>
  <c r="C35" i="14"/>
  <c r="B36" i="14"/>
  <c r="C36" i="14"/>
  <c r="B37" i="14"/>
  <c r="C37" i="14"/>
  <c r="B39" i="14"/>
  <c r="B40" i="14"/>
  <c r="C40" i="14"/>
  <c r="C55" i="14"/>
  <c r="C58" i="14"/>
  <c r="B25" i="16"/>
  <c r="B45" i="16"/>
  <c r="C55" i="16"/>
  <c r="C58" i="16"/>
  <c r="B6" i="13"/>
  <c r="C6" i="13"/>
  <c r="B7" i="13"/>
  <c r="C7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6" i="13"/>
  <c r="C16" i="13"/>
  <c r="B17" i="13"/>
  <c r="C17" i="13"/>
  <c r="B29" i="13"/>
  <c r="C29" i="13"/>
  <c r="B30" i="13"/>
  <c r="C30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9" i="13"/>
  <c r="C39" i="13"/>
  <c r="B40" i="13"/>
  <c r="C40" i="13"/>
  <c r="C55" i="13"/>
  <c r="C58" i="13"/>
  <c r="J12" i="9"/>
  <c r="K12" i="9"/>
  <c r="L12" i="9"/>
  <c r="M12" i="9"/>
  <c r="N12" i="9"/>
  <c r="O12" i="9"/>
  <c r="R12" i="9"/>
  <c r="S12" i="9"/>
  <c r="T12" i="9"/>
  <c r="U12" i="9"/>
  <c r="V12" i="9"/>
  <c r="W12" i="9"/>
  <c r="J13" i="9"/>
  <c r="K13" i="9"/>
  <c r="L13" i="9"/>
  <c r="M13" i="9"/>
  <c r="N13" i="9"/>
  <c r="O13" i="9"/>
  <c r="R13" i="9"/>
  <c r="S13" i="9"/>
  <c r="T13" i="9"/>
  <c r="U13" i="9"/>
  <c r="V13" i="9"/>
  <c r="W13" i="9"/>
  <c r="R15" i="9"/>
  <c r="S15" i="9"/>
  <c r="T15" i="9"/>
  <c r="U15" i="9"/>
  <c r="V15" i="9"/>
  <c r="W15" i="9"/>
  <c r="J16" i="9"/>
  <c r="K16" i="9"/>
  <c r="L16" i="9"/>
  <c r="M16" i="9"/>
  <c r="N16" i="9"/>
  <c r="O16" i="9"/>
  <c r="R16" i="9"/>
  <c r="S16" i="9"/>
  <c r="T16" i="9"/>
  <c r="U16" i="9"/>
  <c r="V16" i="9"/>
  <c r="W16" i="9"/>
  <c r="J17" i="9"/>
  <c r="K17" i="9"/>
  <c r="L17" i="9"/>
  <c r="M17" i="9"/>
  <c r="N17" i="9"/>
  <c r="O17" i="9"/>
  <c r="R17" i="9"/>
  <c r="S17" i="9"/>
  <c r="T17" i="9"/>
  <c r="U17" i="9"/>
  <c r="V17" i="9"/>
  <c r="W17" i="9"/>
  <c r="J18" i="9"/>
  <c r="K18" i="9"/>
  <c r="L18" i="9"/>
  <c r="M18" i="9"/>
  <c r="N18" i="9"/>
  <c r="O18" i="9"/>
  <c r="R18" i="9"/>
  <c r="S18" i="9"/>
  <c r="T18" i="9"/>
  <c r="U18" i="9"/>
  <c r="V18" i="9"/>
  <c r="W18" i="9"/>
  <c r="J19" i="9"/>
  <c r="K19" i="9"/>
  <c r="L19" i="9"/>
  <c r="M19" i="9"/>
  <c r="N19" i="9"/>
  <c r="O19" i="9"/>
  <c r="R19" i="9"/>
  <c r="S19" i="9"/>
  <c r="T19" i="9"/>
  <c r="U19" i="9"/>
  <c r="V19" i="9"/>
  <c r="W19" i="9"/>
  <c r="J20" i="9"/>
  <c r="K20" i="9"/>
  <c r="L20" i="9"/>
  <c r="M20" i="9"/>
  <c r="N20" i="9"/>
  <c r="O20" i="9"/>
  <c r="R20" i="9"/>
  <c r="S20" i="9"/>
  <c r="T20" i="9"/>
  <c r="U20" i="9"/>
  <c r="V20" i="9"/>
  <c r="W20" i="9"/>
  <c r="R21" i="9"/>
  <c r="S21" i="9"/>
  <c r="T21" i="9"/>
  <c r="U21" i="9"/>
  <c r="V21" i="9"/>
  <c r="W21" i="9"/>
  <c r="R22" i="9"/>
  <c r="S22" i="9"/>
  <c r="T22" i="9"/>
  <c r="U22" i="9"/>
  <c r="V22" i="9"/>
  <c r="W22" i="9"/>
  <c r="J23" i="9"/>
  <c r="K23" i="9"/>
  <c r="L23" i="9"/>
  <c r="M23" i="9"/>
  <c r="N23" i="9"/>
  <c r="O23" i="9"/>
  <c r="J24" i="9"/>
  <c r="K24" i="9"/>
  <c r="L24" i="9"/>
  <c r="M24" i="9"/>
  <c r="N24" i="9"/>
  <c r="O24" i="9"/>
  <c r="J25" i="9"/>
  <c r="K25" i="9"/>
  <c r="L25" i="9"/>
  <c r="M25" i="9"/>
  <c r="N25" i="9"/>
  <c r="O25" i="9"/>
  <c r="J26" i="9"/>
  <c r="K26" i="9"/>
  <c r="L26" i="9"/>
  <c r="M26" i="9"/>
  <c r="N26" i="9"/>
  <c r="O26" i="9"/>
  <c r="U26" i="9"/>
</calcChain>
</file>

<file path=xl/sharedStrings.xml><?xml version="1.0" encoding="utf-8"?>
<sst xmlns="http://schemas.openxmlformats.org/spreadsheetml/2006/main" count="1026" uniqueCount="163">
  <si>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</si>
  <si>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</si>
  <si>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</si>
  <si>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</si>
  <si>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</si>
  <si>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</si>
  <si>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</si>
  <si>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</si>
  <si>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</si>
  <si>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</si>
  <si>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</si>
  <si>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</si>
  <si>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</si>
  <si>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</si>
  <si>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</si>
  <si>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</si>
  <si>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</si>
  <si>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</si>
  <si>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</si>
  <si>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</si>
  <si>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</si>
  <si>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</si>
  <si>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</si>
  <si>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</si>
  <si>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</si>
  <si>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</si>
  <si>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</si>
  <si>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</si>
  <si>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</si>
  <si>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</si>
  <si>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</si>
  <si>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</si>
  <si>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</si>
  <si>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</si>
  <si>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</si>
  <si>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</si>
  <si>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</si>
  <si>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</si>
  <si>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</si>
  <si>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</si>
  <si>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</si>
  <si>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</si>
  <si>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</si>
  <si>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</si>
  <si>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</si>
  <si>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</si>
  <si>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</si>
  <si>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</si>
  <si>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</si>
  <si>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</si>
  <si>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</si>
  <si>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</si>
  <si>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</si>
  <si>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</si>
  <si>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</si>
  <si>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</si>
  <si>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</si>
  <si>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</si>
  <si>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</si>
  <si>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</si>
  <si>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</si>
  <si>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</si>
  <si>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</si>
  <si>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</si>
  <si>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</si>
  <si>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</si>
  <si>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</si>
  <si>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</si>
  <si>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</si>
  <si>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</si>
  <si>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</si>
  <si>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</si>
  <si>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</si>
  <si>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</si>
  <si>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</si>
  <si>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</si>
  <si>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</si>
  <si>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</si>
  <si>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</si>
  <si>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</si>
  <si>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</si>
  <si>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</si>
  <si>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</si>
  <si>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</si>
  <si>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</si>
  <si>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</si>
  <si>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</si>
  <si>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</si>
  <si>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</si>
  <si>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</si>
  <si>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</si>
  <si>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</si>
  <si>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</si>
  <si>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</si>
  <si>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</si>
  <si>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</si>
  <si>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</si>
  <si>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</si>
  <si>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</si>
  <si>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</si>
  <si>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</si>
  <si>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</si>
  <si>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</si>
  <si>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</si>
  <si>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</si>
  <si>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* Breakout of EIM volumes not available at this time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</si>
  <si>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</si>
  <si>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</si>
  <si>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</si>
  <si>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</si>
  <si>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</si>
  <si>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</si>
  <si>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</si>
  <si>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</si>
  <si>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</si>
  <si>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</si>
  <si>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</si>
  <si>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</si>
  <si>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</si>
  <si>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</si>
  <si>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Total EIM</t>
  </si>
  <si>
    <t>Lumber Converted</t>
  </si>
  <si>
    <t>EIM TOTAL</t>
  </si>
  <si>
    <t>EIM Total*</t>
  </si>
  <si>
    <t>12/29 - 1/4</t>
  </si>
  <si>
    <t>1/5 - 1/11</t>
  </si>
  <si>
    <t>1/12 - 1/18</t>
  </si>
  <si>
    <t>1/19 - 1/25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</si>
  <si>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</si>
  <si>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</si>
  <si>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</si>
  <si>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</si>
  <si>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</si>
  <si>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</si>
  <si>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</si>
  <si>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</si>
  <si>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</si>
  <si>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</si>
  <si>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</si>
  <si>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Physical Volume of New Deals</t>
  </si>
  <si>
    <t>2/2 -2/8</t>
  </si>
  <si>
    <t>1/26 - 2/1</t>
  </si>
  <si>
    <t>2/2 - 2/8</t>
  </si>
  <si>
    <t>Week ending 2/8</t>
  </si>
  <si>
    <t>2/9 - 2/15</t>
  </si>
  <si>
    <t>2/9 -2/15</t>
  </si>
  <si>
    <t>Week ending 2/15</t>
  </si>
  <si>
    <t>2/16-2/22</t>
  </si>
  <si>
    <t>Week ending 2/22</t>
  </si>
  <si>
    <t>Week Ending 22</t>
  </si>
  <si>
    <t>2/16 - 2/22</t>
  </si>
  <si>
    <t>2/23 - 2/28</t>
  </si>
  <si>
    <t>2/16-2/23</t>
  </si>
  <si>
    <t>MARCH</t>
  </si>
  <si>
    <t>Week Ending 28</t>
  </si>
  <si>
    <t>Week Ending 7</t>
  </si>
  <si>
    <t>Week Ending 14</t>
  </si>
  <si>
    <t>Week Ending 21</t>
  </si>
  <si>
    <t>Week ending 2/28</t>
  </si>
  <si>
    <t>Because of systems issues (data mart is down) therefore they cannot pull IR/FX .  Since data mart is down, they are using their old access database which does not include IR/FX.  For this week will need to get the information from Clara Carrington in the Mgr of the Risk Mgmt Desk in IR/FX.</t>
  </si>
  <si>
    <t>Completion of HPL deal on target.</t>
  </si>
  <si>
    <t>Mid and Back Office commercialization modeling initiated.</t>
  </si>
  <si>
    <r>
      <t xml:space="preserve">2/23-2/28 </t>
    </r>
    <r>
      <rPr>
        <b/>
        <vertAlign val="superscript"/>
        <sz val="12"/>
        <rFont val="Arial"/>
        <family val="2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</si>
</sst>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5" formatCode="_(* #,##0_);_(* \(#,##0\);_(* &quot;-&quot;??_);_(@_)"/>
    <numFmt numFmtId="167" formatCode="_-* #,##0_-;\-* #,##0_-;_-* &quot;-&quot;_-;_-@_-"/>
    <numFmt numFmtId="168" formatCode="_-* #,##0.00_-;\-* #,##0.00_-;_-* &quot;-&quot;??_-;_-@_-"/>
    <numFmt numFmtId="169" formatCode="_-&quot;£&quot;* #,##0_-;\-&quot;£&quot;* #,##0_-;_-&quot;£&quot;* &quot;-&quot;_-;_-@_-"/>
    <numFmt numFmtId="170" formatCode="_-&quot;£&quot;* #,##0.00_-;\-&quot;£&quot;* #,##0.00_-;_-&quot;£&quot;* &quot;-&quot;??_-;_-@_-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0"/>
      <color indexed="8"/>
      <name val="MS Sans Serif"/>
    </font>
    <font>
      <sz val="8.5"/>
      <name val="MS Sans Serif"/>
    </font>
    <font>
      <sz val="13"/>
      <name val="Arial"/>
      <family val="2"/>
    </font>
    <font>
      <b/>
      <sz val="13"/>
      <name val="Arial"/>
      <family val="2"/>
    </font>
    <font>
      <b/>
      <vertAlign val="superscript"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8" fillId="0" borderId="4" xfId="0" applyFont="1" applyBorder="1" applyAlignment="1">
      <alignment horizontal="center"/>
    </xf>
    <xf numFmtId="165" fontId="0" fillId="0" borderId="0" xfId="1" applyNumberFormat="1" applyFont="1"/>
    <xf numFmtId="165" fontId="0" fillId="0" borderId="4" xfId="1" applyNumberFormat="1" applyFont="1" applyBorder="1"/>
    <xf numFmtId="165" fontId="0" fillId="0" borderId="4" xfId="1" applyNumberFormat="1" applyFont="1" applyBorder="1" applyAlignment="1">
      <alignment horizontal="center"/>
    </xf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6" xfId="0" applyFill="1" applyBorder="1"/>
    <xf numFmtId="165" fontId="0" fillId="2" borderId="6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6" xfId="0" applyFill="1" applyBorder="1"/>
    <xf numFmtId="165" fontId="0" fillId="3" borderId="6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0" xfId="0" applyFont="1" applyBorder="1"/>
    <xf numFmtId="0" fontId="6" fillId="0" borderId="8" xfId="0" applyFont="1" applyBorder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0" xfId="0" applyFont="1"/>
    <xf numFmtId="165" fontId="6" fillId="0" borderId="4" xfId="1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4" xfId="0" applyFont="1" applyBorder="1"/>
    <xf numFmtId="165" fontId="6" fillId="0" borderId="4" xfId="1" applyNumberFormat="1" applyFont="1" applyBorder="1"/>
    <xf numFmtId="165" fontId="6" fillId="0" borderId="0" xfId="1" applyNumberFormat="1" applyFont="1" applyBorder="1"/>
    <xf numFmtId="165" fontId="6" fillId="0" borderId="8" xfId="1" applyNumberFormat="1" applyFont="1" applyBorder="1"/>
    <xf numFmtId="165" fontId="6" fillId="0" borderId="0" xfId="1" applyNumberFormat="1" applyFont="1"/>
    <xf numFmtId="165" fontId="6" fillId="0" borderId="4" xfId="1" applyNumberFormat="1" applyFont="1" applyBorder="1" applyAlignment="1">
      <alignment horizontal="left" indent="1"/>
    </xf>
    <xf numFmtId="165" fontId="6" fillId="0" borderId="0" xfId="1" quotePrefix="1" applyNumberFormat="1" applyFont="1" applyBorder="1"/>
    <xf numFmtId="165" fontId="7" fillId="0" borderId="0" xfId="1" applyNumberFormat="1" applyFont="1"/>
    <xf numFmtId="165" fontId="7" fillId="0" borderId="4" xfId="1" applyNumberFormat="1" applyFont="1" applyBorder="1" applyAlignment="1">
      <alignment horizontal="left"/>
    </xf>
    <xf numFmtId="165" fontId="7" fillId="0" borderId="4" xfId="1" applyNumberFormat="1" applyFont="1" applyBorder="1"/>
    <xf numFmtId="165" fontId="6" fillId="0" borderId="5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3" xfId="1" applyNumberFormat="1" applyFont="1" applyBorder="1"/>
    <xf numFmtId="0" fontId="6" fillId="0" borderId="4" xfId="0" applyFont="1" applyBorder="1" applyAlignment="1">
      <alignment horizontal="left"/>
    </xf>
    <xf numFmtId="0" fontId="6" fillId="0" borderId="0" xfId="0" applyFont="1" applyFill="1" applyBorder="1"/>
    <xf numFmtId="0" fontId="6" fillId="0" borderId="4" xfId="0" applyFont="1" applyFill="1" applyBorder="1"/>
    <xf numFmtId="0" fontId="6" fillId="0" borderId="8" xfId="0" applyFont="1" applyFill="1" applyBorder="1"/>
    <xf numFmtId="0" fontId="7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5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7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2" fillId="2" borderId="19" xfId="0" applyFont="1" applyFill="1" applyBorder="1" applyAlignment="1">
      <alignment horizontal="left" indent="1"/>
    </xf>
    <xf numFmtId="0" fontId="0" fillId="2" borderId="20" xfId="0" applyFill="1" applyBorder="1"/>
    <xf numFmtId="0" fontId="0" fillId="2" borderId="21" xfId="0" applyFill="1" applyBorder="1"/>
    <xf numFmtId="0" fontId="0" fillId="0" borderId="22" xfId="0" applyBorder="1" applyAlignment="1">
      <alignment horizontal="left" indent="2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left" indent="2"/>
    </xf>
    <xf numFmtId="165" fontId="0" fillId="0" borderId="6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9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30" xfId="0" applyNumberFormat="1" applyFill="1" applyBorder="1" applyAlignment="1">
      <alignment horizontal="center"/>
    </xf>
    <xf numFmtId="165" fontId="0" fillId="2" borderId="31" xfId="0" applyNumberFormat="1" applyFill="1" applyBorder="1" applyAlignment="1">
      <alignment horizontal="center"/>
    </xf>
    <xf numFmtId="165" fontId="0" fillId="5" borderId="30" xfId="0" applyNumberFormat="1" applyFill="1" applyBorder="1" applyAlignment="1">
      <alignment horizontal="center"/>
    </xf>
    <xf numFmtId="165" fontId="0" fillId="5" borderId="31" xfId="0" applyNumberFormat="1" applyFill="1" applyBorder="1" applyAlignment="1">
      <alignment horizontal="center"/>
    </xf>
    <xf numFmtId="0" fontId="0" fillId="0" borderId="32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4" xfId="0" applyBorder="1" applyAlignment="1">
      <alignment horizontal="left" indent="2"/>
    </xf>
    <xf numFmtId="165" fontId="0" fillId="0" borderId="7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3" fillId="0" borderId="0" xfId="1" applyNumberFormat="1" applyFon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3" fillId="0" borderId="10" xfId="1" applyNumberFormat="1" applyFont="1" applyBorder="1"/>
    <xf numFmtId="0" fontId="13" fillId="0" borderId="0" xfId="0" applyFont="1" applyBorder="1"/>
    <xf numFmtId="165" fontId="13" fillId="0" borderId="4" xfId="1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4" xfId="0" applyFont="1" applyBorder="1"/>
    <xf numFmtId="0" fontId="13" fillId="0" borderId="0" xfId="0" quotePrefix="1" applyFont="1" applyBorder="1"/>
    <xf numFmtId="165" fontId="13" fillId="0" borderId="4" xfId="1" applyNumberFormat="1" applyFont="1" applyBorder="1"/>
    <xf numFmtId="165" fontId="13" fillId="0" borderId="4" xfId="1" applyNumberFormat="1" applyFont="1" applyBorder="1" applyAlignment="1">
      <alignment horizontal="center"/>
    </xf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165" fontId="1" fillId="0" borderId="0" xfId="1" applyNumberFormat="1" applyFill="1"/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2" fillId="0" borderId="0" xfId="0" applyFont="1" applyFill="1"/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right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0" fillId="0" borderId="8" xfId="0" applyBorder="1"/>
    <xf numFmtId="0" fontId="0" fillId="5" borderId="29" xfId="0" applyFill="1" applyBorder="1"/>
    <xf numFmtId="0" fontId="0" fillId="2" borderId="19" xfId="0" applyFill="1" applyBorder="1"/>
    <xf numFmtId="165" fontId="0" fillId="0" borderId="22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2" borderId="29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3" fontId="0" fillId="0" borderId="0" xfId="0" applyNumberFormat="1" applyAlignment="1">
      <alignment horizontal="left" wrapText="1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New Deal Trend</a:t>
            </a:r>
          </a:p>
        </c:rich>
      </c:tx>
      <c:layout>
        <c:manualLayout>
          <c:xMode val="edge"/>
          <c:yMode val="edge"/>
          <c:x val="0.36304771205649417"/>
          <c:y val="3.004388254206223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5811277395171345E-2"/>
          <c:y val="0.13519747143928004"/>
          <c:w val="0.8878166776654266"/>
          <c:h val="0.7360751222805247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Data!$E$15</c:f>
              <c:strCache>
                <c:ptCount val="1"/>
                <c:pt idx="0">
                  <c:v>IR/FX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4918274782059371"/>
                  <c:y val="0.798308878974796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58-4878-BEA8-D86DCDD2B02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420443511900013"/>
                  <c:y val="0.794016895754501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58-4878-BEA8-D86DCDD2B02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262525492547034"/>
                  <c:y val="0.8004548705849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58-4878-BEA8-D86DCDD2B02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599672535089267"/>
                  <c:y val="0.798308878974796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58-4878-BEA8-D86DCDD2B02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9771797890333094"/>
                  <c:y val="0.8004548705849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58-4878-BEA8-D86DCDD2B02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Data!$J$14:$N$14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Data!$J$15:$N$15</c:f>
              <c:numCache>
                <c:formatCode>#,##0</c:formatCode>
                <c:ptCount val="5"/>
                <c:pt idx="0">
                  <c:v>145</c:v>
                </c:pt>
                <c:pt idx="1">
                  <c:v>153</c:v>
                </c:pt>
                <c:pt idx="2">
                  <c:v>122</c:v>
                </c:pt>
                <c:pt idx="3">
                  <c:v>142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58-4878-BEA8-D86DCDD2B02B}"/>
            </c:ext>
          </c:extLst>
        </c:ser>
        <c:ser>
          <c:idx val="1"/>
          <c:order val="1"/>
          <c:tx>
            <c:strRef>
              <c:f>Data!$E$16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7856289316537864"/>
                  <c:y val="0.5257679444860891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58-4878-BEA8-D86DCDD2B02B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Data!$J$14:$N$14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Data!$J$16:$N$16</c:f>
              <c:numCache>
                <c:formatCode>#,##0</c:formatCode>
                <c:ptCount val="5"/>
                <c:pt idx="0">
                  <c:v>3322</c:v>
                </c:pt>
                <c:pt idx="1">
                  <c:v>3375</c:v>
                </c:pt>
                <c:pt idx="2">
                  <c:v>3353</c:v>
                </c:pt>
                <c:pt idx="3">
                  <c:v>3135</c:v>
                </c:pt>
                <c:pt idx="4">
                  <c:v>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58-4878-BEA8-D86DCDD2B02B}"/>
            </c:ext>
          </c:extLst>
        </c:ser>
        <c:ser>
          <c:idx val="2"/>
          <c:order val="2"/>
          <c:tx>
            <c:strRef>
              <c:f>Data!$E$17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5413339843954591"/>
                  <c:y val="0.21889114423502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A58-4878-BEA8-D86DCDD2B02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915508573795235"/>
                  <c:y val="0.22103713584517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58-4878-BEA8-D86DCDD2B02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922612241740656"/>
                  <c:y val="0.22103713584517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A58-4878-BEA8-D86DCDD2B02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094737596984483"/>
                  <c:y val="0.27254093448870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58-4878-BEA8-D86DCDD2B02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422014763317161"/>
                  <c:y val="0.36696456533518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A58-4878-BEA8-D86DCDD2B02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Data!$J$14:$N$14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Data!$J$17:$N$17</c:f>
              <c:numCache>
                <c:formatCode>#,##0</c:formatCode>
                <c:ptCount val="5"/>
                <c:pt idx="0">
                  <c:v>83</c:v>
                </c:pt>
                <c:pt idx="1">
                  <c:v>52</c:v>
                </c:pt>
                <c:pt idx="2">
                  <c:v>58</c:v>
                </c:pt>
                <c:pt idx="3">
                  <c:v>28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A58-4878-BEA8-D86DCDD2B02B}"/>
            </c:ext>
          </c:extLst>
        </c:ser>
        <c:ser>
          <c:idx val="3"/>
          <c:order val="3"/>
          <c:tx>
            <c:strRef>
              <c:f>Data!$E$18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201734983872515"/>
                  <c:y val="0.21889114423502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A58-4878-BEA8-D86DCDD2B02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538882026414753"/>
                  <c:y val="0.231767093895908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A58-4878-BEA8-D86DCDD2B02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380964007061769"/>
                  <c:y val="0.233913085506055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A58-4878-BEA8-D86DCDD2B02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122304598770878"/>
                  <c:y val="0.276832917709002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A58-4878-BEA8-D86DCDD2B02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6900106281057401"/>
                  <c:y val="0.373402540165630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A58-4878-BEA8-D86DCDD2B02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Data!$J$14:$N$14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Data!$J$18:$N$18</c:f>
              <c:numCache>
                <c:formatCode>#,##0</c:formatCode>
                <c:ptCount val="5"/>
                <c:pt idx="0">
                  <c:v>19</c:v>
                </c:pt>
                <c:pt idx="1">
                  <c:v>24</c:v>
                </c:pt>
                <c:pt idx="2">
                  <c:v>39</c:v>
                </c:pt>
                <c:pt idx="3">
                  <c:v>24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A58-4878-BEA8-D86DCDD2B02B}"/>
            </c:ext>
          </c:extLst>
        </c:ser>
        <c:ser>
          <c:idx val="4"/>
          <c:order val="4"/>
          <c:tx>
            <c:strRef>
              <c:f>Data!$E$19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472559101211959"/>
                  <c:y val="0.18026329525237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A58-4878-BEA8-D86DCDD2B02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9747278310526"/>
                  <c:y val="0.16953333720163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A58-4878-BEA8-D86DCDD2B02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65178812440121"/>
                  <c:y val="0.16953333720163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A58-4878-BEA8-D86DCDD2B02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309108665330699"/>
                  <c:y val="0.22747511067561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A58-4878-BEA8-D86DCDD2B02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821147271380903"/>
                  <c:y val="0.317606758301800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A58-4878-BEA8-D86DCDD2B02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Data!$J$14:$N$14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Data!$J$19:$N$19</c:f>
              <c:numCache>
                <c:formatCode>#,##0</c:formatCode>
                <c:ptCount val="5"/>
                <c:pt idx="0">
                  <c:v>14</c:v>
                </c:pt>
                <c:pt idx="1">
                  <c:v>33</c:v>
                </c:pt>
                <c:pt idx="2">
                  <c:v>20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A58-4878-BEA8-D86DCDD2B0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52342640"/>
        <c:axId val="1"/>
        <c:axId val="0"/>
      </c:bar3DChart>
      <c:catAx>
        <c:axId val="195234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2342640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997233791735863"/>
          <c:y val="0.93136035880392931"/>
          <c:w val="0.68814043603435482"/>
          <c:h val="5.36497902536825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New Deal Trend</a:t>
            </a:r>
          </a:p>
        </c:rich>
      </c:tx>
      <c:layout>
        <c:manualLayout>
          <c:xMode val="edge"/>
          <c:yMode val="edge"/>
          <c:x val="0.3788242237512085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1495681160249503E-2"/>
          <c:y val="0.1336248437295762"/>
          <c:w val="0.89408937554840306"/>
          <c:h val="0.7543337952476076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249280193374917"/>
                  <c:y val="0.58406988146314764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84-475F-8B99-6F5745F7099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782710297770883"/>
                  <c:y val="0.60346703619808606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84-475F-8B99-6F5745F7099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27925283543263"/>
                  <c:y val="0.62501943034801777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84-475F-8B99-6F5745F7099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812682939828593"/>
                  <c:y val="0.67458993689286051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84-475F-8B99-6F5745F7099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025075566469297"/>
                  <c:y val="0.65734802157291528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84-475F-8B99-6F5745F7099C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Data!$J$11:$N$11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Data!$J$12:$N$12</c:f>
              <c:numCache>
                <c:formatCode>#,##0</c:formatCode>
                <c:ptCount val="5"/>
                <c:pt idx="0">
                  <c:v>19791</c:v>
                </c:pt>
                <c:pt idx="1">
                  <c:v>18521</c:v>
                </c:pt>
                <c:pt idx="2">
                  <c:v>17223</c:v>
                </c:pt>
                <c:pt idx="3">
                  <c:v>12660</c:v>
                </c:pt>
                <c:pt idx="4">
                  <c:v>15072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84-475F-8B99-6F5745F7099C}"/>
            </c:ext>
          </c:extLst>
        </c:ser>
        <c:ser>
          <c:idx val="1"/>
          <c:order val="1"/>
          <c:tx>
            <c:strRef>
              <c:f>Data!$E$13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185594305346932"/>
                  <c:y val="0.43104788299863295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84-475F-8B99-6F5745F7099C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Data!$J$11:$N$11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Data!$J$13:$N$13</c:f>
              <c:numCache>
                <c:formatCode>#,##0</c:formatCode>
                <c:ptCount val="5"/>
                <c:pt idx="0">
                  <c:v>4599</c:v>
                </c:pt>
                <c:pt idx="1">
                  <c:v>4631</c:v>
                </c:pt>
                <c:pt idx="2">
                  <c:v>4587</c:v>
                </c:pt>
                <c:pt idx="3">
                  <c:v>3656</c:v>
                </c:pt>
                <c:pt idx="4">
                  <c:v>3771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84-475F-8B99-6F5745F709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52339280"/>
        <c:axId val="1"/>
        <c:axId val="0"/>
      </c:bar3DChart>
      <c:catAx>
        <c:axId val="195233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2339280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808647241652417"/>
          <c:y val="0.9375291455220266"/>
          <c:w val="0.20064842359703841"/>
          <c:h val="5.1725745959835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New Deal Trend</a:t>
            </a:r>
          </a:p>
        </c:rich>
      </c:tx>
      <c:layout>
        <c:manualLayout>
          <c:xMode val="edge"/>
          <c:yMode val="edge"/>
          <c:x val="0.38096477500593728"/>
          <c:y val="2.783812138687149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4518228025199062E-2"/>
          <c:y val="0.13276642507584865"/>
          <c:w val="0.92322512007487223"/>
          <c:h val="0.7494878834926940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Data!$E$21</c:f>
              <c:strCache>
                <c:ptCount val="1"/>
                <c:pt idx="0">
                  <c:v>Newsprint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4885602238291066"/>
                  <c:y val="0.811588308124945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83-4830-A11D-D21927E6699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232048962476405"/>
                  <c:y val="0.766619035115384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83-4830-A11D-D21927E6699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952007460970212"/>
                  <c:y val="0.794457156502255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83-4830-A11D-D21927E6699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Data!$J$20:$N$20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Data!$J$21:$N$21</c:f>
              <c:numCache>
                <c:formatCode>#,##0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30</c:v>
                </c:pt>
                <c:pt idx="3">
                  <c:v>17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83-4830-A11D-D21927E66994}"/>
            </c:ext>
          </c:extLst>
        </c:ser>
        <c:ser>
          <c:idx val="1"/>
          <c:order val="1"/>
          <c:tx>
            <c:strRef>
              <c:f>Data!$E$22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819320121245455"/>
                  <c:y val="0.755912065351202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83-4830-A11D-D21927E6699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Data!$J$20:$N$20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Data!$J$22:$N$22</c:f>
              <c:numCache>
                <c:formatCode>#,##0</c:formatCode>
                <c:ptCount val="5"/>
                <c:pt idx="0">
                  <c:v>29</c:v>
                </c:pt>
                <c:pt idx="1">
                  <c:v>17</c:v>
                </c:pt>
                <c:pt idx="2">
                  <c:v>15</c:v>
                </c:pt>
                <c:pt idx="3">
                  <c:v>23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83-4830-A11D-D21927E66994}"/>
            </c:ext>
          </c:extLst>
        </c:ser>
        <c:ser>
          <c:idx val="2"/>
          <c:order val="2"/>
          <c:tx>
            <c:strRef>
              <c:f>Data!$E$23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358475635351175"/>
                  <c:y val="0.47324806357681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83-4830-A11D-D21927E6699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488032641650939"/>
                  <c:y val="0.541772670067576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83-4830-A11D-D21927E6699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Data!$J$20:$N$20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Data!$J$23:$N$23</c:f>
              <c:numCache>
                <c:formatCode>#,##0</c:formatCode>
                <c:ptCount val="5"/>
                <c:pt idx="0">
                  <c:v>86</c:v>
                </c:pt>
                <c:pt idx="1">
                  <c:v>69</c:v>
                </c:pt>
                <c:pt idx="2">
                  <c:v>38</c:v>
                </c:pt>
                <c:pt idx="3">
                  <c:v>41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83-4830-A11D-D21927E66994}"/>
            </c:ext>
          </c:extLst>
        </c:ser>
        <c:ser>
          <c:idx val="3"/>
          <c:order val="3"/>
          <c:tx>
            <c:strRef>
              <c:f>Data!$E$24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66269806482257"/>
                  <c:y val="0.28694678968005999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883-4830-A11D-D21927E6699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099484728385189"/>
                  <c:y val="0.37260254779351076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883-4830-A11D-D21927E6699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075426906053524"/>
                  <c:y val="0.42613739661441746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883-4830-A11D-D21927E6699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512213569616143"/>
                  <c:y val="0.44755133614278014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883-4830-A11D-D21927E6699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79538540454733"/>
                  <c:y val="0.17345291017973777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883-4830-A11D-D21927E66994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Data!$J$20:$N$20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Data!$J$24:$N$24</c:f>
              <c:numCache>
                <c:formatCode>#,##0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83-4830-A11D-D21927E66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52344080"/>
        <c:axId val="1"/>
        <c:axId val="0"/>
      </c:bar3DChart>
      <c:catAx>
        <c:axId val="195234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2344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569350897653841"/>
          <c:y val="0.93793055134228565"/>
          <c:w val="0.44087455817219356"/>
          <c:h val="5.13934548680704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Volume Trend (in millions)</a:t>
            </a:r>
          </a:p>
        </c:rich>
      </c:tx>
      <c:layout>
        <c:manualLayout>
          <c:xMode val="edge"/>
          <c:yMode val="edge"/>
          <c:x val="0.35266794648986999"/>
          <c:y val="2.0576798403891507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67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890744008220836E-2"/>
          <c:y val="0.11111471138101414"/>
          <c:w val="0.91468216258559887"/>
          <c:h val="0.7901490587094338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Data!$E$28</c:f>
              <c:strCache>
                <c:ptCount val="1"/>
                <c:pt idx="0">
                  <c:v>MMBTU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Data!$J$27:$N$27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Data!$J$28:$N$28</c:f>
              <c:numCache>
                <c:formatCode>#,##0</c:formatCode>
                <c:ptCount val="5"/>
                <c:pt idx="0">
                  <c:v>4273.2712199999996</c:v>
                </c:pt>
                <c:pt idx="1">
                  <c:v>3586.1783646399995</c:v>
                </c:pt>
                <c:pt idx="2">
                  <c:v>4250.7380022099987</c:v>
                </c:pt>
                <c:pt idx="3">
                  <c:v>2865.6876510000002</c:v>
                </c:pt>
                <c:pt idx="4">
                  <c:v>3382.0786511900001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9-43A8-866D-A6F25B4E0D6C}"/>
            </c:ext>
          </c:extLst>
        </c:ser>
        <c:ser>
          <c:idx val="1"/>
          <c:order val="1"/>
          <c:tx>
            <c:strRef>
              <c:f>Data!$E$29</c:f>
              <c:strCache>
                <c:ptCount val="1"/>
                <c:pt idx="0">
                  <c:v>MHtz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391843936486739"/>
                  <c:y val="0.18519118563502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E9-43A8-866D-A6F25B4E0D6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588865832996014"/>
                  <c:y val="0.283959817973702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E9-43A8-866D-A6F25B4E0D6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658638585473738"/>
                  <c:y val="0.183133505794634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E9-43A8-866D-A6F25B4E0D6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533589297973998"/>
                  <c:y val="0.372440051110436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E9-43A8-866D-A6F25B4E0D6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442326458447217"/>
                  <c:y val="0.306594296217983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E9-43A8-866D-A6F25B4E0D6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Data!$J$27:$N$27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Data!$J$29:$N$29</c:f>
              <c:numCache>
                <c:formatCode>#,##0</c:formatCode>
                <c:ptCount val="5"/>
                <c:pt idx="0">
                  <c:v>53.945233000000002</c:v>
                </c:pt>
                <c:pt idx="1">
                  <c:v>51.399965140000006</c:v>
                </c:pt>
                <c:pt idx="2">
                  <c:v>49.091319190000029</c:v>
                </c:pt>
                <c:pt idx="3">
                  <c:v>37.990490000000001</c:v>
                </c:pt>
                <c:pt idx="4">
                  <c:v>43.647636379999994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E9-43A8-866D-A6F25B4E0D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52341200"/>
        <c:axId val="1"/>
        <c:axId val="0"/>
      </c:bar3DChart>
      <c:catAx>
        <c:axId val="195234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2341200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716114977027559"/>
          <c:y val="0.94447504673862015"/>
          <c:w val="0.46539286089302478"/>
          <c:h val="4.93843161693396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Volume Trend (in thousands)</a:t>
            </a:r>
          </a:p>
        </c:rich>
      </c:tx>
      <c:layout>
        <c:manualLayout>
          <c:xMode val="edge"/>
          <c:yMode val="edge"/>
          <c:x val="0.29654942731787842"/>
          <c:y val="4.123849212869762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708729319812275"/>
          <c:y val="0.11134392874748358"/>
          <c:w val="0.88635328831676985"/>
          <c:h val="0.7876551996581245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Data!$E$37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298716593542907"/>
                  <c:y val="0.507233453182980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9C-440D-A01B-9541E0E8F5D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938434459712752"/>
                  <c:y val="0.550533869918113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9C-440D-A01B-9541E0E8F5D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413402644039329"/>
                  <c:y val="0.515481151608720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9C-440D-A01B-9541E0E8F5D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382619873895699"/>
                  <c:y val="0.564967342163157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9C-440D-A01B-9541E0E8F5D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857588058222277"/>
                  <c:y val="0.556719643737417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9C-440D-A01B-9541E0E8F5D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Data!$J$36:$N$36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Data!$J$37:$N$37</c:f>
              <c:numCache>
                <c:formatCode>#,##0</c:formatCode>
                <c:ptCount val="5"/>
                <c:pt idx="0">
                  <c:v>171949.351</c:v>
                </c:pt>
                <c:pt idx="1">
                  <c:v>154397.51923000001</c:v>
                </c:pt>
                <c:pt idx="2">
                  <c:v>174794.27446999992</c:v>
                </c:pt>
                <c:pt idx="3">
                  <c:v>147649.834</c:v>
                </c:pt>
                <c:pt idx="4">
                  <c:v>147313.01308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9C-440D-A01B-9541E0E8F5DC}"/>
            </c:ext>
          </c:extLst>
        </c:ser>
        <c:ser>
          <c:idx val="1"/>
          <c:order val="1"/>
          <c:tx>
            <c:strRef>
              <c:f>Data!$E$38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7183697504138854"/>
                  <c:y val="0.136087024024702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9C-440D-A01B-9541E0E8F5D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3164416642935632"/>
                  <c:y val="0.197944762217748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9C-440D-A01B-9541E0E8F5D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474635145418941"/>
                  <c:y val="0.12990125020539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9C-440D-A01B-9541E0E8F5D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5949603329745519"/>
                  <c:y val="0.249492877378620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9C-440D-A01B-9541E0E8F5D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3248319923288425"/>
                  <c:y val="0.245369028165750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9C-440D-A01B-9541E0E8F5D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Data!$J$36:$N$36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Data!$J$38:$N$38</c:f>
              <c:numCache>
                <c:formatCode>#,##0</c:formatCode>
                <c:ptCount val="5"/>
                <c:pt idx="0">
                  <c:v>6572.3270000000002</c:v>
                </c:pt>
                <c:pt idx="1">
                  <c:v>5662.4889999999996</c:v>
                </c:pt>
                <c:pt idx="2">
                  <c:v>4037.9499600000008</c:v>
                </c:pt>
                <c:pt idx="3">
                  <c:v>2425.5</c:v>
                </c:pt>
                <c:pt idx="4">
                  <c:v>818.5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9C-440D-A01B-9541E0E8F5DC}"/>
            </c:ext>
          </c:extLst>
        </c:ser>
        <c:ser>
          <c:idx val="2"/>
          <c:order val="2"/>
          <c:tx>
            <c:strRef>
              <c:f>Data!$E$39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582208321467816"/>
                  <c:y val="0.103096230321744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99C-440D-A01B-9541E0E8F5D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574429369205003"/>
                  <c:y val="0.173201666940530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9C-440D-A01B-9541E0E8F5D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861644053807501"/>
                  <c:y val="0.107220079534613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9C-440D-A01B-9541E0E8F5D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117186255629081"/>
                  <c:y val="0.208254385249922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9C-440D-A01B-9541E0E8F5D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30582946799046"/>
                  <c:y val="0.21650208367566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9C-440D-A01B-9541E0E8F5D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Data!$J$36:$N$36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Data!$J$39:$N$39</c:f>
              <c:numCache>
                <c:formatCode>#,##0</c:formatCode>
                <c:ptCount val="5"/>
                <c:pt idx="0">
                  <c:v>46.35</c:v>
                </c:pt>
                <c:pt idx="1">
                  <c:v>100.1</c:v>
                </c:pt>
                <c:pt idx="2">
                  <c:v>40</c:v>
                </c:pt>
                <c:pt idx="3">
                  <c:v>37.5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99C-440D-A01B-9541E0E8F5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52342160"/>
        <c:axId val="1"/>
        <c:axId val="0"/>
      </c:bar3DChart>
      <c:catAx>
        <c:axId val="195234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2342160"/>
        <c:crosses val="autoZero"/>
        <c:crossBetween val="between"/>
        <c:majorUnit val="30000"/>
        <c:minorUnit val="357.7444488599998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386675869480924"/>
          <c:y val="0.9443614697471755"/>
          <c:w val="0.44317664415838492"/>
          <c:h val="4.94861905544371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Volume Trend</a:t>
            </a:r>
          </a:p>
        </c:rich>
      </c:tx>
      <c:layout>
        <c:manualLayout>
          <c:xMode val="edge"/>
          <c:yMode val="edge"/>
          <c:x val="0.3880491364842496"/>
          <c:y val="4.5455974697357834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6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196674689071233"/>
          <c:y val="0.11157375607533286"/>
          <c:w val="0.88039606459272435"/>
          <c:h val="0.7913471958676386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Data!$E$31</c:f>
              <c:strCache>
                <c:ptCount val="1"/>
                <c:pt idx="0">
                  <c:v>Total EIM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172388166217866"/>
                  <c:y val="0.69836906580486124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04-498B-8242-45C12003A2A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203540488532669"/>
                  <c:y val="0.3801772429233564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04-498B-8242-45C12003A2A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38200028546388"/>
                  <c:y val="0.75415594384252771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04-498B-8242-45C12003A2A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793564555746366"/>
                  <c:y val="0.5558025997086025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04-498B-8242-45C12003A2A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824716878061178"/>
                  <c:y val="0.15496355010462898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B04-498B-8242-45C12003A2A5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Data!$J$30:$N$30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Data!$J$31:$N$31</c:f>
              <c:numCache>
                <c:formatCode>0</c:formatCode>
                <c:ptCount val="5"/>
                <c:pt idx="0" formatCode="General">
                  <c:v>25872</c:v>
                </c:pt>
                <c:pt idx="1">
                  <c:v>106865.89999999997</c:v>
                </c:pt>
                <c:pt idx="2">
                  <c:v>11962.5</c:v>
                </c:pt>
                <c:pt idx="3">
                  <c:v>56612</c:v>
                </c:pt>
                <c:pt idx="4">
                  <c:v>163303.196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4-498B-8242-45C12003A2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60755904"/>
        <c:axId val="1"/>
        <c:axId val="0"/>
      </c:bar3DChart>
      <c:catAx>
        <c:axId val="19607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0755904"/>
        <c:crosses val="autoZero"/>
        <c:crossBetween val="between"/>
        <c:minorUnit val="427.18978640000006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8774555494858252"/>
          <c:y val="0.94217838463614423"/>
          <c:w val="0.14264256795666092"/>
          <c:h val="5.16545167015429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5068876595183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165-4311-9EEB-E6E08DBFDBA2}"/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165-4311-9EEB-E6E08DBFDBA2}"/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165-4311-9EEB-E6E08DBFDBA2}"/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F165-4311-9EEB-E6E08DBFDB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51010048"/>
        <c:axId val="1"/>
        <c:axId val="0"/>
      </c:bar3DChart>
      <c:catAx>
        <c:axId val="19510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010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70887198362896"/>
          <c:y val="0.88806131949138489"/>
          <c:w val="0.36458395145662342"/>
          <c:h val="8.58210518836212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19050</xdr:rowOff>
    </xdr:from>
    <xdr:to>
      <xdr:col>15</xdr:col>
      <xdr:colOff>9525</xdr:colOff>
      <xdr:row>57</xdr:row>
      <xdr:rowOff>85725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165A9969-E7FD-B1A5-0BEC-4ACFC8182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28575</xdr:rowOff>
    </xdr:from>
    <xdr:to>
      <xdr:col>7</xdr:col>
      <xdr:colOff>0</xdr:colOff>
      <xdr:row>57</xdr:row>
      <xdr:rowOff>76200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4C1C5118-E7B8-58C0-202F-3BB54ACCC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30</xdr:row>
      <xdr:rowOff>9525</xdr:rowOff>
    </xdr:from>
    <xdr:to>
      <xdr:col>23</xdr:col>
      <xdr:colOff>9525</xdr:colOff>
      <xdr:row>57</xdr:row>
      <xdr:rowOff>85725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CF77CD38-A9A9-6E9D-E9B0-53856A876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58</xdr:row>
      <xdr:rowOff>85725</xdr:rowOff>
    </xdr:from>
    <xdr:to>
      <xdr:col>6</xdr:col>
      <xdr:colOff>828675</xdr:colOff>
      <xdr:row>87</xdr:row>
      <xdr:rowOff>28575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3395DBE0-A3FA-5E4F-F16B-F640B92A2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161925</xdr:colOff>
      <xdr:row>58</xdr:row>
      <xdr:rowOff>85725</xdr:rowOff>
    </xdr:from>
    <xdr:to>
      <xdr:col>15</xdr:col>
      <xdr:colOff>19050</xdr:colOff>
      <xdr:row>87</xdr:row>
      <xdr:rowOff>19050</xdr:rowOff>
    </xdr:to>
    <xdr:graphicFrame macro="">
      <xdr:nvGraphicFramePr>
        <xdr:cNvPr id="5126" name="Chart 6">
          <a:extLst>
            <a:ext uri="{FF2B5EF4-FFF2-40B4-BE49-F238E27FC236}">
              <a16:creationId xmlns:a16="http://schemas.microsoft.com/office/drawing/2014/main" id="{57A764AF-BFA0-1B2F-E07D-B79C84F9C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58</xdr:row>
      <xdr:rowOff>76200</xdr:rowOff>
    </xdr:from>
    <xdr:to>
      <xdr:col>23</xdr:col>
      <xdr:colOff>19050</xdr:colOff>
      <xdr:row>87</xdr:row>
      <xdr:rowOff>0</xdr:rowOff>
    </xdr:to>
    <xdr:graphicFrame macro="">
      <xdr:nvGraphicFramePr>
        <xdr:cNvPr id="5127" name="Chart 7">
          <a:extLst>
            <a:ext uri="{FF2B5EF4-FFF2-40B4-BE49-F238E27FC236}">
              <a16:creationId xmlns:a16="http://schemas.microsoft.com/office/drawing/2014/main" id="{CDCAEBFE-2546-30B7-BBEF-400A1A6F6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676275</xdr:colOff>
      <xdr:row>0</xdr:row>
      <xdr:rowOff>104775</xdr:rowOff>
    </xdr:from>
    <xdr:to>
      <xdr:col>22</xdr:col>
      <xdr:colOff>742950</xdr:colOff>
      <xdr:row>5</xdr:row>
      <xdr:rowOff>123825</xdr:rowOff>
    </xdr:to>
    <xdr:pic>
      <xdr:nvPicPr>
        <xdr:cNvPr id="5129" name="Picture 9">
          <a:extLst>
            <a:ext uri="{FF2B5EF4-FFF2-40B4-BE49-F238E27FC236}">
              <a16:creationId xmlns:a16="http://schemas.microsoft.com/office/drawing/2014/main" id="{7492E480-4DE0-8BC1-45F5-C15EE9DD5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3575" y="104775"/>
          <a:ext cx="9810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42</xdr:row>
      <xdr:rowOff>19050</xdr:rowOff>
    </xdr:from>
    <xdr:to>
      <xdr:col>4</xdr:col>
      <xdr:colOff>238125</xdr:colOff>
      <xdr:row>57</xdr:row>
      <xdr:rowOff>142875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4299252B-95F1-FD3F-CD02-1FD8E1F49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41</xdr:row>
      <xdr:rowOff>152400</xdr:rowOff>
    </xdr:from>
    <xdr:to>
      <xdr:col>17</xdr:col>
      <xdr:colOff>238125</xdr:colOff>
      <xdr:row>57</xdr:row>
      <xdr:rowOff>38100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790728B6-6DCC-42FA-4B9C-7183338D82FD}"/>
            </a:ext>
          </a:extLst>
        </xdr:cNvPr>
        <xdr:cNvSpPr txBox="1">
          <a:spLocks noChangeArrowheads="1"/>
        </xdr:cNvSpPr>
      </xdr:nvSpPr>
      <xdr:spPr bwMode="auto">
        <a:xfrm>
          <a:off x="9563100" y="6772275"/>
          <a:ext cx="5715000" cy="247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2-8-01/EOL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2-15-01/Shari%20Mao%20Template%2002-15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EOL%20WEEKLY%20SUMMARY%2002-26-01%20ACCESS%23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Deals"/>
      <sheetName val="Thrusday 02-15-01"/>
      <sheetName val="Thursday 02-08-01"/>
    </sheetNames>
    <sheetDataSet>
      <sheetData sheetId="0" refreshError="1"/>
      <sheetData sheetId="1">
        <row r="9">
          <cell r="S9">
            <v>83402</v>
          </cell>
          <cell r="T9">
            <v>17969</v>
          </cell>
        </row>
        <row r="10">
          <cell r="S10">
            <v>6424</v>
          </cell>
          <cell r="T10">
            <v>2734</v>
          </cell>
        </row>
        <row r="17">
          <cell r="S17">
            <v>9532</v>
          </cell>
          <cell r="T17">
            <v>8764</v>
          </cell>
        </row>
        <row r="18">
          <cell r="S18">
            <v>2569</v>
          </cell>
          <cell r="T18">
            <v>6736</v>
          </cell>
        </row>
        <row r="30">
          <cell r="S30">
            <v>9302</v>
          </cell>
          <cell r="T30">
            <v>9643</v>
          </cell>
        </row>
        <row r="31">
          <cell r="S31">
            <v>592</v>
          </cell>
          <cell r="T31">
            <v>569</v>
          </cell>
        </row>
        <row r="33">
          <cell r="S33">
            <v>45</v>
          </cell>
          <cell r="T33">
            <v>251</v>
          </cell>
        </row>
        <row r="34">
          <cell r="S34">
            <v>119</v>
          </cell>
          <cell r="T34">
            <v>169</v>
          </cell>
        </row>
        <row r="35">
          <cell r="S35">
            <v>50</v>
          </cell>
          <cell r="T35">
            <v>150</v>
          </cell>
        </row>
        <row r="37">
          <cell r="S37">
            <v>50</v>
          </cell>
          <cell r="T37">
            <v>48</v>
          </cell>
        </row>
        <row r="38">
          <cell r="S38">
            <v>0</v>
          </cell>
          <cell r="T38">
            <v>307</v>
          </cell>
        </row>
        <row r="39">
          <cell r="S39">
            <v>87</v>
          </cell>
          <cell r="T39">
            <v>108</v>
          </cell>
        </row>
        <row r="44">
          <cell r="S44">
            <v>0</v>
          </cell>
          <cell r="T44">
            <v>12</v>
          </cell>
        </row>
        <row r="48">
          <cell r="S48">
            <v>0</v>
          </cell>
          <cell r="T48">
            <v>913</v>
          </cell>
        </row>
        <row r="67">
          <cell r="S67">
            <v>10201591262.129999</v>
          </cell>
          <cell r="T67">
            <v>11742300329.379999</v>
          </cell>
        </row>
        <row r="68">
          <cell r="S68">
            <v>316839394.33999997</v>
          </cell>
          <cell r="T68">
            <v>745667324.90999997</v>
          </cell>
        </row>
        <row r="75">
          <cell r="S75">
            <v>104211335</v>
          </cell>
          <cell r="T75">
            <v>115985235.54000001</v>
          </cell>
        </row>
        <row r="76">
          <cell r="S76">
            <v>10366850</v>
          </cell>
          <cell r="T76">
            <v>91276496.680000007</v>
          </cell>
        </row>
        <row r="88">
          <cell r="S88">
            <v>236106500.00999999</v>
          </cell>
          <cell r="T88">
            <v>745504869.79999995</v>
          </cell>
        </row>
        <row r="89">
          <cell r="S89">
            <v>10023357.140000001</v>
          </cell>
          <cell r="T89">
            <v>17702903.510000002</v>
          </cell>
        </row>
        <row r="91">
          <cell r="S91">
            <v>919595</v>
          </cell>
          <cell r="T91">
            <v>9306959.1300000008</v>
          </cell>
        </row>
        <row r="92">
          <cell r="S92">
            <v>3542250</v>
          </cell>
          <cell r="T92">
            <v>17309786.050000001</v>
          </cell>
        </row>
        <row r="93">
          <cell r="S93">
            <v>2130000</v>
          </cell>
          <cell r="T93">
            <v>8315506.0199999996</v>
          </cell>
        </row>
        <row r="95">
          <cell r="S95">
            <v>115000</v>
          </cell>
          <cell r="T95">
            <v>223120</v>
          </cell>
        </row>
        <row r="96">
          <cell r="S96">
            <v>0</v>
          </cell>
        </row>
        <row r="97">
          <cell r="S97">
            <v>29800</v>
          </cell>
          <cell r="T97">
            <v>603600</v>
          </cell>
        </row>
        <row r="102">
          <cell r="S102">
            <v>0</v>
          </cell>
          <cell r="T102">
            <v>261270.5</v>
          </cell>
        </row>
        <row r="105">
          <cell r="S105">
            <v>0</v>
          </cell>
        </row>
        <row r="106">
          <cell r="T106">
            <v>42371500</v>
          </cell>
        </row>
      </sheetData>
      <sheetData sheetId="2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T43">
            <v>11</v>
          </cell>
        </row>
        <row r="44">
          <cell r="S44">
            <v>0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by DAY"/>
      <sheetName val="PRODUCTS OFFERED"/>
      <sheetName val="WEBSITE TRAFFIC"/>
      <sheetName val="DATA"/>
      <sheetName val="EOLvsNON SUMMARY"/>
      <sheetName val="ALLOCATION"/>
      <sheetName val="TRANSACTION SUMMARY (HILO) "/>
      <sheetName val="AVERAGED SUMMARY"/>
      <sheetName val="ENTITY SUMMARY"/>
      <sheetName val="European Report"/>
      <sheetName val="LTD"/>
      <sheetName val="YTD"/>
      <sheetName val="MTD"/>
      <sheetName val="WTD"/>
      <sheetName val="BRAINWAVE"/>
      <sheetName val="Sheet2"/>
      <sheetName val="Sheet3"/>
    </sheetNames>
    <sheetDataSet>
      <sheetData sheetId="0"/>
      <sheetData sheetId="1"/>
      <sheetData sheetId="2"/>
      <sheetData sheetId="3">
        <row r="1">
          <cell r="C1">
            <v>36948</v>
          </cell>
        </row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WEEK-DL</v>
          </cell>
          <cell r="O3" t="str">
            <v>WEEK-VOL</v>
          </cell>
          <cell r="P3" t="str">
            <v>WEEK-REV</v>
          </cell>
          <cell r="Q3" t="str">
            <v>ONE-DL</v>
          </cell>
          <cell r="R3" t="str">
            <v>ONE-VOL</v>
          </cell>
          <cell r="S3" t="str">
            <v>ONE-REV</v>
          </cell>
          <cell r="T3" t="str">
            <v>WEEK-DL MIN</v>
          </cell>
          <cell r="U3" t="str">
            <v>WEEK-VOL MIN</v>
          </cell>
          <cell r="V3" t="str">
            <v>WEEK-REV MIN</v>
          </cell>
          <cell r="W3" t="str">
            <v>WEEK-DL MAX</v>
          </cell>
          <cell r="X3" t="str">
            <v>WEEK-VOL MAX</v>
          </cell>
          <cell r="Y3" t="str">
            <v>WEEK-REV MAX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7</v>
          </cell>
          <cell r="F4">
            <v>139425</v>
          </cell>
          <cell r="G4">
            <v>3954540.21</v>
          </cell>
          <cell r="H4">
            <v>7</v>
          </cell>
          <cell r="I4">
            <v>139425</v>
          </cell>
          <cell r="J4">
            <v>3954540.21</v>
          </cell>
          <cell r="K4">
            <v>5</v>
          </cell>
          <cell r="L4">
            <v>42525</v>
          </cell>
          <cell r="M4">
            <v>1682584.02</v>
          </cell>
          <cell r="N4">
            <v>4</v>
          </cell>
          <cell r="O4">
            <v>33375</v>
          </cell>
          <cell r="P4">
            <v>1316919.71</v>
          </cell>
          <cell r="T4">
            <v>1</v>
          </cell>
          <cell r="U4">
            <v>9150</v>
          </cell>
          <cell r="V4">
            <v>286642.11188591202</v>
          </cell>
          <cell r="W4">
            <v>3</v>
          </cell>
          <cell r="X4">
            <v>24225</v>
          </cell>
          <cell r="Y4">
            <v>1030277.60227452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58</v>
          </cell>
          <cell r="F5">
            <v>1567395</v>
          </cell>
          <cell r="G5">
            <v>37481217.780000001</v>
          </cell>
          <cell r="H5">
            <v>58</v>
          </cell>
          <cell r="I5">
            <v>1567395</v>
          </cell>
          <cell r="J5">
            <v>37481217.780000001</v>
          </cell>
          <cell r="K5">
            <v>35</v>
          </cell>
          <cell r="L5">
            <v>988410</v>
          </cell>
          <cell r="M5">
            <v>24025696.829999998</v>
          </cell>
          <cell r="N5">
            <v>20</v>
          </cell>
          <cell r="O5">
            <v>524895</v>
          </cell>
          <cell r="P5">
            <v>13528794.73</v>
          </cell>
          <cell r="Q5">
            <v>4</v>
          </cell>
          <cell r="R5">
            <v>176820</v>
          </cell>
          <cell r="S5">
            <v>4785307.78</v>
          </cell>
          <cell r="T5">
            <v>4</v>
          </cell>
          <cell r="U5">
            <v>154515</v>
          </cell>
          <cell r="V5">
            <v>4065957.1947559598</v>
          </cell>
          <cell r="W5">
            <v>8</v>
          </cell>
          <cell r="X5">
            <v>193560</v>
          </cell>
          <cell r="Y5">
            <v>4785307.7846812503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96</v>
          </cell>
          <cell r="F6">
            <v>243180</v>
          </cell>
          <cell r="G6">
            <v>5416416.71</v>
          </cell>
          <cell r="H6">
            <v>96</v>
          </cell>
          <cell r="I6">
            <v>243180</v>
          </cell>
          <cell r="J6">
            <v>5416416.71</v>
          </cell>
          <cell r="K6">
            <v>74</v>
          </cell>
          <cell r="L6">
            <v>142170</v>
          </cell>
          <cell r="M6">
            <v>3009115.15</v>
          </cell>
          <cell r="N6">
            <v>44</v>
          </cell>
          <cell r="O6">
            <v>118560</v>
          </cell>
          <cell r="P6">
            <v>2482815.69</v>
          </cell>
          <cell r="Q6">
            <v>13</v>
          </cell>
          <cell r="R6">
            <v>54060</v>
          </cell>
          <cell r="S6">
            <v>1131213.79</v>
          </cell>
          <cell r="T6">
            <v>13</v>
          </cell>
          <cell r="U6">
            <v>29430</v>
          </cell>
          <cell r="V6">
            <v>614496.31200000003</v>
          </cell>
          <cell r="W6">
            <v>16</v>
          </cell>
          <cell r="X6">
            <v>54060</v>
          </cell>
          <cell r="Y6">
            <v>1131213.7890000001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63</v>
          </cell>
          <cell r="F7">
            <v>2199015</v>
          </cell>
          <cell r="G7">
            <v>44192132.869999997</v>
          </cell>
          <cell r="H7">
            <v>63</v>
          </cell>
          <cell r="I7">
            <v>2199015</v>
          </cell>
          <cell r="J7">
            <v>44192132.869999997</v>
          </cell>
          <cell r="K7">
            <v>50</v>
          </cell>
          <cell r="L7">
            <v>2131325</v>
          </cell>
          <cell r="M7">
            <v>42301497.979999997</v>
          </cell>
          <cell r="N7">
            <v>21</v>
          </cell>
          <cell r="O7">
            <v>516340</v>
          </cell>
          <cell r="P7">
            <v>11751735.92</v>
          </cell>
          <cell r="Q7">
            <v>3</v>
          </cell>
          <cell r="R7">
            <v>20700</v>
          </cell>
          <cell r="S7">
            <v>471418.94</v>
          </cell>
          <cell r="T7">
            <v>3</v>
          </cell>
          <cell r="U7">
            <v>20700</v>
          </cell>
          <cell r="V7">
            <v>471418.93800000002</v>
          </cell>
          <cell r="W7">
            <v>11</v>
          </cell>
          <cell r="X7">
            <v>413740</v>
          </cell>
          <cell r="Y7">
            <v>9053898.9959999993</v>
          </cell>
        </row>
        <row r="8">
          <cell r="A8" t="str">
            <v>BANDWIDTH=No</v>
          </cell>
          <cell r="C8" t="str">
            <v>BANDWIDTH</v>
          </cell>
          <cell r="D8" t="str">
            <v>No</v>
          </cell>
          <cell r="E8">
            <v>18</v>
          </cell>
          <cell r="F8">
            <v>20</v>
          </cell>
          <cell r="G8">
            <v>631060.56000000006</v>
          </cell>
          <cell r="H8">
            <v>18</v>
          </cell>
          <cell r="I8">
            <v>20</v>
          </cell>
          <cell r="J8">
            <v>631060.56000000006</v>
          </cell>
          <cell r="K8">
            <v>14</v>
          </cell>
          <cell r="L8">
            <v>16</v>
          </cell>
          <cell r="M8">
            <v>373737.45</v>
          </cell>
          <cell r="N8">
            <v>13</v>
          </cell>
          <cell r="O8">
            <v>13</v>
          </cell>
          <cell r="P8">
            <v>276773.49</v>
          </cell>
          <cell r="T8">
            <v>2</v>
          </cell>
          <cell r="U8">
            <v>2</v>
          </cell>
          <cell r="V8">
            <v>39409.440000000002</v>
          </cell>
          <cell r="W8">
            <v>11</v>
          </cell>
          <cell r="X8">
            <v>11</v>
          </cell>
          <cell r="Y8">
            <v>237364.05</v>
          </cell>
        </row>
        <row r="9">
          <cell r="A9" t="str">
            <v>CANADIAN GAS=Yes</v>
          </cell>
          <cell r="C9" t="str">
            <v>CANADIAN GAS</v>
          </cell>
          <cell r="D9" t="str">
            <v>Yes</v>
          </cell>
          <cell r="E9">
            <v>1155</v>
          </cell>
          <cell r="F9">
            <v>61051106.509999998</v>
          </cell>
          <cell r="G9">
            <v>194373147.58000001</v>
          </cell>
          <cell r="H9">
            <v>1155</v>
          </cell>
          <cell r="I9">
            <v>61051106.509999998</v>
          </cell>
          <cell r="J9">
            <v>194373147.58000001</v>
          </cell>
          <cell r="K9">
            <v>724</v>
          </cell>
          <cell r="L9">
            <v>41302077.799999997</v>
          </cell>
          <cell r="M9">
            <v>106378056.01000001</v>
          </cell>
          <cell r="N9">
            <v>434</v>
          </cell>
          <cell r="O9">
            <v>33137316.32</v>
          </cell>
          <cell r="P9">
            <v>80171578.099999994</v>
          </cell>
          <cell r="Q9">
            <v>135</v>
          </cell>
          <cell r="R9">
            <v>9901352.9600000009</v>
          </cell>
          <cell r="S9">
            <v>19835318.75</v>
          </cell>
          <cell r="T9">
            <v>135</v>
          </cell>
          <cell r="U9">
            <v>9145795.1690999996</v>
          </cell>
          <cell r="V9">
            <v>19835318.745349001</v>
          </cell>
          <cell r="W9">
            <v>158</v>
          </cell>
          <cell r="X9">
            <v>14090168.187000001</v>
          </cell>
          <cell r="Y9">
            <v>38942404.126369096</v>
          </cell>
        </row>
        <row r="10">
          <cell r="A10" t="str">
            <v>CANADIAN GAS=No</v>
          </cell>
          <cell r="C10" t="str">
            <v>CANADIAN GAS</v>
          </cell>
          <cell r="D10" t="str">
            <v>No</v>
          </cell>
          <cell r="E10">
            <v>655</v>
          </cell>
          <cell r="F10">
            <v>230086616.18000001</v>
          </cell>
          <cell r="G10">
            <v>746076284.59000003</v>
          </cell>
          <cell r="H10">
            <v>655</v>
          </cell>
          <cell r="I10">
            <v>230086616.18000001</v>
          </cell>
          <cell r="J10">
            <v>746076284.59000003</v>
          </cell>
          <cell r="K10">
            <v>432</v>
          </cell>
          <cell r="L10">
            <v>125411720.42</v>
          </cell>
          <cell r="M10">
            <v>359175834.31999999</v>
          </cell>
          <cell r="N10">
            <v>270</v>
          </cell>
          <cell r="O10">
            <v>67393998.379999995</v>
          </cell>
          <cell r="P10">
            <v>208982348.34999999</v>
          </cell>
          <cell r="Q10">
            <v>98</v>
          </cell>
          <cell r="R10">
            <v>23941700.149999999</v>
          </cell>
          <cell r="S10">
            <v>115209659.73999999</v>
          </cell>
          <cell r="T10">
            <v>2</v>
          </cell>
          <cell r="U10">
            <v>16112.888999999999</v>
          </cell>
          <cell r="V10">
            <v>80242.187220000007</v>
          </cell>
          <cell r="W10">
            <v>98</v>
          </cell>
          <cell r="X10">
            <v>28716226.433340002</v>
          </cell>
          <cell r="Y10">
            <v>115209659.740097</v>
          </cell>
        </row>
        <row r="11">
          <cell r="A11" t="str">
            <v>COAL=Yes</v>
          </cell>
          <cell r="C11" t="str">
            <v>COAL</v>
          </cell>
          <cell r="D11" t="str">
            <v>Yes</v>
          </cell>
          <cell r="E11">
            <v>21</v>
          </cell>
          <cell r="F11">
            <v>677000</v>
          </cell>
          <cell r="G11">
            <v>7317087.5</v>
          </cell>
          <cell r="H11">
            <v>21</v>
          </cell>
          <cell r="I11">
            <v>677000</v>
          </cell>
          <cell r="J11">
            <v>7317087.5</v>
          </cell>
        </row>
        <row r="12">
          <cell r="A12" t="str">
            <v>COAL=No</v>
          </cell>
          <cell r="C12" t="str">
            <v>COAL</v>
          </cell>
          <cell r="D12" t="str">
            <v>No</v>
          </cell>
          <cell r="E12">
            <v>39</v>
          </cell>
          <cell r="F12">
            <v>2548309.09</v>
          </cell>
          <cell r="G12">
            <v>51639138.369999997</v>
          </cell>
          <cell r="H12">
            <v>39</v>
          </cell>
          <cell r="I12">
            <v>2548309.09</v>
          </cell>
          <cell r="J12">
            <v>51639138.369999997</v>
          </cell>
          <cell r="K12">
            <v>14</v>
          </cell>
          <cell r="L12">
            <v>1095250</v>
          </cell>
          <cell r="M12">
            <v>24213410</v>
          </cell>
          <cell r="N12">
            <v>7</v>
          </cell>
          <cell r="O12">
            <v>729000</v>
          </cell>
          <cell r="P12">
            <v>12369937.5</v>
          </cell>
          <cell r="T12">
            <v>3</v>
          </cell>
          <cell r="U12">
            <v>279000</v>
          </cell>
          <cell r="V12">
            <v>3750000</v>
          </cell>
          <cell r="W12">
            <v>4</v>
          </cell>
          <cell r="X12">
            <v>450000</v>
          </cell>
          <cell r="Y12">
            <v>8619937.5</v>
          </cell>
        </row>
        <row r="13">
          <cell r="A13" t="str">
            <v>COAL INTERNATIONAL=Yes</v>
          </cell>
          <cell r="C13" t="str">
            <v>COAL INTERNATIONAL</v>
          </cell>
          <cell r="D13" t="str">
            <v>Yes</v>
          </cell>
          <cell r="E13">
            <v>14</v>
          </cell>
          <cell r="F13">
            <v>660000</v>
          </cell>
          <cell r="G13">
            <v>21975000</v>
          </cell>
          <cell r="H13">
            <v>14</v>
          </cell>
          <cell r="I13">
            <v>660000</v>
          </cell>
          <cell r="J13">
            <v>21975000</v>
          </cell>
          <cell r="K13">
            <v>1</v>
          </cell>
          <cell r="L13">
            <v>45000</v>
          </cell>
          <cell r="M13">
            <v>1899000</v>
          </cell>
        </row>
        <row r="14">
          <cell r="A14" t="str">
            <v>COAL INTERNATIONAL=No</v>
          </cell>
          <cell r="C14" t="str">
            <v>COAL INTERNATIONAL</v>
          </cell>
          <cell r="D14" t="str">
            <v>No</v>
          </cell>
          <cell r="E14">
            <v>18</v>
          </cell>
          <cell r="F14">
            <v>1166000</v>
          </cell>
          <cell r="G14">
            <v>47098672.350000001</v>
          </cell>
          <cell r="H14">
            <v>18</v>
          </cell>
          <cell r="I14">
            <v>1166000</v>
          </cell>
          <cell r="J14">
            <v>47098672.350000001</v>
          </cell>
        </row>
        <row r="15">
          <cell r="A15" t="str">
            <v>CONTINENTAL GAS=Yes</v>
          </cell>
          <cell r="C15" t="str">
            <v>CONTINENTAL GAS</v>
          </cell>
          <cell r="D15" t="str">
            <v>Yes</v>
          </cell>
          <cell r="E15">
            <v>73</v>
          </cell>
          <cell r="F15">
            <v>8215604</v>
          </cell>
          <cell r="G15">
            <v>26802660.93</v>
          </cell>
          <cell r="H15">
            <v>73</v>
          </cell>
          <cell r="I15">
            <v>8215604</v>
          </cell>
          <cell r="J15">
            <v>26802660.93</v>
          </cell>
          <cell r="K15">
            <v>35</v>
          </cell>
          <cell r="L15">
            <v>3182500</v>
          </cell>
          <cell r="M15">
            <v>10550526.699999999</v>
          </cell>
          <cell r="N15">
            <v>18</v>
          </cell>
          <cell r="O15">
            <v>1550000</v>
          </cell>
          <cell r="P15">
            <v>5106183.28</v>
          </cell>
          <cell r="Q15">
            <v>7</v>
          </cell>
          <cell r="R15">
            <v>897500</v>
          </cell>
          <cell r="S15">
            <v>2944249.2</v>
          </cell>
          <cell r="T15">
            <v>5</v>
          </cell>
          <cell r="U15">
            <v>182500</v>
          </cell>
          <cell r="V15">
            <v>686818.45</v>
          </cell>
          <cell r="W15">
            <v>7</v>
          </cell>
          <cell r="X15">
            <v>897500</v>
          </cell>
          <cell r="Y15">
            <v>2944249.2</v>
          </cell>
        </row>
        <row r="16">
          <cell r="A16" t="str">
            <v>CONTINENTAL GAS=No</v>
          </cell>
          <cell r="C16" t="str">
            <v>CONTINENTAL GAS</v>
          </cell>
          <cell r="D16" t="str">
            <v>No</v>
          </cell>
          <cell r="E16">
            <v>188</v>
          </cell>
          <cell r="F16">
            <v>48914183</v>
          </cell>
          <cell r="G16">
            <v>140497376.62</v>
          </cell>
          <cell r="H16">
            <v>188</v>
          </cell>
          <cell r="I16">
            <v>48914183</v>
          </cell>
          <cell r="J16">
            <v>140497376.62</v>
          </cell>
          <cell r="K16">
            <v>111</v>
          </cell>
          <cell r="L16">
            <v>26797877</v>
          </cell>
          <cell r="M16">
            <v>77665691.519999996</v>
          </cell>
          <cell r="N16">
            <v>63</v>
          </cell>
          <cell r="O16">
            <v>16818389</v>
          </cell>
          <cell r="P16">
            <v>53238261.950000003</v>
          </cell>
          <cell r="Q16">
            <v>16</v>
          </cell>
          <cell r="R16">
            <v>6136011</v>
          </cell>
          <cell r="S16">
            <v>18785913.93</v>
          </cell>
          <cell r="T16">
            <v>2</v>
          </cell>
          <cell r="U16">
            <v>25000</v>
          </cell>
          <cell r="V16">
            <v>89440.25</v>
          </cell>
          <cell r="W16">
            <v>22</v>
          </cell>
          <cell r="X16">
            <v>8575342</v>
          </cell>
          <cell r="Y16">
            <v>29282089.631960001</v>
          </cell>
        </row>
        <row r="17">
          <cell r="A17" t="str">
            <v>CRUDE &amp; PRODUCTS=Yes</v>
          </cell>
          <cell r="C17" t="str">
            <v>CRUDE &amp; PRODUCTS</v>
          </cell>
          <cell r="D17" t="str">
            <v>Yes</v>
          </cell>
          <cell r="E17">
            <v>2251</v>
          </cell>
          <cell r="F17">
            <v>60786000.020000003</v>
          </cell>
          <cell r="G17">
            <v>1778316294.8</v>
          </cell>
          <cell r="H17">
            <v>2251</v>
          </cell>
          <cell r="I17">
            <v>60786000.020000003</v>
          </cell>
          <cell r="J17">
            <v>1778316294.8</v>
          </cell>
          <cell r="K17">
            <v>1317</v>
          </cell>
          <cell r="L17">
            <v>37265000.020000003</v>
          </cell>
          <cell r="M17">
            <v>1088612180.95</v>
          </cell>
          <cell r="N17">
            <v>837</v>
          </cell>
          <cell r="O17">
            <v>23425000.010000002</v>
          </cell>
          <cell r="P17">
            <v>665753550.96000004</v>
          </cell>
          <cell r="Q17">
            <v>189</v>
          </cell>
          <cell r="R17">
            <v>6175000</v>
          </cell>
          <cell r="S17">
            <v>174355192.16999999</v>
          </cell>
          <cell r="T17">
            <v>189</v>
          </cell>
          <cell r="U17">
            <v>6175000.0016000001</v>
          </cell>
          <cell r="V17">
            <v>174355192.17459601</v>
          </cell>
          <cell r="W17">
            <v>378</v>
          </cell>
          <cell r="X17">
            <v>9705000.0029000007</v>
          </cell>
          <cell r="Y17">
            <v>279095752.57139802</v>
          </cell>
        </row>
        <row r="18">
          <cell r="A18" t="str">
            <v>CRUDE &amp; PRODUCTS=No</v>
          </cell>
          <cell r="C18" t="str">
            <v>CRUDE &amp; PRODUCTS</v>
          </cell>
          <cell r="D18" t="str">
            <v>No</v>
          </cell>
          <cell r="E18">
            <v>2454</v>
          </cell>
          <cell r="F18">
            <v>170407995.78999999</v>
          </cell>
          <cell r="G18">
            <v>4867230243.5299997</v>
          </cell>
          <cell r="H18">
            <v>2454</v>
          </cell>
          <cell r="I18">
            <v>170407995.78999999</v>
          </cell>
          <cell r="J18">
            <v>4867230243.5299997</v>
          </cell>
          <cell r="K18">
            <v>1366</v>
          </cell>
          <cell r="L18">
            <v>93487988.560000002</v>
          </cell>
          <cell r="M18">
            <v>2704780985.4000001</v>
          </cell>
          <cell r="N18">
            <v>869</v>
          </cell>
          <cell r="O18">
            <v>59198767.109999999</v>
          </cell>
          <cell r="P18">
            <v>1702573650.99</v>
          </cell>
          <cell r="Q18">
            <v>299</v>
          </cell>
          <cell r="R18">
            <v>28614234</v>
          </cell>
          <cell r="S18">
            <v>797880078.39999998</v>
          </cell>
          <cell r="T18">
            <v>282</v>
          </cell>
          <cell r="U18">
            <v>15152669.1018</v>
          </cell>
          <cell r="V18">
            <v>448515383.72110498</v>
          </cell>
          <cell r="W18">
            <v>299</v>
          </cell>
          <cell r="X18">
            <v>28614234.004900001</v>
          </cell>
          <cell r="Y18">
            <v>797880078.40201199</v>
          </cell>
        </row>
        <row r="19">
          <cell r="A19" t="str">
            <v>DUTCH POWER=Yes</v>
          </cell>
          <cell r="C19" t="str">
            <v>DUTCH POWER</v>
          </cell>
          <cell r="D19" t="str">
            <v>Yes</v>
          </cell>
          <cell r="E19">
            <v>5</v>
          </cell>
          <cell r="F19">
            <v>197680</v>
          </cell>
          <cell r="G19">
            <v>5061273.9800000004</v>
          </cell>
          <cell r="H19">
            <v>5</v>
          </cell>
          <cell r="I19">
            <v>197680</v>
          </cell>
          <cell r="J19">
            <v>5061273.9800000004</v>
          </cell>
          <cell r="K19">
            <v>3</v>
          </cell>
          <cell r="L19">
            <v>175600</v>
          </cell>
          <cell r="M19">
            <v>4350454.97</v>
          </cell>
        </row>
        <row r="20">
          <cell r="A20" t="str">
            <v>DUTCH POWER=No</v>
          </cell>
          <cell r="C20" t="str">
            <v>DUTCH POWER</v>
          </cell>
          <cell r="D20" t="str">
            <v>No</v>
          </cell>
          <cell r="E20">
            <v>146</v>
          </cell>
          <cell r="F20">
            <v>6163609</v>
          </cell>
          <cell r="G20">
            <v>156665749.88</v>
          </cell>
          <cell r="H20">
            <v>146</v>
          </cell>
          <cell r="I20">
            <v>6163609</v>
          </cell>
          <cell r="J20">
            <v>156665749.88</v>
          </cell>
          <cell r="K20">
            <v>129</v>
          </cell>
          <cell r="L20">
            <v>5671432</v>
          </cell>
          <cell r="M20">
            <v>144082452.13999999</v>
          </cell>
          <cell r="N20">
            <v>86</v>
          </cell>
          <cell r="O20">
            <v>3543898</v>
          </cell>
          <cell r="P20">
            <v>91887581.180000007</v>
          </cell>
          <cell r="Q20">
            <v>18</v>
          </cell>
          <cell r="R20">
            <v>679940</v>
          </cell>
          <cell r="S20">
            <v>18423594.129999999</v>
          </cell>
          <cell r="T20">
            <v>1</v>
          </cell>
          <cell r="U20">
            <v>560</v>
          </cell>
          <cell r="V20">
            <v>10146.7752</v>
          </cell>
          <cell r="W20">
            <v>38</v>
          </cell>
          <cell r="X20">
            <v>1990113</v>
          </cell>
          <cell r="Y20">
            <v>50334838.07401</v>
          </cell>
        </row>
        <row r="21">
          <cell r="A21" t="str">
            <v>EMISSIONS=Yes</v>
          </cell>
          <cell r="C21" t="str">
            <v>EMISSIONS</v>
          </cell>
          <cell r="D21" t="str">
            <v>Yes</v>
          </cell>
          <cell r="E21">
            <v>7</v>
          </cell>
          <cell r="F21">
            <v>17500</v>
          </cell>
          <cell r="G21">
            <v>2803750</v>
          </cell>
          <cell r="H21">
            <v>7</v>
          </cell>
          <cell r="I21">
            <v>17500</v>
          </cell>
          <cell r="J21">
            <v>2803750</v>
          </cell>
        </row>
        <row r="22">
          <cell r="A22" t="str">
            <v>EMISSIONS=No</v>
          </cell>
          <cell r="C22" t="str">
            <v>EMISSIONS</v>
          </cell>
          <cell r="D22" t="str">
            <v>No</v>
          </cell>
          <cell r="E22">
            <v>7</v>
          </cell>
          <cell r="F22">
            <v>35000</v>
          </cell>
          <cell r="G22">
            <v>6230000</v>
          </cell>
          <cell r="H22">
            <v>7</v>
          </cell>
          <cell r="I22">
            <v>35000</v>
          </cell>
          <cell r="J22">
            <v>6230000</v>
          </cell>
          <cell r="K22">
            <v>5</v>
          </cell>
          <cell r="L22">
            <v>30000</v>
          </cell>
          <cell r="M22">
            <v>5430000</v>
          </cell>
          <cell r="N22">
            <v>2</v>
          </cell>
          <cell r="O22">
            <v>22500</v>
          </cell>
          <cell r="P22">
            <v>4135000</v>
          </cell>
          <cell r="T22">
            <v>1</v>
          </cell>
          <cell r="U22">
            <v>2500</v>
          </cell>
          <cell r="V22">
            <v>435000</v>
          </cell>
          <cell r="W22">
            <v>1</v>
          </cell>
          <cell r="X22">
            <v>20000</v>
          </cell>
          <cell r="Y22">
            <v>3700000</v>
          </cell>
        </row>
        <row r="23">
          <cell r="A23" t="str">
            <v>US GAS=Yes</v>
          </cell>
          <cell r="C23" t="str">
            <v>US GAS</v>
          </cell>
          <cell r="D23" t="str">
            <v>Yes</v>
          </cell>
          <cell r="E23">
            <v>20053</v>
          </cell>
          <cell r="F23">
            <v>2687758180.5</v>
          </cell>
          <cell r="G23">
            <v>12928077900.58</v>
          </cell>
          <cell r="H23">
            <v>20053</v>
          </cell>
          <cell r="I23">
            <v>2687758180.5</v>
          </cell>
          <cell r="J23">
            <v>12928077900.58</v>
          </cell>
          <cell r="K23">
            <v>12899</v>
          </cell>
          <cell r="L23">
            <v>1544722872.5</v>
          </cell>
          <cell r="M23">
            <v>6348502887.1400003</v>
          </cell>
          <cell r="N23">
            <v>7806</v>
          </cell>
          <cell r="O23">
            <v>942529234.5</v>
          </cell>
          <cell r="P23">
            <v>3696289396.4200001</v>
          </cell>
          <cell r="Q23">
            <v>2277</v>
          </cell>
          <cell r="R23">
            <v>286580336.5</v>
          </cell>
          <cell r="S23">
            <v>1212200675.6099999</v>
          </cell>
          <cell r="T23">
            <v>60</v>
          </cell>
          <cell r="U23">
            <v>18377500</v>
          </cell>
          <cell r="V23">
            <v>93514375</v>
          </cell>
          <cell r="W23">
            <v>2804</v>
          </cell>
          <cell r="X23">
            <v>349746984</v>
          </cell>
          <cell r="Y23">
            <v>1368568149.30285</v>
          </cell>
        </row>
        <row r="24">
          <cell r="A24" t="str">
            <v>US GAS=No</v>
          </cell>
          <cell r="C24" t="str">
            <v>US GAS</v>
          </cell>
          <cell r="D24" t="str">
            <v>No</v>
          </cell>
          <cell r="E24">
            <v>5244</v>
          </cell>
          <cell r="F24">
            <v>3735580127.8299999</v>
          </cell>
          <cell r="G24">
            <v>17034456452.67</v>
          </cell>
          <cell r="H24">
            <v>5244</v>
          </cell>
          <cell r="I24">
            <v>3735580127.8299999</v>
          </cell>
          <cell r="J24">
            <v>17034456452.67</v>
          </cell>
          <cell r="K24">
            <v>3335</v>
          </cell>
          <cell r="L24">
            <v>2219496165.3200002</v>
          </cell>
          <cell r="M24">
            <v>9582931243.8500004</v>
          </cell>
          <cell r="N24">
            <v>2255</v>
          </cell>
          <cell r="O24">
            <v>1502583762.05</v>
          </cell>
          <cell r="P24">
            <v>6431096169.3400002</v>
          </cell>
          <cell r="Q24">
            <v>801</v>
          </cell>
          <cell r="R24">
            <v>377590868</v>
          </cell>
          <cell r="S24">
            <v>1535179347.6199999</v>
          </cell>
          <cell r="T24">
            <v>1</v>
          </cell>
          <cell r="U24">
            <v>2945</v>
          </cell>
          <cell r="V24">
            <v>14047.65</v>
          </cell>
          <cell r="W24">
            <v>801</v>
          </cell>
          <cell r="X24">
            <v>614995048.03600001</v>
          </cell>
          <cell r="Y24">
            <v>2760574241.6280999</v>
          </cell>
        </row>
        <row r="25">
          <cell r="A25" t="str">
            <v>GERMAN POWER=Yes</v>
          </cell>
          <cell r="C25" t="str">
            <v>GERMAN POWER</v>
          </cell>
          <cell r="D25" t="str">
            <v>Yes</v>
          </cell>
          <cell r="E25">
            <v>735</v>
          </cell>
          <cell r="F25">
            <v>8415912</v>
          </cell>
          <cell r="G25">
            <v>167071449.97</v>
          </cell>
          <cell r="H25">
            <v>735</v>
          </cell>
          <cell r="I25">
            <v>8415912</v>
          </cell>
          <cell r="J25">
            <v>167071449.97</v>
          </cell>
          <cell r="K25">
            <v>506</v>
          </cell>
          <cell r="L25">
            <v>5411940</v>
          </cell>
          <cell r="M25">
            <v>106037842</v>
          </cell>
          <cell r="N25">
            <v>303</v>
          </cell>
          <cell r="O25">
            <v>2938080</v>
          </cell>
          <cell r="P25">
            <v>59138449.780000001</v>
          </cell>
          <cell r="Q25">
            <v>55</v>
          </cell>
          <cell r="R25">
            <v>341220</v>
          </cell>
          <cell r="S25">
            <v>6452337.2699999996</v>
          </cell>
          <cell r="T25">
            <v>55</v>
          </cell>
          <cell r="U25">
            <v>341220</v>
          </cell>
          <cell r="V25">
            <v>6452337.2712000003</v>
          </cell>
          <cell r="W25">
            <v>168</v>
          </cell>
          <cell r="X25">
            <v>1407060</v>
          </cell>
          <cell r="Y25">
            <v>28555172.100000001</v>
          </cell>
        </row>
        <row r="26">
          <cell r="A26" t="str">
            <v>GERMAN POWER=No</v>
          </cell>
          <cell r="C26" t="str">
            <v>GERMAN POWER</v>
          </cell>
          <cell r="D26" t="str">
            <v>No</v>
          </cell>
          <cell r="E26">
            <v>577</v>
          </cell>
          <cell r="F26">
            <v>21804066</v>
          </cell>
          <cell r="G26">
            <v>444476736.06</v>
          </cell>
          <cell r="H26">
            <v>577</v>
          </cell>
          <cell r="I26">
            <v>21804066</v>
          </cell>
          <cell r="J26">
            <v>444476736.06</v>
          </cell>
          <cell r="K26">
            <v>422</v>
          </cell>
          <cell r="L26">
            <v>16618764</v>
          </cell>
          <cell r="M26">
            <v>333439035.98000002</v>
          </cell>
          <cell r="N26">
            <v>227</v>
          </cell>
          <cell r="O26">
            <v>5089877</v>
          </cell>
          <cell r="P26">
            <v>107867459.81</v>
          </cell>
          <cell r="Q26">
            <v>47</v>
          </cell>
          <cell r="R26">
            <v>1027179</v>
          </cell>
          <cell r="S26">
            <v>21721067.920000002</v>
          </cell>
          <cell r="T26">
            <v>47</v>
          </cell>
          <cell r="U26">
            <v>1027179</v>
          </cell>
          <cell r="V26">
            <v>21721067.92351</v>
          </cell>
          <cell r="W26">
            <v>106</v>
          </cell>
          <cell r="X26">
            <v>2253014</v>
          </cell>
          <cell r="Y26">
            <v>49283688.476159997</v>
          </cell>
        </row>
        <row r="27">
          <cell r="A27" t="str">
            <v>IBERIAN POWER=No</v>
          </cell>
          <cell r="C27" t="str">
            <v>IBERIAN POWER</v>
          </cell>
          <cell r="D27" t="str">
            <v>No</v>
          </cell>
          <cell r="E27">
            <v>22</v>
          </cell>
          <cell r="F27">
            <v>469842</v>
          </cell>
          <cell r="G27">
            <v>12497500.75</v>
          </cell>
          <cell r="H27">
            <v>22</v>
          </cell>
          <cell r="I27">
            <v>469842</v>
          </cell>
          <cell r="J27">
            <v>12497500.75</v>
          </cell>
          <cell r="K27">
            <v>13</v>
          </cell>
          <cell r="L27">
            <v>437302</v>
          </cell>
          <cell r="M27">
            <v>11695074.189999999</v>
          </cell>
          <cell r="N27">
            <v>5</v>
          </cell>
          <cell r="O27">
            <v>118560</v>
          </cell>
          <cell r="P27">
            <v>2903142.64</v>
          </cell>
          <cell r="Q27">
            <v>4</v>
          </cell>
          <cell r="R27">
            <v>43920</v>
          </cell>
          <cell r="S27">
            <v>958957.24</v>
          </cell>
          <cell r="T27">
            <v>1</v>
          </cell>
          <cell r="U27">
            <v>43920</v>
          </cell>
          <cell r="V27">
            <v>958957.23600000003</v>
          </cell>
          <cell r="W27">
            <v>4</v>
          </cell>
          <cell r="X27">
            <v>74640</v>
          </cell>
          <cell r="Y27">
            <v>1944185.4</v>
          </cell>
        </row>
        <row r="28">
          <cell r="A28" t="str">
            <v>LPG=Yes</v>
          </cell>
          <cell r="C28" t="str">
            <v>LPG</v>
          </cell>
          <cell r="D28" t="str">
            <v>Yes</v>
          </cell>
          <cell r="E28">
            <v>178</v>
          </cell>
          <cell r="F28">
            <v>3747595</v>
          </cell>
          <cell r="G28">
            <v>149834817.75999999</v>
          </cell>
          <cell r="H28">
            <v>178</v>
          </cell>
          <cell r="I28">
            <v>3747595</v>
          </cell>
          <cell r="J28">
            <v>149834817.75999999</v>
          </cell>
          <cell r="K28">
            <v>60</v>
          </cell>
          <cell r="L28">
            <v>1761000</v>
          </cell>
          <cell r="M28">
            <v>73951066.5</v>
          </cell>
          <cell r="N28">
            <v>33</v>
          </cell>
          <cell r="O28">
            <v>908000</v>
          </cell>
          <cell r="P28">
            <v>33272511.699999999</v>
          </cell>
          <cell r="Q28">
            <v>8</v>
          </cell>
          <cell r="R28">
            <v>473000</v>
          </cell>
          <cell r="S28">
            <v>23986302.41</v>
          </cell>
          <cell r="T28">
            <v>7</v>
          </cell>
          <cell r="U28">
            <v>130000</v>
          </cell>
          <cell r="V28">
            <v>2630515.1306500002</v>
          </cell>
          <cell r="W28">
            <v>18</v>
          </cell>
          <cell r="X28">
            <v>473000</v>
          </cell>
          <cell r="Y28">
            <v>23986302.410999998</v>
          </cell>
        </row>
        <row r="29">
          <cell r="A29" t="str">
            <v>LPG=No</v>
          </cell>
          <cell r="C29" t="str">
            <v>LPG</v>
          </cell>
          <cell r="D29" t="str">
            <v>No</v>
          </cell>
          <cell r="E29">
            <v>140</v>
          </cell>
          <cell r="F29">
            <v>3472452</v>
          </cell>
          <cell r="G29">
            <v>100443952.19</v>
          </cell>
          <cell r="H29">
            <v>140</v>
          </cell>
          <cell r="I29">
            <v>3472452</v>
          </cell>
          <cell r="J29">
            <v>100443952.19</v>
          </cell>
          <cell r="K29">
            <v>87</v>
          </cell>
          <cell r="L29">
            <v>2061207</v>
          </cell>
          <cell r="M29">
            <v>52428826.100000001</v>
          </cell>
          <cell r="N29">
            <v>50</v>
          </cell>
          <cell r="O29">
            <v>1009619</v>
          </cell>
          <cell r="P29">
            <v>27329928.530000001</v>
          </cell>
          <cell r="Q29">
            <v>22</v>
          </cell>
          <cell r="R29">
            <v>520000</v>
          </cell>
          <cell r="S29">
            <v>14835302.210000001</v>
          </cell>
          <cell r="T29">
            <v>13</v>
          </cell>
          <cell r="U29">
            <v>224619</v>
          </cell>
          <cell r="V29">
            <v>6112113.0806059204</v>
          </cell>
          <cell r="W29">
            <v>22</v>
          </cell>
          <cell r="X29">
            <v>520000</v>
          </cell>
          <cell r="Y29">
            <v>14835302.212424999</v>
          </cell>
        </row>
        <row r="30">
          <cell r="A30" t="str">
            <v>METALS=Yes</v>
          </cell>
          <cell r="C30" t="str">
            <v>METALS</v>
          </cell>
          <cell r="D30" t="str">
            <v>Yes</v>
          </cell>
          <cell r="E30">
            <v>4072</v>
          </cell>
          <cell r="F30">
            <v>1287557</v>
          </cell>
          <cell r="G30">
            <v>2104074656.78</v>
          </cell>
          <cell r="H30">
            <v>4072</v>
          </cell>
          <cell r="I30">
            <v>1287557</v>
          </cell>
          <cell r="J30">
            <v>2104074656.78</v>
          </cell>
          <cell r="K30">
            <v>2831</v>
          </cell>
          <cell r="L30">
            <v>882249</v>
          </cell>
          <cell r="M30">
            <v>1428741787.5</v>
          </cell>
          <cell r="N30">
            <v>1515</v>
          </cell>
          <cell r="O30">
            <v>493403</v>
          </cell>
          <cell r="P30">
            <v>788418900</v>
          </cell>
          <cell r="Q30">
            <v>417</v>
          </cell>
          <cell r="R30">
            <v>138596</v>
          </cell>
          <cell r="S30">
            <v>216015900</v>
          </cell>
          <cell r="T30">
            <v>417</v>
          </cell>
          <cell r="U30">
            <v>138596</v>
          </cell>
          <cell r="V30">
            <v>216015900</v>
          </cell>
          <cell r="W30">
            <v>560</v>
          </cell>
          <cell r="X30">
            <v>192670</v>
          </cell>
          <cell r="Y30">
            <v>311384510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149</v>
          </cell>
          <cell r="F31">
            <v>2968273</v>
          </cell>
          <cell r="G31">
            <v>48762341.479999997</v>
          </cell>
          <cell r="H31">
            <v>149</v>
          </cell>
          <cell r="I31">
            <v>2968273</v>
          </cell>
          <cell r="J31">
            <v>48762341.479999997</v>
          </cell>
          <cell r="K31">
            <v>109</v>
          </cell>
          <cell r="L31">
            <v>1828518</v>
          </cell>
          <cell r="M31">
            <v>31170225.469999999</v>
          </cell>
          <cell r="N31">
            <v>37</v>
          </cell>
          <cell r="O31">
            <v>660585</v>
          </cell>
          <cell r="P31">
            <v>11790287.640000001</v>
          </cell>
          <cell r="Q31">
            <v>18</v>
          </cell>
          <cell r="R31">
            <v>212976</v>
          </cell>
          <cell r="S31">
            <v>3917304.35</v>
          </cell>
          <cell r="T31">
            <v>8</v>
          </cell>
          <cell r="U31">
            <v>103199</v>
          </cell>
          <cell r="V31">
            <v>1924627.95466</v>
          </cell>
          <cell r="W31">
            <v>18</v>
          </cell>
          <cell r="X31">
            <v>344410</v>
          </cell>
          <cell r="Y31">
            <v>5948355.3344999999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410</v>
          </cell>
          <cell r="F32">
            <v>9255481</v>
          </cell>
          <cell r="G32">
            <v>138441289.84</v>
          </cell>
          <cell r="H32">
            <v>410</v>
          </cell>
          <cell r="I32">
            <v>9255481</v>
          </cell>
          <cell r="J32">
            <v>138441289.84</v>
          </cell>
          <cell r="K32">
            <v>343</v>
          </cell>
          <cell r="L32">
            <v>7842738</v>
          </cell>
          <cell r="M32">
            <v>117833713.06999999</v>
          </cell>
          <cell r="N32">
            <v>174</v>
          </cell>
          <cell r="O32">
            <v>3391904</v>
          </cell>
          <cell r="P32">
            <v>48094996.299999997</v>
          </cell>
          <cell r="Q32">
            <v>79</v>
          </cell>
          <cell r="R32">
            <v>1870390</v>
          </cell>
          <cell r="S32">
            <v>24697095.670000002</v>
          </cell>
          <cell r="T32">
            <v>47</v>
          </cell>
          <cell r="U32">
            <v>659823</v>
          </cell>
          <cell r="V32">
            <v>8544980.6574399993</v>
          </cell>
          <cell r="W32">
            <v>79</v>
          </cell>
          <cell r="X32">
            <v>1870390</v>
          </cell>
          <cell r="Y32">
            <v>24697095.670079999</v>
          </cell>
        </row>
        <row r="33">
          <cell r="A33" t="str">
            <v>NORDIC WEATHER=Yes</v>
          </cell>
          <cell r="C33" t="str">
            <v>NORDIC WEATHER</v>
          </cell>
          <cell r="D33" t="str">
            <v>Yes</v>
          </cell>
          <cell r="E33">
            <v>7</v>
          </cell>
          <cell r="F33">
            <v>3500000</v>
          </cell>
          <cell r="G33">
            <v>20526450</v>
          </cell>
          <cell r="H33">
            <v>7</v>
          </cell>
          <cell r="I33">
            <v>3500000</v>
          </cell>
          <cell r="J33">
            <v>20526450</v>
          </cell>
          <cell r="K33">
            <v>7</v>
          </cell>
          <cell r="L33">
            <v>3500000</v>
          </cell>
          <cell r="M33">
            <v>20526450</v>
          </cell>
          <cell r="N33">
            <v>2</v>
          </cell>
          <cell r="O33">
            <v>1000000</v>
          </cell>
          <cell r="P33">
            <v>5958875</v>
          </cell>
          <cell r="T33">
            <v>2</v>
          </cell>
          <cell r="U33">
            <v>1000000</v>
          </cell>
          <cell r="V33">
            <v>5958875</v>
          </cell>
          <cell r="W33">
            <v>2</v>
          </cell>
          <cell r="X33">
            <v>1000000</v>
          </cell>
          <cell r="Y33">
            <v>5958875</v>
          </cell>
        </row>
        <row r="34">
          <cell r="A34" t="str">
            <v>NORDIC WEATHER=No</v>
          </cell>
          <cell r="C34" t="str">
            <v>NORDIC WEATHER</v>
          </cell>
          <cell r="D34" t="str">
            <v>No</v>
          </cell>
          <cell r="E34">
            <v>3</v>
          </cell>
          <cell r="F34">
            <v>3000000</v>
          </cell>
          <cell r="G34">
            <v>116351140</v>
          </cell>
          <cell r="H34">
            <v>3</v>
          </cell>
          <cell r="I34">
            <v>3000000</v>
          </cell>
          <cell r="J34">
            <v>116351140</v>
          </cell>
          <cell r="K34">
            <v>2</v>
          </cell>
          <cell r="L34">
            <v>2900000</v>
          </cell>
          <cell r="M34">
            <v>56509015</v>
          </cell>
          <cell r="N34">
            <v>2</v>
          </cell>
          <cell r="O34">
            <v>2900000</v>
          </cell>
          <cell r="P34">
            <v>56509015</v>
          </cell>
          <cell r="T34">
            <v>2</v>
          </cell>
          <cell r="U34">
            <v>2900000</v>
          </cell>
          <cell r="V34">
            <v>56509015</v>
          </cell>
          <cell r="W34">
            <v>2</v>
          </cell>
          <cell r="X34">
            <v>2900000</v>
          </cell>
          <cell r="Y34">
            <v>56509015</v>
          </cell>
        </row>
        <row r="35">
          <cell r="A35" t="str">
            <v>OTHER CONTINENTAL POWER=No</v>
          </cell>
          <cell r="C35" t="str">
            <v>OTHER CONTINENTAL POWER</v>
          </cell>
          <cell r="D35" t="str">
            <v>No</v>
          </cell>
          <cell r="E35">
            <v>20</v>
          </cell>
          <cell r="F35">
            <v>399128</v>
          </cell>
          <cell r="G35">
            <v>12193944.050000001</v>
          </cell>
          <cell r="H35">
            <v>20</v>
          </cell>
          <cell r="I35">
            <v>399128</v>
          </cell>
          <cell r="J35">
            <v>12193944.050000001</v>
          </cell>
          <cell r="K35">
            <v>15</v>
          </cell>
          <cell r="L35">
            <v>252344</v>
          </cell>
          <cell r="M35">
            <v>9315693.3900000006</v>
          </cell>
          <cell r="N35">
            <v>7</v>
          </cell>
          <cell r="O35">
            <v>17144</v>
          </cell>
          <cell r="P35">
            <v>328045.67</v>
          </cell>
          <cell r="Q35">
            <v>3</v>
          </cell>
          <cell r="R35">
            <v>1664</v>
          </cell>
          <cell r="S35">
            <v>31837.53</v>
          </cell>
          <cell r="T35">
            <v>1</v>
          </cell>
          <cell r="U35">
            <v>1664</v>
          </cell>
          <cell r="V35">
            <v>29919.743999999999</v>
          </cell>
          <cell r="W35">
            <v>3</v>
          </cell>
          <cell r="X35">
            <v>13560</v>
          </cell>
          <cell r="Y35">
            <v>266288.40240000002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66</v>
          </cell>
          <cell r="F36">
            <v>267256.5</v>
          </cell>
          <cell r="G36">
            <v>132776453.3</v>
          </cell>
          <cell r="H36">
            <v>66</v>
          </cell>
          <cell r="I36">
            <v>267256.5</v>
          </cell>
          <cell r="J36">
            <v>132776453.3</v>
          </cell>
          <cell r="K36">
            <v>37</v>
          </cell>
          <cell r="L36">
            <v>59798.5</v>
          </cell>
          <cell r="M36">
            <v>12944515.77</v>
          </cell>
          <cell r="N36">
            <v>27</v>
          </cell>
          <cell r="O36">
            <v>57158.54</v>
          </cell>
          <cell r="P36">
            <v>12839266.49</v>
          </cell>
          <cell r="Q36">
            <v>14</v>
          </cell>
          <cell r="R36">
            <v>25390.53</v>
          </cell>
          <cell r="S36">
            <v>638245.97</v>
          </cell>
          <cell r="T36">
            <v>6</v>
          </cell>
          <cell r="U36">
            <v>1260.03</v>
          </cell>
          <cell r="V36">
            <v>32600.758000000002</v>
          </cell>
          <cell r="W36">
            <v>14</v>
          </cell>
          <cell r="X36">
            <v>30507.984</v>
          </cell>
          <cell r="Y36">
            <v>12168419.76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9</v>
          </cell>
          <cell r="F37">
            <v>161500</v>
          </cell>
          <cell r="G37">
            <v>39508901.219999999</v>
          </cell>
          <cell r="H37">
            <v>9</v>
          </cell>
          <cell r="I37">
            <v>161500</v>
          </cell>
          <cell r="J37">
            <v>39508901.219999999</v>
          </cell>
          <cell r="K37">
            <v>5</v>
          </cell>
          <cell r="L37">
            <v>125500</v>
          </cell>
          <cell r="M37">
            <v>37951500.490000002</v>
          </cell>
          <cell r="N37">
            <v>1</v>
          </cell>
          <cell r="O37">
            <v>45500</v>
          </cell>
          <cell r="P37">
            <v>15652000</v>
          </cell>
          <cell r="Q37">
            <v>1</v>
          </cell>
          <cell r="R37">
            <v>45500</v>
          </cell>
          <cell r="S37">
            <v>15652000</v>
          </cell>
          <cell r="T37">
            <v>1</v>
          </cell>
          <cell r="U37">
            <v>45500</v>
          </cell>
          <cell r="V37">
            <v>15652000</v>
          </cell>
          <cell r="W37">
            <v>1</v>
          </cell>
          <cell r="X37">
            <v>45500</v>
          </cell>
          <cell r="Y37">
            <v>15652000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53</v>
          </cell>
          <cell r="F38">
            <v>1446291.86</v>
          </cell>
          <cell r="G38">
            <v>57633045.119999997</v>
          </cell>
          <cell r="H38">
            <v>53</v>
          </cell>
          <cell r="I38">
            <v>1446291.86</v>
          </cell>
          <cell r="J38">
            <v>57633045.119999997</v>
          </cell>
          <cell r="K38">
            <v>36</v>
          </cell>
          <cell r="L38">
            <v>679023.99</v>
          </cell>
          <cell r="M38">
            <v>27176753.690000001</v>
          </cell>
          <cell r="N38">
            <v>24</v>
          </cell>
          <cell r="O38">
            <v>523023.98</v>
          </cell>
          <cell r="P38">
            <v>21648249.190000001</v>
          </cell>
          <cell r="Q38">
            <v>4</v>
          </cell>
          <cell r="R38">
            <v>80240</v>
          </cell>
          <cell r="S38">
            <v>4084123.06</v>
          </cell>
          <cell r="T38">
            <v>4</v>
          </cell>
          <cell r="U38">
            <v>80240</v>
          </cell>
          <cell r="V38">
            <v>4084123.0588000002</v>
          </cell>
          <cell r="W38">
            <v>12</v>
          </cell>
          <cell r="X38">
            <v>241784</v>
          </cell>
          <cell r="Y38">
            <v>12243371.6192596</v>
          </cell>
        </row>
        <row r="39">
          <cell r="A39" t="str">
            <v>PIPELINE CAPACITY=Yes</v>
          </cell>
          <cell r="C39" t="str">
            <v>PIPELINE CAPACITY</v>
          </cell>
          <cell r="D39" t="str">
            <v>Yes</v>
          </cell>
          <cell r="E39">
            <v>2</v>
          </cell>
          <cell r="F39">
            <v>15000</v>
          </cell>
          <cell r="G39">
            <v>725</v>
          </cell>
          <cell r="H39">
            <v>2</v>
          </cell>
          <cell r="I39">
            <v>15000</v>
          </cell>
          <cell r="J39">
            <v>725</v>
          </cell>
          <cell r="K39">
            <v>1</v>
          </cell>
          <cell r="L39">
            <v>5000</v>
          </cell>
          <cell r="M39">
            <v>75</v>
          </cell>
          <cell r="N39">
            <v>1</v>
          </cell>
          <cell r="O39">
            <v>5000</v>
          </cell>
          <cell r="P39">
            <v>75</v>
          </cell>
          <cell r="Q39">
            <v>1</v>
          </cell>
          <cell r="R39">
            <v>5000</v>
          </cell>
          <cell r="S39">
            <v>75</v>
          </cell>
          <cell r="T39">
            <v>1</v>
          </cell>
          <cell r="U39">
            <v>5000</v>
          </cell>
          <cell r="V39">
            <v>75</v>
          </cell>
          <cell r="W39">
            <v>1</v>
          </cell>
          <cell r="X39">
            <v>5000</v>
          </cell>
          <cell r="Y39">
            <v>75</v>
          </cell>
        </row>
        <row r="40">
          <cell r="A40" t="str">
            <v>PLASTICS=Yes</v>
          </cell>
          <cell r="C40" t="str">
            <v>PLASTICS</v>
          </cell>
          <cell r="D40" t="str">
            <v>Yes</v>
          </cell>
          <cell r="E40">
            <v>4</v>
          </cell>
          <cell r="F40">
            <v>5000000</v>
          </cell>
          <cell r="G40">
            <v>941200</v>
          </cell>
          <cell r="H40">
            <v>4</v>
          </cell>
          <cell r="I40">
            <v>5000000</v>
          </cell>
          <cell r="J40">
            <v>941200</v>
          </cell>
          <cell r="K40">
            <v>3</v>
          </cell>
          <cell r="L40">
            <v>4800000</v>
          </cell>
          <cell r="M40">
            <v>865200</v>
          </cell>
        </row>
        <row r="41">
          <cell r="A41" t="str">
            <v>PLASTICS=No</v>
          </cell>
          <cell r="C41" t="str">
            <v>PLASTICS</v>
          </cell>
          <cell r="D41" t="str">
            <v>No</v>
          </cell>
          <cell r="E41">
            <v>1</v>
          </cell>
          <cell r="F41">
            <v>2400000</v>
          </cell>
          <cell r="G41">
            <v>912000</v>
          </cell>
          <cell r="H41">
            <v>1</v>
          </cell>
          <cell r="I41">
            <v>2400000</v>
          </cell>
          <cell r="J41">
            <v>912000</v>
          </cell>
        </row>
        <row r="42">
          <cell r="A42" t="str">
            <v>POWER EAST=Yes</v>
          </cell>
          <cell r="C42" t="str">
            <v>POWER EAST</v>
          </cell>
          <cell r="D42" t="str">
            <v>Yes</v>
          </cell>
          <cell r="E42">
            <v>2226</v>
          </cell>
          <cell r="F42">
            <v>23518400</v>
          </cell>
          <cell r="G42">
            <v>1293359184</v>
          </cell>
          <cell r="H42">
            <v>2226</v>
          </cell>
          <cell r="I42">
            <v>23518400</v>
          </cell>
          <cell r="J42">
            <v>1293359184</v>
          </cell>
          <cell r="K42">
            <v>1543</v>
          </cell>
          <cell r="L42">
            <v>16053600</v>
          </cell>
          <cell r="M42">
            <v>862530504</v>
          </cell>
          <cell r="N42">
            <v>820</v>
          </cell>
          <cell r="O42">
            <v>9061600</v>
          </cell>
          <cell r="P42">
            <v>485891984</v>
          </cell>
          <cell r="Q42">
            <v>289</v>
          </cell>
          <cell r="R42">
            <v>3311200</v>
          </cell>
          <cell r="S42">
            <v>180968264</v>
          </cell>
          <cell r="T42">
            <v>249</v>
          </cell>
          <cell r="U42">
            <v>2735200</v>
          </cell>
          <cell r="V42">
            <v>136377640</v>
          </cell>
          <cell r="W42">
            <v>289</v>
          </cell>
          <cell r="X42">
            <v>3311200</v>
          </cell>
          <cell r="Y42">
            <v>180968264</v>
          </cell>
        </row>
        <row r="43">
          <cell r="A43" t="str">
            <v>POWER EAST=No</v>
          </cell>
          <cell r="C43" t="str">
            <v>POWER EAST</v>
          </cell>
          <cell r="D43" t="str">
            <v>No</v>
          </cell>
          <cell r="E43">
            <v>1900</v>
          </cell>
          <cell r="F43">
            <v>29722317.600000001</v>
          </cell>
          <cell r="G43">
            <v>1962861763.2</v>
          </cell>
          <cell r="H43">
            <v>1900</v>
          </cell>
          <cell r="I43">
            <v>29722317.600000001</v>
          </cell>
          <cell r="J43">
            <v>1962861763.2</v>
          </cell>
          <cell r="K43">
            <v>1441</v>
          </cell>
          <cell r="L43">
            <v>21266168.600000001</v>
          </cell>
          <cell r="M43">
            <v>1574571119.5</v>
          </cell>
          <cell r="N43">
            <v>880</v>
          </cell>
          <cell r="O43">
            <v>14144527</v>
          </cell>
          <cell r="P43">
            <v>1103822605.5</v>
          </cell>
          <cell r="Q43">
            <v>248</v>
          </cell>
          <cell r="R43">
            <v>1423865.4</v>
          </cell>
          <cell r="S43">
            <v>98961591</v>
          </cell>
          <cell r="T43">
            <v>10</v>
          </cell>
          <cell r="U43">
            <v>830</v>
          </cell>
          <cell r="V43">
            <v>23815</v>
          </cell>
          <cell r="W43">
            <v>333</v>
          </cell>
          <cell r="X43">
            <v>6410809.2000000002</v>
          </cell>
          <cell r="Y43">
            <v>728619859.5</v>
          </cell>
        </row>
        <row r="44">
          <cell r="A44" t="str">
            <v>POWER WEST=Yes</v>
          </cell>
          <cell r="C44" t="str">
            <v>POWER WEST</v>
          </cell>
          <cell r="D44" t="str">
            <v>Yes</v>
          </cell>
          <cell r="E44">
            <v>694</v>
          </cell>
          <cell r="F44">
            <v>2845160</v>
          </cell>
          <cell r="G44">
            <v>561113151.83000004</v>
          </cell>
          <cell r="H44">
            <v>694</v>
          </cell>
          <cell r="I44">
            <v>2845160</v>
          </cell>
          <cell r="J44">
            <v>561113151.83000004</v>
          </cell>
          <cell r="K44">
            <v>558</v>
          </cell>
          <cell r="L44">
            <v>2341760</v>
          </cell>
          <cell r="M44">
            <v>458856416.97000003</v>
          </cell>
          <cell r="N44">
            <v>290</v>
          </cell>
          <cell r="O44">
            <v>1431840</v>
          </cell>
          <cell r="P44">
            <v>247622952.13</v>
          </cell>
          <cell r="Q44">
            <v>105</v>
          </cell>
          <cell r="R44">
            <v>777240</v>
          </cell>
          <cell r="S44">
            <v>93382583.939999998</v>
          </cell>
          <cell r="T44">
            <v>89</v>
          </cell>
          <cell r="U44">
            <v>273800</v>
          </cell>
          <cell r="V44">
            <v>76688445.7815651</v>
          </cell>
          <cell r="W44">
            <v>105</v>
          </cell>
          <cell r="X44">
            <v>777240</v>
          </cell>
          <cell r="Y44">
            <v>93382583.937688202</v>
          </cell>
        </row>
        <row r="45">
          <cell r="A45" t="str">
            <v>POWER WEST=No</v>
          </cell>
          <cell r="C45" t="str">
            <v>POWER WEST</v>
          </cell>
          <cell r="D45" t="str">
            <v>No</v>
          </cell>
          <cell r="E45">
            <v>1350</v>
          </cell>
          <cell r="F45">
            <v>11634692.02</v>
          </cell>
          <cell r="G45">
            <v>1839185777.01</v>
          </cell>
          <cell r="H45">
            <v>1350</v>
          </cell>
          <cell r="I45">
            <v>11634692.02</v>
          </cell>
          <cell r="J45">
            <v>1839185777.01</v>
          </cell>
          <cell r="K45">
            <v>950</v>
          </cell>
          <cell r="L45">
            <v>6655360.3200000003</v>
          </cell>
          <cell r="M45">
            <v>1072036363.27</v>
          </cell>
          <cell r="N45">
            <v>605</v>
          </cell>
          <cell r="O45">
            <v>4385381.68</v>
          </cell>
          <cell r="P45">
            <v>704577108.54999995</v>
          </cell>
          <cell r="Q45">
            <v>188</v>
          </cell>
          <cell r="R45">
            <v>2503113.35</v>
          </cell>
          <cell r="S45">
            <v>322947687.29000002</v>
          </cell>
          <cell r="T45">
            <v>38</v>
          </cell>
          <cell r="U45">
            <v>20239</v>
          </cell>
          <cell r="V45">
            <v>408324.36</v>
          </cell>
          <cell r="W45">
            <v>188</v>
          </cell>
          <cell r="X45">
            <v>2503113.35</v>
          </cell>
          <cell r="Y45">
            <v>322947687.28908801</v>
          </cell>
        </row>
        <row r="46">
          <cell r="A46" t="str">
            <v>SEA FREIGHT=Yes</v>
          </cell>
          <cell r="C46" t="str">
            <v>SEA FREIGHT</v>
          </cell>
          <cell r="D46" t="str">
            <v>Yes</v>
          </cell>
          <cell r="E46">
            <v>4</v>
          </cell>
          <cell r="F46">
            <v>300000</v>
          </cell>
          <cell r="G46">
            <v>2396250</v>
          </cell>
          <cell r="H46">
            <v>4</v>
          </cell>
          <cell r="I46">
            <v>300000</v>
          </cell>
          <cell r="J46">
            <v>2396250</v>
          </cell>
          <cell r="K46">
            <v>4</v>
          </cell>
          <cell r="L46">
            <v>300000</v>
          </cell>
          <cell r="M46">
            <v>2396250</v>
          </cell>
          <cell r="N46">
            <v>2</v>
          </cell>
          <cell r="O46">
            <v>150000</v>
          </cell>
          <cell r="P46">
            <v>1200000</v>
          </cell>
          <cell r="Q46">
            <v>2</v>
          </cell>
          <cell r="R46">
            <v>150000</v>
          </cell>
          <cell r="S46">
            <v>1200000</v>
          </cell>
          <cell r="T46">
            <v>2</v>
          </cell>
          <cell r="U46">
            <v>150000</v>
          </cell>
          <cell r="V46">
            <v>1200000</v>
          </cell>
          <cell r="W46">
            <v>2</v>
          </cell>
          <cell r="X46">
            <v>150000</v>
          </cell>
          <cell r="Y46">
            <v>1200000</v>
          </cell>
        </row>
        <row r="47">
          <cell r="A47" t="str">
            <v>SEA FREIGHT=No</v>
          </cell>
          <cell r="C47" t="str">
            <v>SEA FREIGHT</v>
          </cell>
          <cell r="D47" t="str">
            <v>No</v>
          </cell>
          <cell r="E47">
            <v>2</v>
          </cell>
          <cell r="F47">
            <v>155000</v>
          </cell>
          <cell r="G47">
            <v>1246150</v>
          </cell>
          <cell r="H47">
            <v>2</v>
          </cell>
          <cell r="I47">
            <v>155000</v>
          </cell>
          <cell r="J47">
            <v>1246150</v>
          </cell>
          <cell r="K47">
            <v>1</v>
          </cell>
          <cell r="L47">
            <v>75000</v>
          </cell>
          <cell r="M47">
            <v>656250</v>
          </cell>
        </row>
        <row r="48">
          <cell r="A48" t="str">
            <v>SWISS POWER=Yes</v>
          </cell>
          <cell r="C48" t="str">
            <v>SWISS POWER</v>
          </cell>
          <cell r="D48" t="str">
            <v>Yes</v>
          </cell>
          <cell r="E48">
            <v>137</v>
          </cell>
          <cell r="F48">
            <v>171198</v>
          </cell>
          <cell r="G48">
            <v>3571952.26</v>
          </cell>
          <cell r="H48">
            <v>137</v>
          </cell>
          <cell r="I48">
            <v>171198</v>
          </cell>
          <cell r="J48">
            <v>3571952.26</v>
          </cell>
          <cell r="K48">
            <v>103</v>
          </cell>
          <cell r="L48">
            <v>127698</v>
          </cell>
          <cell r="M48">
            <v>2623547.2799999998</v>
          </cell>
          <cell r="N48">
            <v>61</v>
          </cell>
          <cell r="O48">
            <v>45690</v>
          </cell>
          <cell r="P48">
            <v>954003.45</v>
          </cell>
          <cell r="Q48">
            <v>15</v>
          </cell>
          <cell r="R48">
            <v>5730</v>
          </cell>
          <cell r="S48">
            <v>136525.5</v>
          </cell>
          <cell r="T48">
            <v>15</v>
          </cell>
          <cell r="U48">
            <v>5730</v>
          </cell>
          <cell r="V48">
            <v>136525.50330000001</v>
          </cell>
          <cell r="W48">
            <v>31</v>
          </cell>
          <cell r="X48">
            <v>23160</v>
          </cell>
          <cell r="Y48">
            <v>490305.45600000001</v>
          </cell>
        </row>
        <row r="49">
          <cell r="A49" t="str">
            <v>SWISS POWER=No</v>
          </cell>
          <cell r="C49" t="str">
            <v>SWISS POWER</v>
          </cell>
          <cell r="D49" t="str">
            <v>No</v>
          </cell>
          <cell r="E49">
            <v>108</v>
          </cell>
          <cell r="F49">
            <v>338940</v>
          </cell>
          <cell r="G49">
            <v>6781791.29</v>
          </cell>
          <cell r="H49">
            <v>108</v>
          </cell>
          <cell r="I49">
            <v>338940</v>
          </cell>
          <cell r="J49">
            <v>6781791.29</v>
          </cell>
          <cell r="K49">
            <v>71</v>
          </cell>
          <cell r="L49">
            <v>283338</v>
          </cell>
          <cell r="M49">
            <v>5696726.7800000003</v>
          </cell>
          <cell r="N49">
            <v>33</v>
          </cell>
          <cell r="O49">
            <v>231365</v>
          </cell>
          <cell r="P49">
            <v>4630914.78</v>
          </cell>
          <cell r="Q49">
            <v>6</v>
          </cell>
          <cell r="R49">
            <v>1160</v>
          </cell>
          <cell r="S49">
            <v>30671.29</v>
          </cell>
          <cell r="T49">
            <v>6</v>
          </cell>
          <cell r="U49">
            <v>1160</v>
          </cell>
          <cell r="V49">
            <v>30671.285500000002</v>
          </cell>
          <cell r="W49">
            <v>15</v>
          </cell>
          <cell r="X49">
            <v>225340</v>
          </cell>
          <cell r="Y49">
            <v>4516355.4327999996</v>
          </cell>
        </row>
        <row r="50">
          <cell r="A50" t="str">
            <v>UK GAS=Yes</v>
          </cell>
          <cell r="C50" t="str">
            <v>UK GAS</v>
          </cell>
          <cell r="D50" t="str">
            <v>Yes</v>
          </cell>
          <cell r="E50">
            <v>893</v>
          </cell>
          <cell r="F50">
            <v>144172135</v>
          </cell>
          <cell r="G50">
            <v>482287572.63999999</v>
          </cell>
          <cell r="H50">
            <v>893</v>
          </cell>
          <cell r="I50">
            <v>144172135</v>
          </cell>
          <cell r="J50">
            <v>482287572.63999999</v>
          </cell>
          <cell r="K50">
            <v>708</v>
          </cell>
          <cell r="L50">
            <v>115399135</v>
          </cell>
          <cell r="M50">
            <v>392145674.00999999</v>
          </cell>
          <cell r="N50">
            <v>345</v>
          </cell>
          <cell r="O50">
            <v>59408176</v>
          </cell>
          <cell r="P50">
            <v>200186734.12</v>
          </cell>
          <cell r="Q50">
            <v>186</v>
          </cell>
          <cell r="R50">
            <v>33975676</v>
          </cell>
          <cell r="S50">
            <v>111979386.40000001</v>
          </cell>
          <cell r="T50">
            <v>75</v>
          </cell>
          <cell r="U50">
            <v>11762500</v>
          </cell>
          <cell r="V50">
            <v>41535505.125</v>
          </cell>
          <cell r="W50">
            <v>186</v>
          </cell>
          <cell r="X50">
            <v>33975676</v>
          </cell>
          <cell r="Y50">
            <v>111979386.3978</v>
          </cell>
        </row>
        <row r="51">
          <cell r="A51" t="str">
            <v>UK GAS=No</v>
          </cell>
          <cell r="C51" t="str">
            <v>UK GAS</v>
          </cell>
          <cell r="D51" t="str">
            <v>No</v>
          </cell>
          <cell r="E51">
            <v>605</v>
          </cell>
          <cell r="F51">
            <v>109756753</v>
          </cell>
          <cell r="G51">
            <v>269267351.61000001</v>
          </cell>
          <cell r="H51">
            <v>605</v>
          </cell>
          <cell r="I51">
            <v>109756753</v>
          </cell>
          <cell r="J51">
            <v>269267351.61000001</v>
          </cell>
          <cell r="K51">
            <v>487</v>
          </cell>
          <cell r="L51">
            <v>101060328</v>
          </cell>
          <cell r="M51">
            <v>245967887.77000001</v>
          </cell>
          <cell r="N51">
            <v>224</v>
          </cell>
          <cell r="O51">
            <v>62855510</v>
          </cell>
          <cell r="P51">
            <v>134219209.69999999</v>
          </cell>
          <cell r="Q51">
            <v>50</v>
          </cell>
          <cell r="R51">
            <v>8671187</v>
          </cell>
          <cell r="S51">
            <v>24665889.399999999</v>
          </cell>
          <cell r="T51">
            <v>6</v>
          </cell>
          <cell r="U51">
            <v>51923</v>
          </cell>
          <cell r="V51">
            <v>200655.24392000001</v>
          </cell>
          <cell r="W51">
            <v>82</v>
          </cell>
          <cell r="X51">
            <v>36883669</v>
          </cell>
          <cell r="Y51">
            <v>60583538.084260002</v>
          </cell>
        </row>
        <row r="52">
          <cell r="A52" t="str">
            <v>UK POWER=Yes</v>
          </cell>
          <cell r="C52" t="str">
            <v>UK POWER</v>
          </cell>
          <cell r="D52" t="str">
            <v>Yes</v>
          </cell>
          <cell r="E52">
            <v>39</v>
          </cell>
          <cell r="F52">
            <v>423120</v>
          </cell>
          <cell r="G52">
            <v>11414372.9</v>
          </cell>
          <cell r="H52">
            <v>39</v>
          </cell>
          <cell r="I52">
            <v>423120</v>
          </cell>
          <cell r="J52">
            <v>11414372.9</v>
          </cell>
          <cell r="K52">
            <v>20</v>
          </cell>
          <cell r="L52">
            <v>159600</v>
          </cell>
          <cell r="M52">
            <v>4222804.7</v>
          </cell>
          <cell r="N52">
            <v>13</v>
          </cell>
          <cell r="O52">
            <v>108000</v>
          </cell>
          <cell r="P52">
            <v>2900843.14</v>
          </cell>
          <cell r="Q52">
            <v>3</v>
          </cell>
          <cell r="R52">
            <v>18000</v>
          </cell>
          <cell r="S52">
            <v>526017.49</v>
          </cell>
          <cell r="T52">
            <v>3</v>
          </cell>
          <cell r="U52">
            <v>18000</v>
          </cell>
          <cell r="V52">
            <v>526017.49199999997</v>
          </cell>
          <cell r="W52">
            <v>6</v>
          </cell>
          <cell r="X52">
            <v>54000</v>
          </cell>
          <cell r="Y52">
            <v>1409278.176</v>
          </cell>
        </row>
        <row r="53">
          <cell r="A53" t="str">
            <v>UK POWER=No</v>
          </cell>
          <cell r="C53" t="str">
            <v>UK POWER</v>
          </cell>
          <cell r="D53" t="str">
            <v>No</v>
          </cell>
          <cell r="E53">
            <v>221</v>
          </cell>
          <cell r="F53">
            <v>10851840</v>
          </cell>
          <cell r="G53">
            <v>298289382.47000003</v>
          </cell>
          <cell r="H53">
            <v>221</v>
          </cell>
          <cell r="I53">
            <v>10851840</v>
          </cell>
          <cell r="J53">
            <v>298289382.47000003</v>
          </cell>
          <cell r="K53">
            <v>181</v>
          </cell>
          <cell r="L53">
            <v>10230720</v>
          </cell>
          <cell r="M53">
            <v>280361560.56</v>
          </cell>
          <cell r="N53">
            <v>105</v>
          </cell>
          <cell r="O53">
            <v>6359280</v>
          </cell>
          <cell r="P53">
            <v>169844797.5</v>
          </cell>
          <cell r="Q53">
            <v>20</v>
          </cell>
          <cell r="R53">
            <v>1181040</v>
          </cell>
          <cell r="S53">
            <v>33824208.439999998</v>
          </cell>
          <cell r="T53">
            <v>20</v>
          </cell>
          <cell r="U53">
            <v>1181040</v>
          </cell>
          <cell r="V53">
            <v>32225825.124000002</v>
          </cell>
          <cell r="W53">
            <v>61</v>
          </cell>
          <cell r="X53">
            <v>3950640</v>
          </cell>
          <cell r="Y53">
            <v>103794763.932</v>
          </cell>
        </row>
        <row r="54">
          <cell r="A54" t="str">
            <v>WEATHER=Yes</v>
          </cell>
          <cell r="C54" t="str">
            <v>WEATHER</v>
          </cell>
          <cell r="D54" t="str">
            <v>Yes</v>
          </cell>
          <cell r="E54">
            <v>19</v>
          </cell>
          <cell r="F54">
            <v>5700</v>
          </cell>
          <cell r="G54">
            <v>4393200</v>
          </cell>
          <cell r="H54">
            <v>19</v>
          </cell>
          <cell r="I54">
            <v>5700</v>
          </cell>
          <cell r="J54">
            <v>4393200</v>
          </cell>
        </row>
        <row r="55">
          <cell r="A55" t="str">
            <v>WEATHER=No</v>
          </cell>
          <cell r="C55" t="str">
            <v>WEATHER</v>
          </cell>
          <cell r="D55" t="str">
            <v>No</v>
          </cell>
          <cell r="E55">
            <v>29</v>
          </cell>
          <cell r="F55">
            <v>415000</v>
          </cell>
          <cell r="G55">
            <v>1132320000</v>
          </cell>
          <cell r="H55">
            <v>29</v>
          </cell>
          <cell r="I55">
            <v>415000</v>
          </cell>
          <cell r="J55">
            <v>1132320000</v>
          </cell>
          <cell r="K55">
            <v>24</v>
          </cell>
          <cell r="L55">
            <v>382500</v>
          </cell>
          <cell r="M55">
            <v>1093830000</v>
          </cell>
          <cell r="N55">
            <v>22</v>
          </cell>
          <cell r="O55">
            <v>372500</v>
          </cell>
          <cell r="P55">
            <v>1074155000</v>
          </cell>
          <cell r="Q55">
            <v>3</v>
          </cell>
          <cell r="R55">
            <v>15000</v>
          </cell>
          <cell r="S55">
            <v>16975000</v>
          </cell>
          <cell r="T55">
            <v>3</v>
          </cell>
          <cell r="U55">
            <v>15000</v>
          </cell>
          <cell r="V55">
            <v>7875000</v>
          </cell>
          <cell r="W55">
            <v>16</v>
          </cell>
          <cell r="X55">
            <v>342500</v>
          </cell>
          <cell r="Y55">
            <v>1049305000</v>
          </cell>
        </row>
        <row r="56">
          <cell r="A56" t="str">
            <v>ARGENTINAN GAS=YES</v>
          </cell>
          <cell r="C56" t="str">
            <v>ARGENTINAN GAS</v>
          </cell>
          <cell r="D56" t="str">
            <v>YES</v>
          </cell>
        </row>
        <row r="57">
          <cell r="A57" t="str">
            <v>ARGENTINAN GAS=NO</v>
          </cell>
          <cell r="C57" t="str">
            <v>ARGENTINAN GAS</v>
          </cell>
          <cell r="D57" t="str">
            <v>NO</v>
          </cell>
        </row>
        <row r="58">
          <cell r="A58" t="str">
            <v>AUS WEATHER=YES</v>
          </cell>
          <cell r="C58" t="str">
            <v>AUS WEATHER</v>
          </cell>
          <cell r="D58" t="str">
            <v>YES</v>
          </cell>
        </row>
        <row r="59">
          <cell r="A59" t="str">
            <v>AUS WEATHER=NO</v>
          </cell>
          <cell r="C59" t="str">
            <v>AUS WEATHER</v>
          </cell>
          <cell r="D59" t="str">
            <v>NO</v>
          </cell>
        </row>
        <row r="60">
          <cell r="A60" t="str">
            <v>BANDWIDTH=YES</v>
          </cell>
          <cell r="C60" t="str">
            <v>BANDWIDTH</v>
          </cell>
          <cell r="D60" t="str">
            <v>YES</v>
          </cell>
        </row>
        <row r="61">
          <cell r="A61" t="str">
            <v>CREDIT=YES</v>
          </cell>
          <cell r="C61" t="str">
            <v>CREDIT</v>
          </cell>
          <cell r="D61" t="str">
            <v>YES</v>
          </cell>
        </row>
        <row r="62">
          <cell r="A62" t="str">
            <v>CREDIT=NO</v>
          </cell>
          <cell r="C62" t="str">
            <v>CREDIT</v>
          </cell>
          <cell r="D62" t="str">
            <v>NO</v>
          </cell>
        </row>
        <row r="63">
          <cell r="A63" t="str">
            <v>CRUDE=Yes</v>
          </cell>
          <cell r="C63" t="str">
            <v>CRUDE</v>
          </cell>
          <cell r="D63" t="str">
            <v>Yes</v>
          </cell>
        </row>
        <row r="64">
          <cell r="A64" t="str">
            <v>CRUDE=No</v>
          </cell>
          <cell r="C64" t="str">
            <v>CRUDE</v>
          </cell>
          <cell r="D64" t="str">
            <v>No</v>
          </cell>
        </row>
        <row r="65">
          <cell r="A65" t="str">
            <v>CRUDE PRODUCTS=Yes</v>
          </cell>
          <cell r="C65" t="str">
            <v>CRUDE PRODUCTS</v>
          </cell>
          <cell r="D65" t="str">
            <v>Yes</v>
          </cell>
        </row>
        <row r="66">
          <cell r="A66" t="str">
            <v>CRUDE PRODUCTS=No</v>
          </cell>
          <cell r="C66" t="str">
            <v>CRUDE PRODUCTS</v>
          </cell>
          <cell r="D66" t="str">
            <v>No</v>
          </cell>
        </row>
        <row r="67">
          <cell r="A67" t="str">
            <v>ENRON PIPELINE CAPACITY=YES</v>
          </cell>
          <cell r="C67" t="str">
            <v>ENRON PIPELINE CAPACITY</v>
          </cell>
          <cell r="D67" t="str">
            <v>YES</v>
          </cell>
        </row>
        <row r="68">
          <cell r="A68" t="str">
            <v>ENRON PIPELINE CAPACITY=No</v>
          </cell>
          <cell r="C68" t="str">
            <v>ENRON PIPELINE CAPACITY</v>
          </cell>
          <cell r="D68" t="str">
            <v>No</v>
          </cell>
        </row>
        <row r="69">
          <cell r="A69" t="str">
            <v>EXCHANGE RATES=YES</v>
          </cell>
          <cell r="C69" t="str">
            <v>EXCHANGE RATES</v>
          </cell>
          <cell r="D69" t="str">
            <v>YES</v>
          </cell>
        </row>
        <row r="70">
          <cell r="A70" t="str">
            <v>EXCHANGE RATES=No</v>
          </cell>
          <cell r="C70" t="str">
            <v>EXCHANGE RATES</v>
          </cell>
          <cell r="D70" t="str">
            <v>No</v>
          </cell>
        </row>
        <row r="71">
          <cell r="A71" t="str">
            <v>IBERIAN POWER=YES</v>
          </cell>
          <cell r="C71" t="str">
            <v>IBERIAN POWER</v>
          </cell>
          <cell r="D71" t="str">
            <v>YES</v>
          </cell>
        </row>
        <row r="72">
          <cell r="A72" t="str">
            <v>INTEREST RATES=YES</v>
          </cell>
          <cell r="C72" t="str">
            <v>INTEREST RATES</v>
          </cell>
          <cell r="D72" t="str">
            <v>YES</v>
          </cell>
        </row>
        <row r="73">
          <cell r="A73" t="str">
            <v>INTEREST RATES=No</v>
          </cell>
          <cell r="C73" t="str">
            <v>INTEREST RATES</v>
          </cell>
          <cell r="D73" t="str">
            <v>No</v>
          </cell>
        </row>
        <row r="74">
          <cell r="A74" t="str">
            <v>LIVESTOCK=YES</v>
          </cell>
          <cell r="C74" t="str">
            <v>LIVESTOCK</v>
          </cell>
          <cell r="D74" t="str">
            <v>YES</v>
          </cell>
        </row>
        <row r="75">
          <cell r="A75" t="str">
            <v>LIVESTOCK=No</v>
          </cell>
          <cell r="C75" t="str">
            <v>LIVESTOCK</v>
          </cell>
          <cell r="D75" t="str">
            <v>No</v>
          </cell>
        </row>
        <row r="76">
          <cell r="A76" t="str">
            <v>OTHER CONTINENTAL POWER=YES</v>
          </cell>
          <cell r="C76" t="str">
            <v>OTHER CONTINENTAL POWER</v>
          </cell>
          <cell r="D76" t="str">
            <v>YES</v>
          </cell>
        </row>
        <row r="77">
          <cell r="A77" t="str">
            <v>PAPER &amp; PULP=YES</v>
          </cell>
          <cell r="C77" t="str">
            <v>PAPER &amp; PULP</v>
          </cell>
          <cell r="D77" t="str">
            <v>YES</v>
          </cell>
        </row>
        <row r="78">
          <cell r="A78" t="str">
            <v>PIPELINE CAPACITY=No</v>
          </cell>
          <cell r="C78" t="str">
            <v>PIPELINE CAPACITY</v>
          </cell>
          <cell r="D78" t="str">
            <v>No</v>
          </cell>
        </row>
        <row r="79">
          <cell r="A79" t="str">
            <v>PRODUCE=YES</v>
          </cell>
          <cell r="C79" t="str">
            <v>PRODUCE</v>
          </cell>
          <cell r="D79" t="str">
            <v>YES</v>
          </cell>
        </row>
        <row r="80">
          <cell r="A80" t="str">
            <v>PRODUCE=No</v>
          </cell>
          <cell r="C80" t="str">
            <v>PRODUCE</v>
          </cell>
          <cell r="D80" t="str">
            <v>No</v>
          </cell>
        </row>
        <row r="81">
          <cell r="A81" t="str">
            <v>SOFTS=YES</v>
          </cell>
          <cell r="C81" t="str">
            <v>SOFTS</v>
          </cell>
          <cell r="D81" t="str">
            <v>YES</v>
          </cell>
        </row>
        <row r="82">
          <cell r="A82" t="str">
            <v>SOFTS=No</v>
          </cell>
          <cell r="C82" t="str">
            <v>SOFTS</v>
          </cell>
          <cell r="D82" t="str">
            <v>No</v>
          </cell>
        </row>
        <row r="83">
          <cell r="A83" t="str">
            <v>STEEL=YES</v>
          </cell>
          <cell r="C83" t="str">
            <v>STEEL</v>
          </cell>
          <cell r="D83" t="str">
            <v>YES</v>
          </cell>
        </row>
        <row r="84">
          <cell r="A84" t="str">
            <v>STEEL=No</v>
          </cell>
          <cell r="C84" t="str">
            <v>STEEL</v>
          </cell>
          <cell r="D84" t="str">
            <v>No</v>
          </cell>
        </row>
        <row r="85">
          <cell r="A85" t="str">
            <v>WEATHER POWER=Yes</v>
          </cell>
          <cell r="C85" t="str">
            <v>WEATHER POWER</v>
          </cell>
          <cell r="D85" t="str">
            <v>Yes</v>
          </cell>
        </row>
        <row r="86">
          <cell r="A86" t="str">
            <v>WEATHER POWER=NO</v>
          </cell>
          <cell r="C86" t="str">
            <v>WEATHER POWER</v>
          </cell>
          <cell r="D86" t="str">
            <v>NO</v>
          </cell>
        </row>
        <row r="87">
          <cell r="A87" t="str">
            <v>METALS=No</v>
          </cell>
          <cell r="C87" t="str">
            <v>METALS</v>
          </cell>
          <cell r="D87" t="str">
            <v>No</v>
          </cell>
          <cell r="E87">
            <v>281127</v>
          </cell>
          <cell r="F87">
            <v>265892906</v>
          </cell>
          <cell r="H87">
            <v>67563</v>
          </cell>
          <cell r="I87">
            <v>55979216</v>
          </cell>
          <cell r="K87">
            <v>29602</v>
          </cell>
          <cell r="L87">
            <v>24420899</v>
          </cell>
          <cell r="Q87">
            <v>1607</v>
          </cell>
          <cell r="R87">
            <v>1332748</v>
          </cell>
        </row>
        <row r="88">
          <cell r="A88" t="str">
            <v>=</v>
          </cell>
        </row>
        <row r="89">
          <cell r="A89" t="str">
            <v>=</v>
          </cell>
        </row>
        <row r="90">
          <cell r="A90" t="str">
            <v>=</v>
          </cell>
        </row>
        <row r="91">
          <cell r="A91" t="str">
            <v>=</v>
          </cell>
        </row>
        <row r="92">
          <cell r="A92" t="str">
            <v>=</v>
          </cell>
        </row>
        <row r="93">
          <cell r="A93" t="str">
            <v>LAST LINE (INSERT BEFORE HERE)</v>
          </cell>
        </row>
      </sheetData>
      <sheetData sheetId="4"/>
      <sheetData sheetId="5">
        <row r="6">
          <cell r="A6" t="str">
            <v>US Gas</v>
          </cell>
          <cell r="B6" t="str">
            <v>US GAS</v>
          </cell>
          <cell r="C6" t="str">
            <v>ENA</v>
          </cell>
        </row>
        <row r="7">
          <cell r="A7" t="str">
            <v>Canadian Gas</v>
          </cell>
          <cell r="B7" t="str">
            <v>CANADIAN GAS</v>
          </cell>
          <cell r="C7" t="str">
            <v>ENA</v>
          </cell>
        </row>
        <row r="8">
          <cell r="A8" t="str">
            <v>Continental Gas</v>
          </cell>
          <cell r="B8" t="str">
            <v>CONTINENTAL GAS</v>
          </cell>
          <cell r="C8" t="str">
            <v>EEL</v>
          </cell>
        </row>
        <row r="9">
          <cell r="A9" t="str">
            <v>UK Gas</v>
          </cell>
          <cell r="B9" t="str">
            <v>UK GAS</v>
          </cell>
          <cell r="C9" t="str">
            <v>EEL</v>
          </cell>
        </row>
        <row r="10">
          <cell r="A10" t="str">
            <v>US Pipeline Capacity</v>
          </cell>
          <cell r="B10" t="str">
            <v>PIPELINE CAPACITY</v>
          </cell>
          <cell r="C10" t="str">
            <v>ENA</v>
          </cell>
        </row>
        <row r="11">
          <cell r="A11" t="str">
            <v>Enron Pipeline Capacity</v>
          </cell>
          <cell r="B11" t="str">
            <v>ENRON PIPELINE CAPACITY</v>
          </cell>
          <cell r="C11" t="str">
            <v>ENA</v>
          </cell>
        </row>
        <row r="12">
          <cell r="A12" t="str">
            <v>Broadband</v>
          </cell>
          <cell r="B12" t="str">
            <v>BANDWIDTH</v>
          </cell>
          <cell r="C12" t="str">
            <v>ENA</v>
          </cell>
        </row>
        <row r="13">
          <cell r="A13" t="str">
            <v>US East Power</v>
          </cell>
          <cell r="B13" t="str">
            <v>POWER EAST</v>
          </cell>
          <cell r="C13" t="str">
            <v>ENA</v>
          </cell>
        </row>
        <row r="14">
          <cell r="A14" t="str">
            <v>US West Power</v>
          </cell>
          <cell r="B14" t="str">
            <v>POWER WEST</v>
          </cell>
          <cell r="C14" t="str">
            <v>ENA</v>
          </cell>
        </row>
        <row r="15">
          <cell r="A15" t="str">
            <v>Australian Power</v>
          </cell>
          <cell r="B15" t="str">
            <v>AUSTRALIAN POWER</v>
          </cell>
          <cell r="C15" t="str">
            <v>EEL</v>
          </cell>
        </row>
        <row r="16">
          <cell r="A16" t="str">
            <v>Austrian Power</v>
          </cell>
          <cell r="B16" t="str">
            <v>AUSTRIAN POWER</v>
          </cell>
          <cell r="C16" t="str">
            <v>EEL</v>
          </cell>
        </row>
        <row r="17">
          <cell r="A17" t="str">
            <v>Dutch Power</v>
          </cell>
          <cell r="B17" t="str">
            <v>DUTCH POWER</v>
          </cell>
          <cell r="C17" t="str">
            <v>EEL</v>
          </cell>
        </row>
        <row r="18">
          <cell r="A18" t="str">
            <v>German Power</v>
          </cell>
          <cell r="B18" t="str">
            <v>GERMAN POWER</v>
          </cell>
          <cell r="C18" t="str">
            <v>EEL</v>
          </cell>
        </row>
        <row r="19">
          <cell r="A19" t="str">
            <v>Iberian Power</v>
          </cell>
          <cell r="B19" t="str">
            <v>IBERIAN POWER</v>
          </cell>
          <cell r="C19" t="str">
            <v>EEL</v>
          </cell>
        </row>
        <row r="20">
          <cell r="A20" t="str">
            <v>Swiss Power</v>
          </cell>
          <cell r="B20" t="str">
            <v>SWISS POWER</v>
          </cell>
          <cell r="C20" t="str">
            <v>EEL</v>
          </cell>
        </row>
        <row r="21">
          <cell r="A21" t="str">
            <v>Other Continental Power</v>
          </cell>
          <cell r="B21" t="str">
            <v>OTHER CONTINENTAL POWER</v>
          </cell>
          <cell r="C21" t="str">
            <v>EEL</v>
          </cell>
        </row>
        <row r="22">
          <cell r="A22" t="str">
            <v>Nordic Power</v>
          </cell>
          <cell r="B22" t="str">
            <v>NORDIC POWER</v>
          </cell>
          <cell r="C22" t="str">
            <v>EEL</v>
          </cell>
        </row>
        <row r="23">
          <cell r="A23" t="str">
            <v>UK Power</v>
          </cell>
          <cell r="B23" t="str">
            <v>UK POWER</v>
          </cell>
          <cell r="C23" t="str">
            <v>EEL</v>
          </cell>
        </row>
        <row r="24">
          <cell r="A24" t="str">
            <v>Crude Products</v>
          </cell>
          <cell r="B24" t="str">
            <v>CRUDE PRODUCTS</v>
          </cell>
          <cell r="C24" t="str">
            <v>GLOBAL PRODUCTS</v>
          </cell>
        </row>
        <row r="25">
          <cell r="A25" t="str">
            <v>LPG</v>
          </cell>
          <cell r="B25" t="str">
            <v>LPG</v>
          </cell>
          <cell r="C25" t="str">
            <v>GLOBAL PRODUCTS</v>
          </cell>
        </row>
        <row r="26">
          <cell r="A26" t="str">
            <v>Plastics</v>
          </cell>
          <cell r="B26" t="str">
            <v>PLASTICS</v>
          </cell>
          <cell r="C26" t="str">
            <v>GLOBAL PRODUCTS</v>
          </cell>
        </row>
        <row r="27">
          <cell r="A27" t="str">
            <v>Petrochemicals</v>
          </cell>
          <cell r="B27" t="str">
            <v>PETROCHEMICALS</v>
          </cell>
          <cell r="C27" t="str">
            <v>GLOBAL PRODUCTS</v>
          </cell>
        </row>
        <row r="28">
          <cell r="A28" t="str">
            <v>Coal</v>
          </cell>
          <cell r="B28" t="str">
            <v>COAL</v>
          </cell>
          <cell r="C28" t="str">
            <v>GLOBAL PRODUCTS</v>
          </cell>
        </row>
        <row r="29">
          <cell r="A29" t="str">
            <v>Coal International</v>
          </cell>
          <cell r="B29" t="str">
            <v>COAL INTERNATIONAL</v>
          </cell>
          <cell r="C29" t="str">
            <v>GLOBAL PRODUCTS</v>
          </cell>
        </row>
        <row r="30">
          <cell r="A30" t="str">
            <v>Sea Freight</v>
          </cell>
          <cell r="B30" t="str">
            <v>SEA FREIGHT</v>
          </cell>
          <cell r="C30" t="str">
            <v>GLOBAL PRODUCTS</v>
          </cell>
        </row>
        <row r="31">
          <cell r="A31" t="str">
            <v>Emissions</v>
          </cell>
          <cell r="B31" t="str">
            <v>EMISSIONS</v>
          </cell>
          <cell r="C31" t="str">
            <v>GLOBAL PRODUCTS</v>
          </cell>
        </row>
        <row r="32">
          <cell r="A32" t="str">
            <v>Paper and Pulp</v>
          </cell>
          <cell r="B32" t="str">
            <v>PAPER &amp; PULP</v>
          </cell>
          <cell r="C32" t="str">
            <v>ENA</v>
          </cell>
        </row>
        <row r="33">
          <cell r="A33" t="str">
            <v>Weather {US}</v>
          </cell>
          <cell r="B33" t="str">
            <v>WEATHER</v>
          </cell>
          <cell r="C33" t="str">
            <v>GLOBAL PRODUCTS</v>
          </cell>
        </row>
        <row r="34">
          <cell r="A34" t="str">
            <v>Weather {Europe}</v>
          </cell>
          <cell r="B34" t="str">
            <v>NORDIC WEATHER</v>
          </cell>
          <cell r="C34" t="str">
            <v>GLOBAL PRODUCTS</v>
          </cell>
        </row>
        <row r="35">
          <cell r="A35" t="str">
            <v>Weather {Asia}</v>
          </cell>
          <cell r="B35" t="str">
            <v>AUS WEATHER</v>
          </cell>
          <cell r="C35" t="str">
            <v>GLOBAL PRODUCTS</v>
          </cell>
        </row>
        <row r="36">
          <cell r="A36" t="str">
            <v>Metals</v>
          </cell>
          <cell r="B36" t="str">
            <v>METALS</v>
          </cell>
          <cell r="C36" t="str">
            <v>Enron Metals</v>
          </cell>
        </row>
        <row r="37">
          <cell r="A37" t="str">
            <v>Crude</v>
          </cell>
          <cell r="B37" t="str">
            <v>CRUDE</v>
          </cell>
          <cell r="C37" t="str">
            <v>GLOBAL PRODUCTS</v>
          </cell>
        </row>
        <row r="38">
          <cell r="A38" t="str">
            <v>Argentinan Gas</v>
          </cell>
          <cell r="B38" t="str">
            <v>ARGENTINAN GAS</v>
          </cell>
          <cell r="C38" t="str">
            <v>ENA</v>
          </cell>
        </row>
        <row r="39">
          <cell r="A39" t="str">
            <v>Interest Rates</v>
          </cell>
          <cell r="B39" t="str">
            <v>INTEREST RATES</v>
          </cell>
          <cell r="C39" t="str">
            <v>ENA</v>
          </cell>
        </row>
        <row r="40">
          <cell r="A40" t="str">
            <v>Exchange Rates</v>
          </cell>
          <cell r="B40" t="str">
            <v>EXCHANGE RATES</v>
          </cell>
          <cell r="C40" t="str">
            <v>ENA</v>
          </cell>
        </row>
        <row r="41">
          <cell r="A41" t="str">
            <v>Credit</v>
          </cell>
          <cell r="B41" t="str">
            <v>CREDIT</v>
          </cell>
          <cell r="C41" t="str">
            <v>ENA</v>
          </cell>
        </row>
        <row r="42">
          <cell r="A42" t="str">
            <v>Other</v>
          </cell>
          <cell r="B42" t="str">
            <v xml:space="preserve">OTHER </v>
          </cell>
          <cell r="C42" t="str">
            <v>ENA</v>
          </cell>
        </row>
        <row r="43">
          <cell r="A43" t="str">
            <v>Credit/Interest/Exchange</v>
          </cell>
          <cell r="B43" t="str">
            <v>Credit/Interest/Exchange</v>
          </cell>
          <cell r="C43" t="str">
            <v>ENA</v>
          </cell>
        </row>
        <row r="44">
          <cell r="A44" t="str">
            <v>Livestock</v>
          </cell>
          <cell r="B44" t="str">
            <v>LIVESTOCK</v>
          </cell>
          <cell r="C44" t="str">
            <v>ENA</v>
          </cell>
        </row>
        <row r="45">
          <cell r="A45" t="str">
            <v>Produce</v>
          </cell>
          <cell r="B45" t="str">
            <v>PRODUCE</v>
          </cell>
          <cell r="C45" t="str">
            <v>ENA</v>
          </cell>
        </row>
        <row r="46">
          <cell r="A46" t="str">
            <v>Softs</v>
          </cell>
          <cell r="B46" t="str">
            <v>SOFTS</v>
          </cell>
          <cell r="C46" t="str">
            <v>ENA</v>
          </cell>
        </row>
        <row r="47">
          <cell r="A47" t="str">
            <v>Steel</v>
          </cell>
          <cell r="B47" t="str">
            <v>STEEL</v>
          </cell>
          <cell r="C47" t="str">
            <v>ENA</v>
          </cell>
        </row>
        <row r="48">
          <cell r="A48" t="str">
            <v>Weather Power</v>
          </cell>
          <cell r="B48" t="str">
            <v>WEATHER POWER</v>
          </cell>
          <cell r="C48" t="str">
            <v>GLOBAL PRODUCTS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W87"/>
  <sheetViews>
    <sheetView tabSelected="1" topLeftCell="A6" zoomScale="75" workbookViewId="0">
      <selection activeCell="E15" sqref="E15"/>
    </sheetView>
  </sheetViews>
  <sheetFormatPr defaultRowHeight="12.75" x14ac:dyDescent="0.2"/>
  <cols>
    <col min="1" max="1" width="13.140625" customWidth="1"/>
    <col min="2" max="2" width="12.7109375" customWidth="1"/>
    <col min="3" max="4" width="12.5703125" customWidth="1"/>
    <col min="5" max="6" width="12.7109375" customWidth="1"/>
    <col min="7" max="7" width="12.5703125" customWidth="1"/>
    <col min="8" max="8" width="2.140625" customWidth="1"/>
    <col min="9" max="9" width="14.5703125" customWidth="1"/>
    <col min="10" max="10" width="12.28515625" bestFit="1" customWidth="1"/>
    <col min="11" max="11" width="11" bestFit="1" customWidth="1"/>
    <col min="12" max="12" width="12.28515625" customWidth="1"/>
    <col min="13" max="13" width="12.28515625" bestFit="1" customWidth="1"/>
    <col min="14" max="14" width="13.7109375" bestFit="1" customWidth="1"/>
    <col min="15" max="15" width="10.28515625" bestFit="1" customWidth="1"/>
    <col min="16" max="16" width="2.28515625" customWidth="1"/>
    <col min="17" max="17" width="20.140625" customWidth="1"/>
    <col min="18" max="18" width="12" customWidth="1"/>
    <col min="19" max="19" width="12.28515625" bestFit="1" customWidth="1"/>
    <col min="20" max="21" width="11.5703125" bestFit="1" customWidth="1"/>
    <col min="22" max="22" width="13.7109375" bestFit="1" customWidth="1"/>
    <col min="23" max="23" width="11.5703125" bestFit="1" customWidth="1"/>
  </cols>
  <sheetData>
    <row r="7" spans="1:23" x14ac:dyDescent="0.2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75" x14ac:dyDescent="0.25">
      <c r="A8" s="42" t="s">
        <v>104</v>
      </c>
      <c r="B8" s="43"/>
      <c r="C8" s="43"/>
      <c r="D8" s="43"/>
      <c r="E8" s="43"/>
      <c r="F8" s="43"/>
      <c r="G8" s="44"/>
      <c r="H8" s="45"/>
      <c r="I8" s="183" t="s">
        <v>63</v>
      </c>
      <c r="J8" s="184"/>
      <c r="K8" s="184"/>
      <c r="L8" s="184"/>
      <c r="M8" s="184"/>
      <c r="N8" s="184"/>
      <c r="O8" s="48"/>
      <c r="P8" s="49"/>
      <c r="Q8" s="183" t="s">
        <v>139</v>
      </c>
      <c r="R8" s="184"/>
      <c r="S8" s="184"/>
      <c r="T8" s="184"/>
      <c r="U8" s="184"/>
      <c r="V8" s="184"/>
      <c r="W8" s="48"/>
    </row>
    <row r="9" spans="1:23" ht="15.75" x14ac:dyDescent="0.25">
      <c r="A9" s="46"/>
      <c r="B9" s="43"/>
      <c r="C9" s="43"/>
      <c r="D9" s="43"/>
      <c r="E9" s="43"/>
      <c r="F9" s="43"/>
      <c r="G9" s="44"/>
      <c r="H9" s="45"/>
      <c r="I9" s="46"/>
      <c r="J9" s="47"/>
      <c r="K9" s="47"/>
      <c r="L9" s="47"/>
      <c r="M9" s="47"/>
      <c r="N9" s="47"/>
      <c r="O9" s="48"/>
      <c r="P9" s="49"/>
      <c r="Q9" s="46"/>
      <c r="R9" s="47"/>
      <c r="S9" s="47"/>
      <c r="T9" s="47"/>
      <c r="U9" s="47"/>
      <c r="V9" s="47"/>
      <c r="W9" s="48"/>
    </row>
    <row r="10" spans="1:23" s="4" customFormat="1" ht="18.75" x14ac:dyDescent="0.25">
      <c r="A10" s="149" t="s">
        <v>160</v>
      </c>
      <c r="B10" s="150"/>
      <c r="C10" s="150"/>
      <c r="D10" s="150"/>
      <c r="E10" s="51"/>
      <c r="F10" s="51"/>
      <c r="G10" s="52"/>
      <c r="H10" s="53"/>
      <c r="I10" s="54"/>
      <c r="J10" s="141" t="s">
        <v>141</v>
      </c>
      <c r="K10" s="141" t="s">
        <v>140</v>
      </c>
      <c r="L10" s="141" t="s">
        <v>145</v>
      </c>
      <c r="M10" s="141" t="s">
        <v>147</v>
      </c>
      <c r="N10" s="141" t="s">
        <v>162</v>
      </c>
      <c r="O10" s="91" t="s">
        <v>31</v>
      </c>
      <c r="P10" s="55"/>
      <c r="Q10" s="54"/>
      <c r="R10" s="141" t="s">
        <v>141</v>
      </c>
      <c r="S10" s="141" t="s">
        <v>140</v>
      </c>
      <c r="T10" s="141" t="s">
        <v>145</v>
      </c>
      <c r="U10" s="141" t="s">
        <v>147</v>
      </c>
      <c r="V10" s="141" t="s">
        <v>162</v>
      </c>
      <c r="W10" s="91" t="s">
        <v>31</v>
      </c>
    </row>
    <row r="11" spans="1:23" ht="16.5" x14ac:dyDescent="0.25">
      <c r="A11" s="151"/>
      <c r="B11" s="152"/>
      <c r="C11" s="148"/>
      <c r="D11" s="148"/>
      <c r="E11" s="43"/>
      <c r="F11" s="43"/>
      <c r="G11" s="44"/>
      <c r="H11" s="49"/>
      <c r="I11" s="56" t="s">
        <v>95</v>
      </c>
      <c r="J11" s="43"/>
      <c r="K11" s="43"/>
      <c r="L11" s="43"/>
      <c r="O11" s="44"/>
      <c r="P11" s="49"/>
      <c r="Q11" s="140" t="s">
        <v>137</v>
      </c>
      <c r="R11" s="43"/>
      <c r="S11" s="43"/>
      <c r="T11" s="43"/>
      <c r="W11" s="44"/>
    </row>
    <row r="12" spans="1:23" s="20" customFormat="1" ht="16.5" x14ac:dyDescent="0.25">
      <c r="A12" s="153" t="s">
        <v>161</v>
      </c>
      <c r="B12" s="142"/>
      <c r="C12" s="142"/>
      <c r="D12" s="142"/>
      <c r="E12" s="58"/>
      <c r="F12" s="58"/>
      <c r="G12" s="59"/>
      <c r="H12" s="60"/>
      <c r="I12" s="61" t="s">
        <v>64</v>
      </c>
      <c r="J12" s="142">
        <f>Data!J12</f>
        <v>19791</v>
      </c>
      <c r="K12" s="142">
        <f>Data!K12</f>
        <v>18521</v>
      </c>
      <c r="L12" s="142">
        <f>Data!L12</f>
        <v>17223</v>
      </c>
      <c r="M12" s="142">
        <f>Data!M12</f>
        <v>12660</v>
      </c>
      <c r="N12" s="142">
        <f>Data!N12</f>
        <v>15072</v>
      </c>
      <c r="O12" s="143">
        <f>SUM(J12:M12)</f>
        <v>68195</v>
      </c>
      <c r="P12" s="60"/>
      <c r="Q12" s="61" t="s">
        <v>64</v>
      </c>
      <c r="R12" s="145">
        <f>Data!J28</f>
        <v>4273.2712199999996</v>
      </c>
      <c r="S12" s="145">
        <f>Data!K28</f>
        <v>3586.1783646399995</v>
      </c>
      <c r="T12" s="145">
        <f>Data!L28</f>
        <v>4250.7380022099987</v>
      </c>
      <c r="U12" s="145">
        <f>Data!M28</f>
        <v>2865.6876510000002</v>
      </c>
      <c r="V12" s="145">
        <f>Data!N28</f>
        <v>3382.0786511900001</v>
      </c>
      <c r="W12" s="143">
        <f>SUM(R12:U12)</f>
        <v>14975.875237849998</v>
      </c>
    </row>
    <row r="13" spans="1:23" s="20" customFormat="1" ht="16.5" x14ac:dyDescent="0.25">
      <c r="A13" s="153"/>
      <c r="B13" s="142"/>
      <c r="C13" s="142"/>
      <c r="D13" s="142"/>
      <c r="E13" s="58"/>
      <c r="F13" s="58"/>
      <c r="G13" s="59"/>
      <c r="H13" s="60"/>
      <c r="I13" s="61" t="s">
        <v>71</v>
      </c>
      <c r="J13" s="142">
        <f>Data!J13</f>
        <v>4599</v>
      </c>
      <c r="K13" s="142">
        <f>Data!K13</f>
        <v>4631</v>
      </c>
      <c r="L13" s="142">
        <f>Data!L13</f>
        <v>4587</v>
      </c>
      <c r="M13" s="142">
        <f>Data!M13</f>
        <v>3656</v>
      </c>
      <c r="N13" s="142">
        <f>Data!N13</f>
        <v>3771</v>
      </c>
      <c r="O13" s="143">
        <f>SUM(J13:M13)</f>
        <v>17473</v>
      </c>
      <c r="P13" s="60"/>
      <c r="Q13" s="61" t="s">
        <v>71</v>
      </c>
      <c r="R13" s="145">
        <f>Data!J29</f>
        <v>53.945233000000002</v>
      </c>
      <c r="S13" s="145">
        <f>Data!K29</f>
        <v>51.399965140000006</v>
      </c>
      <c r="T13" s="145">
        <f>Data!L29</f>
        <v>49.091319190000029</v>
      </c>
      <c r="U13" s="145">
        <f>Data!M29</f>
        <v>37.990490000000001</v>
      </c>
      <c r="V13" s="145">
        <f>Data!N29</f>
        <v>43.647636379999994</v>
      </c>
      <c r="W13" s="143">
        <f>SUM(R13:U13)</f>
        <v>192.42700733000004</v>
      </c>
    </row>
    <row r="14" spans="1:23" s="20" customFormat="1" ht="16.5" x14ac:dyDescent="0.25">
      <c r="A14" s="149"/>
      <c r="B14" s="142"/>
      <c r="C14" s="150"/>
      <c r="D14" s="142"/>
      <c r="E14" s="58"/>
      <c r="F14" s="58"/>
      <c r="G14" s="59"/>
      <c r="H14" s="63"/>
      <c r="I14" s="57"/>
      <c r="J14" s="142"/>
      <c r="K14" s="142"/>
      <c r="L14" s="142"/>
      <c r="O14" s="144"/>
      <c r="P14" s="60"/>
      <c r="Q14" s="140" t="s">
        <v>138</v>
      </c>
      <c r="R14" s="142"/>
      <c r="S14" s="142"/>
      <c r="T14" s="142"/>
      <c r="W14" s="143"/>
    </row>
    <row r="15" spans="1:23" s="20" customFormat="1" ht="16.5" x14ac:dyDescent="0.25">
      <c r="A15" s="21"/>
      <c r="B15" s="142"/>
      <c r="C15" s="148"/>
      <c r="D15" s="142"/>
      <c r="E15" s="58"/>
      <c r="F15" s="58"/>
      <c r="G15" s="59"/>
      <c r="H15" s="60"/>
      <c r="I15" s="65" t="s">
        <v>32</v>
      </c>
      <c r="J15" s="142"/>
      <c r="K15" s="142"/>
      <c r="L15" s="142"/>
      <c r="O15" s="143"/>
      <c r="P15" s="60"/>
      <c r="Q15" s="61" t="s">
        <v>5</v>
      </c>
      <c r="R15" s="145">
        <f>+Data!J37</f>
        <v>171949.351</v>
      </c>
      <c r="S15" s="145">
        <f>+Data!K37</f>
        <v>154397.51923000001</v>
      </c>
      <c r="T15" s="145">
        <f>+Data!L37</f>
        <v>174794.27446999992</v>
      </c>
      <c r="U15" s="145">
        <f>+Data!M37</f>
        <v>147649.834</v>
      </c>
      <c r="V15" s="145">
        <f>+Data!N37</f>
        <v>147313.01308</v>
      </c>
      <c r="W15" s="143">
        <f>SUM(R15:U15)</f>
        <v>648790.97869999998</v>
      </c>
    </row>
    <row r="16" spans="1:23" s="20" customFormat="1" ht="16.5" x14ac:dyDescent="0.25">
      <c r="A16" s="21"/>
      <c r="B16" s="142"/>
      <c r="C16" s="142"/>
      <c r="D16" s="142"/>
      <c r="E16" s="58"/>
      <c r="F16" s="58"/>
      <c r="G16" s="59"/>
      <c r="H16" s="60"/>
      <c r="I16" s="61" t="s">
        <v>0</v>
      </c>
      <c r="J16" s="142">
        <f>Data!J15</f>
        <v>145</v>
      </c>
      <c r="K16" s="142">
        <f>Data!K15</f>
        <v>153</v>
      </c>
      <c r="L16" s="142">
        <f>Data!L15</f>
        <v>122</v>
      </c>
      <c r="M16" s="142">
        <f>Data!M15</f>
        <v>142</v>
      </c>
      <c r="N16" s="142">
        <f>Data!N15</f>
        <v>102</v>
      </c>
      <c r="O16" s="143">
        <f>SUM(J16:M16)</f>
        <v>562</v>
      </c>
      <c r="P16" s="60"/>
      <c r="Q16" s="61" t="s">
        <v>4</v>
      </c>
      <c r="R16" s="145">
        <f>+Data!J38</f>
        <v>6572.3270000000002</v>
      </c>
      <c r="S16" s="145">
        <f>+Data!K38</f>
        <v>5662.4889999999996</v>
      </c>
      <c r="T16" s="145">
        <f>+Data!L38</f>
        <v>4037.9499600000008</v>
      </c>
      <c r="U16" s="145">
        <f>+Data!M38</f>
        <v>2425.5</v>
      </c>
      <c r="V16" s="145">
        <f>+Data!N38</f>
        <v>818.5</v>
      </c>
      <c r="W16" s="143">
        <f>SUM(R16:U16)</f>
        <v>18698.265960000001</v>
      </c>
    </row>
    <row r="17" spans="1:23" s="20" customFormat="1" ht="16.5" x14ac:dyDescent="0.25">
      <c r="A17" s="21"/>
      <c r="B17" s="142"/>
      <c r="C17" s="142"/>
      <c r="D17" s="142"/>
      <c r="E17" s="58"/>
      <c r="F17" s="58"/>
      <c r="G17" s="59"/>
      <c r="H17" s="60"/>
      <c r="I17" s="61" t="s">
        <v>5</v>
      </c>
      <c r="J17" s="142">
        <f>Data!J16</f>
        <v>3322</v>
      </c>
      <c r="K17" s="142">
        <f>Data!K16</f>
        <v>3375</v>
      </c>
      <c r="L17" s="142">
        <f>Data!L16</f>
        <v>3353</v>
      </c>
      <c r="M17" s="142">
        <f>Data!M16</f>
        <v>3135</v>
      </c>
      <c r="N17" s="142">
        <f>Data!N16</f>
        <v>2593</v>
      </c>
      <c r="O17" s="143">
        <f>SUM(J17:M17)</f>
        <v>13185</v>
      </c>
      <c r="P17" s="60"/>
      <c r="Q17" s="61" t="s">
        <v>13</v>
      </c>
      <c r="R17" s="145">
        <f>+Data!J39</f>
        <v>46.35</v>
      </c>
      <c r="S17" s="145">
        <f>+Data!K39</f>
        <v>100.1</v>
      </c>
      <c r="T17" s="145">
        <f>+Data!L39</f>
        <v>40</v>
      </c>
      <c r="U17" s="145">
        <f>+Data!M39</f>
        <v>37.5</v>
      </c>
      <c r="V17" s="145">
        <f>+Data!N39</f>
        <v>7.5</v>
      </c>
      <c r="W17" s="143">
        <f>SUM(R17:U17)</f>
        <v>223.95</v>
      </c>
    </row>
    <row r="18" spans="1:23" s="20" customFormat="1" ht="16.5" x14ac:dyDescent="0.25">
      <c r="A18" s="149"/>
      <c r="B18" s="150"/>
      <c r="C18" s="142"/>
      <c r="D18" s="142"/>
      <c r="E18" s="58"/>
      <c r="F18" s="58"/>
      <c r="G18" s="59"/>
      <c r="H18" s="60"/>
      <c r="I18" s="61" t="s">
        <v>4</v>
      </c>
      <c r="J18" s="142">
        <f>Data!J17</f>
        <v>83</v>
      </c>
      <c r="K18" s="142">
        <f>Data!K17</f>
        <v>52</v>
      </c>
      <c r="L18" s="142">
        <f>Data!L17</f>
        <v>58</v>
      </c>
      <c r="M18" s="142">
        <f>Data!M17</f>
        <v>28</v>
      </c>
      <c r="N18" s="142">
        <f>Data!N17</f>
        <v>12</v>
      </c>
      <c r="O18" s="143">
        <f>SUM(J18:M18)</f>
        <v>221</v>
      </c>
      <c r="P18" s="60"/>
      <c r="Q18" s="64" t="s">
        <v>123</v>
      </c>
      <c r="R18" s="142">
        <f>Data!J31</f>
        <v>25872</v>
      </c>
      <c r="S18" s="142">
        <f>Data!K31</f>
        <v>106865.89999999997</v>
      </c>
      <c r="T18" s="142">
        <f>Data!L31</f>
        <v>11962.5</v>
      </c>
      <c r="U18" s="142">
        <f>Data!M31</f>
        <v>56612</v>
      </c>
      <c r="V18" s="142">
        <f>Data!N31</f>
        <v>163303.196</v>
      </c>
      <c r="W18" s="143">
        <f>SUM(R18:U18)</f>
        <v>201312.39999999997</v>
      </c>
    </row>
    <row r="19" spans="1:23" s="20" customFormat="1" ht="16.5" x14ac:dyDescent="0.25">
      <c r="A19" s="151"/>
      <c r="B19" s="152"/>
      <c r="C19" s="142"/>
      <c r="D19" s="142"/>
      <c r="E19" s="58"/>
      <c r="F19" s="58"/>
      <c r="G19" s="59"/>
      <c r="H19" s="60"/>
      <c r="I19" s="61" t="s">
        <v>3</v>
      </c>
      <c r="J19" s="142">
        <f>Data!J18</f>
        <v>19</v>
      </c>
      <c r="K19" s="142">
        <f>Data!K18</f>
        <v>24</v>
      </c>
      <c r="L19" s="142">
        <f>Data!L18</f>
        <v>39</v>
      </c>
      <c r="M19" s="142">
        <f>Data!M18</f>
        <v>24</v>
      </c>
      <c r="N19" s="142">
        <f>Data!N18</f>
        <v>18</v>
      </c>
      <c r="O19" s="143">
        <f>SUM(J19:M19)</f>
        <v>106</v>
      </c>
      <c r="P19" s="60"/>
      <c r="Q19" s="61" t="s">
        <v>40</v>
      </c>
      <c r="R19" s="145">
        <f>Data!I32</f>
        <v>0</v>
      </c>
      <c r="S19" s="145">
        <f>Data!J32</f>
        <v>0</v>
      </c>
      <c r="T19" s="145">
        <f>Data!K32</f>
        <v>0</v>
      </c>
      <c r="U19" s="145">
        <f>Data!L32</f>
        <v>0</v>
      </c>
      <c r="V19" s="145">
        <f>Data!M32</f>
        <v>0</v>
      </c>
      <c r="W19" s="143">
        <f>SUM(R19:T19)</f>
        <v>0</v>
      </c>
    </row>
    <row r="20" spans="1:23" s="20" customFormat="1" ht="16.5" x14ac:dyDescent="0.25">
      <c r="A20" s="153"/>
      <c r="B20" s="142"/>
      <c r="C20" s="142"/>
      <c r="D20" s="142"/>
      <c r="E20" s="58"/>
      <c r="F20" s="58"/>
      <c r="G20" s="59"/>
      <c r="H20" s="60"/>
      <c r="I20" s="61" t="s">
        <v>13</v>
      </c>
      <c r="J20" s="142">
        <f>Data!J19</f>
        <v>14</v>
      </c>
      <c r="K20" s="142">
        <f>Data!K19</f>
        <v>33</v>
      </c>
      <c r="L20" s="142">
        <f>Data!L19</f>
        <v>20</v>
      </c>
      <c r="M20" s="142">
        <f>Data!M19</f>
        <v>6</v>
      </c>
      <c r="N20" s="142">
        <f>Data!N19</f>
        <v>3</v>
      </c>
      <c r="O20" s="143">
        <f>SUM(J20:M20)</f>
        <v>73</v>
      </c>
      <c r="P20" s="60"/>
      <c r="Q20" s="61" t="s">
        <v>70</v>
      </c>
      <c r="R20" s="145">
        <f>Data!I33</f>
        <v>0</v>
      </c>
      <c r="S20" s="145">
        <f>Data!J33</f>
        <v>0</v>
      </c>
      <c r="T20" s="145">
        <f>Data!K33</f>
        <v>0</v>
      </c>
      <c r="U20" s="145">
        <f>Data!L33</f>
        <v>0</v>
      </c>
      <c r="V20" s="145">
        <f>Data!M33</f>
        <v>0</v>
      </c>
      <c r="W20" s="143">
        <f>SUM(R20:T20)</f>
        <v>0</v>
      </c>
    </row>
    <row r="21" spans="1:23" s="20" customFormat="1" ht="16.5" x14ac:dyDescent="0.25">
      <c r="A21" s="153"/>
      <c r="B21" s="142"/>
      <c r="C21" s="142"/>
      <c r="D21" s="142"/>
      <c r="E21" s="58"/>
      <c r="F21" s="58"/>
      <c r="G21" s="59"/>
      <c r="H21" s="60"/>
      <c r="I21" s="57"/>
      <c r="J21" s="142"/>
      <c r="K21" s="142"/>
      <c r="L21" s="142"/>
      <c r="O21" s="143"/>
      <c r="P21" s="60"/>
      <c r="Q21" s="61" t="s">
        <v>39</v>
      </c>
      <c r="R21" s="145">
        <f>Data!I34</f>
        <v>0</v>
      </c>
      <c r="S21" s="145">
        <f>Data!J34</f>
        <v>0</v>
      </c>
      <c r="T21" s="145">
        <f>Data!K34</f>
        <v>0</v>
      </c>
      <c r="U21" s="145">
        <f>Data!L34</f>
        <v>0</v>
      </c>
      <c r="V21" s="145">
        <f>Data!M34</f>
        <v>0</v>
      </c>
      <c r="W21" s="143">
        <f>SUM(R21:T21)</f>
        <v>0</v>
      </c>
    </row>
    <row r="22" spans="1:23" s="20" customFormat="1" ht="16.5" x14ac:dyDescent="0.25">
      <c r="A22" s="149"/>
      <c r="B22" s="142"/>
      <c r="C22" s="142"/>
      <c r="D22" s="142"/>
      <c r="E22" s="58"/>
      <c r="F22" s="58"/>
      <c r="G22" s="59"/>
      <c r="H22" s="60"/>
      <c r="I22" s="65" t="s">
        <v>33</v>
      </c>
      <c r="J22" s="142"/>
      <c r="K22" s="142"/>
      <c r="L22" s="142"/>
      <c r="O22" s="143"/>
      <c r="P22" s="60"/>
      <c r="Q22" s="66" t="s">
        <v>41</v>
      </c>
      <c r="R22" s="146">
        <f>Data!I35</f>
        <v>0</v>
      </c>
      <c r="S22" s="146">
        <f>Data!J35</f>
        <v>0</v>
      </c>
      <c r="T22" s="146">
        <f>Data!K35</f>
        <v>0</v>
      </c>
      <c r="U22" s="146">
        <f>Data!L35</f>
        <v>0</v>
      </c>
      <c r="V22" s="146">
        <f>Data!M35</f>
        <v>0</v>
      </c>
      <c r="W22" s="147">
        <f>SUM(R22:T22)</f>
        <v>0</v>
      </c>
    </row>
    <row r="23" spans="1:23" s="20" customFormat="1" ht="16.5" x14ac:dyDescent="0.25">
      <c r="A23" s="154"/>
      <c r="B23" s="142"/>
      <c r="C23" s="142"/>
      <c r="D23" s="142"/>
      <c r="E23" s="58"/>
      <c r="F23" s="58"/>
      <c r="G23" s="59"/>
      <c r="H23" s="60"/>
      <c r="I23" s="61" t="s">
        <v>40</v>
      </c>
      <c r="J23" s="142">
        <f>Data!J21</f>
        <v>4</v>
      </c>
      <c r="K23" s="142">
        <f>Data!K21</f>
        <v>12</v>
      </c>
      <c r="L23" s="142">
        <f>Data!L21</f>
        <v>30</v>
      </c>
      <c r="M23" s="142">
        <f>Data!M21</f>
        <v>17</v>
      </c>
      <c r="N23" s="142">
        <f>Data!N21</f>
        <v>18</v>
      </c>
      <c r="O23" s="143">
        <f>SUM(J23:M23)</f>
        <v>63</v>
      </c>
      <c r="P23" s="60"/>
      <c r="Q23" s="82" t="s">
        <v>105</v>
      </c>
      <c r="R23" s="58"/>
      <c r="S23" s="58"/>
      <c r="T23" s="58"/>
      <c r="U23" s="58"/>
      <c r="V23" s="58"/>
      <c r="W23" s="58"/>
    </row>
    <row r="24" spans="1:23" s="20" customFormat="1" ht="16.5" x14ac:dyDescent="0.25">
      <c r="A24" s="153"/>
      <c r="B24" s="142"/>
      <c r="C24" s="58"/>
      <c r="D24" s="58"/>
      <c r="E24" s="58"/>
      <c r="F24" s="58"/>
      <c r="G24" s="59"/>
      <c r="H24" s="60"/>
      <c r="I24" s="61" t="s">
        <v>70</v>
      </c>
      <c r="J24" s="142">
        <f>Data!J22</f>
        <v>29</v>
      </c>
      <c r="K24" s="142">
        <f>Data!K22</f>
        <v>17</v>
      </c>
      <c r="L24" s="142">
        <f>Data!L22</f>
        <v>15</v>
      </c>
      <c r="M24" s="142">
        <f>Data!M22</f>
        <v>23</v>
      </c>
      <c r="N24" s="142">
        <f>Data!N22</f>
        <v>57</v>
      </c>
      <c r="O24" s="143">
        <f>SUM(J24:M24)</f>
        <v>84</v>
      </c>
      <c r="P24" s="60"/>
      <c r="Q24" s="67"/>
      <c r="R24" s="185" t="s">
        <v>19</v>
      </c>
      <c r="S24" s="185"/>
      <c r="T24" s="185"/>
      <c r="U24" s="185"/>
      <c r="V24" s="185"/>
      <c r="W24" s="68"/>
    </row>
    <row r="25" spans="1:23" ht="16.5" x14ac:dyDescent="0.25">
      <c r="A25" s="149"/>
      <c r="B25" s="142"/>
      <c r="C25" s="43"/>
      <c r="D25" s="43"/>
      <c r="E25" s="43"/>
      <c r="F25" s="43"/>
      <c r="G25" s="44"/>
      <c r="H25" s="49"/>
      <c r="I25" s="61" t="s">
        <v>39</v>
      </c>
      <c r="J25" s="142">
        <f>Data!J23</f>
        <v>86</v>
      </c>
      <c r="K25" s="142">
        <f>Data!K23</f>
        <v>69</v>
      </c>
      <c r="L25" s="142">
        <f>Data!L23</f>
        <v>38</v>
      </c>
      <c r="M25" s="142">
        <f>Data!M23</f>
        <v>41</v>
      </c>
      <c r="N25" s="142">
        <f>Data!N23</f>
        <v>69</v>
      </c>
      <c r="O25" s="143">
        <f>SUM(J25:M25)</f>
        <v>234</v>
      </c>
      <c r="P25" s="49"/>
      <c r="Q25" s="54"/>
      <c r="R25" s="141" t="s">
        <v>141</v>
      </c>
      <c r="S25" s="141" t="s">
        <v>140</v>
      </c>
      <c r="T25" s="141" t="s">
        <v>145</v>
      </c>
      <c r="U25" s="141" t="s">
        <v>147</v>
      </c>
      <c r="V25" s="141" t="s">
        <v>152</v>
      </c>
      <c r="W25" s="171"/>
    </row>
    <row r="26" spans="1:23" ht="16.5" x14ac:dyDescent="0.25">
      <c r="A26" s="50"/>
      <c r="B26" s="62"/>
      <c r="C26" s="43"/>
      <c r="D26" s="43"/>
      <c r="E26" s="43"/>
      <c r="F26" s="43"/>
      <c r="G26" s="44"/>
      <c r="H26" s="49"/>
      <c r="I26" s="61" t="s">
        <v>41</v>
      </c>
      <c r="J26" s="142">
        <f>Data!J24</f>
        <v>1</v>
      </c>
      <c r="K26" s="142">
        <f>Data!K24</f>
        <v>1</v>
      </c>
      <c r="L26" s="142">
        <f>Data!L24</f>
        <v>2</v>
      </c>
      <c r="M26" s="142">
        <f>Data!M24</f>
        <v>0</v>
      </c>
      <c r="N26" s="142">
        <f>Data!N24</f>
        <v>1</v>
      </c>
      <c r="O26" s="143">
        <f>SUM(J26:M26)</f>
        <v>4</v>
      </c>
      <c r="P26" s="49"/>
      <c r="Q26" s="140" t="s">
        <v>65</v>
      </c>
      <c r="R26" s="148">
        <v>8</v>
      </c>
      <c r="S26" s="148">
        <v>13</v>
      </c>
      <c r="T26" s="148">
        <v>5</v>
      </c>
      <c r="U26" s="43">
        <f>2+15</f>
        <v>17</v>
      </c>
      <c r="V26" s="43">
        <v>8</v>
      </c>
      <c r="W26" s="171"/>
    </row>
    <row r="27" spans="1:23" ht="16.5" x14ac:dyDescent="0.25">
      <c r="A27" s="69"/>
      <c r="B27" s="43"/>
      <c r="C27" s="43"/>
      <c r="D27" s="43"/>
      <c r="E27" s="43"/>
      <c r="F27" s="43"/>
      <c r="G27" s="44"/>
      <c r="H27" s="49"/>
      <c r="I27" s="71"/>
      <c r="J27" s="70"/>
      <c r="K27" s="70"/>
      <c r="L27" s="70"/>
      <c r="M27" s="70"/>
      <c r="N27" s="70"/>
      <c r="O27" s="72"/>
      <c r="P27" s="49"/>
      <c r="Q27" s="73"/>
      <c r="R27" s="148"/>
      <c r="S27" s="148"/>
      <c r="T27" s="148"/>
      <c r="U27" s="43"/>
      <c r="V27" s="43"/>
      <c r="W27" s="171"/>
    </row>
    <row r="28" spans="1:23" ht="16.5" x14ac:dyDescent="0.25">
      <c r="A28" s="69"/>
      <c r="B28" s="43"/>
      <c r="C28" s="43"/>
      <c r="D28" s="43"/>
      <c r="E28" s="43"/>
      <c r="F28" s="43"/>
      <c r="G28" s="44"/>
      <c r="H28" s="49"/>
      <c r="I28" s="71"/>
      <c r="J28" s="70"/>
      <c r="K28" s="70"/>
      <c r="L28" s="70"/>
      <c r="M28" s="70"/>
      <c r="N28" s="70"/>
      <c r="O28" s="72"/>
      <c r="P28" s="49"/>
      <c r="Q28" s="140" t="s">
        <v>80</v>
      </c>
      <c r="R28" s="148">
        <v>33</v>
      </c>
      <c r="S28" s="148">
        <v>13</v>
      </c>
      <c r="T28" s="148">
        <v>26</v>
      </c>
      <c r="U28" s="43">
        <v>104</v>
      </c>
      <c r="V28" s="43">
        <v>30</v>
      </c>
      <c r="W28" s="171"/>
    </row>
    <row r="29" spans="1:23" ht="15" x14ac:dyDescent="0.2">
      <c r="A29" s="74"/>
      <c r="B29" s="75"/>
      <c r="C29" s="75"/>
      <c r="D29" s="75"/>
      <c r="E29" s="75"/>
      <c r="F29" s="75"/>
      <c r="G29" s="76"/>
      <c r="H29" s="49"/>
      <c r="I29" s="77"/>
      <c r="J29" s="78"/>
      <c r="K29" s="78"/>
      <c r="L29" s="78"/>
      <c r="M29" s="78"/>
      <c r="N29" s="78"/>
      <c r="O29" s="79"/>
      <c r="P29" s="49"/>
      <c r="Q29" s="80"/>
      <c r="R29" s="81"/>
      <c r="S29" s="81"/>
      <c r="T29" s="75"/>
      <c r="U29" s="75"/>
      <c r="V29" s="75"/>
      <c r="W29" s="76"/>
    </row>
    <row r="30" spans="1:23" x14ac:dyDescent="0.2">
      <c r="A30" s="41"/>
      <c r="B30" s="14"/>
      <c r="C30" s="14"/>
      <c r="D30" s="14"/>
      <c r="E30" s="14"/>
      <c r="F30" s="14"/>
      <c r="G30" s="14"/>
      <c r="I30" s="16"/>
      <c r="J30" s="16"/>
      <c r="K30" s="16"/>
      <c r="L30" s="14"/>
      <c r="M30" s="14"/>
      <c r="N30" s="14"/>
      <c r="O30" s="14"/>
      <c r="Q30" s="16"/>
      <c r="R30" s="16"/>
      <c r="S30" s="16"/>
      <c r="T30" s="14"/>
      <c r="U30" s="14"/>
      <c r="V30" s="14"/>
      <c r="W30" s="14"/>
    </row>
    <row r="31" spans="1:23" x14ac:dyDescent="0.2">
      <c r="A31" s="40"/>
      <c r="J31" s="14"/>
      <c r="K31" s="14"/>
      <c r="L31" s="14"/>
      <c r="M31" s="14"/>
      <c r="N31" s="14"/>
      <c r="O31" s="14"/>
      <c r="P31" s="14"/>
      <c r="Q31" s="18"/>
      <c r="R31" s="18"/>
      <c r="S31" s="18"/>
      <c r="T31" s="18"/>
      <c r="U31" s="18"/>
      <c r="V31" s="18"/>
      <c r="W31" s="18"/>
    </row>
    <row r="32" spans="1:23" x14ac:dyDescent="0.2">
      <c r="A32" s="19"/>
    </row>
    <row r="33" spans="1:1" x14ac:dyDescent="0.2">
      <c r="A33" s="19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21"/>
    </row>
    <row r="47" spans="1:1" x14ac:dyDescent="0.2">
      <c r="A47" s="21"/>
    </row>
    <row r="48" spans="1:1" x14ac:dyDescent="0.2">
      <c r="A48" s="22"/>
    </row>
    <row r="49" spans="1:1" x14ac:dyDescent="0.2">
      <c r="A49" s="22"/>
    </row>
    <row r="50" spans="1:1" x14ac:dyDescent="0.2">
      <c r="A50" s="22"/>
    </row>
    <row r="51" spans="1:1" x14ac:dyDescent="0.2">
      <c r="A51" s="22"/>
    </row>
    <row r="52" spans="1:1" x14ac:dyDescent="0.2">
      <c r="A52" s="22"/>
    </row>
    <row r="53" spans="1:1" x14ac:dyDescent="0.2">
      <c r="A53" s="22"/>
    </row>
    <row r="54" spans="1:1" x14ac:dyDescent="0.2">
      <c r="A54" s="22"/>
    </row>
    <row r="55" spans="1:1" x14ac:dyDescent="0.2">
      <c r="A55" s="22"/>
    </row>
    <row r="56" spans="1:1" x14ac:dyDescent="0.2">
      <c r="A56" s="22"/>
    </row>
    <row r="57" spans="1:1" x14ac:dyDescent="0.2">
      <c r="A57" s="22"/>
    </row>
    <row r="58" spans="1:1" x14ac:dyDescent="0.2">
      <c r="A58" s="22"/>
    </row>
    <row r="59" spans="1:1" x14ac:dyDescent="0.2">
      <c r="A59" s="22"/>
    </row>
    <row r="60" spans="1:1" x14ac:dyDescent="0.2">
      <c r="A60" s="22"/>
    </row>
    <row r="61" spans="1:1" x14ac:dyDescent="0.2">
      <c r="A61" s="22"/>
    </row>
    <row r="62" spans="1:1" x14ac:dyDescent="0.2">
      <c r="A62" s="22"/>
    </row>
    <row r="63" spans="1:1" x14ac:dyDescent="0.2">
      <c r="A63" s="22"/>
    </row>
    <row r="64" spans="1:1" x14ac:dyDescent="0.2">
      <c r="A64" s="22"/>
    </row>
    <row r="65" spans="1:1" x14ac:dyDescent="0.2">
      <c r="A65" s="22"/>
    </row>
    <row r="66" spans="1:1" x14ac:dyDescent="0.2">
      <c r="A66" s="22"/>
    </row>
    <row r="67" spans="1:1" x14ac:dyDescent="0.2">
      <c r="A67" s="22"/>
    </row>
    <row r="68" spans="1:1" x14ac:dyDescent="0.2">
      <c r="A68" s="17"/>
    </row>
    <row r="69" spans="1:1" x14ac:dyDescent="0.2">
      <c r="A69" s="10"/>
    </row>
    <row r="70" spans="1:1" x14ac:dyDescent="0.2">
      <c r="A70" s="19"/>
    </row>
    <row r="71" spans="1:1" x14ac:dyDescent="0.2">
      <c r="A71" s="19"/>
    </row>
    <row r="72" spans="1:1" x14ac:dyDescent="0.2">
      <c r="A72" s="19"/>
    </row>
    <row r="73" spans="1:1" x14ac:dyDescent="0.2">
      <c r="A73" s="19"/>
    </row>
    <row r="74" spans="1:1" x14ac:dyDescent="0.2">
      <c r="A74" s="19"/>
    </row>
    <row r="75" spans="1:1" x14ac:dyDescent="0.2">
      <c r="A75" s="19"/>
    </row>
    <row r="76" spans="1:1" x14ac:dyDescent="0.2">
      <c r="A76" s="15"/>
    </row>
    <row r="77" spans="1:1" x14ac:dyDescent="0.2">
      <c r="A77" s="13"/>
    </row>
    <row r="78" spans="1:1" x14ac:dyDescent="0.2">
      <c r="A78" s="21"/>
    </row>
    <row r="79" spans="1:1" x14ac:dyDescent="0.2">
      <c r="A79" s="21"/>
    </row>
    <row r="80" spans="1:1" x14ac:dyDescent="0.2">
      <c r="A80" s="22"/>
    </row>
    <row r="81" spans="1:1" x14ac:dyDescent="0.2">
      <c r="A81" s="22"/>
    </row>
    <row r="82" spans="1:1" x14ac:dyDescent="0.2">
      <c r="A82" s="22"/>
    </row>
    <row r="83" spans="1:1" x14ac:dyDescent="0.2">
      <c r="A83" s="22"/>
    </row>
    <row r="84" spans="1:1" x14ac:dyDescent="0.2">
      <c r="A84" s="22"/>
    </row>
    <row r="85" spans="1:1" x14ac:dyDescent="0.2">
      <c r="A85" s="22"/>
    </row>
    <row r="86" spans="1:1" x14ac:dyDescent="0.2">
      <c r="A86" s="22"/>
    </row>
    <row r="87" spans="1:1" ht="12" customHeight="1" x14ac:dyDescent="0.2"/>
  </sheetData>
  <mergeCells count="3">
    <mergeCell ref="Q8:V8"/>
    <mergeCell ref="I8:N8"/>
    <mergeCell ref="R24:V24"/>
  </mergeCells>
  <printOptions horizontalCentered="1" verticalCentered="1"/>
  <pageMargins left="0.17" right="0.16" top="0.25" bottom="0.3" header="0.5" footer="0.09"/>
  <pageSetup scale="49" orientation="landscape" r:id="rId1"/>
  <headerFooter alignWithMargins="0">
    <oddHeader>&amp;L&amp;"Arial,Bold"&amp;18Global Risk Management Operations
Contact:    Sally Beck x35926&amp;C&amp;"Arial,Bold"&amp;18Weekly Report
Week of February 23 - February 28</oddHeader>
    <oddFooter xml:space="preserve">&amp;L(1)  Note, due to change in reporting period, this period only includes six days (Friday through Wednesday).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pane xSplit="1" topLeftCell="H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5" width="22.7109375" customWidth="1"/>
    <col min="6" max="6" width="20.140625" customWidth="1"/>
    <col min="7" max="7" width="22.7109375" customWidth="1"/>
    <col min="8" max="8" width="17.7109375" customWidth="1"/>
    <col min="9" max="10" width="15.7109375" customWidth="1"/>
    <col min="11" max="12" width="10.140625" customWidth="1"/>
  </cols>
  <sheetData>
    <row r="1" spans="1:38" ht="23.25" x14ac:dyDescent="0.35">
      <c r="A1" s="84" t="s">
        <v>35</v>
      </c>
      <c r="H1" s="83"/>
      <c r="I1" s="83"/>
    </row>
    <row r="2" spans="1:38" x14ac:dyDescent="0.2">
      <c r="B2" s="196" t="s">
        <v>106</v>
      </c>
      <c r="C2" s="197"/>
      <c r="D2" s="196" t="s">
        <v>107</v>
      </c>
      <c r="E2" s="197"/>
      <c r="F2" s="196" t="s">
        <v>108</v>
      </c>
      <c r="G2" s="197"/>
      <c r="H2" s="196" t="s">
        <v>109</v>
      </c>
      <c r="I2" s="202"/>
      <c r="J2" s="85" t="s">
        <v>110</v>
      </c>
    </row>
    <row r="3" spans="1:38" x14ac:dyDescent="0.2">
      <c r="A3" s="86" t="s">
        <v>111</v>
      </c>
      <c r="B3" s="87" t="s">
        <v>63</v>
      </c>
      <c r="C3" s="87" t="s">
        <v>112</v>
      </c>
      <c r="D3" s="87" t="s">
        <v>63</v>
      </c>
      <c r="E3" s="87" t="s">
        <v>112</v>
      </c>
      <c r="F3" s="87" t="s">
        <v>63</v>
      </c>
      <c r="G3" s="87" t="s">
        <v>112</v>
      </c>
      <c r="H3" s="87" t="s">
        <v>63</v>
      </c>
      <c r="I3" s="87" t="s">
        <v>112</v>
      </c>
      <c r="J3" s="88" t="s">
        <v>92</v>
      </c>
    </row>
    <row r="4" spans="1:38" x14ac:dyDescent="0.2">
      <c r="A4" s="2"/>
      <c r="B4" s="2"/>
      <c r="C4" s="2"/>
      <c r="D4" s="2"/>
      <c r="E4" s="2"/>
      <c r="F4" s="2"/>
      <c r="G4" s="2"/>
    </row>
    <row r="5" spans="1:38" x14ac:dyDescent="0.2">
      <c r="A5" s="5" t="s">
        <v>95</v>
      </c>
      <c r="B5" s="89"/>
      <c r="C5" s="89"/>
      <c r="D5" s="89"/>
      <c r="E5" s="89"/>
      <c r="F5" s="89"/>
      <c r="G5" s="8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spans="1:38" x14ac:dyDescent="0.2">
      <c r="A6" s="6" t="s">
        <v>64</v>
      </c>
      <c r="B6" s="39">
        <v>8160</v>
      </c>
      <c r="C6" s="39">
        <v>867868927</v>
      </c>
      <c r="D6" s="39">
        <v>12264</v>
      </c>
      <c r="E6" s="39">
        <v>1430792953</v>
      </c>
      <c r="F6" s="39">
        <v>10083</v>
      </c>
      <c r="G6" s="39">
        <v>878002281</v>
      </c>
      <c r="H6" s="39">
        <v>13198</v>
      </c>
      <c r="I6" s="39">
        <v>1733178545</v>
      </c>
      <c r="J6" s="39" t="s">
        <v>81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</row>
    <row r="7" spans="1:38" x14ac:dyDescent="0.2">
      <c r="A7" s="6" t="s">
        <v>71</v>
      </c>
      <c r="B7" s="39">
        <v>657</v>
      </c>
      <c r="C7" s="39">
        <v>6392800</v>
      </c>
      <c r="D7" s="39">
        <v>1630</v>
      </c>
      <c r="E7" s="39">
        <v>15194425</v>
      </c>
      <c r="F7" s="39">
        <v>1725</v>
      </c>
      <c r="G7" s="39">
        <v>17506625</v>
      </c>
      <c r="H7" s="39">
        <v>1546</v>
      </c>
      <c r="I7" s="39">
        <v>14286440</v>
      </c>
      <c r="J7" s="39" t="s">
        <v>82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spans="1:38" x14ac:dyDescent="0.2">
      <c r="A8" s="5" t="s">
        <v>32</v>
      </c>
      <c r="B8" s="89"/>
      <c r="C8" s="89"/>
      <c r="D8" s="89"/>
      <c r="E8" s="89"/>
      <c r="F8" s="89"/>
      <c r="G8" s="39"/>
      <c r="H8" s="39"/>
      <c r="I8" s="39"/>
      <c r="J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</row>
    <row r="9" spans="1:38" x14ac:dyDescent="0.2">
      <c r="A9" s="6" t="s">
        <v>5</v>
      </c>
      <c r="B9" s="39">
        <v>840</v>
      </c>
      <c r="C9" s="39">
        <v>20894000</v>
      </c>
      <c r="D9" s="39">
        <v>1580</v>
      </c>
      <c r="E9" s="39">
        <v>40911000</v>
      </c>
      <c r="F9" s="39">
        <v>1052</v>
      </c>
      <c r="G9" s="39">
        <v>25743000</v>
      </c>
      <c r="H9" s="39">
        <v>1552</v>
      </c>
      <c r="I9" s="39">
        <v>36444595</v>
      </c>
      <c r="J9" s="39" t="s">
        <v>99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spans="1:38" x14ac:dyDescent="0.2">
      <c r="A10" s="6" t="s">
        <v>4</v>
      </c>
      <c r="B10" s="39">
        <v>25</v>
      </c>
      <c r="C10" s="39">
        <v>1054250</v>
      </c>
      <c r="D10" s="39">
        <v>32</v>
      </c>
      <c r="E10" s="39">
        <v>697000</v>
      </c>
      <c r="F10" s="39">
        <v>21</v>
      </c>
      <c r="G10" s="39">
        <v>677000</v>
      </c>
      <c r="H10" s="39">
        <v>12</v>
      </c>
      <c r="I10" s="39">
        <v>258000</v>
      </c>
      <c r="J10" s="39" t="s">
        <v>100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spans="1:38" x14ac:dyDescent="0.2">
      <c r="A11" s="6" t="s">
        <v>113</v>
      </c>
      <c r="B11" s="39">
        <v>4</v>
      </c>
      <c r="C11" s="39">
        <v>153000</v>
      </c>
      <c r="D11" s="39">
        <v>4</v>
      </c>
      <c r="E11" s="39">
        <v>177000</v>
      </c>
      <c r="F11" s="39">
        <v>11</v>
      </c>
      <c r="G11" s="39">
        <v>465000</v>
      </c>
      <c r="H11" s="39">
        <v>5</v>
      </c>
      <c r="I11" s="39">
        <v>225000</v>
      </c>
      <c r="J11" s="39" t="s">
        <v>100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spans="1:38" x14ac:dyDescent="0.2">
      <c r="A12" s="6" t="s">
        <v>3</v>
      </c>
      <c r="B12" s="39">
        <v>9</v>
      </c>
      <c r="C12" s="39">
        <v>2700</v>
      </c>
      <c r="D12" s="39">
        <v>8</v>
      </c>
      <c r="E12" s="39">
        <v>2400</v>
      </c>
      <c r="F12" s="39">
        <v>26</v>
      </c>
      <c r="G12" s="39">
        <v>8400</v>
      </c>
      <c r="H12" s="39">
        <v>13</v>
      </c>
      <c r="I12" s="39">
        <v>3900</v>
      </c>
      <c r="J12" s="39" t="s">
        <v>101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38" x14ac:dyDescent="0.2">
      <c r="A13" s="6" t="s">
        <v>0</v>
      </c>
      <c r="B13" s="39">
        <v>0</v>
      </c>
      <c r="C13" s="39">
        <v>0</v>
      </c>
      <c r="D13" s="39">
        <v>0</v>
      </c>
      <c r="E13" s="39">
        <v>0</v>
      </c>
      <c r="F13">
        <v>0</v>
      </c>
      <c r="G13" s="39">
        <v>0</v>
      </c>
      <c r="H13" s="39">
        <v>0</v>
      </c>
      <c r="I13" s="39">
        <v>0</v>
      </c>
      <c r="J13" s="39" t="s">
        <v>102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38" x14ac:dyDescent="0.2">
      <c r="A14" s="6" t="s">
        <v>13</v>
      </c>
      <c r="B14" s="39">
        <v>2</v>
      </c>
      <c r="C14" s="39">
        <v>5000</v>
      </c>
      <c r="D14" s="39">
        <v>2</v>
      </c>
      <c r="E14" s="39">
        <v>5000</v>
      </c>
      <c r="F14" s="39">
        <v>10</v>
      </c>
      <c r="G14" s="39">
        <v>25000</v>
      </c>
      <c r="H14" s="39">
        <v>4</v>
      </c>
      <c r="I14" s="39">
        <v>10000</v>
      </c>
      <c r="J14" s="39" t="s">
        <v>103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38" x14ac:dyDescent="0.2">
      <c r="A15" s="5" t="s">
        <v>33</v>
      </c>
      <c r="B15" s="89"/>
      <c r="C15" s="89"/>
      <c r="D15" s="89"/>
      <c r="E15" s="89"/>
      <c r="F15" s="89"/>
      <c r="G15" s="39"/>
      <c r="H15" s="39"/>
      <c r="I15" s="39"/>
      <c r="J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 x14ac:dyDescent="0.2">
      <c r="A16" s="6" t="s">
        <v>114</v>
      </c>
      <c r="B16" s="39">
        <v>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 t="s">
        <v>100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1:38" x14ac:dyDescent="0.2">
      <c r="A17" s="6" t="s">
        <v>41</v>
      </c>
      <c r="B17" s="39">
        <v>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 t="s">
        <v>100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1:38" x14ac:dyDescent="0.2">
      <c r="B18" s="39"/>
      <c r="C18" s="39"/>
      <c r="D18" s="39"/>
      <c r="E18" s="39"/>
      <c r="F18" s="39"/>
      <c r="G18" s="39"/>
      <c r="H18" s="39"/>
      <c r="I18" s="39"/>
      <c r="J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1:38" x14ac:dyDescent="0.2">
      <c r="B19" s="39"/>
      <c r="C19" s="39"/>
      <c r="D19" s="39"/>
      <c r="E19" s="39"/>
      <c r="F19" s="39"/>
      <c r="G19" s="39"/>
      <c r="H19" s="39"/>
      <c r="J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1:38" x14ac:dyDescent="0.2">
      <c r="A20" s="2" t="s">
        <v>115</v>
      </c>
      <c r="B20" s="89">
        <v>5</v>
      </c>
      <c r="C20" s="89"/>
      <c r="D20" s="89">
        <v>7</v>
      </c>
      <c r="E20" s="89"/>
      <c r="F20" s="89">
        <v>7</v>
      </c>
      <c r="G20" s="39"/>
      <c r="H20" s="89">
        <v>14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1:38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pans="1:38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spans="1:38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1:38" ht="23.25" x14ac:dyDescent="0.35">
      <c r="A24" s="84" t="s">
        <v>30</v>
      </c>
    </row>
    <row r="25" spans="1:38" x14ac:dyDescent="0.2">
      <c r="B25" s="196" t="s">
        <v>106</v>
      </c>
      <c r="C25" s="197"/>
      <c r="D25" s="196" t="s">
        <v>107</v>
      </c>
      <c r="E25" s="197"/>
      <c r="F25" s="196" t="s">
        <v>108</v>
      </c>
      <c r="G25" s="197"/>
      <c r="H25" s="196" t="s">
        <v>109</v>
      </c>
      <c r="I25" s="197"/>
      <c r="J25" s="85" t="s">
        <v>110</v>
      </c>
    </row>
    <row r="26" spans="1:38" x14ac:dyDescent="0.2">
      <c r="A26" s="86" t="s">
        <v>111</v>
      </c>
      <c r="B26" s="87" t="s">
        <v>63</v>
      </c>
      <c r="C26" s="87" t="s">
        <v>112</v>
      </c>
      <c r="D26" s="87" t="s">
        <v>63</v>
      </c>
      <c r="E26" s="87" t="s">
        <v>112</v>
      </c>
      <c r="F26" s="87" t="s">
        <v>63</v>
      </c>
      <c r="G26" s="87" t="s">
        <v>112</v>
      </c>
      <c r="H26" s="87" t="s">
        <v>63</v>
      </c>
      <c r="I26" s="87" t="s">
        <v>112</v>
      </c>
      <c r="J26" s="88" t="s">
        <v>92</v>
      </c>
    </row>
    <row r="27" spans="1:38" x14ac:dyDescent="0.2">
      <c r="A27" s="2"/>
      <c r="B27" s="2"/>
      <c r="C27" s="2"/>
      <c r="D27" s="2"/>
      <c r="E27" s="2"/>
      <c r="F27" s="2"/>
      <c r="G27" s="2"/>
    </row>
    <row r="28" spans="1:38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38" x14ac:dyDescent="0.2">
      <c r="A29" s="6" t="s">
        <v>64</v>
      </c>
      <c r="B29" s="39">
        <v>1993</v>
      </c>
      <c r="C29" s="39">
        <v>890462662</v>
      </c>
      <c r="D29" s="39">
        <v>3200</v>
      </c>
      <c r="E29" s="39">
        <v>1770313517</v>
      </c>
      <c r="F29" s="39">
        <v>2671</v>
      </c>
      <c r="G29" s="39">
        <v>1064343180</v>
      </c>
      <c r="H29" s="39">
        <v>3425</v>
      </c>
      <c r="I29" s="39">
        <v>3219027521</v>
      </c>
      <c r="J29" s="39" t="s">
        <v>81</v>
      </c>
      <c r="K29" s="39"/>
      <c r="L29" s="39"/>
      <c r="M29" s="39"/>
      <c r="N29" s="39"/>
      <c r="O29" s="39"/>
      <c r="P29" s="39"/>
    </row>
    <row r="30" spans="1:38" x14ac:dyDescent="0.2">
      <c r="A30" s="6" t="s">
        <v>71</v>
      </c>
      <c r="B30" s="39">
        <v>1073</v>
      </c>
      <c r="C30" s="39">
        <v>9653441</v>
      </c>
      <c r="D30" s="39">
        <v>1806</v>
      </c>
      <c r="E30" s="39">
        <v>37468366</v>
      </c>
      <c r="F30" s="39">
        <v>2056</v>
      </c>
      <c r="G30" s="39">
        <v>30644030</v>
      </c>
      <c r="H30" s="39">
        <v>2149</v>
      </c>
      <c r="I30" s="39">
        <v>23302801</v>
      </c>
      <c r="J30" s="39" t="s">
        <v>82</v>
      </c>
      <c r="K30" s="39"/>
      <c r="L30" s="39"/>
      <c r="M30" s="39"/>
      <c r="N30" s="39"/>
      <c r="O30" s="39"/>
      <c r="P30" s="39"/>
    </row>
    <row r="31" spans="1:38" x14ac:dyDescent="0.2">
      <c r="A31" s="5" t="s">
        <v>32</v>
      </c>
      <c r="B31" s="39"/>
      <c r="C31" s="39"/>
      <c r="D31" s="89"/>
      <c r="E31" s="89"/>
      <c r="F31" s="89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38" x14ac:dyDescent="0.2">
      <c r="A32" s="6" t="s">
        <v>5</v>
      </c>
      <c r="B32" s="39">
        <v>995</v>
      </c>
      <c r="C32" s="39">
        <v>69536383</v>
      </c>
      <c r="D32" s="39">
        <v>1678</v>
      </c>
      <c r="E32" s="39">
        <v>131872348</v>
      </c>
      <c r="F32" s="39">
        <v>1147</v>
      </c>
      <c r="G32" s="39">
        <v>82109720</v>
      </c>
      <c r="H32" s="39">
        <v>1511</v>
      </c>
      <c r="I32" s="39">
        <v>114536993</v>
      </c>
      <c r="J32" s="39" t="s">
        <v>99</v>
      </c>
      <c r="K32" s="39"/>
      <c r="L32" s="39"/>
      <c r="M32" s="39"/>
      <c r="N32" s="39"/>
      <c r="O32" s="39"/>
      <c r="P32" s="39"/>
    </row>
    <row r="33" spans="1:16" x14ac:dyDescent="0.2">
      <c r="A33" s="6" t="s">
        <v>4</v>
      </c>
      <c r="B33" s="39">
        <v>8</v>
      </c>
      <c r="C33" s="39">
        <v>691091</v>
      </c>
      <c r="D33" s="39">
        <v>39</v>
      </c>
      <c r="E33" s="39">
        <v>2157306</v>
      </c>
      <c r="F33" s="39">
        <v>34</v>
      </c>
      <c r="G33" s="39">
        <v>2376119.09</v>
      </c>
      <c r="H33" s="39">
        <v>24</v>
      </c>
      <c r="I33" s="39">
        <v>1716010</v>
      </c>
      <c r="J33" s="39" t="s">
        <v>100</v>
      </c>
      <c r="K33" s="39"/>
      <c r="L33" s="39"/>
      <c r="M33" s="39"/>
      <c r="N33" s="39"/>
      <c r="O33" s="39"/>
      <c r="P33" s="39"/>
    </row>
    <row r="34" spans="1:16" x14ac:dyDescent="0.2">
      <c r="A34" s="6" t="s">
        <v>113</v>
      </c>
      <c r="B34" s="39">
        <v>15</v>
      </c>
      <c r="C34" s="39">
        <v>1089373</v>
      </c>
      <c r="D34" s="39">
        <v>8</v>
      </c>
      <c r="E34" s="39">
        <v>357627</v>
      </c>
      <c r="F34" s="39">
        <v>18</v>
      </c>
      <c r="G34" s="39">
        <v>1166000</v>
      </c>
      <c r="H34" s="39">
        <v>34</v>
      </c>
      <c r="I34" s="39">
        <v>1765000</v>
      </c>
      <c r="J34" s="39" t="s">
        <v>100</v>
      </c>
      <c r="K34" s="39"/>
      <c r="L34" s="39"/>
      <c r="M34" s="39"/>
      <c r="N34" s="39"/>
      <c r="O34" s="39"/>
      <c r="P34" s="39"/>
    </row>
    <row r="35" spans="1:16" x14ac:dyDescent="0.2">
      <c r="A35" s="6" t="s">
        <v>3</v>
      </c>
      <c r="B35" s="39">
        <v>4</v>
      </c>
      <c r="C35" s="39">
        <v>46550</v>
      </c>
      <c r="D35" s="39">
        <v>19</v>
      </c>
      <c r="E35" s="39">
        <v>42950</v>
      </c>
      <c r="F35" s="39">
        <v>11</v>
      </c>
      <c r="G35" s="39">
        <v>112500</v>
      </c>
      <c r="H35" s="39">
        <v>23</v>
      </c>
      <c r="I35" s="39">
        <v>111600</v>
      </c>
      <c r="J35" s="39" t="s">
        <v>101</v>
      </c>
      <c r="K35" s="39"/>
      <c r="L35" s="39"/>
      <c r="M35" s="39"/>
      <c r="N35" s="39"/>
      <c r="O35" s="39"/>
      <c r="P35" s="39"/>
    </row>
    <row r="36" spans="1:16" x14ac:dyDescent="0.2">
      <c r="A36" s="6" t="s">
        <v>0</v>
      </c>
      <c r="B36" s="39">
        <v>91</v>
      </c>
      <c r="C36" s="39">
        <v>6275000</v>
      </c>
      <c r="D36" s="39">
        <v>130</v>
      </c>
      <c r="E36" s="39">
        <v>6398750</v>
      </c>
      <c r="F36" s="39">
        <v>103</v>
      </c>
      <c r="G36" s="39">
        <v>3718000</v>
      </c>
      <c r="H36" s="39">
        <v>169</v>
      </c>
      <c r="I36" s="39">
        <v>6618000</v>
      </c>
      <c r="J36" s="39" t="s">
        <v>102</v>
      </c>
      <c r="K36" s="39"/>
      <c r="L36" s="39"/>
      <c r="M36" s="39"/>
      <c r="N36" s="39"/>
      <c r="O36" s="39"/>
      <c r="P36" s="39"/>
    </row>
    <row r="37" spans="1:16" x14ac:dyDescent="0.2">
      <c r="A37" s="6" t="s">
        <v>13</v>
      </c>
      <c r="B37" s="39">
        <v>0</v>
      </c>
      <c r="C37" s="39">
        <v>0</v>
      </c>
      <c r="D37" s="39">
        <v>0</v>
      </c>
      <c r="E37" s="39">
        <v>0</v>
      </c>
      <c r="F37" s="39">
        <v>4</v>
      </c>
      <c r="G37" s="39">
        <v>9100</v>
      </c>
      <c r="H37" s="39">
        <v>9</v>
      </c>
      <c r="I37" s="39">
        <v>97570</v>
      </c>
      <c r="J37" s="39" t="s">
        <v>103</v>
      </c>
      <c r="K37" s="39"/>
      <c r="L37" s="39"/>
      <c r="M37" s="39"/>
      <c r="N37" s="39"/>
      <c r="O37" s="39"/>
      <c r="P37" s="39"/>
    </row>
    <row r="38" spans="1:16" x14ac:dyDescent="0.2">
      <c r="A38" s="5" t="s">
        <v>33</v>
      </c>
      <c r="B38" s="39"/>
      <c r="C38" s="39"/>
      <c r="D38" s="89"/>
      <c r="E38" s="89"/>
      <c r="F38" s="89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16" x14ac:dyDescent="0.2">
      <c r="A39" s="6" t="s">
        <v>114</v>
      </c>
      <c r="B39" s="39">
        <v>29</v>
      </c>
      <c r="C39" s="39">
        <v>59379.953999999998</v>
      </c>
      <c r="D39" s="39">
        <v>33</v>
      </c>
      <c r="E39" s="39">
        <v>23310.969000000001</v>
      </c>
      <c r="F39" s="39">
        <v>31</v>
      </c>
      <c r="G39" s="39">
        <v>213378.00200000001</v>
      </c>
      <c r="H39" s="39">
        <v>53</v>
      </c>
      <c r="I39" s="39">
        <v>19114.954999999998</v>
      </c>
      <c r="J39" s="39" t="s">
        <v>100</v>
      </c>
      <c r="K39" s="39"/>
      <c r="L39" s="39"/>
      <c r="M39" s="39"/>
      <c r="N39" s="39"/>
      <c r="O39" s="39"/>
      <c r="P39" s="39"/>
    </row>
    <row r="40" spans="1:16" x14ac:dyDescent="0.2">
      <c r="A40" s="6" t="s">
        <v>41</v>
      </c>
      <c r="B40" s="39">
        <v>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 t="s">
        <v>100</v>
      </c>
      <c r="K40" s="39"/>
      <c r="L40" s="39"/>
      <c r="M40" s="39"/>
      <c r="N40" s="39"/>
      <c r="O40" s="39"/>
      <c r="P40" s="39"/>
    </row>
    <row r="41" spans="1:16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6" x14ac:dyDescent="0.2"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1:16" x14ac:dyDescent="0.2"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1:16" ht="23.25" x14ac:dyDescent="0.35">
      <c r="A44" s="84" t="s">
        <v>116</v>
      </c>
    </row>
    <row r="45" spans="1:16" x14ac:dyDescent="0.2">
      <c r="B45" s="196" t="s">
        <v>106</v>
      </c>
      <c r="C45" s="197"/>
      <c r="D45" s="196" t="s">
        <v>107</v>
      </c>
      <c r="E45" s="197"/>
      <c r="F45" s="196" t="s">
        <v>108</v>
      </c>
      <c r="G45" s="197"/>
      <c r="H45" s="196" t="s">
        <v>109</v>
      </c>
      <c r="I45" s="197"/>
      <c r="J45" s="85" t="s">
        <v>110</v>
      </c>
    </row>
    <row r="46" spans="1:16" x14ac:dyDescent="0.2">
      <c r="A46" s="86" t="s">
        <v>111</v>
      </c>
      <c r="B46" s="87" t="s">
        <v>63</v>
      </c>
      <c r="C46" s="87" t="s">
        <v>112</v>
      </c>
      <c r="D46" s="87" t="s">
        <v>63</v>
      </c>
      <c r="E46" s="87" t="s">
        <v>112</v>
      </c>
      <c r="F46" s="87" t="s">
        <v>63</v>
      </c>
      <c r="G46" s="87" t="s">
        <v>112</v>
      </c>
      <c r="H46" s="87" t="s">
        <v>63</v>
      </c>
      <c r="I46" s="87" t="s">
        <v>112</v>
      </c>
      <c r="J46" s="88" t="s">
        <v>92</v>
      </c>
    </row>
    <row r="48" spans="1:16" x14ac:dyDescent="0.2">
      <c r="A48" s="5" t="s">
        <v>33</v>
      </c>
      <c r="B48" s="92"/>
      <c r="C48" s="92"/>
      <c r="D48" s="92"/>
      <c r="E48" s="92"/>
      <c r="F48" s="92"/>
      <c r="G48" s="92"/>
      <c r="H48" s="92"/>
      <c r="I48" s="92"/>
    </row>
    <row r="49" spans="1:10" x14ac:dyDescent="0.2">
      <c r="A49" s="6" t="s">
        <v>39</v>
      </c>
      <c r="B49" s="92">
        <v>4</v>
      </c>
      <c r="C49" s="92">
        <v>247000</v>
      </c>
      <c r="D49" s="92">
        <v>9</v>
      </c>
      <c r="E49" s="92">
        <v>492000</v>
      </c>
      <c r="F49" s="92">
        <v>4</v>
      </c>
      <c r="G49" s="92">
        <v>88000</v>
      </c>
      <c r="H49" s="92">
        <v>2</v>
      </c>
      <c r="I49" s="92">
        <v>220000</v>
      </c>
      <c r="J49" t="s">
        <v>117</v>
      </c>
    </row>
    <row r="50" spans="1:10" x14ac:dyDescent="0.2">
      <c r="A50" s="6" t="s">
        <v>40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</row>
    <row r="51" spans="1:10" x14ac:dyDescent="0.2">
      <c r="A51" s="6" t="s">
        <v>42</v>
      </c>
      <c r="B51" s="92">
        <v>4</v>
      </c>
      <c r="C51" s="92">
        <v>910</v>
      </c>
      <c r="D51" s="92">
        <v>4</v>
      </c>
      <c r="E51" s="92">
        <v>12450</v>
      </c>
      <c r="F51" s="92">
        <v>1</v>
      </c>
      <c r="G51" s="92">
        <v>20</v>
      </c>
      <c r="H51" s="92">
        <v>0</v>
      </c>
      <c r="I51" s="92">
        <v>0</v>
      </c>
      <c r="J51" t="s">
        <v>118</v>
      </c>
    </row>
    <row r="53" spans="1:10" x14ac:dyDescent="0.2">
      <c r="A53" s="2" t="s">
        <v>119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">
      <c r="A55" s="4" t="s">
        <v>121</v>
      </c>
      <c r="C55" s="93">
        <f>C49*0.0022374</f>
        <v>552.63779999999997</v>
      </c>
      <c r="E55" s="93">
        <f>E49*0.0022374</f>
        <v>1100.8008</v>
      </c>
      <c r="G55" s="93">
        <f>G49*0.0022374</f>
        <v>196.8912</v>
      </c>
      <c r="I55" s="93">
        <f>I49*0.0022374</f>
        <v>492.22800000000001</v>
      </c>
    </row>
    <row r="58" spans="1:10" s="2" customFormat="1" x14ac:dyDescent="0.2">
      <c r="A58" s="5" t="s">
        <v>122</v>
      </c>
      <c r="C58" s="94">
        <f>C55+C51+C40+C39+C17+C16</f>
        <v>60842.591799999995</v>
      </c>
      <c r="E58" s="94">
        <f>E55+E51+E40+E39+E17+E16</f>
        <v>36861.769800000002</v>
      </c>
      <c r="G58" s="94">
        <f>G55+G51+G40+G39+G17+G16</f>
        <v>213594.89320000002</v>
      </c>
      <c r="I58" s="94">
        <f>I55+I51+I40+I39+I17+I16</f>
        <v>19607.182999999997</v>
      </c>
    </row>
    <row r="61" spans="1:10" ht="23.25" x14ac:dyDescent="0.35">
      <c r="A61" s="84" t="s">
        <v>35</v>
      </c>
      <c r="H61" s="83"/>
      <c r="I61" s="83"/>
    </row>
    <row r="62" spans="1:10" x14ac:dyDescent="0.2">
      <c r="B62" s="196" t="s">
        <v>106</v>
      </c>
      <c r="C62" s="197"/>
      <c r="D62" s="196" t="s">
        <v>107</v>
      </c>
      <c r="E62" s="197"/>
      <c r="F62" s="196" t="s">
        <v>108</v>
      </c>
      <c r="G62" s="197"/>
      <c r="H62" s="196" t="s">
        <v>109</v>
      </c>
      <c r="I62" s="202"/>
      <c r="J62" s="85" t="s">
        <v>110</v>
      </c>
    </row>
    <row r="63" spans="1:10" x14ac:dyDescent="0.2">
      <c r="A63" s="86" t="s">
        <v>111</v>
      </c>
      <c r="B63" s="87" t="s">
        <v>63</v>
      </c>
      <c r="C63" s="87" t="s">
        <v>112</v>
      </c>
      <c r="D63" s="87" t="s">
        <v>63</v>
      </c>
      <c r="E63" s="87" t="s">
        <v>112</v>
      </c>
      <c r="F63" s="87" t="s">
        <v>63</v>
      </c>
      <c r="G63" s="87" t="s">
        <v>112</v>
      </c>
      <c r="H63" s="87" t="s">
        <v>63</v>
      </c>
      <c r="I63" s="87" t="s">
        <v>112</v>
      </c>
      <c r="J63" s="88" t="s">
        <v>92</v>
      </c>
    </row>
    <row r="64" spans="1:10" x14ac:dyDescent="0.2">
      <c r="A64" s="2"/>
      <c r="B64" s="2"/>
      <c r="C64" s="2"/>
      <c r="D64" s="2"/>
      <c r="E64" s="2"/>
      <c r="F64" s="2"/>
      <c r="G64" s="2"/>
    </row>
    <row r="65" spans="1:38" x14ac:dyDescent="0.2">
      <c r="A65" s="5" t="s">
        <v>95</v>
      </c>
      <c r="B65" s="89"/>
      <c r="C65" s="89"/>
      <c r="D65" s="89"/>
      <c r="E65" s="89"/>
      <c r="F65" s="89"/>
      <c r="G65" s="8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1:38" x14ac:dyDescent="0.2">
      <c r="A66" s="6" t="s">
        <v>64</v>
      </c>
      <c r="B66" s="39">
        <f t="shared" ref="B66:B75" si="0">B6+B29</f>
        <v>10153</v>
      </c>
      <c r="C66" s="39">
        <f t="shared" ref="C66:I66" si="1">C6+C29</f>
        <v>1758331589</v>
      </c>
      <c r="D66" s="39">
        <f t="shared" si="1"/>
        <v>15464</v>
      </c>
      <c r="E66" s="39">
        <f t="shared" si="1"/>
        <v>3201106470</v>
      </c>
      <c r="F66" s="39">
        <f t="shared" si="1"/>
        <v>12754</v>
      </c>
      <c r="G66" s="39">
        <f t="shared" si="1"/>
        <v>1942345461</v>
      </c>
      <c r="H66" s="39">
        <f t="shared" si="1"/>
        <v>16623</v>
      </c>
      <c r="I66" s="39">
        <f t="shared" si="1"/>
        <v>4952206066</v>
      </c>
      <c r="J66" s="39" t="s">
        <v>81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1:38" x14ac:dyDescent="0.2">
      <c r="A67" s="6" t="s">
        <v>71</v>
      </c>
      <c r="B67" s="39">
        <f t="shared" si="0"/>
        <v>1730</v>
      </c>
      <c r="C67" s="39">
        <f t="shared" ref="C67:I75" si="2">C7+C30</f>
        <v>16046241</v>
      </c>
      <c r="D67" s="39">
        <f t="shared" si="2"/>
        <v>3436</v>
      </c>
      <c r="E67" s="39">
        <f t="shared" si="2"/>
        <v>52662791</v>
      </c>
      <c r="F67" s="39">
        <f t="shared" si="2"/>
        <v>3781</v>
      </c>
      <c r="G67" s="39">
        <f t="shared" si="2"/>
        <v>48150655</v>
      </c>
      <c r="H67" s="39">
        <f t="shared" si="2"/>
        <v>3695</v>
      </c>
      <c r="I67" s="39">
        <f t="shared" si="2"/>
        <v>37589241</v>
      </c>
      <c r="J67" s="39" t="s">
        <v>82</v>
      </c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spans="1:38" x14ac:dyDescent="0.2">
      <c r="A68" s="5" t="s">
        <v>32</v>
      </c>
      <c r="B68" s="39">
        <f t="shared" si="0"/>
        <v>0</v>
      </c>
      <c r="C68" s="39">
        <f t="shared" si="2"/>
        <v>0</v>
      </c>
      <c r="D68" s="39">
        <f t="shared" si="2"/>
        <v>0</v>
      </c>
      <c r="E68" s="39">
        <f t="shared" si="2"/>
        <v>0</v>
      </c>
      <c r="F68" s="39">
        <f t="shared" si="2"/>
        <v>0</v>
      </c>
      <c r="G68" s="39">
        <f t="shared" si="2"/>
        <v>0</v>
      </c>
      <c r="H68" s="39">
        <f t="shared" si="2"/>
        <v>0</v>
      </c>
      <c r="I68" s="39">
        <f t="shared" si="2"/>
        <v>0</v>
      </c>
      <c r="J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spans="1:38" x14ac:dyDescent="0.2">
      <c r="A69" s="6" t="s">
        <v>5</v>
      </c>
      <c r="B69" s="39">
        <f t="shared" si="0"/>
        <v>1835</v>
      </c>
      <c r="C69" s="39">
        <f t="shared" si="2"/>
        <v>90430383</v>
      </c>
      <c r="D69" s="39">
        <f t="shared" si="2"/>
        <v>3258</v>
      </c>
      <c r="E69" s="39">
        <f t="shared" si="2"/>
        <v>172783348</v>
      </c>
      <c r="F69" s="39">
        <f t="shared" si="2"/>
        <v>2199</v>
      </c>
      <c r="G69" s="39">
        <f t="shared" si="2"/>
        <v>107852720</v>
      </c>
      <c r="H69" s="39">
        <f t="shared" si="2"/>
        <v>3063</v>
      </c>
      <c r="I69" s="39">
        <f t="shared" si="2"/>
        <v>150981588</v>
      </c>
      <c r="J69" s="39" t="s">
        <v>99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spans="1:38" x14ac:dyDescent="0.2">
      <c r="A70" s="6" t="s">
        <v>4</v>
      </c>
      <c r="B70" s="39">
        <f t="shared" si="0"/>
        <v>33</v>
      </c>
      <c r="C70" s="39">
        <f t="shared" si="2"/>
        <v>1745341</v>
      </c>
      <c r="D70" s="39">
        <f t="shared" si="2"/>
        <v>71</v>
      </c>
      <c r="E70" s="39">
        <f t="shared" si="2"/>
        <v>2854306</v>
      </c>
      <c r="F70" s="39">
        <f t="shared" si="2"/>
        <v>55</v>
      </c>
      <c r="G70" s="39">
        <f t="shared" si="2"/>
        <v>3053119.09</v>
      </c>
      <c r="H70" s="39">
        <f t="shared" si="2"/>
        <v>36</v>
      </c>
      <c r="I70" s="39">
        <f t="shared" si="2"/>
        <v>1974010</v>
      </c>
      <c r="J70" s="39" t="s">
        <v>100</v>
      </c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spans="1:38" x14ac:dyDescent="0.2">
      <c r="A71" s="6" t="s">
        <v>113</v>
      </c>
      <c r="B71" s="39">
        <f t="shared" si="0"/>
        <v>19</v>
      </c>
      <c r="C71" s="39">
        <f t="shared" si="2"/>
        <v>1242373</v>
      </c>
      <c r="D71" s="39">
        <f t="shared" si="2"/>
        <v>12</v>
      </c>
      <c r="E71" s="39">
        <f t="shared" si="2"/>
        <v>534627</v>
      </c>
      <c r="F71" s="39">
        <f t="shared" si="2"/>
        <v>29</v>
      </c>
      <c r="G71" s="39">
        <f t="shared" si="2"/>
        <v>1631000</v>
      </c>
      <c r="H71" s="39">
        <f t="shared" si="2"/>
        <v>39</v>
      </c>
      <c r="I71" s="39">
        <f t="shared" si="2"/>
        <v>1990000</v>
      </c>
      <c r="J71" s="39" t="s">
        <v>100</v>
      </c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spans="1:38" x14ac:dyDescent="0.2">
      <c r="A72" s="6" t="s">
        <v>3</v>
      </c>
      <c r="B72" s="39">
        <f t="shared" si="0"/>
        <v>13</v>
      </c>
      <c r="C72" s="39">
        <f t="shared" si="2"/>
        <v>49250</v>
      </c>
      <c r="D72" s="39">
        <f t="shared" si="2"/>
        <v>27</v>
      </c>
      <c r="E72" s="39">
        <f t="shared" si="2"/>
        <v>45350</v>
      </c>
      <c r="F72" s="39">
        <f t="shared" si="2"/>
        <v>37</v>
      </c>
      <c r="G72" s="39">
        <f t="shared" si="2"/>
        <v>120900</v>
      </c>
      <c r="H72" s="39">
        <f t="shared" si="2"/>
        <v>36</v>
      </c>
      <c r="I72" s="39">
        <f t="shared" si="2"/>
        <v>115500</v>
      </c>
      <c r="J72" s="39" t="s">
        <v>101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spans="1:38" x14ac:dyDescent="0.2">
      <c r="A73" s="6" t="s">
        <v>0</v>
      </c>
      <c r="B73" s="39">
        <f t="shared" si="0"/>
        <v>91</v>
      </c>
      <c r="C73" s="39">
        <f t="shared" si="2"/>
        <v>6275000</v>
      </c>
      <c r="D73" s="39">
        <f t="shared" si="2"/>
        <v>130</v>
      </c>
      <c r="E73" s="39">
        <f t="shared" si="2"/>
        <v>6398750</v>
      </c>
      <c r="F73" s="39">
        <f t="shared" si="2"/>
        <v>103</v>
      </c>
      <c r="G73" s="39">
        <f t="shared" si="2"/>
        <v>3718000</v>
      </c>
      <c r="H73" s="39">
        <f t="shared" si="2"/>
        <v>169</v>
      </c>
      <c r="I73" s="39">
        <f t="shared" si="2"/>
        <v>6618000</v>
      </c>
      <c r="J73" s="39" t="s">
        <v>102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spans="1:38" x14ac:dyDescent="0.2">
      <c r="A74" s="6" t="s">
        <v>13</v>
      </c>
      <c r="B74" s="39">
        <f t="shared" si="0"/>
        <v>2</v>
      </c>
      <c r="C74" s="39">
        <f t="shared" si="2"/>
        <v>5000</v>
      </c>
      <c r="D74" s="39">
        <f t="shared" si="2"/>
        <v>2</v>
      </c>
      <c r="E74" s="39">
        <f t="shared" si="2"/>
        <v>5000</v>
      </c>
      <c r="F74" s="39">
        <f t="shared" si="2"/>
        <v>14</v>
      </c>
      <c r="G74" s="39">
        <f t="shared" si="2"/>
        <v>34100</v>
      </c>
      <c r="H74" s="39">
        <f t="shared" si="2"/>
        <v>13</v>
      </c>
      <c r="I74" s="39">
        <f t="shared" si="2"/>
        <v>107570</v>
      </c>
      <c r="J74" s="39" t="s">
        <v>103</v>
      </c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spans="1:38" x14ac:dyDescent="0.2">
      <c r="A75" s="5" t="s">
        <v>33</v>
      </c>
      <c r="B75" s="39">
        <f t="shared" si="0"/>
        <v>0</v>
      </c>
      <c r="C75" s="39">
        <f t="shared" si="2"/>
        <v>0</v>
      </c>
      <c r="D75" s="39">
        <f t="shared" si="2"/>
        <v>0</v>
      </c>
      <c r="E75" s="39">
        <f t="shared" si="2"/>
        <v>0</v>
      </c>
      <c r="F75" s="39">
        <f t="shared" si="2"/>
        <v>0</v>
      </c>
      <c r="G75" s="39">
        <f t="shared" si="2"/>
        <v>0</v>
      </c>
      <c r="H75" s="39">
        <f t="shared" si="2"/>
        <v>0</v>
      </c>
      <c r="I75" s="39">
        <f t="shared" si="2"/>
        <v>0</v>
      </c>
      <c r="J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38" x14ac:dyDescent="0.2">
      <c r="A76" s="6" t="s">
        <v>114</v>
      </c>
      <c r="B76" s="39">
        <f t="shared" ref="B76:I76" si="3">B16+B39</f>
        <v>29</v>
      </c>
      <c r="C76" s="39">
        <f t="shared" si="3"/>
        <v>59379.953999999998</v>
      </c>
      <c r="D76" s="39">
        <f t="shared" si="3"/>
        <v>33</v>
      </c>
      <c r="E76" s="39">
        <f t="shared" si="3"/>
        <v>23310.969000000001</v>
      </c>
      <c r="F76" s="39">
        <f t="shared" si="3"/>
        <v>31</v>
      </c>
      <c r="G76" s="39">
        <f t="shared" si="3"/>
        <v>213378.00200000001</v>
      </c>
      <c r="H76" s="39">
        <f t="shared" si="3"/>
        <v>53</v>
      </c>
      <c r="I76" s="39">
        <f t="shared" si="3"/>
        <v>19114.954999999998</v>
      </c>
      <c r="J76" s="39" t="s">
        <v>100</v>
      </c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spans="1:38" x14ac:dyDescent="0.2">
      <c r="A77" s="6" t="s">
        <v>41</v>
      </c>
      <c r="B77" s="39">
        <f t="shared" ref="B77:I77" si="4">B17+B40</f>
        <v>0</v>
      </c>
      <c r="C77" s="39">
        <f t="shared" si="4"/>
        <v>0</v>
      </c>
      <c r="D77" s="39">
        <f t="shared" si="4"/>
        <v>0</v>
      </c>
      <c r="E77" s="39">
        <f t="shared" si="4"/>
        <v>0</v>
      </c>
      <c r="F77" s="39">
        <f t="shared" si="4"/>
        <v>0</v>
      </c>
      <c r="G77" s="39">
        <f t="shared" si="4"/>
        <v>0</v>
      </c>
      <c r="H77" s="39">
        <f t="shared" si="4"/>
        <v>0</v>
      </c>
      <c r="I77" s="39">
        <f t="shared" si="4"/>
        <v>0</v>
      </c>
      <c r="J77" s="39" t="s">
        <v>100</v>
      </c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</row>
    <row r="78" spans="1:38" x14ac:dyDescent="0.2">
      <c r="B78" s="39"/>
      <c r="C78" s="39"/>
      <c r="D78" s="39"/>
      <c r="E78" s="39"/>
      <c r="F78" s="39"/>
      <c r="G78" s="39"/>
      <c r="H78" s="39"/>
      <c r="I78" s="39"/>
      <c r="J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</row>
  </sheetData>
  <mergeCells count="16">
    <mergeCell ref="B45:C45"/>
    <mergeCell ref="D45:E45"/>
    <mergeCell ref="F45:G45"/>
    <mergeCell ref="H45:I45"/>
    <mergeCell ref="B62:C62"/>
    <mergeCell ref="D62:E62"/>
    <mergeCell ref="F62:G62"/>
    <mergeCell ref="H62:I62"/>
    <mergeCell ref="B2:C2"/>
    <mergeCell ref="D2:E2"/>
    <mergeCell ref="F2:G2"/>
    <mergeCell ref="H2:I2"/>
    <mergeCell ref="B25:C25"/>
    <mergeCell ref="D25:E25"/>
    <mergeCell ref="F25:G25"/>
    <mergeCell ref="H25:I25"/>
  </mergeCell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W29" sqref="W29"/>
    </sheetView>
  </sheetViews>
  <sheetFormatPr defaultRowHeight="12.75" x14ac:dyDescent="0.2"/>
  <cols>
    <col min="1" max="1" width="20.140625" customWidth="1"/>
    <col min="2" max="2" width="20.5703125" customWidth="1"/>
    <col min="3" max="3" width="19.28515625" customWidth="1"/>
    <col min="4" max="4" width="19.42578125" customWidth="1"/>
    <col min="5" max="5" width="21.42578125" customWidth="1"/>
    <col min="6" max="6" width="24.140625" customWidth="1"/>
  </cols>
  <sheetData>
    <row r="1" spans="1:6" x14ac:dyDescent="0.2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">
      <c r="A2" s="2" t="s">
        <v>2</v>
      </c>
    </row>
    <row r="3" spans="1:6" x14ac:dyDescent="0.2">
      <c r="A3" s="1" t="s">
        <v>0</v>
      </c>
      <c r="B3" t="s">
        <v>1</v>
      </c>
      <c r="C3" t="s">
        <v>18</v>
      </c>
    </row>
    <row r="4" spans="1:6" x14ac:dyDescent="0.2">
      <c r="A4" s="1" t="s">
        <v>22</v>
      </c>
      <c r="B4" t="s">
        <v>23</v>
      </c>
      <c r="D4" s="3" t="s">
        <v>24</v>
      </c>
    </row>
    <row r="5" spans="1:6" x14ac:dyDescent="0.2">
      <c r="A5" s="1" t="s">
        <v>21</v>
      </c>
      <c r="B5" t="s">
        <v>8</v>
      </c>
      <c r="C5" t="s">
        <v>18</v>
      </c>
    </row>
    <row r="6" spans="1:6" x14ac:dyDescent="0.2">
      <c r="A6" s="1" t="s">
        <v>28</v>
      </c>
      <c r="B6" t="s">
        <v>8</v>
      </c>
      <c r="C6" t="s">
        <v>18</v>
      </c>
    </row>
    <row r="7" spans="1:6" x14ac:dyDescent="0.2">
      <c r="A7" s="1" t="s">
        <v>29</v>
      </c>
    </row>
    <row r="8" spans="1:6" x14ac:dyDescent="0.2">
      <c r="A8" s="1" t="s">
        <v>6</v>
      </c>
      <c r="B8" t="s">
        <v>8</v>
      </c>
      <c r="C8" t="s">
        <v>18</v>
      </c>
    </row>
    <row r="9" spans="1:6" x14ac:dyDescent="0.2">
      <c r="A9" s="1" t="s">
        <v>3</v>
      </c>
      <c r="B9" t="s">
        <v>12</v>
      </c>
      <c r="C9" t="s">
        <v>18</v>
      </c>
    </row>
    <row r="10" spans="1:6" ht="12" customHeight="1" x14ac:dyDescent="0.2">
      <c r="A10" s="1" t="s">
        <v>5</v>
      </c>
      <c r="B10" t="s">
        <v>12</v>
      </c>
      <c r="C10" t="s">
        <v>18</v>
      </c>
    </row>
    <row r="11" spans="1:6" ht="12" customHeight="1" x14ac:dyDescent="0.2">
      <c r="A11" s="1" t="s">
        <v>13</v>
      </c>
      <c r="B11" t="s">
        <v>12</v>
      </c>
      <c r="C11" t="s">
        <v>18</v>
      </c>
    </row>
    <row r="12" spans="1:6" x14ac:dyDescent="0.2">
      <c r="A12" s="2" t="s">
        <v>7</v>
      </c>
    </row>
    <row r="13" spans="1:6" x14ac:dyDescent="0.2">
      <c r="A13" s="1" t="s">
        <v>21</v>
      </c>
      <c r="B13" t="s">
        <v>9</v>
      </c>
      <c r="C13" t="s">
        <v>18</v>
      </c>
      <c r="D13" t="s">
        <v>15</v>
      </c>
    </row>
    <row r="14" spans="1:6" x14ac:dyDescent="0.2">
      <c r="A14" s="1" t="s">
        <v>22</v>
      </c>
      <c r="B14" t="s">
        <v>23</v>
      </c>
      <c r="D14" s="3" t="s">
        <v>24</v>
      </c>
    </row>
    <row r="15" spans="1:6" x14ac:dyDescent="0.2">
      <c r="A15" s="1" t="s">
        <v>28</v>
      </c>
      <c r="B15" t="s">
        <v>10</v>
      </c>
      <c r="C15" t="s">
        <v>18</v>
      </c>
    </row>
    <row r="16" spans="1:6" x14ac:dyDescent="0.2">
      <c r="A16" s="1" t="s">
        <v>29</v>
      </c>
    </row>
    <row r="17" spans="1:6" x14ac:dyDescent="0.2">
      <c r="A17" s="1" t="s">
        <v>6</v>
      </c>
      <c r="B17" t="s">
        <v>11</v>
      </c>
      <c r="C17" t="s">
        <v>18</v>
      </c>
    </row>
    <row r="18" spans="1:6" x14ac:dyDescent="0.2">
      <c r="A18" s="1" t="s">
        <v>5</v>
      </c>
      <c r="B18" t="s">
        <v>12</v>
      </c>
      <c r="C18" t="s">
        <v>18</v>
      </c>
    </row>
    <row r="19" spans="1:6" x14ac:dyDescent="0.2">
      <c r="A19" s="1" t="s">
        <v>4</v>
      </c>
      <c r="B19" t="s">
        <v>12</v>
      </c>
      <c r="C19" t="s">
        <v>18</v>
      </c>
    </row>
    <row r="21" spans="1:6" x14ac:dyDescent="0.2">
      <c r="A21" s="2" t="s">
        <v>25</v>
      </c>
      <c r="E21" t="s">
        <v>26</v>
      </c>
      <c r="F21" t="s">
        <v>27</v>
      </c>
    </row>
    <row r="44" spans="6:7" x14ac:dyDescent="0.2">
      <c r="F44" t="s">
        <v>20</v>
      </c>
    </row>
    <row r="46" spans="6:7" x14ac:dyDescent="0.2">
      <c r="F46" s="2" t="s">
        <v>64</v>
      </c>
      <c r="G46" s="2">
        <f>SUM(G47:G50)</f>
        <v>27</v>
      </c>
    </row>
    <row r="47" spans="6:7" x14ac:dyDescent="0.2">
      <c r="F47" t="s">
        <v>73</v>
      </c>
      <c r="G47">
        <v>8</v>
      </c>
    </row>
    <row r="48" spans="6:7" x14ac:dyDescent="0.2">
      <c r="F48" t="s">
        <v>74</v>
      </c>
      <c r="G48">
        <v>13</v>
      </c>
    </row>
    <row r="49" spans="6:7" x14ac:dyDescent="0.2">
      <c r="F49" t="s">
        <v>75</v>
      </c>
      <c r="G49">
        <v>6</v>
      </c>
    </row>
    <row r="50" spans="6:7" x14ac:dyDescent="0.2">
      <c r="F50" t="s">
        <v>76</v>
      </c>
      <c r="G50">
        <v>0</v>
      </c>
    </row>
    <row r="52" spans="6:7" x14ac:dyDescent="0.2">
      <c r="F52" s="2" t="s">
        <v>71</v>
      </c>
      <c r="G52">
        <f>SUM(G53:G55)</f>
        <v>5</v>
      </c>
    </row>
    <row r="53" spans="6:7" x14ac:dyDescent="0.2">
      <c r="F53" t="s">
        <v>73</v>
      </c>
      <c r="G53">
        <v>3</v>
      </c>
    </row>
    <row r="54" spans="6:7" x14ac:dyDescent="0.2">
      <c r="F54" t="s">
        <v>74</v>
      </c>
      <c r="G54">
        <v>2</v>
      </c>
    </row>
    <row r="55" spans="6:7" x14ac:dyDescent="0.2">
      <c r="F55" t="s">
        <v>75</v>
      </c>
      <c r="G55">
        <v>0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E14" workbookViewId="0">
      <selection activeCell="N39" sqref="N39"/>
    </sheetView>
  </sheetViews>
  <sheetFormatPr defaultRowHeight="12.75" x14ac:dyDescent="0.2"/>
  <cols>
    <col min="1" max="1" width="34.140625" style="7" hidden="1" customWidth="1"/>
    <col min="2" max="2" width="0" hidden="1" customWidth="1"/>
    <col min="3" max="3" width="10.7109375" hidden="1" customWidth="1"/>
    <col min="4" max="4" width="0" hidden="1" customWidth="1"/>
    <col min="6" max="6" width="14.42578125" bestFit="1" customWidth="1"/>
    <col min="7" max="7" width="14.28515625" bestFit="1" customWidth="1"/>
    <col min="8" max="8" width="10.85546875" bestFit="1" customWidth="1"/>
    <col min="9" max="9" width="10.85546875" style="20" bestFit="1" customWidth="1"/>
    <col min="10" max="10" width="9.7109375" bestFit="1" customWidth="1"/>
    <col min="11" max="12" width="9.7109375" customWidth="1"/>
    <col min="13" max="14" width="10.5703125" customWidth="1"/>
    <col min="15" max="15" width="3.28515625" customWidth="1"/>
    <col min="16" max="16" width="13.85546875" bestFit="1" customWidth="1"/>
  </cols>
  <sheetData>
    <row r="1" spans="1:16" hidden="1" x14ac:dyDescent="0.2">
      <c r="A1" s="7" t="s">
        <v>63</v>
      </c>
      <c r="E1" t="s">
        <v>77</v>
      </c>
    </row>
    <row r="2" spans="1:16" hidden="1" x14ac:dyDescent="0.2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16" hidden="1" x14ac:dyDescent="0.2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16" hidden="1" x14ac:dyDescent="0.2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16" hidden="1" x14ac:dyDescent="0.2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16" hidden="1" x14ac:dyDescent="0.2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16" hidden="1" x14ac:dyDescent="0.2">
      <c r="A7" s="7" t="s">
        <v>54</v>
      </c>
      <c r="B7">
        <v>5</v>
      </c>
    </row>
    <row r="8" spans="1:16" hidden="1" x14ac:dyDescent="0.2">
      <c r="A8" s="7" t="s">
        <v>56</v>
      </c>
      <c r="B8">
        <v>10</v>
      </c>
    </row>
    <row r="9" spans="1:16" hidden="1" x14ac:dyDescent="0.2">
      <c r="A9" s="7" t="s">
        <v>55</v>
      </c>
      <c r="B9">
        <v>20</v>
      </c>
    </row>
    <row r="10" spans="1:16" x14ac:dyDescent="0.2">
      <c r="E10" s="98" t="s">
        <v>63</v>
      </c>
    </row>
    <row r="11" spans="1:16" ht="15" x14ac:dyDescent="0.25">
      <c r="A11" s="7" t="s">
        <v>62</v>
      </c>
      <c r="B11">
        <v>50</v>
      </c>
      <c r="F11" s="95" t="s">
        <v>124</v>
      </c>
      <c r="G11" s="95" t="s">
        <v>125</v>
      </c>
      <c r="H11" s="95" t="s">
        <v>126</v>
      </c>
      <c r="I11" s="95" t="s">
        <v>127</v>
      </c>
      <c r="J11" s="95" t="s">
        <v>141</v>
      </c>
      <c r="K11" s="95" t="s">
        <v>142</v>
      </c>
      <c r="L11" s="95" t="s">
        <v>144</v>
      </c>
      <c r="M11" s="95" t="s">
        <v>150</v>
      </c>
      <c r="N11" s="95" t="s">
        <v>151</v>
      </c>
    </row>
    <row r="12" spans="1:16" x14ac:dyDescent="0.2">
      <c r="A12" s="7" t="s">
        <v>0</v>
      </c>
      <c r="B12">
        <v>175</v>
      </c>
      <c r="E12" t="s">
        <v>64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20">
        <f>+'template from individuals'!H37+'template from individuals'!I37</f>
        <v>16623</v>
      </c>
      <c r="J12" s="39">
        <f>+'WE 2-1 EOL Data'!B6+'WE 2-1 EOL Data'!B29</f>
        <v>19791</v>
      </c>
      <c r="K12" s="39">
        <f>+'WE 2-8 EOL Data'!B6+'WE 2-8 EOL Data'!B29</f>
        <v>18521</v>
      </c>
      <c r="L12" s="39">
        <f>+'WE 2-15 EOL Data'!$B6+'WE 2-15 EOL Data'!$B29</f>
        <v>17223</v>
      </c>
      <c r="M12" s="39">
        <f>+'WE 2-22 EOL Data'!$B6+'WE 2-22 EOL Data'!$B29</f>
        <v>12660</v>
      </c>
      <c r="N12" s="39">
        <f>+'WE 2-28 EOL Data'!B6+'WE 2-28 EOL Data'!B29</f>
        <v>15072</v>
      </c>
      <c r="P12" s="96" t="s">
        <v>81</v>
      </c>
    </row>
    <row r="13" spans="1:16" x14ac:dyDescent="0.2">
      <c r="A13" s="7" t="s">
        <v>3</v>
      </c>
      <c r="B13">
        <v>2</v>
      </c>
      <c r="E13" t="s">
        <v>71</v>
      </c>
      <c r="F13">
        <f>+'template from individuals'!B38+'template from individuals'!C38</f>
        <v>1730</v>
      </c>
      <c r="G13">
        <f>+'template from individuals'!D38+'template from individuals'!E38</f>
        <v>3436</v>
      </c>
      <c r="H13">
        <f>+'template from individuals'!F38+'template from individuals'!G38</f>
        <v>3781</v>
      </c>
      <c r="I13" s="20">
        <f>+'template from individuals'!H38+'template from individuals'!I38</f>
        <v>3695</v>
      </c>
      <c r="J13" s="39">
        <f>+'WE 2-1 EOL Data'!B7+'WE 2-1 EOL Data'!B30</f>
        <v>4599</v>
      </c>
      <c r="K13" s="39">
        <f>+'WE 2-8 EOL Data'!B7+'WE 2-8 EOL Data'!B30</f>
        <v>4631</v>
      </c>
      <c r="L13" s="39">
        <f>+'WE 2-15 EOL Data'!$B7+'WE 2-15 EOL Data'!$B30</f>
        <v>4587</v>
      </c>
      <c r="M13" s="39">
        <f>+'WE 2-22 EOL Data'!$B7+'WE 2-22 EOL Data'!$B30</f>
        <v>3656</v>
      </c>
      <c r="N13" s="39">
        <f>+'WE 2-28 EOL Data'!B7+'WE 2-28 EOL Data'!B30</f>
        <v>3771</v>
      </c>
      <c r="P13" s="96" t="s">
        <v>82</v>
      </c>
    </row>
    <row r="14" spans="1:16" ht="15" x14ac:dyDescent="0.25">
      <c r="A14" s="7" t="s">
        <v>57</v>
      </c>
      <c r="B14">
        <v>20</v>
      </c>
      <c r="F14" s="95" t="s">
        <v>124</v>
      </c>
      <c r="G14" s="95" t="s">
        <v>125</v>
      </c>
      <c r="H14" s="95" t="s">
        <v>126</v>
      </c>
      <c r="I14" s="95" t="s">
        <v>127</v>
      </c>
      <c r="J14" s="95" t="s">
        <v>141</v>
      </c>
      <c r="K14" s="95" t="str">
        <f>+K11</f>
        <v>2/2 - 2/8</v>
      </c>
      <c r="L14" s="95" t="str">
        <f>+L11</f>
        <v>2/9 - 2/15</v>
      </c>
      <c r="M14" s="95" t="str">
        <f>+M11</f>
        <v>2/16 - 2/22</v>
      </c>
      <c r="N14" s="95" t="str">
        <f>+N11</f>
        <v>2/23 - 2/28</v>
      </c>
      <c r="P14" s="97"/>
    </row>
    <row r="15" spans="1:16" x14ac:dyDescent="0.2">
      <c r="A15" s="7" t="s">
        <v>58</v>
      </c>
      <c r="B15">
        <v>30</v>
      </c>
      <c r="E15" t="s">
        <v>0</v>
      </c>
      <c r="F15">
        <f>+'template from individuals'!B45+'template from individuals'!C45</f>
        <v>91</v>
      </c>
      <c r="G15">
        <f>+'template from individuals'!D45+'template from individuals'!E45</f>
        <v>130</v>
      </c>
      <c r="H15">
        <f>+'template from individuals'!F45+'template from individuals'!G45</f>
        <v>103</v>
      </c>
      <c r="I15" s="20">
        <f>+'template from individuals'!H45+'template from individuals'!I45</f>
        <v>169</v>
      </c>
      <c r="J15" s="39">
        <f>+'WE 2-1 EOL Data'!B13+'WE 2-1 EOL Data'!B36</f>
        <v>145</v>
      </c>
      <c r="K15" s="39">
        <f>+'WE 2-8 EOL Data'!B13+'WE 2-8 EOL Data'!B36</f>
        <v>153</v>
      </c>
      <c r="L15" s="39">
        <f>+'WE 2-15 EOL Data'!$B13+'WE 2-15 EOL Data'!$B36</f>
        <v>122</v>
      </c>
      <c r="M15" s="39">
        <f>+'WE 2-22 EOL Data'!$B13+'WE 2-22 EOL Data'!$B36</f>
        <v>142</v>
      </c>
      <c r="N15" s="39">
        <f>+'WE 2-28 EOL Data'!B13+'WE 2-28 EOL Data'!B36</f>
        <v>102</v>
      </c>
      <c r="P15" s="96" t="s">
        <v>99</v>
      </c>
    </row>
    <row r="16" spans="1:16" x14ac:dyDescent="0.2">
      <c r="A16" s="7" t="s">
        <v>59</v>
      </c>
      <c r="B16">
        <v>1</v>
      </c>
      <c r="E16" t="s">
        <v>5</v>
      </c>
      <c r="F16">
        <f>+'template from individuals'!B47+'template from individuals'!C47</f>
        <v>1835</v>
      </c>
      <c r="G16">
        <f>+'template from individuals'!D47+'template from individuals'!E47</f>
        <v>3258</v>
      </c>
      <c r="H16">
        <f>+'template from individuals'!F47+'template from individuals'!G47</f>
        <v>2199</v>
      </c>
      <c r="I16" s="20">
        <f>+'template from individuals'!H47+'template from individuals'!I47</f>
        <v>3063</v>
      </c>
      <c r="J16" s="39">
        <f>+'WE 2-1 EOL Data'!B9+'WE 2-1 EOL Data'!B32</f>
        <v>3322</v>
      </c>
      <c r="K16" s="39">
        <f>+'WE 2-8 EOL Data'!B9+'WE 2-8 EOL Data'!B32</f>
        <v>3375</v>
      </c>
      <c r="L16" s="39">
        <f>+'WE 2-15 EOL Data'!$B9+'WE 2-15 EOL Data'!$B32</f>
        <v>3353</v>
      </c>
      <c r="M16" s="39">
        <f>+'WE 2-22 EOL Data'!$B9+'WE 2-22 EOL Data'!$B32</f>
        <v>3135</v>
      </c>
      <c r="N16" s="39">
        <f>+'WE 2-28 EOL Data'!B9+'WE 2-28 EOL Data'!B32</f>
        <v>2593</v>
      </c>
      <c r="P16" s="96" t="s">
        <v>100</v>
      </c>
    </row>
    <row r="17" spans="1:16" x14ac:dyDescent="0.2">
      <c r="A17" s="7" t="s">
        <v>60</v>
      </c>
      <c r="B17">
        <v>3</v>
      </c>
      <c r="E17" t="s">
        <v>4</v>
      </c>
      <c r="F17">
        <f>+'template from individuals'!B49+'template from individuals'!C49</f>
        <v>52</v>
      </c>
      <c r="G17">
        <f>+'template from individuals'!D49+'template from individuals'!E49</f>
        <v>83</v>
      </c>
      <c r="H17">
        <f>+'template from individuals'!F49+'template from individuals'!G49</f>
        <v>84</v>
      </c>
      <c r="I17" s="20">
        <f>+'template from individuals'!H49+'template from individuals'!I49</f>
        <v>75</v>
      </c>
      <c r="J17" s="39">
        <f>+'WE 2-1 EOL Data'!B10+'WE 2-1 EOL Data'!B11+'WE 2-1 EOL Data'!B33+'WE 2-1 EOL Data'!B34</f>
        <v>83</v>
      </c>
      <c r="K17" s="39">
        <f>+'WE 2-8 EOL Data'!B10+'WE 2-8 EOL Data'!B33+'WE 2-8 EOL Data'!B11+'WE 2-8 EOL Data'!B34</f>
        <v>52</v>
      </c>
      <c r="L17" s="39">
        <f>+'WE 2-15 EOL Data'!$B10+'WE 2-15 EOL Data'!$B11+'WE 2-15 EOL Data'!$B33+'WE 2-15 EOL Data'!$B34</f>
        <v>58</v>
      </c>
      <c r="M17" s="39">
        <f>+'WE 2-22 EOL Data'!$B10+'WE 2-22 EOL Data'!$B11+'WE 2-22 EOL Data'!$B33+'WE 2-22 EOL Data'!$B34</f>
        <v>28</v>
      </c>
      <c r="N17" s="39">
        <f>+'WE 2-28 EOL Data'!B10+'WE 2-28 EOL Data'!B33+'WE 2-28 EOL Data'!B11+'WE 2-28 EOL Data'!B34</f>
        <v>12</v>
      </c>
      <c r="P17" s="96" t="s">
        <v>101</v>
      </c>
    </row>
    <row r="18" spans="1:16" x14ac:dyDescent="0.2">
      <c r="A18" s="7" t="s">
        <v>4</v>
      </c>
      <c r="B18">
        <v>2</v>
      </c>
      <c r="E18" t="s">
        <v>3</v>
      </c>
      <c r="F18">
        <f>+'template from individuals'!B46+'template from individuals'!C46</f>
        <v>13</v>
      </c>
      <c r="G18">
        <f>+'template from individuals'!D46+'template from individuals'!E46</f>
        <v>27</v>
      </c>
      <c r="H18">
        <f>+'template from individuals'!F46+'template from individuals'!G46</f>
        <v>37</v>
      </c>
      <c r="I18" s="20">
        <f>+'template from individuals'!H46+'template from individuals'!I46</f>
        <v>36</v>
      </c>
      <c r="J18" s="39">
        <f>+'WE 2-1 EOL Data'!B12+'WE 2-1 EOL Data'!B35</f>
        <v>19</v>
      </c>
      <c r="K18" s="39">
        <f>+'WE 2-8 EOL Data'!B12+'WE 2-8 EOL Data'!B35</f>
        <v>24</v>
      </c>
      <c r="L18" s="39">
        <f>+'WE 2-15 EOL Data'!$B12+'WE 2-15 EOL Data'!$B35</f>
        <v>39</v>
      </c>
      <c r="M18" s="39">
        <f>+'WE 2-22 EOL Data'!$B12+'WE 2-22 EOL Data'!$B35</f>
        <v>24</v>
      </c>
      <c r="N18" s="39">
        <f>+'WE 2-28 EOL Data'!B12+'WE 2-28 EOL Data'!B35</f>
        <v>18</v>
      </c>
      <c r="P18" s="96" t="s">
        <v>102</v>
      </c>
    </row>
    <row r="19" spans="1:16" x14ac:dyDescent="0.2">
      <c r="A19" s="7" t="s">
        <v>61</v>
      </c>
      <c r="B19">
        <v>65</v>
      </c>
      <c r="E19" t="s">
        <v>13</v>
      </c>
      <c r="F19">
        <f>+'template from individuals'!B48+'template from individuals'!C48</f>
        <v>2</v>
      </c>
      <c r="G19">
        <f>+'template from individuals'!D48+'template from individuals'!E48</f>
        <v>2</v>
      </c>
      <c r="H19">
        <f>+'template from individuals'!F48+'template from individuals'!G48</f>
        <v>14</v>
      </c>
      <c r="I19" s="20">
        <f>+'template from individuals'!H48+'template from individuals'!I48</f>
        <v>13</v>
      </c>
      <c r="J19" s="39">
        <f>+'WE 2-1 EOL Data'!B14+'WE 2-1 EOL Data'!B37</f>
        <v>14</v>
      </c>
      <c r="K19" s="39">
        <f>+'WE 2-8 EOL Data'!B14+'WE 2-8 EOL Data'!B37</f>
        <v>33</v>
      </c>
      <c r="L19" s="39">
        <f>+'WE 2-15 EOL Data'!$B14+'WE 2-15 EOL Data'!$B37</f>
        <v>20</v>
      </c>
      <c r="M19" s="39">
        <f>+'WE 2-22 EOL Data'!$B14+'WE 2-22 EOL Data'!$B37</f>
        <v>6</v>
      </c>
      <c r="N19" s="39">
        <f>+'WE 2-28 EOL Data'!B14+'WE 2-28 EOL Data'!B37</f>
        <v>3</v>
      </c>
      <c r="P19" s="96" t="s">
        <v>103</v>
      </c>
    </row>
    <row r="20" spans="1:16" ht="15" x14ac:dyDescent="0.25">
      <c r="A20" s="7" t="s">
        <v>13</v>
      </c>
      <c r="B20">
        <v>10</v>
      </c>
      <c r="F20" s="95" t="s">
        <v>124</v>
      </c>
      <c r="G20" s="95" t="s">
        <v>125</v>
      </c>
      <c r="H20" s="95" t="s">
        <v>126</v>
      </c>
      <c r="I20" s="95" t="s">
        <v>127</v>
      </c>
      <c r="J20" s="95" t="s">
        <v>141</v>
      </c>
      <c r="K20" s="95" t="str">
        <f>+K14</f>
        <v>2/2 - 2/8</v>
      </c>
      <c r="L20" s="95" t="str">
        <f>+L14</f>
        <v>2/9 - 2/15</v>
      </c>
      <c r="M20" s="95" t="str">
        <f>+M14</f>
        <v>2/16 - 2/22</v>
      </c>
      <c r="N20" s="95" t="str">
        <f>+N14</f>
        <v>2/23 - 2/28</v>
      </c>
      <c r="P20" s="97"/>
    </row>
    <row r="21" spans="1:16" x14ac:dyDescent="0.2">
      <c r="E21" t="s">
        <v>40</v>
      </c>
      <c r="F21">
        <f>+'template from individuals'!B56+'template from individuals'!C56</f>
        <v>5</v>
      </c>
      <c r="G21">
        <f>+'template from individuals'!D56+'template from individuals'!E56</f>
        <v>17</v>
      </c>
      <c r="H21">
        <f>+'template from individuals'!F56+'template from individuals'!G56</f>
        <v>9</v>
      </c>
      <c r="I21" s="20">
        <f>+'template from individuals'!H56+'template from individuals'!I56</f>
        <v>24</v>
      </c>
      <c r="J21" s="39">
        <f>+'EIM New Deals'!J12+'EIM New Deals'!K12+'EIM New Deals'!J28+'EIM New Deals'!K28</f>
        <v>4</v>
      </c>
      <c r="K21" s="39">
        <f>+'EIM New Deals'!L12+'EIM New Deals'!M12+'EIM New Deals'!L28+'EIM New Deals'!M28</f>
        <v>12</v>
      </c>
      <c r="L21" s="39">
        <f>+'EIM New Deals'!N$12+'EIM New Deals'!O$12+'EIM New Deals'!N$28+'EIM New Deals'!O$28</f>
        <v>30</v>
      </c>
      <c r="M21" s="39">
        <f>+'EIM New Deals'!P$12+'EIM New Deals'!Q$12+'EIM New Deals'!P$28+'EIM New Deals'!Q$28</f>
        <v>17</v>
      </c>
      <c r="N21" s="39">
        <f>+'EIM New Deals'!S12+'EIM New Deals'!R12+'EIM New Deals'!R28+'EIM New Deals'!S28</f>
        <v>18</v>
      </c>
      <c r="P21" s="96" t="s">
        <v>100</v>
      </c>
    </row>
    <row r="22" spans="1:16" x14ac:dyDescent="0.2">
      <c r="A22" s="7" t="s">
        <v>66</v>
      </c>
      <c r="B22">
        <v>0</v>
      </c>
      <c r="E22" t="s">
        <v>70</v>
      </c>
      <c r="F22">
        <f>+'template from individuals'!B57+'template from individuals'!C57</f>
        <v>6</v>
      </c>
      <c r="G22">
        <f>+'template from individuals'!D57+'template from individuals'!E57</f>
        <v>17</v>
      </c>
      <c r="H22">
        <f>+'template from individuals'!F57+'template from individuals'!G57</f>
        <v>24</v>
      </c>
      <c r="I22" s="20">
        <f>+'template from individuals'!H57+'template from individuals'!I57</f>
        <v>19</v>
      </c>
      <c r="J22" s="39">
        <f>+'EIM New Deals'!J13+'EIM New Deals'!K13+'EIM New Deals'!J29+'EIM New Deals'!K29</f>
        <v>29</v>
      </c>
      <c r="K22" s="39">
        <f>+'EIM New Deals'!L13+'EIM New Deals'!M13+'EIM New Deals'!L29+'EIM New Deals'!M29</f>
        <v>17</v>
      </c>
      <c r="L22" s="39">
        <f>+'EIM New Deals'!$N13+'EIM New Deals'!$O13+'EIM New Deals'!$N29+'EIM New Deals'!$O29</f>
        <v>15</v>
      </c>
      <c r="M22" s="39">
        <f>+'EIM New Deals'!P13+'EIM New Deals'!Q13+'EIM New Deals'!P29+'EIM New Deals'!Q29</f>
        <v>23</v>
      </c>
      <c r="N22" s="39">
        <f>+'EIM New Deals'!R13+'EIM New Deals'!S13+'EIM New Deals'!R29+'EIM New Deals'!S29</f>
        <v>57</v>
      </c>
      <c r="P22" s="96" t="s">
        <v>100</v>
      </c>
    </row>
    <row r="23" spans="1:16" x14ac:dyDescent="0.2">
      <c r="A23" s="7" t="s">
        <v>67</v>
      </c>
      <c r="B23">
        <v>0</v>
      </c>
      <c r="E23" t="s">
        <v>39</v>
      </c>
      <c r="F23">
        <f>+'template from individuals'!B55+'template from individuals'!C55</f>
        <v>86</v>
      </c>
      <c r="G23">
        <f>+'template from individuals'!D55+'template from individuals'!E55</f>
        <v>126</v>
      </c>
      <c r="H23">
        <f>+'template from individuals'!F55+'template from individuals'!G55</f>
        <v>103</v>
      </c>
      <c r="I23" s="20">
        <f>+'template from individuals'!H55+'template from individuals'!I55</f>
        <v>124</v>
      </c>
      <c r="J23" s="39">
        <f>+'EIM New Deals'!J11+'EIM New Deals'!K11+'EIM New Deals'!J27+'EIM New Deals'!K27</f>
        <v>86</v>
      </c>
      <c r="K23" s="39">
        <f>+'EIM New Deals'!L11+'EIM New Deals'!M11+'EIM New Deals'!L27+'EIM New Deals'!M27</f>
        <v>69</v>
      </c>
      <c r="L23" s="39">
        <f>+'EIM New Deals'!$N11+'EIM New Deals'!$O11+'EIM New Deals'!$N27+'EIM New Deals'!$O27</f>
        <v>38</v>
      </c>
      <c r="M23" s="39">
        <f>+'EIM New Deals'!P11+'EIM New Deals'!Q11+'EIM New Deals'!P27+'EIM New Deals'!Q27</f>
        <v>41</v>
      </c>
      <c r="N23" s="39">
        <f>+'EIM New Deals'!R11+'EIM New Deals'!S11+'EIM New Deals'!R27+'EIM New Deals'!S27</f>
        <v>69</v>
      </c>
      <c r="P23" s="96" t="s">
        <v>100</v>
      </c>
    </row>
    <row r="24" spans="1:16" x14ac:dyDescent="0.2">
      <c r="A24" s="7" t="s">
        <v>68</v>
      </c>
      <c r="B24">
        <v>0</v>
      </c>
      <c r="E24" t="s">
        <v>41</v>
      </c>
      <c r="F24">
        <f>+'template from individuals'!B58+'template from individuals'!C58</f>
        <v>0</v>
      </c>
      <c r="G24">
        <v>0</v>
      </c>
      <c r="H24">
        <v>0</v>
      </c>
      <c r="I24" s="20">
        <v>0</v>
      </c>
      <c r="J24" s="39">
        <f>+'EIM New Deals'!J14+'EIM New Deals'!K14+'EIM New Deals'!J30+'EIM New Deals'!K30</f>
        <v>1</v>
      </c>
      <c r="K24" s="39">
        <f>+'EIM New Deals'!L14+'EIM New Deals'!M14+'EIM New Deals'!L30+'EIM New Deals'!M30</f>
        <v>1</v>
      </c>
      <c r="L24" s="39">
        <f>+'EIM New Deals'!$N14+'EIM New Deals'!$O14+'EIM New Deals'!$N30+'EIM New Deals'!$O30</f>
        <v>2</v>
      </c>
      <c r="M24" s="39">
        <f>+'EIM New Deals'!P14+'EIM New Deals'!Q14+'EIM New Deals'!P30+'EIM New Deals'!Q30</f>
        <v>0</v>
      </c>
      <c r="N24" s="39">
        <f>+'EIM New Deals'!R14+'EIM New Deals'!S14+'EIM New Deals'!R30+'EIM New Deals'!S30</f>
        <v>1</v>
      </c>
      <c r="P24" s="96" t="s">
        <v>100</v>
      </c>
    </row>
    <row r="25" spans="1:16" x14ac:dyDescent="0.2">
      <c r="A25" s="7" t="s">
        <v>69</v>
      </c>
      <c r="B25">
        <v>1</v>
      </c>
      <c r="P25" s="97"/>
    </row>
    <row r="26" spans="1:16" x14ac:dyDescent="0.2">
      <c r="A26" s="7" t="s">
        <v>64</v>
      </c>
      <c r="B26">
        <v>1300</v>
      </c>
      <c r="E26" s="98" t="s">
        <v>94</v>
      </c>
      <c r="P26" s="97"/>
    </row>
    <row r="27" spans="1:16" ht="15" x14ac:dyDescent="0.25">
      <c r="A27" s="7" t="s">
        <v>71</v>
      </c>
      <c r="B27">
        <v>250</v>
      </c>
      <c r="F27" s="95" t="s">
        <v>124</v>
      </c>
      <c r="G27" s="95" t="s">
        <v>125</v>
      </c>
      <c r="H27" s="95" t="s">
        <v>126</v>
      </c>
      <c r="I27" s="95" t="s">
        <v>127</v>
      </c>
      <c r="J27" s="95" t="s">
        <v>141</v>
      </c>
      <c r="K27" s="95" t="str">
        <f>+K20</f>
        <v>2/2 - 2/8</v>
      </c>
      <c r="L27" s="95" t="str">
        <f>+L20</f>
        <v>2/9 - 2/15</v>
      </c>
      <c r="M27" s="95" t="str">
        <f>+M20</f>
        <v>2/16 - 2/22</v>
      </c>
      <c r="N27" s="95" t="str">
        <f>+N20</f>
        <v>2/23 - 2/28</v>
      </c>
    </row>
    <row r="28" spans="1:16" x14ac:dyDescent="0.2">
      <c r="A28" s="7" t="s">
        <v>72</v>
      </c>
      <c r="B28">
        <v>50</v>
      </c>
      <c r="E28" s="4" t="s">
        <v>81</v>
      </c>
      <c r="F28" s="38">
        <f>1758331589/1000000</f>
        <v>1758.3315889999999</v>
      </c>
      <c r="G28" s="38">
        <f>3201106470/1000000</f>
        <v>3201.1064700000002</v>
      </c>
      <c r="H28" s="20">
        <f>1942345461/1000000</f>
        <v>1942.3454609999999</v>
      </c>
      <c r="I28" s="20">
        <f>4952206066/1000000</f>
        <v>4952.2060659999997</v>
      </c>
      <c r="J28" s="139">
        <f>(+'WE 2-1 EOL Data'!C6+'WE 2-1 EOL Data'!C29)/1000000</f>
        <v>4273.2712199999996</v>
      </c>
      <c r="K28" s="139">
        <f>(+'WE 2-8 EOL Data'!C6+'WE 2-8 EOL Data'!C29)/1000000</f>
        <v>3586.1783646399995</v>
      </c>
      <c r="L28" s="139">
        <f>(+'WE 2-15 EOL Data'!$C6+'WE 2-15 EOL Data'!$C29)/1000000</f>
        <v>4250.7380022099987</v>
      </c>
      <c r="M28" s="139">
        <f>(+'WE 2-22 EOL Data'!$C6+'WE 2-22 EOL Data'!$C29)/1000000</f>
        <v>2865.6876510000002</v>
      </c>
      <c r="N28" s="139">
        <f>(+'WE 2-28 EOL Data'!C6+'WE 2-28 EOL Data'!C29)/1000000</f>
        <v>3382.0786511900001</v>
      </c>
    </row>
    <row r="29" spans="1:16" ht="13.5" customHeight="1" x14ac:dyDescent="0.2">
      <c r="A29" s="7" t="s">
        <v>39</v>
      </c>
      <c r="B29">
        <v>0</v>
      </c>
      <c r="E29" s="4" t="s">
        <v>82</v>
      </c>
      <c r="F29" s="38">
        <f>16046241/1000000</f>
        <v>16.046240999999998</v>
      </c>
      <c r="G29" s="38">
        <f>52662791/1000000</f>
        <v>52.662790999999999</v>
      </c>
      <c r="H29" s="20">
        <f>48150655/1000000</f>
        <v>48.150655</v>
      </c>
      <c r="I29" s="20">
        <f>37589241/1000000</f>
        <v>37.589241000000001</v>
      </c>
      <c r="J29" s="139">
        <f>(+'WE 2-1 EOL Data'!C7+'WE 2-1 EOL Data'!C30)/1000000</f>
        <v>53.945233000000002</v>
      </c>
      <c r="K29" s="139">
        <f>(+'WE 2-8 EOL Data'!C7+'WE 2-8 EOL Data'!C30)/1000000</f>
        <v>51.399965140000006</v>
      </c>
      <c r="L29" s="139">
        <f>(+'WE 2-15 EOL Data'!$C7+'WE 2-15 EOL Data'!$C30)/1000000</f>
        <v>49.091319190000029</v>
      </c>
      <c r="M29" s="139">
        <f>(+'WE 2-22 EOL Data'!$C7+'WE 2-22 EOL Data'!$C30)/1000000</f>
        <v>37.990490000000001</v>
      </c>
      <c r="N29" s="139">
        <f>(+'WE 2-28 EOL Data'!C7+'WE 2-28 EOL Data'!C30)/1000000</f>
        <v>43.647636379999994</v>
      </c>
    </row>
    <row r="30" spans="1:16" ht="15" x14ac:dyDescent="0.25">
      <c r="A30" s="7" t="s">
        <v>71</v>
      </c>
      <c r="B30">
        <v>250</v>
      </c>
      <c r="F30" s="95" t="s">
        <v>124</v>
      </c>
      <c r="G30" s="95" t="s">
        <v>125</v>
      </c>
      <c r="H30" s="95" t="s">
        <v>126</v>
      </c>
      <c r="I30" s="95" t="s">
        <v>127</v>
      </c>
      <c r="J30" s="95" t="s">
        <v>141</v>
      </c>
      <c r="K30" s="95" t="str">
        <f>+K27</f>
        <v>2/2 - 2/8</v>
      </c>
      <c r="L30" s="95" t="str">
        <f>+L27</f>
        <v>2/9 - 2/15</v>
      </c>
      <c r="M30" s="95" t="str">
        <f>+M27</f>
        <v>2/16 - 2/22</v>
      </c>
      <c r="N30" s="95" t="str">
        <f>+N27</f>
        <v>2/23 - 2/28</v>
      </c>
    </row>
    <row r="31" spans="1:16" x14ac:dyDescent="0.2">
      <c r="E31" t="s">
        <v>120</v>
      </c>
      <c r="F31" s="38">
        <f>'template from eol'!C58</f>
        <v>60842.591799999995</v>
      </c>
      <c r="G31" s="38">
        <f>'template from eol'!E58</f>
        <v>36861.769800000002</v>
      </c>
      <c r="H31" s="20">
        <f>'template from eol'!G58</f>
        <v>213594.89320000002</v>
      </c>
      <c r="I31" s="20">
        <f>'template from eol'!I58</f>
        <v>19607.182999999997</v>
      </c>
      <c r="J31">
        <f>+'WE 2-1 EOL Data'!C58</f>
        <v>25872</v>
      </c>
      <c r="K31" s="160">
        <f>+'WE 2-8 EOL Data'!C58</f>
        <v>106865.89999999997</v>
      </c>
      <c r="L31" s="160">
        <f>+'WE 2-15 EOL Data'!$C58</f>
        <v>11962.5</v>
      </c>
      <c r="M31" s="160">
        <f>+'WE 2-22 EOL Data'!$C58</f>
        <v>56612</v>
      </c>
      <c r="N31" s="160">
        <f>+'WE 2-28 EOL Data'!C58</f>
        <v>163303.196</v>
      </c>
      <c r="P31" s="160"/>
    </row>
    <row r="32" spans="1:16" x14ac:dyDescent="0.2">
      <c r="A32" s="7" t="s">
        <v>40</v>
      </c>
      <c r="B32">
        <v>0</v>
      </c>
      <c r="E32" t="s">
        <v>40</v>
      </c>
      <c r="F32" s="38"/>
      <c r="G32" s="38"/>
      <c r="H32" s="20"/>
    </row>
    <row r="33" spans="1:16" x14ac:dyDescent="0.2">
      <c r="A33" s="7" t="s">
        <v>70</v>
      </c>
      <c r="B33">
        <v>5</v>
      </c>
      <c r="E33" t="s">
        <v>70</v>
      </c>
      <c r="F33" s="38"/>
      <c r="G33" s="38"/>
      <c r="H33" s="20"/>
    </row>
    <row r="34" spans="1:16" x14ac:dyDescent="0.2">
      <c r="A34" s="7" t="s">
        <v>41</v>
      </c>
      <c r="B34">
        <v>0</v>
      </c>
      <c r="E34" t="s">
        <v>39</v>
      </c>
      <c r="F34" s="38"/>
      <c r="G34" s="38"/>
      <c r="H34" s="20"/>
    </row>
    <row r="35" spans="1:16" x14ac:dyDescent="0.2">
      <c r="E35" t="s">
        <v>41</v>
      </c>
      <c r="F35" s="38"/>
      <c r="G35" s="38"/>
      <c r="H35" s="20"/>
    </row>
    <row r="36" spans="1:16" ht="15" x14ac:dyDescent="0.25">
      <c r="A36" s="7" t="s">
        <v>71</v>
      </c>
      <c r="B36">
        <v>250</v>
      </c>
      <c r="F36" s="95" t="s">
        <v>124</v>
      </c>
      <c r="G36" s="95" t="s">
        <v>125</v>
      </c>
      <c r="H36" s="95" t="s">
        <v>126</v>
      </c>
      <c r="I36" s="95" t="s">
        <v>127</v>
      </c>
      <c r="J36" s="95" t="s">
        <v>141</v>
      </c>
      <c r="K36" s="95" t="str">
        <f>+K30</f>
        <v>2/2 - 2/8</v>
      </c>
      <c r="L36" s="95" t="str">
        <f>+L30</f>
        <v>2/9 - 2/15</v>
      </c>
      <c r="M36" s="95" t="str">
        <f>+M30</f>
        <v>2/16 - 2/22</v>
      </c>
      <c r="N36" s="95" t="str">
        <f>+N30</f>
        <v>2/23 - 2/28</v>
      </c>
    </row>
    <row r="37" spans="1:16" x14ac:dyDescent="0.2">
      <c r="E37" t="s">
        <v>5</v>
      </c>
      <c r="F37" s="38">
        <f>90430383/1000</f>
        <v>90430.383000000002</v>
      </c>
      <c r="G37" s="38">
        <f>172783348/1000</f>
        <v>172783.348</v>
      </c>
      <c r="H37" s="20">
        <f>107852720/1000</f>
        <v>107852.72</v>
      </c>
      <c r="I37" s="20">
        <f>150981588/1000</f>
        <v>150981.58799999999</v>
      </c>
      <c r="J37" s="139">
        <f>(+'WE 2-1 EOL Data'!C9+'WE 2-1 EOL Data'!C32)/1000</f>
        <v>171949.351</v>
      </c>
      <c r="K37" s="139">
        <f>(+'WE 2-8 EOL Data'!C9+'WE 2-8 EOL Data'!C32)/1000</f>
        <v>154397.51923000001</v>
      </c>
      <c r="L37" s="139">
        <f>(+'WE 2-15 EOL Data'!$C9+'WE 2-15 EOL Data'!$C32)/1000</f>
        <v>174794.27446999992</v>
      </c>
      <c r="M37" s="139">
        <f>(+'WE 2-22 EOL Data'!$C9+'WE 2-22 EOL Data'!$C32)/1000</f>
        <v>147649.834</v>
      </c>
      <c r="N37" s="139">
        <f>(+'WE 2-28 EOL Data'!C9+'WE 2-28 EOL Data'!C32)/1000</f>
        <v>147313.01308</v>
      </c>
    </row>
    <row r="38" spans="1:16" x14ac:dyDescent="0.2">
      <c r="A38" s="2" t="s">
        <v>32</v>
      </c>
      <c r="B38" s="2"/>
      <c r="C38" s="2"/>
      <c r="D38" s="2"/>
      <c r="E38" t="s">
        <v>4</v>
      </c>
      <c r="F38" s="20">
        <f>(1745341+1242373)/1000</f>
        <v>2987.7139999999999</v>
      </c>
      <c r="G38" s="20">
        <f>(2854306+534627)/1000</f>
        <v>3388.933</v>
      </c>
      <c r="H38" s="20">
        <f>(3053119+1631000)/1000</f>
        <v>4684.1189999999997</v>
      </c>
      <c r="I38" s="20">
        <f>(1974010+1990000)/1000</f>
        <v>3964.01</v>
      </c>
      <c r="J38" s="139">
        <f>(+'WE 2-1 EOL Data'!C10+'WE 2-1 EOL Data'!C11+'WE 2-1 EOL Data'!C33+'WE 2-1 EOL Data'!C34)/1000</f>
        <v>6572.3270000000002</v>
      </c>
      <c r="K38" s="139">
        <f>(+'WE 2-8 EOL Data'!C10+'WE 2-8 EOL Data'!C11+'WE 2-8 EOL Data'!C33+'WE 2-8 EOL Data'!C34)/1000</f>
        <v>5662.4889999999996</v>
      </c>
      <c r="L38" s="139">
        <f>(+'WE 2-15 EOL Data'!$C10+'WE 2-15 EOL Data'!$C11+'WE 2-15 EOL Data'!$C33+'WE 2-15 EOL Data'!$C34)/1000</f>
        <v>4037.9499600000008</v>
      </c>
      <c r="M38" s="139">
        <f>(+'WE 2-22 EOL Data'!$C10+'WE 2-22 EOL Data'!$C11+'WE 2-22 EOL Data'!$C33+'WE 2-22 EOL Data'!$C34)/1000</f>
        <v>2425.5</v>
      </c>
      <c r="N38" s="139">
        <f>(+'WE 2-28 EOL Data'!C10+'WE 2-28 EOL Data'!C11+'WE 2-28 EOL Data'!C33+'WE 2-28 EOL Data'!C34)/1000</f>
        <v>818.5</v>
      </c>
    </row>
    <row r="39" spans="1:16" x14ac:dyDescent="0.2">
      <c r="A39" s="8" t="s">
        <v>5</v>
      </c>
      <c r="B39">
        <v>45</v>
      </c>
      <c r="C39">
        <v>40</v>
      </c>
      <c r="D39">
        <v>55</v>
      </c>
      <c r="E39" t="s">
        <v>13</v>
      </c>
      <c r="F39" s="20">
        <v>5</v>
      </c>
      <c r="G39" s="20">
        <v>5</v>
      </c>
      <c r="H39" s="20">
        <f>34100/1000</f>
        <v>34.1</v>
      </c>
      <c r="I39" s="20">
        <f>107570/1000</f>
        <v>107.57</v>
      </c>
      <c r="J39" s="139">
        <f>(+'WE 2-1 EOL Data'!C14+'WE 2-1 EOL Data'!C37)/1000</f>
        <v>46.35</v>
      </c>
      <c r="K39" s="139">
        <f>(+'WE 2-8 EOL Data'!C14+'WE 2-8 EOL Data'!C37)/1000</f>
        <v>100.1</v>
      </c>
      <c r="L39" s="139">
        <f>(+'WE 2-15 EOL Data'!$C14+'WE 2-15 EOL Data'!$C37)/1000</f>
        <v>40</v>
      </c>
      <c r="M39" s="139">
        <f>(+'WE 2-22 EOL Data'!$C14+'WE 2-22 EOL Data'!$C37)/1000</f>
        <v>37.5</v>
      </c>
      <c r="N39" s="139">
        <f>(+'WE 2-28 EOL Data'!C14+'WE 2-28 EOL Data'!C37)/1000</f>
        <v>7.5</v>
      </c>
    </row>
    <row r="40" spans="1:16" x14ac:dyDescent="0.2">
      <c r="A40" s="8" t="s">
        <v>0</v>
      </c>
      <c r="B40">
        <v>150</v>
      </c>
      <c r="C40">
        <v>120</v>
      </c>
      <c r="D40">
        <v>125</v>
      </c>
      <c r="E40" t="s">
        <v>3</v>
      </c>
      <c r="F40" s="20">
        <v>49250</v>
      </c>
      <c r="G40" s="20">
        <v>45350</v>
      </c>
      <c r="H40" s="20">
        <v>120900</v>
      </c>
      <c r="I40" s="20">
        <v>115500</v>
      </c>
      <c r="J40" s="139">
        <f>+'WE 2-1 EOL Data'!C12+'WE 2-1 EOL Data'!C35</f>
        <v>56000</v>
      </c>
      <c r="K40" s="139">
        <f>+'WE 2-8 EOL Data'!C12+'WE 2-8 EOL Data'!C35</f>
        <v>103400</v>
      </c>
      <c r="L40" s="139">
        <f>+'WE 2-15 EOL Data'!$C12+'WE 2-15 EOL Data'!$C35</f>
        <v>143000</v>
      </c>
      <c r="M40" s="139">
        <f>+'WE 2-22 EOL Data'!$C12+'WE 2-22 EOL Data'!$C35</f>
        <v>377800</v>
      </c>
      <c r="N40" s="139">
        <f>+'WE 2-28 EOL Data'!C12+'WE 2-28 EOL Data'!C35</f>
        <v>69200</v>
      </c>
      <c r="P40" s="139"/>
    </row>
    <row r="41" spans="1:16" x14ac:dyDescent="0.2">
      <c r="E41" t="s">
        <v>0</v>
      </c>
      <c r="F41" s="38">
        <v>6275000</v>
      </c>
      <c r="G41" s="38">
        <v>6398750</v>
      </c>
      <c r="H41" s="20">
        <v>3718000</v>
      </c>
      <c r="I41" s="20">
        <v>6618000</v>
      </c>
      <c r="J41" s="139">
        <f>+'WE 2-1 EOL Data'!C13+'WE 2-1 EOL Data'!C36</f>
        <v>5632500</v>
      </c>
      <c r="K41" s="139">
        <f>+'WE 2-8 EOL Data'!C13+'WE 2-8 EOL Data'!C36</f>
        <v>8754250</v>
      </c>
      <c r="L41" s="139">
        <f>+'WE 2-15 EOL Data'!$C13+'WE 2-15 EOL Data'!$C36</f>
        <v>4975000</v>
      </c>
      <c r="M41" s="139">
        <f>+'WE 2-22 EOL Data'!$C13+'WE 2-22 EOL Data'!$C36</f>
        <v>5786000</v>
      </c>
      <c r="N41" s="139">
        <f>+'WE 2-28 EOL Data'!C13+'WE 2-28 EOL Data'!C36</f>
        <v>4422278</v>
      </c>
      <c r="P41" s="139"/>
    </row>
    <row r="42" spans="1:16" x14ac:dyDescent="0.2">
      <c r="A42" s="8" t="s">
        <v>3</v>
      </c>
      <c r="B42">
        <v>2</v>
      </c>
      <c r="C42">
        <v>5</v>
      </c>
      <c r="D42">
        <v>2</v>
      </c>
    </row>
    <row r="43" spans="1:16" x14ac:dyDescent="0.2">
      <c r="A43" s="8" t="s">
        <v>13</v>
      </c>
      <c r="B43">
        <v>2</v>
      </c>
      <c r="C43">
        <v>1</v>
      </c>
      <c r="D43">
        <v>10</v>
      </c>
      <c r="P43" s="20"/>
    </row>
    <row r="44" spans="1:16" x14ac:dyDescent="0.2">
      <c r="A44" s="2" t="s">
        <v>34</v>
      </c>
    </row>
    <row r="45" spans="1:16" x14ac:dyDescent="0.2">
      <c r="A45" s="8" t="s">
        <v>64</v>
      </c>
      <c r="B45">
        <v>11000</v>
      </c>
      <c r="C45">
        <v>12500</v>
      </c>
      <c r="D45">
        <v>12000</v>
      </c>
    </row>
    <row r="46" spans="1:16" x14ac:dyDescent="0.2">
      <c r="A46" s="8" t="s">
        <v>71</v>
      </c>
      <c r="B46">
        <v>5500</v>
      </c>
      <c r="C46">
        <v>5000</v>
      </c>
      <c r="D46">
        <v>4055</v>
      </c>
    </row>
    <row r="47" spans="1:16" x14ac:dyDescent="0.2">
      <c r="A47" s="2" t="s">
        <v>33</v>
      </c>
    </row>
    <row r="48" spans="1:16" x14ac:dyDescent="0.2">
      <c r="A48" s="8" t="s">
        <v>40</v>
      </c>
      <c r="B48">
        <v>25</v>
      </c>
      <c r="C48">
        <v>52</v>
      </c>
      <c r="D48">
        <v>30</v>
      </c>
    </row>
    <row r="49" spans="1:6" x14ac:dyDescent="0.2">
      <c r="A49" s="8" t="s">
        <v>70</v>
      </c>
      <c r="B49">
        <v>10</v>
      </c>
      <c r="C49">
        <v>42</v>
      </c>
      <c r="D49">
        <v>50</v>
      </c>
    </row>
    <row r="50" spans="1:6" x14ac:dyDescent="0.2">
      <c r="A50" s="8" t="s">
        <v>39</v>
      </c>
      <c r="B50">
        <v>8</v>
      </c>
      <c r="C50">
        <v>8</v>
      </c>
      <c r="D50">
        <v>8</v>
      </c>
    </row>
    <row r="51" spans="1:6" x14ac:dyDescent="0.2">
      <c r="A51" s="8" t="s">
        <v>41</v>
      </c>
      <c r="B51">
        <v>3</v>
      </c>
      <c r="C51">
        <v>1</v>
      </c>
      <c r="D51">
        <v>4</v>
      </c>
    </row>
    <row r="53" spans="1:6" x14ac:dyDescent="0.2">
      <c r="A53" t="s">
        <v>90</v>
      </c>
      <c r="B53" t="s">
        <v>91</v>
      </c>
      <c r="C53" t="s">
        <v>89</v>
      </c>
      <c r="D53" t="s">
        <v>92</v>
      </c>
      <c r="E53" s="9" t="s">
        <v>63</v>
      </c>
      <c r="F53" s="9"/>
    </row>
    <row r="54" spans="1:6" x14ac:dyDescent="0.2">
      <c r="A54" s="2" t="s">
        <v>36</v>
      </c>
      <c r="B54" s="4" t="s">
        <v>81</v>
      </c>
      <c r="C54" t="s">
        <v>64</v>
      </c>
      <c r="D54" s="4">
        <v>1350</v>
      </c>
      <c r="E54">
        <f>B45</f>
        <v>11000</v>
      </c>
    </row>
    <row r="55" spans="1:6" x14ac:dyDescent="0.2">
      <c r="A55" s="2" t="s">
        <v>36</v>
      </c>
      <c r="B55" s="4" t="s">
        <v>82</v>
      </c>
      <c r="C55" t="s">
        <v>71</v>
      </c>
      <c r="D55" s="4">
        <v>180</v>
      </c>
      <c r="E55">
        <v>5500</v>
      </c>
    </row>
    <row r="56" spans="1:6" x14ac:dyDescent="0.2">
      <c r="A56" s="2" t="s">
        <v>36</v>
      </c>
      <c r="B56" s="4" t="s">
        <v>83</v>
      </c>
      <c r="C56" t="s">
        <v>39</v>
      </c>
      <c r="D56" s="4">
        <v>8</v>
      </c>
      <c r="E56">
        <v>8</v>
      </c>
    </row>
    <row r="57" spans="1:6" x14ac:dyDescent="0.2">
      <c r="A57" s="2" t="s">
        <v>36</v>
      </c>
      <c r="B57" s="4" t="s">
        <v>84</v>
      </c>
      <c r="C57" t="s">
        <v>40</v>
      </c>
      <c r="D57" s="4">
        <v>15</v>
      </c>
      <c r="E57">
        <v>25</v>
      </c>
    </row>
    <row r="58" spans="1:6" x14ac:dyDescent="0.2">
      <c r="A58" s="2" t="s">
        <v>36</v>
      </c>
      <c r="B58" s="4" t="s">
        <v>85</v>
      </c>
      <c r="C58" t="s">
        <v>41</v>
      </c>
      <c r="D58" s="4">
        <v>5</v>
      </c>
      <c r="E58">
        <v>3</v>
      </c>
    </row>
    <row r="59" spans="1:6" x14ac:dyDescent="0.2">
      <c r="A59" s="2" t="s">
        <v>36</v>
      </c>
      <c r="B59" s="4" t="s">
        <v>86</v>
      </c>
      <c r="C59" t="s">
        <v>70</v>
      </c>
      <c r="D59" s="4">
        <v>10</v>
      </c>
      <c r="E59">
        <v>10</v>
      </c>
    </row>
    <row r="60" spans="1:6" x14ac:dyDescent="0.2">
      <c r="A60" s="2" t="s">
        <v>36</v>
      </c>
      <c r="B60" s="4" t="s">
        <v>87</v>
      </c>
      <c r="C60" t="s">
        <v>93</v>
      </c>
      <c r="D60" s="4">
        <v>45</v>
      </c>
      <c r="E60">
        <v>45</v>
      </c>
    </row>
    <row r="61" spans="1:6" x14ac:dyDescent="0.2">
      <c r="A61" s="2" t="s">
        <v>36</v>
      </c>
      <c r="B61" s="4" t="s">
        <v>88</v>
      </c>
      <c r="C61" t="s">
        <v>4</v>
      </c>
      <c r="D61" s="4">
        <v>2</v>
      </c>
      <c r="E61">
        <v>2</v>
      </c>
    </row>
    <row r="62" spans="1:6" x14ac:dyDescent="0.2">
      <c r="A62" s="7" t="s">
        <v>37</v>
      </c>
      <c r="B62" s="4" t="s">
        <v>81</v>
      </c>
      <c r="C62" t="s">
        <v>64</v>
      </c>
      <c r="D62" s="4">
        <v>1505</v>
      </c>
      <c r="E62">
        <f>C45</f>
        <v>12500</v>
      </c>
    </row>
    <row r="63" spans="1:6" x14ac:dyDescent="0.2">
      <c r="A63" s="7" t="s">
        <v>37</v>
      </c>
      <c r="B63" s="4" t="s">
        <v>82</v>
      </c>
      <c r="C63" t="s">
        <v>71</v>
      </c>
      <c r="D63" s="4">
        <v>175</v>
      </c>
      <c r="E63">
        <v>5000</v>
      </c>
    </row>
    <row r="64" spans="1:6" x14ac:dyDescent="0.2">
      <c r="A64" s="7" t="s">
        <v>37</v>
      </c>
      <c r="B64" s="4" t="s">
        <v>83</v>
      </c>
      <c r="C64" t="s">
        <v>39</v>
      </c>
      <c r="D64" s="4">
        <v>10</v>
      </c>
      <c r="E64">
        <v>8</v>
      </c>
    </row>
    <row r="65" spans="1:5" x14ac:dyDescent="0.2">
      <c r="A65" s="7" t="s">
        <v>37</v>
      </c>
      <c r="B65" s="4" t="s">
        <v>84</v>
      </c>
      <c r="C65" t="s">
        <v>40</v>
      </c>
      <c r="D65" s="4">
        <v>25</v>
      </c>
      <c r="E65">
        <v>52</v>
      </c>
    </row>
    <row r="66" spans="1:5" x14ac:dyDescent="0.2">
      <c r="A66" s="7" t="s">
        <v>37</v>
      </c>
      <c r="B66" s="4" t="s">
        <v>85</v>
      </c>
      <c r="C66" t="s">
        <v>41</v>
      </c>
      <c r="D66" s="4">
        <v>7</v>
      </c>
      <c r="E66">
        <v>1</v>
      </c>
    </row>
    <row r="67" spans="1:5" x14ac:dyDescent="0.2">
      <c r="A67" s="7" t="s">
        <v>37</v>
      </c>
      <c r="B67" s="4" t="s">
        <v>86</v>
      </c>
      <c r="C67" t="s">
        <v>70</v>
      </c>
      <c r="D67" s="4">
        <v>30</v>
      </c>
      <c r="E67">
        <v>42</v>
      </c>
    </row>
    <row r="68" spans="1:5" x14ac:dyDescent="0.2">
      <c r="A68" s="7" t="s">
        <v>37</v>
      </c>
      <c r="B68" s="4" t="s">
        <v>87</v>
      </c>
      <c r="C68" t="s">
        <v>93</v>
      </c>
      <c r="D68" s="4">
        <v>32</v>
      </c>
      <c r="E68">
        <v>40</v>
      </c>
    </row>
    <row r="69" spans="1:5" x14ac:dyDescent="0.2">
      <c r="A69" s="7" t="s">
        <v>37</v>
      </c>
      <c r="B69" s="4" t="s">
        <v>88</v>
      </c>
      <c r="C69" t="s">
        <v>4</v>
      </c>
      <c r="D69" s="4">
        <v>2</v>
      </c>
      <c r="E69">
        <v>1</v>
      </c>
    </row>
    <row r="70" spans="1:5" x14ac:dyDescent="0.2">
      <c r="A70" s="7" t="s">
        <v>38</v>
      </c>
      <c r="B70" s="4" t="s">
        <v>81</v>
      </c>
      <c r="C70" t="s">
        <v>64</v>
      </c>
      <c r="D70">
        <v>1600</v>
      </c>
      <c r="E70">
        <f>D45</f>
        <v>12000</v>
      </c>
    </row>
    <row r="71" spans="1:5" x14ac:dyDescent="0.2">
      <c r="A71" s="7" t="s">
        <v>38</v>
      </c>
      <c r="B71" s="4" t="s">
        <v>82</v>
      </c>
      <c r="C71" t="s">
        <v>71</v>
      </c>
      <c r="D71">
        <v>190</v>
      </c>
      <c r="E71">
        <v>4055</v>
      </c>
    </row>
    <row r="72" spans="1:5" x14ac:dyDescent="0.2">
      <c r="A72" s="7" t="s">
        <v>38</v>
      </c>
      <c r="B72" s="4" t="s">
        <v>83</v>
      </c>
      <c r="C72" t="s">
        <v>39</v>
      </c>
      <c r="D72">
        <v>10</v>
      </c>
      <c r="E72">
        <v>8</v>
      </c>
    </row>
    <row r="73" spans="1:5" x14ac:dyDescent="0.2">
      <c r="A73" s="7" t="s">
        <v>38</v>
      </c>
      <c r="B73" s="4" t="s">
        <v>84</v>
      </c>
      <c r="C73" t="s">
        <v>40</v>
      </c>
      <c r="D73">
        <v>25</v>
      </c>
      <c r="E73">
        <v>30</v>
      </c>
    </row>
    <row r="74" spans="1:5" x14ac:dyDescent="0.2">
      <c r="A74" s="7" t="s">
        <v>38</v>
      </c>
      <c r="B74" s="4" t="s">
        <v>85</v>
      </c>
      <c r="C74" t="s">
        <v>41</v>
      </c>
      <c r="D74">
        <v>8</v>
      </c>
      <c r="E74">
        <v>4</v>
      </c>
    </row>
    <row r="75" spans="1:5" x14ac:dyDescent="0.2">
      <c r="A75" s="7" t="s">
        <v>38</v>
      </c>
      <c r="B75" s="4" t="s">
        <v>86</v>
      </c>
      <c r="C75" t="s">
        <v>70</v>
      </c>
      <c r="D75">
        <v>40</v>
      </c>
      <c r="E75">
        <v>50</v>
      </c>
    </row>
    <row r="76" spans="1:5" x14ac:dyDescent="0.2">
      <c r="A76" s="7" t="s">
        <v>38</v>
      </c>
      <c r="B76" s="4" t="s">
        <v>87</v>
      </c>
      <c r="C76" t="s">
        <v>93</v>
      </c>
      <c r="D76">
        <v>37</v>
      </c>
      <c r="E76">
        <v>55</v>
      </c>
    </row>
    <row r="77" spans="1:5" x14ac:dyDescent="0.2">
      <c r="A77" s="7" t="s">
        <v>38</v>
      </c>
      <c r="B77" s="4" t="s">
        <v>88</v>
      </c>
      <c r="C77" t="s">
        <v>4</v>
      </c>
      <c r="D77">
        <v>2</v>
      </c>
      <c r="E77">
        <v>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pane xSplit="1" ySplit="3" topLeftCell="K4" activePane="bottomRight" state="frozen"/>
      <selection activeCell="W29" sqref="W29"/>
      <selection pane="topRight" activeCell="W29" sqref="W29"/>
      <selection pane="bottomLeft" activeCell="W29" sqref="W29"/>
      <selection pane="bottomRight" activeCell="P11" sqref="P11:Q32"/>
    </sheetView>
  </sheetViews>
  <sheetFormatPr defaultRowHeight="12.75" x14ac:dyDescent="0.2"/>
  <cols>
    <col min="1" max="1" width="23.85546875" customWidth="1"/>
    <col min="3" max="3" width="11.42578125" customWidth="1"/>
    <col min="5" max="5" width="12.28515625" customWidth="1"/>
  </cols>
  <sheetData>
    <row r="1" spans="1:27" ht="13.5" thickBot="1" x14ac:dyDescent="0.25">
      <c r="A1" s="191" t="s">
        <v>43</v>
      </c>
      <c r="B1" s="186" t="s">
        <v>48</v>
      </c>
      <c r="C1" s="187"/>
      <c r="D1" s="187"/>
      <c r="E1" s="187"/>
      <c r="F1" s="187"/>
      <c r="G1" s="187"/>
      <c r="H1" s="187"/>
      <c r="I1" s="188"/>
      <c r="J1" s="186" t="s">
        <v>129</v>
      </c>
      <c r="K1" s="187"/>
      <c r="L1" s="187"/>
      <c r="M1" s="187"/>
      <c r="N1" s="187"/>
      <c r="O1" s="187"/>
      <c r="P1" s="187"/>
      <c r="Q1" s="188"/>
      <c r="R1" s="169"/>
      <c r="S1" s="170"/>
      <c r="T1" s="186" t="s">
        <v>153</v>
      </c>
      <c r="U1" s="187"/>
      <c r="V1" s="187"/>
      <c r="W1" s="187"/>
      <c r="X1" s="187"/>
      <c r="Y1" s="187"/>
      <c r="Z1" s="187"/>
      <c r="AA1" s="188"/>
    </row>
    <row r="2" spans="1:27" x14ac:dyDescent="0.2">
      <c r="A2" s="192"/>
      <c r="B2" s="194" t="s">
        <v>130</v>
      </c>
      <c r="C2" s="190"/>
      <c r="D2" s="190" t="s">
        <v>131</v>
      </c>
      <c r="E2" s="190"/>
      <c r="F2" s="190" t="s">
        <v>132</v>
      </c>
      <c r="G2" s="190"/>
      <c r="H2" s="190" t="s">
        <v>133</v>
      </c>
      <c r="I2" s="195"/>
      <c r="J2" s="189" t="s">
        <v>134</v>
      </c>
      <c r="K2" s="190"/>
      <c r="L2" s="190" t="s">
        <v>135</v>
      </c>
      <c r="M2" s="190"/>
      <c r="N2" s="190" t="s">
        <v>136</v>
      </c>
      <c r="O2" s="190"/>
      <c r="P2" s="190" t="s">
        <v>149</v>
      </c>
      <c r="Q2" s="190"/>
      <c r="R2" s="190" t="s">
        <v>154</v>
      </c>
      <c r="S2" s="195"/>
      <c r="T2" s="194" t="s">
        <v>155</v>
      </c>
      <c r="U2" s="190"/>
      <c r="V2" s="190" t="s">
        <v>156</v>
      </c>
      <c r="W2" s="190"/>
      <c r="X2" s="190" t="s">
        <v>157</v>
      </c>
      <c r="Y2" s="190"/>
      <c r="Z2" s="190" t="s">
        <v>154</v>
      </c>
      <c r="AA2" s="195"/>
    </row>
    <row r="3" spans="1:27" ht="13.5" thickBot="1" x14ac:dyDescent="0.25">
      <c r="A3" s="193"/>
      <c r="B3" s="99" t="s">
        <v>35</v>
      </c>
      <c r="C3" s="100" t="s">
        <v>30</v>
      </c>
      <c r="D3" s="100" t="s">
        <v>35</v>
      </c>
      <c r="E3" s="100" t="s">
        <v>30</v>
      </c>
      <c r="F3" s="100" t="s">
        <v>35</v>
      </c>
      <c r="G3" s="100" t="s">
        <v>30</v>
      </c>
      <c r="H3" s="100" t="s">
        <v>35</v>
      </c>
      <c r="I3" s="101" t="s">
        <v>30</v>
      </c>
      <c r="J3" s="102" t="s">
        <v>35</v>
      </c>
      <c r="K3" s="100" t="s">
        <v>30</v>
      </c>
      <c r="L3" s="100" t="s">
        <v>35</v>
      </c>
      <c r="M3" s="100" t="s">
        <v>30</v>
      </c>
      <c r="N3" s="100" t="s">
        <v>35</v>
      </c>
      <c r="O3" s="100" t="s">
        <v>30</v>
      </c>
      <c r="P3" s="100" t="s">
        <v>35</v>
      </c>
      <c r="Q3" s="100" t="s">
        <v>30</v>
      </c>
      <c r="R3" s="100" t="s">
        <v>35</v>
      </c>
      <c r="S3" s="101" t="s">
        <v>30</v>
      </c>
      <c r="T3" s="99" t="s">
        <v>35</v>
      </c>
      <c r="U3" s="100" t="s">
        <v>30</v>
      </c>
      <c r="V3" s="100" t="s">
        <v>35</v>
      </c>
      <c r="W3" s="100" t="s">
        <v>30</v>
      </c>
      <c r="X3" s="100" t="s">
        <v>35</v>
      </c>
      <c r="Y3" s="100" t="s">
        <v>30</v>
      </c>
      <c r="Z3" s="100" t="s">
        <v>35</v>
      </c>
      <c r="AA3" s="101" t="s">
        <v>30</v>
      </c>
    </row>
    <row r="4" spans="1:27" ht="13.5" thickBot="1" x14ac:dyDescent="0.25">
      <c r="A4" s="103" t="s">
        <v>2</v>
      </c>
      <c r="B4" s="104"/>
      <c r="C4" s="104"/>
      <c r="D4" s="104"/>
      <c r="E4" s="104"/>
      <c r="F4" s="104"/>
      <c r="G4" s="104"/>
      <c r="H4" s="104"/>
      <c r="I4" s="105"/>
      <c r="J4" s="104"/>
      <c r="K4" s="104"/>
      <c r="L4" s="104"/>
      <c r="M4" s="104"/>
      <c r="N4" s="104"/>
      <c r="O4" s="104"/>
      <c r="P4" s="104"/>
      <c r="Q4" s="104"/>
      <c r="R4" s="104"/>
      <c r="S4" s="105"/>
      <c r="T4" s="172"/>
      <c r="U4" s="104"/>
      <c r="V4" s="104"/>
      <c r="W4" s="104"/>
      <c r="X4" s="104"/>
      <c r="Y4" s="104"/>
      <c r="Z4" s="104"/>
      <c r="AA4" s="105"/>
    </row>
    <row r="5" spans="1:27" ht="13.5" thickBot="1" x14ac:dyDescent="0.25">
      <c r="A5" s="106" t="s">
        <v>34</v>
      </c>
      <c r="B5" s="107"/>
      <c r="C5" s="107"/>
      <c r="D5" s="107"/>
      <c r="E5" s="107"/>
      <c r="F5" s="107"/>
      <c r="G5" s="107"/>
      <c r="H5" s="107"/>
      <c r="I5" s="108"/>
      <c r="J5" s="107"/>
      <c r="K5" s="107"/>
      <c r="L5" s="107"/>
      <c r="M5" s="107"/>
      <c r="N5" s="107"/>
      <c r="O5" s="107"/>
      <c r="P5" s="107"/>
      <c r="Q5" s="107"/>
      <c r="R5" s="107"/>
      <c r="S5" s="108"/>
      <c r="T5" s="173"/>
      <c r="U5" s="107"/>
      <c r="V5" s="107"/>
      <c r="W5" s="107"/>
      <c r="X5" s="107"/>
      <c r="Y5" s="107"/>
      <c r="Z5" s="107"/>
      <c r="AA5" s="108"/>
    </row>
    <row r="6" spans="1:27" x14ac:dyDescent="0.2">
      <c r="A6" s="109" t="s">
        <v>22</v>
      </c>
      <c r="B6" s="110"/>
      <c r="C6" s="110"/>
      <c r="D6" s="110"/>
      <c r="E6" s="110"/>
      <c r="F6" s="110"/>
      <c r="G6" s="110"/>
      <c r="H6" s="110"/>
      <c r="I6" s="111"/>
      <c r="J6" s="112"/>
      <c r="K6" s="110"/>
      <c r="L6" s="110"/>
      <c r="M6" s="110"/>
      <c r="N6" s="110"/>
      <c r="O6" s="110"/>
      <c r="P6" s="110"/>
      <c r="Q6" s="110"/>
      <c r="R6" s="112"/>
      <c r="S6" s="111"/>
      <c r="T6" s="174"/>
      <c r="U6" s="110"/>
      <c r="V6" s="110"/>
      <c r="W6" s="110"/>
      <c r="X6" s="110"/>
      <c r="Y6" s="110"/>
      <c r="Z6" s="110"/>
      <c r="AA6" s="111"/>
    </row>
    <row r="7" spans="1:27" x14ac:dyDescent="0.2">
      <c r="A7" s="113" t="s">
        <v>21</v>
      </c>
      <c r="B7" s="114"/>
      <c r="C7" s="114"/>
      <c r="D7" s="114"/>
      <c r="E7" s="114"/>
      <c r="F7" s="114"/>
      <c r="G7" s="114"/>
      <c r="H7" s="114"/>
      <c r="I7" s="115"/>
      <c r="J7" s="116"/>
      <c r="K7" s="114"/>
      <c r="L7" s="114"/>
      <c r="M7" s="114"/>
      <c r="N7" s="114"/>
      <c r="O7" s="114"/>
      <c r="P7" s="114"/>
      <c r="Q7" s="114"/>
      <c r="R7" s="116"/>
      <c r="S7" s="115"/>
      <c r="T7" s="175"/>
      <c r="U7" s="114"/>
      <c r="V7" s="114"/>
      <c r="W7" s="114"/>
      <c r="X7" s="114"/>
      <c r="Y7" s="114"/>
      <c r="Z7" s="114"/>
      <c r="AA7" s="115"/>
    </row>
    <row r="8" spans="1:27" x14ac:dyDescent="0.2">
      <c r="A8" s="113" t="s">
        <v>28</v>
      </c>
      <c r="B8" s="114"/>
      <c r="C8" s="114"/>
      <c r="D8" s="114"/>
      <c r="E8" s="114"/>
      <c r="F8" s="114"/>
      <c r="G8" s="114"/>
      <c r="H8" s="114"/>
      <c r="I8" s="115"/>
      <c r="J8" s="116"/>
      <c r="K8" s="114"/>
      <c r="L8" s="114"/>
      <c r="M8" s="114"/>
      <c r="N8" s="114"/>
      <c r="O8" s="114"/>
      <c r="P8" s="114"/>
      <c r="Q8" s="114"/>
      <c r="R8" s="116"/>
      <c r="S8" s="115"/>
      <c r="T8" s="175"/>
      <c r="U8" s="114"/>
      <c r="V8" s="114"/>
      <c r="W8" s="114"/>
      <c r="X8" s="114"/>
      <c r="Y8" s="114"/>
      <c r="Z8" s="114"/>
      <c r="AA8" s="115"/>
    </row>
    <row r="9" spans="1:27" ht="13.5" thickBot="1" x14ac:dyDescent="0.25">
      <c r="A9" s="117" t="s">
        <v>29</v>
      </c>
      <c r="B9" s="118"/>
      <c r="C9" s="118"/>
      <c r="D9" s="118"/>
      <c r="E9" s="118"/>
      <c r="F9" s="118"/>
      <c r="G9" s="118"/>
      <c r="H9" s="118"/>
      <c r="I9" s="119"/>
      <c r="J9" s="120"/>
      <c r="K9" s="118"/>
      <c r="L9" s="118"/>
      <c r="M9" s="118"/>
      <c r="N9" s="118"/>
      <c r="O9" s="118"/>
      <c r="P9" s="118"/>
      <c r="Q9" s="118"/>
      <c r="R9" s="120"/>
      <c r="S9" s="119"/>
      <c r="T9" s="176"/>
      <c r="U9" s="118"/>
      <c r="V9" s="118"/>
      <c r="W9" s="118"/>
      <c r="X9" s="118"/>
      <c r="Y9" s="118"/>
      <c r="Z9" s="118"/>
      <c r="AA9" s="119"/>
    </row>
    <row r="10" spans="1:27" ht="13.5" thickBot="1" x14ac:dyDescent="0.25">
      <c r="A10" s="121" t="s">
        <v>33</v>
      </c>
      <c r="B10" s="122"/>
      <c r="C10" s="122"/>
      <c r="D10" s="122"/>
      <c r="E10" s="122"/>
      <c r="F10" s="122"/>
      <c r="G10" s="122"/>
      <c r="H10" s="122"/>
      <c r="I10" s="123"/>
      <c r="J10" s="122"/>
      <c r="K10" s="122"/>
      <c r="L10" s="122"/>
      <c r="M10" s="122"/>
      <c r="N10" s="122"/>
      <c r="O10" s="122"/>
      <c r="P10" s="122"/>
      <c r="Q10" s="122"/>
      <c r="R10" s="122"/>
      <c r="S10" s="123"/>
      <c r="T10" s="177"/>
      <c r="U10" s="122"/>
      <c r="V10" s="122"/>
      <c r="W10" s="122"/>
      <c r="X10" s="122"/>
      <c r="Y10" s="122"/>
      <c r="Z10" s="122"/>
      <c r="AA10" s="123"/>
    </row>
    <row r="11" spans="1:27" x14ac:dyDescent="0.2">
      <c r="A11" s="109" t="s">
        <v>39</v>
      </c>
      <c r="B11" s="110">
        <v>0</v>
      </c>
      <c r="C11" s="110">
        <v>23</v>
      </c>
      <c r="D11" s="110">
        <v>0</v>
      </c>
      <c r="E11" s="110">
        <v>7</v>
      </c>
      <c r="F11" s="110">
        <v>0</v>
      </c>
      <c r="G11" s="110">
        <v>10</v>
      </c>
      <c r="H11" s="110">
        <v>0</v>
      </c>
      <c r="I11" s="111">
        <v>19</v>
      </c>
      <c r="J11" s="112">
        <v>0</v>
      </c>
      <c r="K11" s="110">
        <v>19</v>
      </c>
      <c r="L11" s="110">
        <v>0</v>
      </c>
      <c r="M11" s="110">
        <v>24</v>
      </c>
      <c r="N11" s="110">
        <v>0</v>
      </c>
      <c r="O11" s="110">
        <v>8</v>
      </c>
      <c r="P11" s="110">
        <v>0</v>
      </c>
      <c r="Q11" s="110">
        <v>9</v>
      </c>
      <c r="R11" s="112">
        <v>0</v>
      </c>
      <c r="S11" s="111">
        <v>14</v>
      </c>
      <c r="T11" s="174"/>
      <c r="U11" s="110"/>
      <c r="V11" s="110"/>
      <c r="W11" s="110"/>
      <c r="X11" s="110"/>
      <c r="Y11" s="110"/>
      <c r="Z11" s="110"/>
      <c r="AA11" s="111"/>
    </row>
    <row r="12" spans="1:27" x14ac:dyDescent="0.2">
      <c r="A12" s="113" t="s">
        <v>40</v>
      </c>
      <c r="B12" s="114">
        <v>0</v>
      </c>
      <c r="C12" s="114">
        <v>2</v>
      </c>
      <c r="D12" s="114">
        <v>2</v>
      </c>
      <c r="E12" s="114">
        <v>0</v>
      </c>
      <c r="F12" s="114">
        <v>0</v>
      </c>
      <c r="G12" s="114">
        <v>2</v>
      </c>
      <c r="H12" s="114">
        <v>0</v>
      </c>
      <c r="I12" s="115">
        <v>2</v>
      </c>
      <c r="J12" s="116">
        <v>0</v>
      </c>
      <c r="K12" s="114">
        <v>0</v>
      </c>
      <c r="L12" s="114">
        <v>0</v>
      </c>
      <c r="M12" s="114">
        <v>10</v>
      </c>
      <c r="N12" s="114">
        <v>0</v>
      </c>
      <c r="O12" s="114">
        <v>12</v>
      </c>
      <c r="P12" s="114">
        <v>0</v>
      </c>
      <c r="Q12" s="114">
        <v>0</v>
      </c>
      <c r="R12" s="116">
        <v>0</v>
      </c>
      <c r="S12" s="115">
        <v>0</v>
      </c>
      <c r="T12" s="175"/>
      <c r="U12" s="114"/>
      <c r="V12" s="114"/>
      <c r="W12" s="114"/>
      <c r="X12" s="114"/>
      <c r="Y12" s="114"/>
      <c r="Z12" s="114"/>
      <c r="AA12" s="115"/>
    </row>
    <row r="13" spans="1:27" x14ac:dyDescent="0.2">
      <c r="A13" s="113" t="s">
        <v>42</v>
      </c>
      <c r="B13" s="114">
        <v>0</v>
      </c>
      <c r="C13" s="114">
        <v>1</v>
      </c>
      <c r="D13" s="114">
        <v>0</v>
      </c>
      <c r="E13" s="114">
        <v>4</v>
      </c>
      <c r="F13" s="114">
        <v>0</v>
      </c>
      <c r="G13" s="114">
        <v>12</v>
      </c>
      <c r="H13" s="114">
        <v>0</v>
      </c>
      <c r="I13" s="115">
        <v>10</v>
      </c>
      <c r="J13" s="116">
        <v>0</v>
      </c>
      <c r="K13" s="114">
        <v>4</v>
      </c>
      <c r="L13" s="114">
        <v>0</v>
      </c>
      <c r="M13" s="114">
        <v>0</v>
      </c>
      <c r="N13" s="114">
        <v>0</v>
      </c>
      <c r="O13" s="114">
        <v>0</v>
      </c>
      <c r="P13" s="114">
        <v>0</v>
      </c>
      <c r="Q13" s="114">
        <v>2</v>
      </c>
      <c r="R13" s="116">
        <v>0</v>
      </c>
      <c r="S13" s="115">
        <v>11</v>
      </c>
      <c r="T13" s="175"/>
      <c r="U13" s="114"/>
      <c r="V13" s="114"/>
      <c r="W13" s="114"/>
      <c r="X13" s="114"/>
      <c r="Y13" s="114"/>
      <c r="Z13" s="114"/>
      <c r="AA13" s="115"/>
    </row>
    <row r="14" spans="1:27" ht="13.5" thickBot="1" x14ac:dyDescent="0.25">
      <c r="A14" s="117" t="s">
        <v>41</v>
      </c>
      <c r="B14" s="118">
        <v>0</v>
      </c>
      <c r="C14" s="118">
        <v>0</v>
      </c>
      <c r="D14" s="118">
        <v>0</v>
      </c>
      <c r="E14" s="118">
        <v>0</v>
      </c>
      <c r="F14" s="118">
        <v>0</v>
      </c>
      <c r="G14" s="118">
        <v>0</v>
      </c>
      <c r="H14" s="118">
        <v>0</v>
      </c>
      <c r="I14" s="119">
        <v>0</v>
      </c>
      <c r="J14" s="120">
        <v>0</v>
      </c>
      <c r="K14" s="118">
        <v>1</v>
      </c>
      <c r="L14" s="118">
        <v>0</v>
      </c>
      <c r="M14" s="118">
        <v>0</v>
      </c>
      <c r="N14" s="118">
        <v>0</v>
      </c>
      <c r="O14" s="118">
        <v>0</v>
      </c>
      <c r="P14" s="118">
        <v>0</v>
      </c>
      <c r="Q14" s="118">
        <v>0</v>
      </c>
      <c r="R14" s="120">
        <v>0</v>
      </c>
      <c r="S14" s="119">
        <v>0</v>
      </c>
      <c r="T14" s="176"/>
      <c r="U14" s="118"/>
      <c r="V14" s="118"/>
      <c r="W14" s="118"/>
      <c r="X14" s="118"/>
      <c r="Y14" s="118"/>
      <c r="Z14" s="118"/>
      <c r="AA14" s="119"/>
    </row>
    <row r="15" spans="1:27" ht="13.5" thickBot="1" x14ac:dyDescent="0.25">
      <c r="A15" s="124" t="s">
        <v>32</v>
      </c>
      <c r="B15" s="125"/>
      <c r="C15" s="125"/>
      <c r="D15" s="125"/>
      <c r="E15" s="125"/>
      <c r="F15" s="125"/>
      <c r="G15" s="125"/>
      <c r="H15" s="125"/>
      <c r="I15" s="126"/>
      <c r="J15" s="125"/>
      <c r="K15" s="125"/>
      <c r="L15" s="125"/>
      <c r="M15" s="125"/>
      <c r="N15" s="125"/>
      <c r="O15" s="125"/>
      <c r="P15" s="125"/>
      <c r="Q15" s="125"/>
      <c r="R15" s="125"/>
      <c r="S15" s="126"/>
      <c r="T15" s="178"/>
      <c r="U15" s="125"/>
      <c r="V15" s="125"/>
      <c r="W15" s="125"/>
      <c r="X15" s="125"/>
      <c r="Y15" s="125"/>
      <c r="Z15" s="125"/>
      <c r="AA15" s="126"/>
    </row>
    <row r="16" spans="1:27" x14ac:dyDescent="0.2">
      <c r="A16" s="109" t="s">
        <v>0</v>
      </c>
      <c r="B16" s="110"/>
      <c r="C16" s="110"/>
      <c r="D16" s="110"/>
      <c r="E16" s="110"/>
      <c r="F16" s="110"/>
      <c r="G16" s="110"/>
      <c r="H16" s="110"/>
      <c r="I16" s="111"/>
      <c r="J16" s="112"/>
      <c r="K16" s="110"/>
      <c r="L16" s="110"/>
      <c r="M16" s="110"/>
      <c r="N16" s="110"/>
      <c r="O16" s="110"/>
      <c r="P16" s="110"/>
      <c r="Q16" s="110"/>
      <c r="R16" s="112"/>
      <c r="S16" s="111"/>
      <c r="T16" s="174"/>
      <c r="U16" s="110"/>
      <c r="V16" s="110"/>
      <c r="W16" s="110"/>
      <c r="X16" s="110"/>
      <c r="Y16" s="110"/>
      <c r="Z16" s="110"/>
      <c r="AA16" s="111"/>
    </row>
    <row r="17" spans="1:27" x14ac:dyDescent="0.2">
      <c r="A17" s="113" t="s">
        <v>3</v>
      </c>
      <c r="B17" s="114"/>
      <c r="C17" s="114"/>
      <c r="D17" s="114"/>
      <c r="E17" s="114"/>
      <c r="F17" s="114"/>
      <c r="G17" s="114"/>
      <c r="H17" s="114"/>
      <c r="I17" s="115"/>
      <c r="J17" s="116"/>
      <c r="K17" s="114"/>
      <c r="L17" s="114"/>
      <c r="M17" s="114"/>
      <c r="N17" s="114"/>
      <c r="O17" s="114"/>
      <c r="P17" s="114"/>
      <c r="Q17" s="114"/>
      <c r="R17" s="116"/>
      <c r="S17" s="115"/>
      <c r="T17" s="175"/>
      <c r="U17" s="114"/>
      <c r="V17" s="114"/>
      <c r="W17" s="114"/>
      <c r="X17" s="114"/>
      <c r="Y17" s="114"/>
      <c r="Z17" s="114"/>
      <c r="AA17" s="115"/>
    </row>
    <row r="18" spans="1:27" x14ac:dyDescent="0.2">
      <c r="A18" s="113" t="s">
        <v>5</v>
      </c>
      <c r="B18" s="114"/>
      <c r="C18" s="114"/>
      <c r="D18" s="114"/>
      <c r="E18" s="114"/>
      <c r="F18" s="114"/>
      <c r="G18" s="114"/>
      <c r="H18" s="114"/>
      <c r="I18" s="115"/>
      <c r="J18" s="116"/>
      <c r="K18" s="114"/>
      <c r="L18" s="114"/>
      <c r="M18" s="114"/>
      <c r="N18" s="114"/>
      <c r="O18" s="114"/>
      <c r="P18" s="114"/>
      <c r="Q18" s="114"/>
      <c r="R18" s="116"/>
      <c r="S18" s="115"/>
      <c r="T18" s="175"/>
      <c r="U18" s="114"/>
      <c r="V18" s="114"/>
      <c r="W18" s="114"/>
      <c r="X18" s="114"/>
      <c r="Y18" s="114"/>
      <c r="Z18" s="114"/>
      <c r="AA18" s="115"/>
    </row>
    <row r="19" spans="1:27" ht="13.5" thickBot="1" x14ac:dyDescent="0.25">
      <c r="A19" s="117" t="s">
        <v>13</v>
      </c>
      <c r="B19" s="118"/>
      <c r="C19" s="118"/>
      <c r="D19" s="118"/>
      <c r="E19" s="118"/>
      <c r="F19" s="118"/>
      <c r="G19" s="118"/>
      <c r="H19" s="118"/>
      <c r="I19" s="119"/>
      <c r="J19" s="120"/>
      <c r="K19" s="118"/>
      <c r="L19" s="118"/>
      <c r="M19" s="118"/>
      <c r="N19" s="118"/>
      <c r="O19" s="118"/>
      <c r="P19" s="118"/>
      <c r="Q19" s="118"/>
      <c r="R19" s="120"/>
      <c r="S19" s="119"/>
      <c r="T19" s="176"/>
      <c r="U19" s="118"/>
      <c r="V19" s="118"/>
      <c r="W19" s="118"/>
      <c r="X19" s="118"/>
      <c r="Y19" s="118"/>
      <c r="Z19" s="118"/>
      <c r="AA19" s="119"/>
    </row>
    <row r="20" spans="1:27" ht="13.5" thickBot="1" x14ac:dyDescent="0.25">
      <c r="A20" s="103" t="s">
        <v>7</v>
      </c>
      <c r="B20" s="127"/>
      <c r="C20" s="127"/>
      <c r="D20" s="127"/>
      <c r="E20" s="127"/>
      <c r="F20" s="127"/>
      <c r="G20" s="127"/>
      <c r="H20" s="127"/>
      <c r="I20" s="128"/>
      <c r="J20" s="127"/>
      <c r="K20" s="127"/>
      <c r="L20" s="127"/>
      <c r="M20" s="127"/>
      <c r="N20" s="127"/>
      <c r="O20" s="127"/>
      <c r="P20" s="127"/>
      <c r="Q20" s="127"/>
      <c r="R20" s="127"/>
      <c r="S20" s="128"/>
      <c r="T20" s="179"/>
      <c r="U20" s="127"/>
      <c r="V20" s="127"/>
      <c r="W20" s="127"/>
      <c r="X20" s="127"/>
      <c r="Y20" s="127"/>
      <c r="Z20" s="127"/>
      <c r="AA20" s="128"/>
    </row>
    <row r="21" spans="1:27" ht="13.5" thickBot="1" x14ac:dyDescent="0.25">
      <c r="A21" s="124" t="s">
        <v>34</v>
      </c>
      <c r="B21" s="125"/>
      <c r="C21" s="125"/>
      <c r="D21" s="125"/>
      <c r="E21" s="125"/>
      <c r="F21" s="125"/>
      <c r="G21" s="125"/>
      <c r="H21" s="125"/>
      <c r="I21" s="126"/>
      <c r="J21" s="125"/>
      <c r="K21" s="125"/>
      <c r="L21" s="125"/>
      <c r="M21" s="125"/>
      <c r="N21" s="125"/>
      <c r="O21" s="125"/>
      <c r="P21" s="125"/>
      <c r="Q21" s="125"/>
      <c r="R21" s="125"/>
      <c r="S21" s="126"/>
      <c r="T21" s="178"/>
      <c r="U21" s="125"/>
      <c r="V21" s="125"/>
      <c r="W21" s="125"/>
      <c r="X21" s="125"/>
      <c r="Y21" s="125"/>
      <c r="Z21" s="125"/>
      <c r="AA21" s="126"/>
    </row>
    <row r="22" spans="1:27" x14ac:dyDescent="0.2">
      <c r="A22" s="129" t="s">
        <v>21</v>
      </c>
      <c r="B22" s="130"/>
      <c r="C22" s="130"/>
      <c r="D22" s="130"/>
      <c r="E22" s="130"/>
      <c r="F22" s="130"/>
      <c r="G22" s="130"/>
      <c r="H22" s="130"/>
      <c r="I22" s="131"/>
      <c r="J22" s="132"/>
      <c r="K22" s="130"/>
      <c r="L22" s="130"/>
      <c r="M22" s="130"/>
      <c r="N22" s="130"/>
      <c r="O22" s="130"/>
      <c r="P22" s="130"/>
      <c r="Q22" s="130"/>
      <c r="R22" s="132"/>
      <c r="S22" s="131"/>
      <c r="T22" s="180"/>
      <c r="U22" s="130"/>
      <c r="V22" s="130"/>
      <c r="W22" s="130"/>
      <c r="X22" s="130"/>
      <c r="Y22" s="130"/>
      <c r="Z22" s="130"/>
      <c r="AA22" s="131"/>
    </row>
    <row r="23" spans="1:27" x14ac:dyDescent="0.2">
      <c r="A23" s="113" t="s">
        <v>22</v>
      </c>
      <c r="B23" s="114"/>
      <c r="C23" s="114"/>
      <c r="D23" s="114"/>
      <c r="E23" s="114"/>
      <c r="F23" s="114"/>
      <c r="G23" s="114"/>
      <c r="H23" s="114"/>
      <c r="I23" s="115"/>
      <c r="J23" s="116"/>
      <c r="K23" s="114"/>
      <c r="L23" s="114"/>
      <c r="M23" s="114"/>
      <c r="N23" s="114"/>
      <c r="O23" s="114"/>
      <c r="P23" s="114"/>
      <c r="Q23" s="114"/>
      <c r="R23" s="116"/>
      <c r="S23" s="115"/>
      <c r="T23" s="175"/>
      <c r="U23" s="114"/>
      <c r="V23" s="114"/>
      <c r="W23" s="114"/>
      <c r="X23" s="114"/>
      <c r="Y23" s="114"/>
      <c r="Z23" s="114"/>
      <c r="AA23" s="115"/>
    </row>
    <row r="24" spans="1:27" x14ac:dyDescent="0.2">
      <c r="A24" s="113" t="s">
        <v>28</v>
      </c>
      <c r="B24" s="114"/>
      <c r="C24" s="114"/>
      <c r="D24" s="114"/>
      <c r="E24" s="114"/>
      <c r="F24" s="114"/>
      <c r="G24" s="114"/>
      <c r="H24" s="114"/>
      <c r="I24" s="115"/>
      <c r="J24" s="116"/>
      <c r="K24" s="114"/>
      <c r="L24" s="114"/>
      <c r="M24" s="114"/>
      <c r="N24" s="114"/>
      <c r="O24" s="114"/>
      <c r="P24" s="114"/>
      <c r="Q24" s="114"/>
      <c r="R24" s="116"/>
      <c r="S24" s="115"/>
      <c r="T24" s="175"/>
      <c r="U24" s="114"/>
      <c r="V24" s="114"/>
      <c r="W24" s="114"/>
      <c r="X24" s="114"/>
      <c r="Y24" s="114"/>
      <c r="Z24" s="114"/>
      <c r="AA24" s="115"/>
    </row>
    <row r="25" spans="1:27" ht="13.5" thickBot="1" x14ac:dyDescent="0.25">
      <c r="A25" s="133" t="s">
        <v>29</v>
      </c>
      <c r="B25" s="134"/>
      <c r="C25" s="134"/>
      <c r="D25" s="134"/>
      <c r="E25" s="134"/>
      <c r="F25" s="134"/>
      <c r="G25" s="134"/>
      <c r="H25" s="134"/>
      <c r="I25" s="135"/>
      <c r="J25" s="136"/>
      <c r="K25" s="134"/>
      <c r="L25" s="134"/>
      <c r="M25" s="134"/>
      <c r="N25" s="134"/>
      <c r="O25" s="134"/>
      <c r="P25" s="134"/>
      <c r="Q25" s="134"/>
      <c r="R25" s="136"/>
      <c r="S25" s="135"/>
      <c r="T25" s="181"/>
      <c r="U25" s="134"/>
      <c r="V25" s="134"/>
      <c r="W25" s="134"/>
      <c r="X25" s="134"/>
      <c r="Y25" s="134"/>
      <c r="Z25" s="134"/>
      <c r="AA25" s="135"/>
    </row>
    <row r="26" spans="1:27" ht="13.5" thickBot="1" x14ac:dyDescent="0.25">
      <c r="A26" s="124" t="s">
        <v>33</v>
      </c>
      <c r="B26" s="125"/>
      <c r="C26" s="125"/>
      <c r="D26" s="125"/>
      <c r="E26" s="125"/>
      <c r="F26" s="125"/>
      <c r="G26" s="125"/>
      <c r="H26" s="125"/>
      <c r="I26" s="126"/>
      <c r="J26" s="125"/>
      <c r="K26" s="125"/>
      <c r="L26" s="125"/>
      <c r="M26" s="125"/>
      <c r="N26" s="125"/>
      <c r="O26" s="125"/>
      <c r="P26" s="125"/>
      <c r="Q26" s="125"/>
      <c r="R26" s="125"/>
      <c r="S26" s="126"/>
      <c r="T26" s="178"/>
      <c r="U26" s="125"/>
      <c r="V26" s="125"/>
      <c r="W26" s="125"/>
      <c r="X26" s="125"/>
      <c r="Y26" s="125"/>
      <c r="Z26" s="125"/>
      <c r="AA26" s="126"/>
    </row>
    <row r="27" spans="1:27" x14ac:dyDescent="0.2">
      <c r="A27" s="129" t="s">
        <v>39</v>
      </c>
      <c r="B27" s="130">
        <v>1</v>
      </c>
      <c r="C27" s="130">
        <v>62</v>
      </c>
      <c r="D27" s="130">
        <v>12</v>
      </c>
      <c r="E27" s="130">
        <v>107</v>
      </c>
      <c r="F27" s="130">
        <v>10</v>
      </c>
      <c r="G27" s="130">
        <v>83</v>
      </c>
      <c r="H27" s="130">
        <v>2</v>
      </c>
      <c r="I27" s="131">
        <v>103</v>
      </c>
      <c r="J27" s="132">
        <v>5</v>
      </c>
      <c r="K27" s="130">
        <v>62</v>
      </c>
      <c r="L27" s="130">
        <v>7</v>
      </c>
      <c r="M27" s="130">
        <v>38</v>
      </c>
      <c r="N27" s="130">
        <v>4</v>
      </c>
      <c r="O27" s="130">
        <v>26</v>
      </c>
      <c r="P27" s="130">
        <v>2</v>
      </c>
      <c r="Q27" s="130">
        <v>30</v>
      </c>
      <c r="R27" s="132">
        <v>5</v>
      </c>
      <c r="S27" s="131">
        <v>50</v>
      </c>
      <c r="T27" s="180"/>
      <c r="U27" s="130"/>
      <c r="V27" s="130"/>
      <c r="W27" s="130"/>
      <c r="X27" s="130"/>
      <c r="Y27" s="130"/>
      <c r="Z27" s="130"/>
      <c r="AA27" s="131"/>
    </row>
    <row r="28" spans="1:27" x14ac:dyDescent="0.2">
      <c r="A28" s="113" t="s">
        <v>40</v>
      </c>
      <c r="B28" s="114">
        <v>0</v>
      </c>
      <c r="C28" s="114">
        <v>3</v>
      </c>
      <c r="D28" s="114">
        <v>0</v>
      </c>
      <c r="E28" s="114">
        <v>15</v>
      </c>
      <c r="F28" s="114">
        <v>1</v>
      </c>
      <c r="G28" s="114">
        <v>6</v>
      </c>
      <c r="H28" s="114">
        <v>0</v>
      </c>
      <c r="I28" s="115">
        <v>22</v>
      </c>
      <c r="J28" s="116">
        <v>0</v>
      </c>
      <c r="K28" s="114">
        <v>4</v>
      </c>
      <c r="L28" s="114">
        <v>0</v>
      </c>
      <c r="M28" s="114">
        <v>2</v>
      </c>
      <c r="N28" s="114">
        <v>0</v>
      </c>
      <c r="O28" s="114">
        <v>18</v>
      </c>
      <c r="P28" s="114">
        <v>0</v>
      </c>
      <c r="Q28" s="114">
        <v>17</v>
      </c>
      <c r="R28" s="116">
        <v>0</v>
      </c>
      <c r="S28" s="115">
        <v>18</v>
      </c>
      <c r="T28" s="175"/>
      <c r="U28" s="114"/>
      <c r="V28" s="114"/>
      <c r="W28" s="114"/>
      <c r="X28" s="114"/>
      <c r="Y28" s="114"/>
      <c r="Z28" s="114"/>
      <c r="AA28" s="115"/>
    </row>
    <row r="29" spans="1:27" x14ac:dyDescent="0.2">
      <c r="A29" s="113" t="s">
        <v>42</v>
      </c>
      <c r="B29" s="114">
        <v>4</v>
      </c>
      <c r="C29" s="114">
        <v>1</v>
      </c>
      <c r="D29" s="114">
        <v>3</v>
      </c>
      <c r="E29" s="114">
        <v>10</v>
      </c>
      <c r="F29" s="114">
        <v>0</v>
      </c>
      <c r="G29" s="114">
        <v>12</v>
      </c>
      <c r="H29" s="114">
        <v>0</v>
      </c>
      <c r="I29" s="115">
        <v>9</v>
      </c>
      <c r="J29" s="116">
        <v>2</v>
      </c>
      <c r="K29" s="114">
        <v>23</v>
      </c>
      <c r="L29" s="114">
        <v>4</v>
      </c>
      <c r="M29" s="114">
        <v>13</v>
      </c>
      <c r="N29" s="114">
        <v>3</v>
      </c>
      <c r="O29" s="114">
        <v>12</v>
      </c>
      <c r="P29" s="114">
        <v>3</v>
      </c>
      <c r="Q29" s="114">
        <v>18</v>
      </c>
      <c r="R29" s="116">
        <v>5</v>
      </c>
      <c r="S29" s="115">
        <v>41</v>
      </c>
      <c r="T29" s="175"/>
      <c r="U29" s="114"/>
      <c r="V29" s="114"/>
      <c r="W29" s="114"/>
      <c r="X29" s="114"/>
      <c r="Y29" s="114"/>
      <c r="Z29" s="114"/>
      <c r="AA29" s="115"/>
    </row>
    <row r="30" spans="1:27" ht="13.5" thickBot="1" x14ac:dyDescent="0.25">
      <c r="A30" s="133" t="s">
        <v>41</v>
      </c>
      <c r="B30" s="134">
        <v>0</v>
      </c>
      <c r="C30" s="134">
        <v>0</v>
      </c>
      <c r="D30" s="134">
        <v>0</v>
      </c>
      <c r="E30" s="134">
        <v>0</v>
      </c>
      <c r="F30" s="134">
        <v>0</v>
      </c>
      <c r="G30" s="134">
        <v>0</v>
      </c>
      <c r="H30" s="134">
        <v>0</v>
      </c>
      <c r="I30" s="135">
        <v>0</v>
      </c>
      <c r="J30" s="136">
        <v>0</v>
      </c>
      <c r="K30" s="134">
        <v>0</v>
      </c>
      <c r="L30" s="134">
        <v>0</v>
      </c>
      <c r="M30" s="134">
        <v>1</v>
      </c>
      <c r="N30" s="134">
        <v>0</v>
      </c>
      <c r="O30" s="134">
        <v>2</v>
      </c>
      <c r="P30" s="134">
        <v>0</v>
      </c>
      <c r="Q30" s="134">
        <v>0</v>
      </c>
      <c r="R30" s="136">
        <v>0</v>
      </c>
      <c r="S30" s="135">
        <v>1</v>
      </c>
      <c r="T30" s="181"/>
      <c r="U30" s="134"/>
      <c r="V30" s="134"/>
      <c r="W30" s="134"/>
      <c r="X30" s="134"/>
      <c r="Y30" s="134"/>
      <c r="Z30" s="134"/>
      <c r="AA30" s="135"/>
    </row>
    <row r="31" spans="1:27" ht="13.5" thickBot="1" x14ac:dyDescent="0.25">
      <c r="A31" s="124" t="s">
        <v>32</v>
      </c>
      <c r="B31" s="125"/>
      <c r="C31" s="125"/>
      <c r="D31" s="125"/>
      <c r="E31" s="125"/>
      <c r="F31" s="125"/>
      <c r="G31" s="125"/>
      <c r="H31" s="125"/>
      <c r="I31" s="126"/>
      <c r="J31" s="125"/>
      <c r="K31" s="125"/>
      <c r="L31" s="125"/>
      <c r="M31" s="125"/>
      <c r="N31" s="125"/>
      <c r="O31" s="125"/>
      <c r="P31" s="125"/>
      <c r="Q31" s="125"/>
      <c r="R31" s="125"/>
      <c r="S31" s="126"/>
      <c r="T31" s="178"/>
      <c r="U31" s="125"/>
      <c r="V31" s="125"/>
      <c r="W31" s="125"/>
      <c r="X31" s="125"/>
      <c r="Y31" s="125"/>
      <c r="Z31" s="125"/>
      <c r="AA31" s="126"/>
    </row>
    <row r="32" spans="1:27" x14ac:dyDescent="0.2">
      <c r="A32" s="109" t="s">
        <v>5</v>
      </c>
      <c r="B32" s="110"/>
      <c r="C32" s="110"/>
      <c r="D32" s="110"/>
      <c r="E32" s="110"/>
      <c r="F32" s="110"/>
      <c r="G32" s="110"/>
      <c r="H32" s="110"/>
      <c r="I32" s="111"/>
      <c r="J32" s="112"/>
      <c r="K32" s="110"/>
      <c r="L32" s="110"/>
      <c r="M32" s="110"/>
      <c r="N32" s="110"/>
      <c r="O32" s="110"/>
      <c r="P32" s="110"/>
      <c r="Q32" s="110"/>
      <c r="R32" s="112"/>
      <c r="S32" s="111"/>
      <c r="T32" s="174"/>
      <c r="U32" s="110"/>
      <c r="V32" s="110"/>
      <c r="W32" s="110"/>
      <c r="X32" s="110"/>
      <c r="Y32" s="110"/>
      <c r="Z32" s="110"/>
      <c r="AA32" s="111"/>
    </row>
    <row r="33" spans="1:27" ht="13.5" thickBot="1" x14ac:dyDescent="0.25">
      <c r="A33" s="117" t="s">
        <v>4</v>
      </c>
      <c r="B33" s="118"/>
      <c r="C33" s="118"/>
      <c r="D33" s="118"/>
      <c r="E33" s="118"/>
      <c r="F33" s="118"/>
      <c r="G33" s="118"/>
      <c r="H33" s="118"/>
      <c r="I33" s="119"/>
      <c r="J33" s="120"/>
      <c r="K33" s="118"/>
      <c r="L33" s="118"/>
      <c r="M33" s="118"/>
      <c r="N33" s="118"/>
      <c r="O33" s="118"/>
      <c r="P33" s="118"/>
      <c r="Q33" s="118"/>
      <c r="R33" s="120"/>
      <c r="S33" s="119"/>
      <c r="T33" s="176"/>
      <c r="U33" s="118"/>
      <c r="V33" s="118"/>
      <c r="W33" s="118"/>
      <c r="X33" s="118"/>
      <c r="Y33" s="118"/>
      <c r="Z33" s="118"/>
      <c r="AA33" s="119"/>
    </row>
  </sheetData>
  <mergeCells count="17">
    <mergeCell ref="H2:I2"/>
    <mergeCell ref="T1:AA1"/>
    <mergeCell ref="R2:S2"/>
    <mergeCell ref="T2:U2"/>
    <mergeCell ref="V2:W2"/>
    <mergeCell ref="X2:Y2"/>
    <mergeCell ref="Z2:AA2"/>
    <mergeCell ref="J1:Q1"/>
    <mergeCell ref="J2:K2"/>
    <mergeCell ref="L2:M2"/>
    <mergeCell ref="N2:O2"/>
    <mergeCell ref="P2:Q2"/>
    <mergeCell ref="A1:A3"/>
    <mergeCell ref="B1:I1"/>
    <mergeCell ref="B2:C2"/>
    <mergeCell ref="D2:E2"/>
    <mergeCell ref="F2:G2"/>
  </mergeCells>
  <printOptions horizontalCentered="1"/>
  <pageMargins left="0.25" right="0.25" top="1" bottom="1" header="0.5" footer="0.5"/>
  <pageSetup scale="6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workbookViewId="0">
      <selection activeCell="C36" sqref="C36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84" t="s">
        <v>35</v>
      </c>
    </row>
    <row r="2" spans="1:32" x14ac:dyDescent="0.2">
      <c r="B2" s="196" t="s">
        <v>148</v>
      </c>
      <c r="C2" s="197"/>
      <c r="D2" s="85" t="s">
        <v>110</v>
      </c>
    </row>
    <row r="3" spans="1:32" x14ac:dyDescent="0.2">
      <c r="A3" s="86" t="s">
        <v>111</v>
      </c>
      <c r="B3" s="87" t="s">
        <v>63</v>
      </c>
      <c r="C3" s="87" t="s">
        <v>112</v>
      </c>
      <c r="D3" s="88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9"/>
      <c r="C5" s="8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158">
        <v>10211</v>
      </c>
      <c r="C6" s="167">
        <v>1100132468</v>
      </c>
      <c r="D6" s="39" t="s">
        <v>81</v>
      </c>
      <c r="E6" s="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158">
        <v>1796</v>
      </c>
      <c r="C7" s="167">
        <v>15451320</v>
      </c>
      <c r="D7" s="39" t="s">
        <v>82</v>
      </c>
      <c r="E7" s="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162"/>
      <c r="C8" s="163"/>
      <c r="D8" s="39"/>
      <c r="E8" s="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158">
        <v>1548</v>
      </c>
      <c r="C9" s="168">
        <v>40624000</v>
      </c>
      <c r="D9" s="39" t="s">
        <v>99</v>
      </c>
      <c r="E9" s="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158">
        <v>1</v>
      </c>
      <c r="C10" s="168">
        <v>37500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113</v>
      </c>
      <c r="B11" s="158">
        <v>3</v>
      </c>
      <c r="C11" s="168">
        <v>135000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158">
        <v>1</v>
      </c>
      <c r="C12" s="168">
        <v>300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157" t="s">
        <v>0</v>
      </c>
      <c r="B13" s="158">
        <v>0</v>
      </c>
      <c r="C13" s="158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158">
        <v>0</v>
      </c>
      <c r="C14" s="158">
        <v>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162"/>
      <c r="C15" s="163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114</v>
      </c>
      <c r="B16" s="158">
        <v>0</v>
      </c>
      <c r="C16" s="158">
        <v>0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158">
        <v>0</v>
      </c>
      <c r="C17" s="158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158"/>
      <c r="C18" s="158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158"/>
      <c r="C19" s="158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115</v>
      </c>
      <c r="B20" s="162">
        <v>6</v>
      </c>
      <c r="C20" s="162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158"/>
      <c r="C21" s="15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158"/>
      <c r="C22" s="158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158"/>
      <c r="C23" s="15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4" t="s">
        <v>30</v>
      </c>
      <c r="B24" s="164"/>
      <c r="C24" s="164"/>
    </row>
    <row r="25" spans="1:32" x14ac:dyDescent="0.2">
      <c r="B25" s="198" t="str">
        <f>B2</f>
        <v>Week ending 2/22</v>
      </c>
      <c r="C25" s="199"/>
      <c r="D25" s="85" t="s">
        <v>110</v>
      </c>
    </row>
    <row r="26" spans="1:32" x14ac:dyDescent="0.2">
      <c r="A26" s="86" t="s">
        <v>111</v>
      </c>
      <c r="B26" s="165" t="s">
        <v>63</v>
      </c>
      <c r="C26" s="165" t="s">
        <v>112</v>
      </c>
      <c r="D26" s="88" t="s">
        <v>92</v>
      </c>
    </row>
    <row r="27" spans="1:32" x14ac:dyDescent="0.2">
      <c r="A27" s="2"/>
      <c r="B27" s="166"/>
      <c r="C27" s="166"/>
    </row>
    <row r="28" spans="1:32" x14ac:dyDescent="0.2">
      <c r="A28" s="5" t="s">
        <v>95</v>
      </c>
      <c r="B28" s="158"/>
      <c r="C28" s="158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158">
        <v>2449</v>
      </c>
      <c r="C29" s="158">
        <v>1765555183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158">
        <v>1860</v>
      </c>
      <c r="C30" s="158">
        <v>22539170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162"/>
      <c r="C31" s="158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158">
        <v>1587</v>
      </c>
      <c r="C32" s="158">
        <v>107025834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158">
        <v>14</v>
      </c>
      <c r="C33" s="158">
        <v>1613000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113</v>
      </c>
      <c r="B34" s="158">
        <v>10</v>
      </c>
      <c r="C34" s="158">
        <v>640000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158">
        <v>23</v>
      </c>
      <c r="C35" s="158">
        <v>377500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158">
        <v>142</v>
      </c>
      <c r="C36" s="158">
        <v>5786000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158">
        <v>6</v>
      </c>
      <c r="C37" s="158">
        <v>37500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162"/>
      <c r="C38" s="158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114</v>
      </c>
      <c r="B39" s="158">
        <v>72</v>
      </c>
      <c r="C39" s="158">
        <v>56436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158">
        <v>0</v>
      </c>
      <c r="C40" s="158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158"/>
      <c r="C41" s="158"/>
      <c r="D41" s="39"/>
      <c r="E41" s="39"/>
      <c r="F41" s="39"/>
      <c r="G41" s="39"/>
      <c r="H41" s="39"/>
      <c r="I41" s="39"/>
      <c r="J41" s="39"/>
    </row>
    <row r="42" spans="1:10" x14ac:dyDescent="0.2">
      <c r="B42" s="158"/>
      <c r="C42" s="158"/>
      <c r="D42" s="39"/>
      <c r="E42" s="39"/>
      <c r="F42" s="39"/>
      <c r="G42" s="39"/>
      <c r="H42" s="39"/>
      <c r="I42" s="39"/>
      <c r="J42" s="39"/>
    </row>
    <row r="43" spans="1:10" x14ac:dyDescent="0.2">
      <c r="B43" s="158"/>
      <c r="C43" s="158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4" t="s">
        <v>116</v>
      </c>
      <c r="B44" s="164"/>
      <c r="C44" s="164"/>
    </row>
    <row r="45" spans="1:10" x14ac:dyDescent="0.2">
      <c r="B45" s="196" t="str">
        <f>B2</f>
        <v>Week ending 2/22</v>
      </c>
      <c r="C45" s="197"/>
      <c r="D45" s="85" t="s">
        <v>110</v>
      </c>
    </row>
    <row r="46" spans="1:10" x14ac:dyDescent="0.2">
      <c r="A46" s="86" t="s">
        <v>111</v>
      </c>
      <c r="B46" s="87" t="s">
        <v>63</v>
      </c>
      <c r="C46" s="87" t="s">
        <v>112</v>
      </c>
      <c r="D46" s="88" t="s">
        <v>92</v>
      </c>
    </row>
    <row r="48" spans="1:10" x14ac:dyDescent="0.2">
      <c r="A48" s="5" t="s">
        <v>33</v>
      </c>
      <c r="B48" s="92"/>
      <c r="C48" s="92"/>
    </row>
    <row r="49" spans="1:4" x14ac:dyDescent="0.2">
      <c r="A49" s="6" t="s">
        <v>39</v>
      </c>
      <c r="B49" s="92">
        <v>4</v>
      </c>
      <c r="C49" s="92">
        <v>176000</v>
      </c>
      <c r="D49" t="s">
        <v>117</v>
      </c>
    </row>
    <row r="50" spans="1:4" x14ac:dyDescent="0.2">
      <c r="A50" s="6" t="s">
        <v>40</v>
      </c>
      <c r="B50" s="92"/>
      <c r="C50" s="92"/>
    </row>
    <row r="51" spans="1:4" x14ac:dyDescent="0.2">
      <c r="A51" s="6" t="s">
        <v>42</v>
      </c>
      <c r="B51" s="92"/>
      <c r="C51" s="92"/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121</v>
      </c>
      <c r="C55" s="93">
        <f>C49/1000</f>
        <v>176</v>
      </c>
    </row>
    <row r="58" spans="1:4" s="2" customFormat="1" x14ac:dyDescent="0.2">
      <c r="A58" s="5" t="s">
        <v>122</v>
      </c>
      <c r="C58" s="94">
        <f>C55+C51+C40+C39+C17+C16</f>
        <v>56612</v>
      </c>
    </row>
  </sheetData>
  <mergeCells count="3">
    <mergeCell ref="B2:C2"/>
    <mergeCell ref="B25:C25"/>
    <mergeCell ref="B45:C45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12" workbookViewId="0">
      <pane xSplit="1" topLeftCell="B1" activePane="topRight" state="frozen"/>
      <selection pane="topRight" activeCell="B36" sqref="B36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45.140625" customWidth="1"/>
  </cols>
  <sheetData>
    <row r="1" spans="1:32" ht="23.25" x14ac:dyDescent="0.35">
      <c r="A1" s="84" t="s">
        <v>35</v>
      </c>
    </row>
    <row r="2" spans="1:32" x14ac:dyDescent="0.2">
      <c r="B2" s="196" t="s">
        <v>158</v>
      </c>
      <c r="C2" s="197"/>
      <c r="D2" s="85" t="s">
        <v>110</v>
      </c>
    </row>
    <row r="3" spans="1:32" x14ac:dyDescent="0.2">
      <c r="A3" s="86" t="s">
        <v>111</v>
      </c>
      <c r="B3" s="87" t="s">
        <v>63</v>
      </c>
      <c r="C3" s="87" t="s">
        <v>112</v>
      </c>
      <c r="D3" s="88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9"/>
      <c r="C5" s="8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158">
        <v>12043</v>
      </c>
      <c r="C6" s="161">
        <v>1626706705</v>
      </c>
      <c r="D6" s="39" t="s">
        <v>81</v>
      </c>
      <c r="E6" s="155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158">
        <v>1776</v>
      </c>
      <c r="C7" s="161">
        <v>19123325</v>
      </c>
      <c r="D7" s="39" t="s">
        <v>82</v>
      </c>
      <c r="E7" s="155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162"/>
      <c r="C8" s="163"/>
      <c r="D8" s="39"/>
      <c r="E8" s="155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158">
        <v>1184</v>
      </c>
      <c r="C9" s="159">
        <v>33587500.009999998</v>
      </c>
      <c r="D9" s="39" t="s">
        <v>99</v>
      </c>
      <c r="E9" s="155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158">
        <v>1</v>
      </c>
      <c r="C10" s="159">
        <v>23250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113</v>
      </c>
      <c r="B11" s="158">
        <v>2</v>
      </c>
      <c r="C11" s="159">
        <v>90000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158">
        <v>4</v>
      </c>
      <c r="C12" s="159">
        <v>1200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157" t="s">
        <v>0</v>
      </c>
      <c r="B13" s="158">
        <v>0</v>
      </c>
      <c r="C13" s="158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158">
        <v>0</v>
      </c>
      <c r="C14" s="158">
        <v>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162"/>
      <c r="C15" s="163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114</v>
      </c>
      <c r="B16" s="158">
        <v>0</v>
      </c>
      <c r="C16" s="158">
        <v>0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158">
        <v>0</v>
      </c>
      <c r="C17" s="158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158"/>
      <c r="C18" s="158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158"/>
      <c r="C19" s="158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115</v>
      </c>
      <c r="B20" s="162">
        <v>7</v>
      </c>
      <c r="C20" s="162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158"/>
      <c r="C21" s="15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158"/>
      <c r="C22" s="158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158"/>
      <c r="C23" s="15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4" t="s">
        <v>30</v>
      </c>
      <c r="B24" s="164"/>
      <c r="C24" s="164"/>
    </row>
    <row r="25" spans="1:32" x14ac:dyDescent="0.2">
      <c r="B25" s="198" t="s">
        <v>158</v>
      </c>
      <c r="C25" s="199"/>
      <c r="D25" s="85" t="s">
        <v>110</v>
      </c>
    </row>
    <row r="26" spans="1:32" x14ac:dyDescent="0.2">
      <c r="A26" s="86" t="s">
        <v>111</v>
      </c>
      <c r="B26" s="165" t="s">
        <v>63</v>
      </c>
      <c r="C26" s="165" t="s">
        <v>112</v>
      </c>
      <c r="D26" s="88" t="s">
        <v>92</v>
      </c>
    </row>
    <row r="27" spans="1:32" x14ac:dyDescent="0.2">
      <c r="A27" s="2"/>
      <c r="B27" s="166"/>
      <c r="C27" s="166"/>
    </row>
    <row r="28" spans="1:32" x14ac:dyDescent="0.2">
      <c r="A28" s="5" t="s">
        <v>95</v>
      </c>
      <c r="B28" s="158"/>
      <c r="C28" s="158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158">
        <v>3029</v>
      </c>
      <c r="C29" s="158">
        <v>1755371946.1900001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158">
        <v>1995</v>
      </c>
      <c r="C30" s="158">
        <v>24524311.379999999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162"/>
      <c r="C31" s="158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158">
        <v>1409</v>
      </c>
      <c r="C32" s="158">
        <v>113725513.07000001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158">
        <v>9</v>
      </c>
      <c r="C33" s="158">
        <v>705250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113</v>
      </c>
      <c r="B34" s="158">
        <v>0</v>
      </c>
      <c r="C34" s="158">
        <v>0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158">
        <v>14</v>
      </c>
      <c r="C35" s="158">
        <v>68000</v>
      </c>
      <c r="D35" s="39" t="s">
        <v>101</v>
      </c>
      <c r="E35" s="39"/>
      <c r="F35" s="39"/>
      <c r="G35" s="39"/>
      <c r="H35" s="39"/>
      <c r="I35" s="39"/>
      <c r="J35" s="39"/>
    </row>
    <row r="36" spans="1:10" ht="76.5" x14ac:dyDescent="0.2">
      <c r="A36" s="6" t="s">
        <v>0</v>
      </c>
      <c r="B36" s="158">
        <v>102</v>
      </c>
      <c r="C36" s="158">
        <v>4422278</v>
      </c>
      <c r="D36" s="39" t="s">
        <v>102</v>
      </c>
      <c r="E36" s="39"/>
      <c r="F36" s="182" t="s">
        <v>159</v>
      </c>
      <c r="G36" s="39"/>
      <c r="H36" s="39"/>
      <c r="I36" s="39"/>
      <c r="J36" s="39"/>
    </row>
    <row r="37" spans="1:10" x14ac:dyDescent="0.2">
      <c r="A37" s="6" t="s">
        <v>13</v>
      </c>
      <c r="B37" s="158">
        <v>3</v>
      </c>
      <c r="C37" s="158">
        <v>7500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162"/>
      <c r="C38" s="158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114</v>
      </c>
      <c r="B39" s="158">
        <v>107</v>
      </c>
      <c r="C39" s="158">
        <v>161955.196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158">
        <v>0</v>
      </c>
      <c r="C40" s="158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158"/>
      <c r="C41" s="158"/>
      <c r="D41" s="39"/>
      <c r="E41" s="39"/>
      <c r="F41" s="39"/>
      <c r="G41" s="39"/>
      <c r="H41" s="39"/>
      <c r="I41" s="39"/>
      <c r="J41" s="39"/>
    </row>
    <row r="42" spans="1:10" x14ac:dyDescent="0.2">
      <c r="B42" s="158"/>
      <c r="C42" s="158"/>
      <c r="D42" s="39"/>
      <c r="E42" s="39"/>
      <c r="F42" s="39"/>
      <c r="G42" s="39"/>
      <c r="H42" s="39"/>
      <c r="I42" s="39"/>
      <c r="J42" s="39"/>
    </row>
    <row r="43" spans="1:10" x14ac:dyDescent="0.2">
      <c r="B43" s="158"/>
      <c r="C43" s="158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4" t="s">
        <v>116</v>
      </c>
      <c r="B44" s="164"/>
      <c r="C44" s="164"/>
    </row>
    <row r="45" spans="1:10" x14ac:dyDescent="0.2">
      <c r="B45" s="196" t="s">
        <v>158</v>
      </c>
      <c r="C45" s="197"/>
      <c r="D45" s="85" t="s">
        <v>110</v>
      </c>
    </row>
    <row r="46" spans="1:10" x14ac:dyDescent="0.2">
      <c r="A46" s="86" t="s">
        <v>111</v>
      </c>
      <c r="B46" s="87" t="s">
        <v>63</v>
      </c>
      <c r="C46" s="87" t="s">
        <v>112</v>
      </c>
      <c r="D46" s="88" t="s">
        <v>92</v>
      </c>
    </row>
    <row r="48" spans="1:10" x14ac:dyDescent="0.2">
      <c r="A48" s="5" t="s">
        <v>33</v>
      </c>
      <c r="B48" s="92"/>
      <c r="C48" s="92"/>
    </row>
    <row r="49" spans="1:4" x14ac:dyDescent="0.2">
      <c r="A49" s="6" t="s">
        <v>39</v>
      </c>
      <c r="B49" s="92">
        <v>5</v>
      </c>
      <c r="C49" s="92">
        <v>401000</v>
      </c>
      <c r="D49" t="s">
        <v>117</v>
      </c>
    </row>
    <row r="50" spans="1:4" x14ac:dyDescent="0.2">
      <c r="A50" s="6" t="s">
        <v>40</v>
      </c>
      <c r="B50" s="92"/>
      <c r="C50" s="92"/>
    </row>
    <row r="51" spans="1:4" x14ac:dyDescent="0.2">
      <c r="A51" s="6" t="s">
        <v>42</v>
      </c>
      <c r="B51" s="92">
        <v>5</v>
      </c>
      <c r="C51" s="92">
        <v>947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121</v>
      </c>
      <c r="C55" s="93">
        <v>401</v>
      </c>
    </row>
    <row r="58" spans="1:4" s="2" customFormat="1" x14ac:dyDescent="0.2">
      <c r="A58" s="5" t="s">
        <v>122</v>
      </c>
      <c r="C58" s="94">
        <v>163303.196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6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84" t="s">
        <v>35</v>
      </c>
    </row>
    <row r="2" spans="1:32" x14ac:dyDescent="0.2">
      <c r="B2" s="196" t="s">
        <v>146</v>
      </c>
      <c r="C2" s="197"/>
      <c r="D2" s="85" t="s">
        <v>110</v>
      </c>
    </row>
    <row r="3" spans="1:32" x14ac:dyDescent="0.2">
      <c r="A3" s="86" t="s">
        <v>111</v>
      </c>
      <c r="B3" s="87" t="s">
        <v>63</v>
      </c>
      <c r="C3" s="87" t="s">
        <v>112</v>
      </c>
      <c r="D3" s="88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9"/>
      <c r="C5" s="8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158">
        <f>'[2]Thrusday 02-15-01'!S9+'[2]Thrusday 02-15-01'!S10+-'[2]Thursday 02-08-01'!S9-'[2]Thursday 02-08-01'!S10</f>
        <v>14423</v>
      </c>
      <c r="C6" s="161">
        <f>'[2]Thrusday 02-15-01'!S67+'[2]Thrusday 02-15-01'!S68-'[2]Thursday 02-08-01'!S67-'[2]Thursday 02-08-01'!S68</f>
        <v>1547814272.2600002</v>
      </c>
      <c r="D6" s="39" t="s">
        <v>81</v>
      </c>
      <c r="E6" s="155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158">
        <f>'[2]Thrusday 02-15-01'!S17+'[2]Thrusday 02-15-01'!S18-'[2]Thursday 02-08-01'!S17-'[2]Thursday 02-08-01'!S18</f>
        <v>2195</v>
      </c>
      <c r="C7" s="161">
        <f>'[2]Thrusday 02-15-01'!S75+'[2]Thrusday 02-15-01'!S76-'[2]Thursday 02-08-01'!S75-'[2]Thursday 02-08-01'!S76</f>
        <v>19115360</v>
      </c>
      <c r="D7" s="39" t="s">
        <v>82</v>
      </c>
      <c r="E7" s="155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162"/>
      <c r="C8" s="163"/>
      <c r="D8" s="39"/>
      <c r="E8" s="155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158">
        <f>'[2]Thrusday 02-15-01'!S30+'[2]Thrusday 02-15-01'!S31+'[2]Thrusday 02-15-01'!S33-'[2]Thursday 02-08-01'!S30-'[2]Thursday 02-08-01'!S31-'[2]Thursday 02-08-01'!S33</f>
        <v>1567</v>
      </c>
      <c r="C9" s="159">
        <f>'[2]Thrusday 02-15-01'!S88+'[2]Thrusday 02-15-01'!S89+'[2]Thrusday 02-15-01'!S91-'[2]Thursday 02-08-01'!S88-'[2]Thursday 02-08-01'!S89-'[2]Thursday 02-08-01'!S91</f>
        <v>40310000.009999976</v>
      </c>
      <c r="D9" s="39" t="s">
        <v>99</v>
      </c>
      <c r="E9" s="155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158">
        <f>'[2]Thrusday 02-15-01'!S34-'[2]Thursday 02-08-01'!S34</f>
        <v>3</v>
      </c>
      <c r="C10" s="159">
        <f>'[2]Thrusday 02-15-01'!S92-'[2]Thursday 02-08-01'!S92</f>
        <v>82750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113</v>
      </c>
      <c r="B11" s="158">
        <f>'[2]Thrusday 02-15-01'!S35-'[2]Thursday 02-08-01'!S35</f>
        <v>19</v>
      </c>
      <c r="C11" s="159">
        <f>'[2]Thrusday 02-15-01'!S93-'[2]Thursday 02-08-01'!S93</f>
        <v>825000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158">
        <f>'[2]Thrusday 02-15-01'!S39-'[2]Thursday 02-08-01'!S39</f>
        <v>10</v>
      </c>
      <c r="C12" s="159">
        <f>'[2]Thrusday 02-15-01'!S97-'[2]Thursday 02-08-01'!S97</f>
        <v>3000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157" t="s">
        <v>0</v>
      </c>
      <c r="B13" s="158">
        <f>'[2]Thrusday 02-15-01'!S48-'[2]Thursday 02-08-01'!S47</f>
        <v>0</v>
      </c>
      <c r="C13" s="159">
        <f>'[2]Thrusday 02-15-01'!S105-'[2]Thursday 02-08-01'!S105</f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158">
        <f>'[2]Thrusday 02-15-01'!S37-'[2]Thursday 02-08-01'!S37</f>
        <v>8</v>
      </c>
      <c r="C14" s="159">
        <f>'[2]Thrusday 02-15-01'!S95-'[2]Thursday 02-08-01'!S95</f>
        <v>10000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162"/>
      <c r="C15" s="163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114</v>
      </c>
      <c r="B16" s="158">
        <f>'[2]Thrusday 02-15-01'!S38-'[2]Thursday 02-08-01'!S38</f>
        <v>0</v>
      </c>
      <c r="C16" s="159">
        <f>'[2]Thrusday 02-15-01'!S96-'[2]Thursday 02-08-01'!S96</f>
        <v>0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158">
        <f>'[2]Thrusday 02-15-01'!S44-'[2]Thursday 02-08-01'!S44</f>
        <v>0</v>
      </c>
      <c r="C17" s="159">
        <f>'[2]Thrusday 02-15-01'!S102-'[2]Thursday 02-08-01'!S101</f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158"/>
      <c r="C18" s="158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158"/>
      <c r="C19" s="158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115</v>
      </c>
      <c r="B20" s="162">
        <v>4</v>
      </c>
      <c r="C20" s="162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158"/>
      <c r="C21" s="15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158"/>
      <c r="C22" s="158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158"/>
      <c r="C23" s="15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4" t="s">
        <v>30</v>
      </c>
      <c r="B24" s="164"/>
      <c r="C24" s="164"/>
    </row>
    <row r="25" spans="1:32" x14ac:dyDescent="0.2">
      <c r="B25" s="198" t="s">
        <v>146</v>
      </c>
      <c r="C25" s="199"/>
      <c r="D25" s="85" t="s">
        <v>110</v>
      </c>
    </row>
    <row r="26" spans="1:32" x14ac:dyDescent="0.2">
      <c r="A26" s="86" t="s">
        <v>111</v>
      </c>
      <c r="B26" s="165" t="s">
        <v>63</v>
      </c>
      <c r="C26" s="165" t="s">
        <v>112</v>
      </c>
      <c r="D26" s="88" t="s">
        <v>92</v>
      </c>
    </row>
    <row r="27" spans="1:32" x14ac:dyDescent="0.2">
      <c r="A27" s="2"/>
      <c r="B27" s="166"/>
      <c r="C27" s="166"/>
    </row>
    <row r="28" spans="1:32" x14ac:dyDescent="0.2">
      <c r="A28" s="5" t="s">
        <v>95</v>
      </c>
      <c r="B28" s="158"/>
      <c r="C28" s="158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158">
        <f>'[2]Thrusday 02-15-01'!T9+'[2]Thrusday 02-15-01'!T10-'[2]Thursday 02-08-01'!T9-'[2]Thursday 02-08-01'!T10</f>
        <v>2800</v>
      </c>
      <c r="C29" s="158">
        <f>'[2]Thrusday 02-15-01'!T67+'[2]Thrusday 02-15-01'!T68-'[2]Thursday 02-08-01'!T67-'[2]Thursday 02-08-01'!T68</f>
        <v>2702923729.9499989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158">
        <f>'[2]Thrusday 02-15-01'!T17+'[2]Thrusday 02-15-01'!T18-'[2]Thursday 02-08-01'!T17-'[2]Thursday 02-08-01'!T18</f>
        <v>2392</v>
      </c>
      <c r="C30" s="158">
        <f>'[2]Thrusday 02-15-01'!T75+'[2]Thrusday 02-15-01'!T76-'[2]Thursday 02-08-01'!T75-'[2]Thursday 02-08-01'!T76</f>
        <v>29975959.190000027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162"/>
      <c r="C31" s="158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158">
        <f>'[2]Thrusday 02-15-01'!T30+'[2]Thrusday 02-15-01'!T31+'[2]Thrusday 02-15-01'!T33-'[2]Thursday 02-08-01'!T30-'[2]Thursday 02-08-01'!T31-'[2]Thursday 02-08-01'!T33</f>
        <v>1786</v>
      </c>
      <c r="C32" s="158">
        <f>'[2]Thrusday 02-15-01'!T88+'[2]Thrusday 02-15-01'!T89+'[2]Thrusday 02-15-01'!T91-'[2]Thursday 02-08-01'!T88-'[2]Thursday 02-08-01'!T89-'[2]Thursday 02-08-01'!T91</f>
        <v>134484274.45999992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158">
        <f>'[2]Thrusday 02-15-01'!T34-'[2]Thursday 02-08-01'!T34</f>
        <v>13</v>
      </c>
      <c r="C33" s="158">
        <f>'[2]Thrusday 02-15-01'!T92-'[2]Thursday 02-08-01'!T92</f>
        <v>1827699.9600000009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113</v>
      </c>
      <c r="B34" s="158">
        <f>'[2]Thrusday 02-15-01'!T35-'[2]Thursday 02-08-01'!T35</f>
        <v>23</v>
      </c>
      <c r="C34" s="158">
        <f>'[2]Thrusday 02-15-01'!T93-'[2]Thursday 02-08-01'!T93</f>
        <v>1302500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158">
        <f>'[2]Thrusday 02-15-01'!T39-'[2]Thursday 02-08-01'!T39</f>
        <v>29</v>
      </c>
      <c r="C35" s="158">
        <f>'[2]Thrusday 02-15-01'!T97-'[2]Thursday 02-08-01'!T97</f>
        <v>140000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158">
        <f>'[2]Thrusday 02-15-01'!T48-'[2]Thursday 02-08-01'!T47</f>
        <v>122</v>
      </c>
      <c r="C36" s="158">
        <f>'[2]Thrusday 02-15-01'!T106-'[2]Thursday 02-08-01'!T105</f>
        <v>4975000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158">
        <f>'[2]Thrusday 02-15-01'!T37-'[2]Thursday 02-08-01'!T37</f>
        <v>12</v>
      </c>
      <c r="C37" s="158">
        <f>'[2]Thrusday 02-15-01'!T95-'[2]Thursday 02-08-01'!T95</f>
        <v>30000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162"/>
      <c r="C38" s="158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114</v>
      </c>
      <c r="B39" s="158">
        <f>'[2]Thrusday 02-15-01'!T38-'[2]Thursday 02-08-01'!T38+34</f>
        <v>82</v>
      </c>
      <c r="C39" s="158">
        <v>9638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158">
        <f>'[2]Thrusday 02-15-01'!T44-'[2]Thursday 02-08-01'!T43</f>
        <v>1</v>
      </c>
      <c r="C40" s="158">
        <f>'[2]Thrusday 02-15-01'!T102-'[2]Thursday 02-08-01'!T101</f>
        <v>1270.5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158"/>
      <c r="C41" s="158"/>
      <c r="D41" s="39"/>
      <c r="E41" s="39"/>
      <c r="F41" s="39"/>
      <c r="G41" s="39"/>
      <c r="H41" s="39"/>
      <c r="I41" s="39"/>
      <c r="J41" s="39"/>
    </row>
    <row r="42" spans="1:10" x14ac:dyDescent="0.2">
      <c r="B42" s="158"/>
      <c r="C42" s="158"/>
      <c r="D42" s="39"/>
      <c r="E42" s="39"/>
      <c r="F42" s="39"/>
      <c r="G42" s="39"/>
      <c r="H42" s="39"/>
      <c r="I42" s="39"/>
      <c r="J42" s="39"/>
    </row>
    <row r="43" spans="1:10" x14ac:dyDescent="0.2">
      <c r="B43" s="158"/>
      <c r="C43" s="158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4" t="s">
        <v>116</v>
      </c>
      <c r="B44" s="164"/>
      <c r="C44" s="164"/>
    </row>
    <row r="45" spans="1:10" x14ac:dyDescent="0.2">
      <c r="B45" s="196" t="s">
        <v>146</v>
      </c>
      <c r="C45" s="197"/>
      <c r="D45" s="85" t="s">
        <v>110</v>
      </c>
    </row>
    <row r="46" spans="1:10" x14ac:dyDescent="0.2">
      <c r="A46" s="86" t="s">
        <v>111</v>
      </c>
      <c r="B46" s="87" t="s">
        <v>63</v>
      </c>
      <c r="C46" s="87" t="s">
        <v>112</v>
      </c>
      <c r="D46" s="88" t="s">
        <v>92</v>
      </c>
    </row>
    <row r="48" spans="1:10" x14ac:dyDescent="0.2">
      <c r="A48" s="5" t="s">
        <v>33</v>
      </c>
      <c r="B48" s="92"/>
      <c r="C48" s="92"/>
    </row>
    <row r="49" spans="1:4" x14ac:dyDescent="0.2">
      <c r="A49" s="6" t="s">
        <v>39</v>
      </c>
      <c r="B49" s="92">
        <v>4</v>
      </c>
      <c r="C49" s="92">
        <v>374000</v>
      </c>
      <c r="D49" t="s">
        <v>117</v>
      </c>
    </row>
    <row r="50" spans="1:4" x14ac:dyDescent="0.2">
      <c r="A50" s="6" t="s">
        <v>40</v>
      </c>
      <c r="B50" s="92"/>
      <c r="C50" s="92"/>
    </row>
    <row r="51" spans="1:4" x14ac:dyDescent="0.2">
      <c r="A51" s="6" t="s">
        <v>42</v>
      </c>
      <c r="B51" s="92">
        <v>3</v>
      </c>
      <c r="C51" s="92">
        <v>680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121</v>
      </c>
      <c r="C55" s="93">
        <f>C49/1000</f>
        <v>374</v>
      </c>
    </row>
    <row r="58" spans="1:4" s="2" customFormat="1" x14ac:dyDescent="0.2">
      <c r="A58" s="5" t="s">
        <v>122</v>
      </c>
      <c r="C58" s="94">
        <f>C55+C51+C40+C39+C17+C16</f>
        <v>11962.5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0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84" t="s">
        <v>35</v>
      </c>
    </row>
    <row r="2" spans="1:32" x14ac:dyDescent="0.2">
      <c r="B2" s="196" t="s">
        <v>143</v>
      </c>
      <c r="C2" s="197"/>
      <c r="D2" s="85" t="s">
        <v>110</v>
      </c>
    </row>
    <row r="3" spans="1:32" x14ac:dyDescent="0.2">
      <c r="A3" s="86" t="s">
        <v>111</v>
      </c>
      <c r="B3" s="87" t="s">
        <v>63</v>
      </c>
      <c r="C3" s="87" t="s">
        <v>112</v>
      </c>
      <c r="D3" s="88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9"/>
      <c r="C5" s="8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39">
        <f>'[1]Thrusday 02-08-01'!S9+'[1]Thrusday 02-08-01'!S10+-'[1]Thursday 02-01-01'!S9-'[1]Thursday 02-01-01'!S10</f>
        <v>15960</v>
      </c>
      <c r="C6" s="92">
        <f>'[1]Thrusday 02-08-01'!S67+'[1]Thrusday 02-08-01'!S68-'[1]Thursday 02-01-01'!S67-'[1]Thursday 02-01-01'!S68</f>
        <v>1917251550.2199991</v>
      </c>
      <c r="D6" s="39" t="s">
        <v>81</v>
      </c>
      <c r="E6" s="155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39">
        <f>'[1]Thrusday 02-08-01'!S17+'[1]Thrusday 02-08-01'!S18-'[1]Thursday 02-01-01'!S17-'[1]Thursday 02-01-01'!S18</f>
        <v>2251</v>
      </c>
      <c r="C7" s="92">
        <f>'[1]Thrusday 02-08-01'!S75+'[1]Thrusday 02-08-01'!S76-'[1]Thursday 02-01-01'!S75-'[1]Thursday 02-01-01'!S76</f>
        <v>23577055</v>
      </c>
      <c r="D7" s="39" t="s">
        <v>82</v>
      </c>
      <c r="E7" s="155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89"/>
      <c r="C8" s="137"/>
      <c r="D8" s="39"/>
      <c r="E8" s="155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39">
        <f>'[1]Thrusday 02-08-01'!S30+'[1]Thrusday 02-08-01'!S31+'[1]Thrusday 02-08-01'!S33-'[1]Thursday 02-01-01'!S30-'[1]Thursday 02-01-01'!S31-'[1]Thursday 02-01-01'!S33</f>
        <v>1758</v>
      </c>
      <c r="C9" s="156">
        <f>'[1]Thrusday 02-08-01'!S88+'[1]Thrusday 02-08-01'!S89+'[1]Thrusday 02-08-01'!S91-'[1]Thursday 02-01-01'!S88-'[1]Thursday 02-01-01'!S89-'[1]Thursday 02-01-01'!S91</f>
        <v>44727857.139999986</v>
      </c>
      <c r="D9" s="39" t="s">
        <v>99</v>
      </c>
      <c r="E9" s="155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39">
        <f>'[1]Thrusday 02-08-01'!S34-'[1]Thursday 02-01-01'!S34</f>
        <v>6</v>
      </c>
      <c r="C10" s="156">
        <f>'[1]Thrusday 02-08-01'!S92-'[1]Thursday 02-01-01'!S92</f>
        <v>225000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113</v>
      </c>
      <c r="B11" s="39">
        <f>'[1]Thrusday 02-08-01'!S35-'[1]Thursday 02-01-01'!S35</f>
        <v>2</v>
      </c>
      <c r="C11" s="156">
        <f>'[1]Thrusday 02-08-01'!S93-'[1]Thursday 02-01-01'!S93</f>
        <v>90000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39">
        <f>'[1]Thrusday 02-08-01'!S39-'[1]Thursday 02-01-01'!S39</f>
        <v>13</v>
      </c>
      <c r="C12" s="156">
        <f>'[1]Thrusday 02-08-01'!S97-'[1]Thursday 02-01-01'!S97</f>
        <v>6400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157" t="s">
        <v>0</v>
      </c>
      <c r="B13" s="158">
        <f>'[1]Thrusday 02-08-01'!S47-'[1]Thursday 02-01-01'!S47</f>
        <v>0</v>
      </c>
      <c r="C13" s="156">
        <f>'[1]Thrusday 02-08-01'!S105-'[1]Thursday 02-01-01'!S105</f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39">
        <f>'[1]Thrusday 02-08-01'!S37-'[1]Thursday 02-01-01'!S37</f>
        <v>16</v>
      </c>
      <c r="C14" s="156">
        <f>'[1]Thrusday 02-08-01'!S95-'[1]Thursday 02-01-01'!S95</f>
        <v>40000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89"/>
      <c r="C15" s="137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114</v>
      </c>
      <c r="B16" s="158">
        <f>'[1]Thrusday 02-08-01'!S38-'[1]Thursday 02-01-01'!S38+11</f>
        <v>11</v>
      </c>
      <c r="C16" s="159">
        <f>'[1]Thrusday 02-08-01'!S96-'[1]Thursday 02-01-01'!S96+1068</f>
        <v>1068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39">
        <f>'[1]Thrusday 02-08-01'!S43-'[1]Thursday 02-01-01'!S43</f>
        <v>0</v>
      </c>
      <c r="C17" s="156">
        <f>'[1]Thrusday 02-08-01'!S101-'[1]Thursday 02-01-01'!S101</f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115</v>
      </c>
      <c r="B20" s="89">
        <v>12</v>
      </c>
      <c r="C20" s="8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4" t="s">
        <v>30</v>
      </c>
    </row>
    <row r="25" spans="1:32" x14ac:dyDescent="0.2">
      <c r="B25" s="196" t="s">
        <v>143</v>
      </c>
      <c r="C25" s="197"/>
      <c r="D25" s="85" t="s">
        <v>110</v>
      </c>
    </row>
    <row r="26" spans="1:32" x14ac:dyDescent="0.2">
      <c r="A26" s="86" t="s">
        <v>111</v>
      </c>
      <c r="B26" s="87" t="s">
        <v>63</v>
      </c>
      <c r="C26" s="87" t="s">
        <v>112</v>
      </c>
      <c r="D26" s="88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39">
        <f>'[1]Thrusday 02-08-01'!T9+'[1]Thrusday 02-08-01'!T10-'[1]Thursday 02-01-01'!T9-'[1]Thursday 02-01-01'!T10</f>
        <v>2561</v>
      </c>
      <c r="C29" s="39">
        <f>'[1]Thrusday 02-08-01'!T67+'[1]Thrusday 02-08-01'!T68-'[1]Thursday 02-01-01'!T67-'[1]Thursday 02-01-01'!T68</f>
        <v>1668926814.4200001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39">
        <f>'[1]Thrusday 02-08-01'!T17+'[1]Thrusday 02-08-01'!T18-'[1]Thursday 02-01-01'!T17-'[1]Thursday 02-01-01'!T18</f>
        <v>2380</v>
      </c>
      <c r="C30" s="39">
        <f>'[1]Thrusday 02-08-01'!T75+'[1]Thrusday 02-08-01'!T76-'[1]Thursday 02-01-01'!T75-'[1]Thursday 02-01-01'!T76</f>
        <v>27822910.140000008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89"/>
      <c r="C31" s="39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39">
        <f>'[1]Thrusday 02-08-01'!T30+'[1]Thrusday 02-08-01'!T31+'[1]Thrusday 02-08-01'!T33-'[1]Thursday 02-01-01'!T30-'[1]Thursday 02-01-01'!T31-'[1]Thursday 02-01-01'!T33</f>
        <v>1617</v>
      </c>
      <c r="C32" s="39">
        <f>'[1]Thrusday 02-08-01'!T88+'[1]Thrusday 02-08-01'!T89+'[1]Thrusday 02-08-01'!T91-'[1]Thursday 02-01-01'!T88-'[1]Thursday 02-01-01'!T89-'[1]Thursday 02-01-01'!T91</f>
        <v>109669662.09000002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39">
        <f>'[1]Thrusday 02-08-01'!T34-'[1]Thursday 02-01-01'!T34</f>
        <v>23</v>
      </c>
      <c r="C33" s="39">
        <f>'[1]Thrusday 02-08-01'!T92-'[1]Thursday 02-01-01'!T92</f>
        <v>3909990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113</v>
      </c>
      <c r="B34" s="39">
        <f>'[1]Thrusday 02-08-01'!T35-'[1]Thursday 02-01-01'!T35</f>
        <v>21</v>
      </c>
      <c r="C34" s="39">
        <f>'[1]Thrusday 02-08-01'!T93-'[1]Thursday 02-01-01'!T93</f>
        <v>1437499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39">
        <f>'[1]Thrusday 02-08-01'!T39-'[1]Thursday 02-01-01'!T39</f>
        <v>11</v>
      </c>
      <c r="C35" s="39">
        <f>'[1]Thrusday 02-08-01'!T97-'[1]Thursday 02-01-01'!T97</f>
        <v>97000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158">
        <f>'[1]Thrusday 02-08-01'!T47-'[1]Thursday 02-01-01'!T47</f>
        <v>153</v>
      </c>
      <c r="C36" s="39">
        <f>'[1]Thrusday 02-08-01'!T105-'[1]Thursday 02-01-01'!T105</f>
        <v>8754250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39">
        <f>'[1]Thrusday 02-08-01'!T37-'[1]Thursday 02-01-01'!T37</f>
        <v>17</v>
      </c>
      <c r="C37" s="39">
        <f>'[1]Thrusday 02-08-01'!T95-'[1]Thursday 02-01-01'!T95</f>
        <v>60100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89"/>
      <c r="C38" s="39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114</v>
      </c>
      <c r="B39" s="158">
        <f>'[1]Thrusday 02-08-01'!T38-'[1]Thursday 02-01-01'!T38+25</f>
        <v>88</v>
      </c>
      <c r="C39" s="158">
        <f>'[1]Thrusday 02-08-01'!T96-'[1]Thursday 02-01-01'!T96+24083</f>
        <v>83999.899999999965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39">
        <f>'[1]Thrusday 02-08-01'!T43-'[1]Thursday 02-01-01'!T43</f>
        <v>10</v>
      </c>
      <c r="C40" s="39">
        <f>'[1]Thrusday 02-08-01'!T101-'[1]Thursday 02-01-01'!T101</f>
        <v>20000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4" t="s">
        <v>116</v>
      </c>
    </row>
    <row r="45" spans="1:10" x14ac:dyDescent="0.2">
      <c r="B45" s="196" t="s">
        <v>143</v>
      </c>
      <c r="C45" s="197"/>
      <c r="D45" s="85" t="s">
        <v>110</v>
      </c>
    </row>
    <row r="46" spans="1:10" x14ac:dyDescent="0.2">
      <c r="A46" s="86" t="s">
        <v>111</v>
      </c>
      <c r="B46" s="87" t="s">
        <v>63</v>
      </c>
      <c r="C46" s="87" t="s">
        <v>112</v>
      </c>
      <c r="D46" s="88" t="s">
        <v>92</v>
      </c>
    </row>
    <row r="48" spans="1:10" x14ac:dyDescent="0.2">
      <c r="A48" s="5" t="s">
        <v>33</v>
      </c>
      <c r="B48" s="92"/>
      <c r="C48" s="92"/>
    </row>
    <row r="49" spans="1:4" x14ac:dyDescent="0.2">
      <c r="A49" s="6" t="s">
        <v>39</v>
      </c>
      <c r="B49" s="92">
        <v>7</v>
      </c>
      <c r="C49" s="92">
        <v>668000</v>
      </c>
      <c r="D49" t="s">
        <v>117</v>
      </c>
    </row>
    <row r="50" spans="1:4" x14ac:dyDescent="0.2">
      <c r="A50" s="6" t="s">
        <v>40</v>
      </c>
      <c r="B50" s="92"/>
      <c r="C50" s="92"/>
    </row>
    <row r="51" spans="1:4" x14ac:dyDescent="0.2">
      <c r="A51" s="6" t="s">
        <v>42</v>
      </c>
      <c r="B51" s="92">
        <v>5</v>
      </c>
      <c r="C51" s="92">
        <v>1130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121</v>
      </c>
      <c r="C55" s="93">
        <f>C49/1000</f>
        <v>668</v>
      </c>
    </row>
    <row r="58" spans="1:4" s="2" customFormat="1" x14ac:dyDescent="0.2">
      <c r="A58" s="5" t="s">
        <v>122</v>
      </c>
      <c r="C58" s="94">
        <f>C55+C51+C40+C39+C17+C16</f>
        <v>106865.89999999997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6" width="10.140625" bestFit="1" customWidth="1"/>
  </cols>
  <sheetData>
    <row r="1" spans="1:32" ht="23.25" x14ac:dyDescent="0.35">
      <c r="A1" s="84" t="s">
        <v>35</v>
      </c>
    </row>
    <row r="2" spans="1:32" x14ac:dyDescent="0.2">
      <c r="B2" s="196" t="s">
        <v>128</v>
      </c>
      <c r="C2" s="197"/>
      <c r="D2" s="85" t="s">
        <v>110</v>
      </c>
    </row>
    <row r="3" spans="1:32" x14ac:dyDescent="0.2">
      <c r="A3" s="86" t="s">
        <v>111</v>
      </c>
      <c r="B3" s="87" t="s">
        <v>63</v>
      </c>
      <c r="C3" s="87" t="s">
        <v>112</v>
      </c>
      <c r="D3" s="88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9"/>
      <c r="C5" s="8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39">
        <f>55132+4311-40529-3176</f>
        <v>15738</v>
      </c>
      <c r="C6" s="20">
        <f>6859190070+194044764-4773993265-135849441</f>
        <v>2143392128</v>
      </c>
      <c r="D6" s="39" t="s">
        <v>81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39">
        <f>5867+1788-4158-1400</f>
        <v>2097</v>
      </c>
      <c r="C7" s="20">
        <f>64951720+6934050-47669640-5710650</f>
        <v>18505480</v>
      </c>
      <c r="D7" s="39" t="s">
        <v>82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89"/>
      <c r="C8" s="137"/>
      <c r="D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39">
        <f>6109+469+36-4592-397-33</f>
        <v>1592</v>
      </c>
      <c r="C9" s="138">
        <f>152947000+7757000+832595-114735000-6753000-804595</f>
        <v>39244000</v>
      </c>
      <c r="D9" s="39" t="s">
        <v>99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39">
        <f>110-91</f>
        <v>19</v>
      </c>
      <c r="C10" s="138">
        <f>3234500-2686250</f>
        <v>548250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113</v>
      </c>
      <c r="B11" s="39">
        <f>29-24</f>
        <v>5</v>
      </c>
      <c r="C11" s="138">
        <f>1215000-1020000</f>
        <v>195000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39">
        <f>64-56</f>
        <v>8</v>
      </c>
      <c r="C12" s="138">
        <f>20400-17400</f>
        <v>3000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6" t="s">
        <v>0</v>
      </c>
      <c r="B13" s="39">
        <v>0</v>
      </c>
      <c r="C13" s="138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39">
        <f>26-18</f>
        <v>8</v>
      </c>
      <c r="C14" s="138">
        <f>65000-45000</f>
        <v>20000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89"/>
      <c r="C15" s="137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114</v>
      </c>
      <c r="B16" s="39">
        <v>5</v>
      </c>
      <c r="C16" s="138">
        <v>286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39">
        <v>0</v>
      </c>
      <c r="C17" s="138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115</v>
      </c>
      <c r="B20" s="89">
        <v>8</v>
      </c>
      <c r="C20" s="8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4" t="s">
        <v>30</v>
      </c>
    </row>
    <row r="25" spans="1:32" x14ac:dyDescent="0.2">
      <c r="B25" s="196" t="s">
        <v>128</v>
      </c>
      <c r="C25" s="197"/>
      <c r="D25" s="85" t="s">
        <v>110</v>
      </c>
    </row>
    <row r="26" spans="1:32" x14ac:dyDescent="0.2">
      <c r="A26" s="86" t="s">
        <v>111</v>
      </c>
      <c r="B26" s="87" t="s">
        <v>63</v>
      </c>
      <c r="C26" s="87" t="s">
        <v>112</v>
      </c>
      <c r="D26" s="88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39">
        <f>13338+2004-9715-1574</f>
        <v>4053</v>
      </c>
      <c r="C29" s="39">
        <f>7577517320+538599790-5634611180-351626838</f>
        <v>2129879092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39">
        <f>5554+4032-3997-3087</f>
        <v>2502</v>
      </c>
      <c r="C30" s="39">
        <f>76427909+60080482-57787682-43280956</f>
        <v>35439753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39"/>
      <c r="C31" s="39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39">
        <f>6483+397+180-4893-294-143</f>
        <v>1730</v>
      </c>
      <c r="C32" s="39">
        <f>510007317+10867017+7486462-381986081-7339728-6329636</f>
        <v>132705351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39">
        <f>133-105</f>
        <v>28</v>
      </c>
      <c r="C33" s="39">
        <f>11572096-6940526</f>
        <v>4631570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113</v>
      </c>
      <c r="B34" s="39">
        <f>106-75</f>
        <v>31</v>
      </c>
      <c r="C34" s="39">
        <f>5575507-4378000</f>
        <v>1197507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39">
        <f>68-57</f>
        <v>11</v>
      </c>
      <c r="C35" s="39">
        <f>366600-313600</f>
        <v>53000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39">
        <f>638-493</f>
        <v>145</v>
      </c>
      <c r="C36" s="39">
        <f>28642250-23009750</f>
        <v>5632500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39">
        <f>19-13</f>
        <v>6</v>
      </c>
      <c r="C37" s="39">
        <f>133020-106670</f>
        <v>26350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39"/>
      <c r="C38" s="39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114</v>
      </c>
      <c r="B39" s="39">
        <f>196-146+81</f>
        <v>131</v>
      </c>
      <c r="C39" s="39">
        <v>24860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39">
        <v>0</v>
      </c>
      <c r="C40" s="39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4" t="s">
        <v>116</v>
      </c>
    </row>
    <row r="45" spans="1:10" x14ac:dyDescent="0.2">
      <c r="B45" s="196" t="s">
        <v>128</v>
      </c>
      <c r="C45" s="197"/>
      <c r="D45" s="85" t="s">
        <v>110</v>
      </c>
    </row>
    <row r="46" spans="1:10" x14ac:dyDescent="0.2">
      <c r="A46" s="86" t="s">
        <v>111</v>
      </c>
      <c r="B46" s="87" t="s">
        <v>63</v>
      </c>
      <c r="C46" s="87" t="s">
        <v>112</v>
      </c>
      <c r="D46" s="88" t="s">
        <v>92</v>
      </c>
    </row>
    <row r="48" spans="1:10" x14ac:dyDescent="0.2">
      <c r="A48" s="5" t="s">
        <v>33</v>
      </c>
      <c r="B48" s="92"/>
      <c r="C48" s="92"/>
    </row>
    <row r="49" spans="1:4" x14ac:dyDescent="0.2">
      <c r="A49" s="6" t="s">
        <v>39</v>
      </c>
      <c r="B49" s="92">
        <v>5</v>
      </c>
      <c r="C49" s="92">
        <v>286000</v>
      </c>
      <c r="D49" t="s">
        <v>117</v>
      </c>
    </row>
    <row r="50" spans="1:4" x14ac:dyDescent="0.2">
      <c r="A50" s="6" t="s">
        <v>40</v>
      </c>
      <c r="B50" s="92"/>
      <c r="C50" s="92"/>
    </row>
    <row r="51" spans="1:4" x14ac:dyDescent="0.2">
      <c r="A51" s="6" t="s">
        <v>42</v>
      </c>
      <c r="B51" s="92">
        <v>2</v>
      </c>
      <c r="C51" s="92">
        <v>440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121</v>
      </c>
      <c r="C55" s="93">
        <f>C49/1000</f>
        <v>286</v>
      </c>
    </row>
    <row r="58" spans="1:4" s="2" customFormat="1" x14ac:dyDescent="0.2">
      <c r="A58" s="5" t="s">
        <v>122</v>
      </c>
      <c r="C58" s="94">
        <f>C55+C51+C40+C39+C17+C16</f>
        <v>25872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W29" sqref="W29"/>
    </sheetView>
  </sheetViews>
  <sheetFormatPr defaultRowHeight="12.75" x14ac:dyDescent="0.2"/>
  <cols>
    <col min="1" max="1" width="22.7109375" customWidth="1"/>
    <col min="3" max="3" width="11.42578125" customWidth="1"/>
    <col min="5" max="5" width="12.28515625" customWidth="1"/>
  </cols>
  <sheetData>
    <row r="1" spans="1:9" x14ac:dyDescent="0.2">
      <c r="B1" s="200" t="s">
        <v>48</v>
      </c>
      <c r="C1" s="200"/>
      <c r="D1" s="200"/>
      <c r="E1" s="200"/>
      <c r="F1" s="200"/>
      <c r="G1" s="200"/>
      <c r="H1" s="200"/>
      <c r="I1" s="200"/>
    </row>
    <row r="2" spans="1:9" x14ac:dyDescent="0.2">
      <c r="B2" s="201" t="s">
        <v>47</v>
      </c>
      <c r="C2" s="201"/>
      <c r="D2" s="201" t="s">
        <v>46</v>
      </c>
      <c r="E2" s="201"/>
      <c r="F2" s="201" t="s">
        <v>44</v>
      </c>
      <c r="G2" s="201"/>
      <c r="H2" s="201" t="s">
        <v>45</v>
      </c>
      <c r="I2" s="201"/>
    </row>
    <row r="3" spans="1:9" x14ac:dyDescent="0.2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">
      <c r="A4" s="2" t="s">
        <v>2</v>
      </c>
      <c r="B4" s="18"/>
      <c r="C4" s="18"/>
      <c r="D4" s="18"/>
      <c r="E4" s="18"/>
      <c r="F4" s="18"/>
      <c r="G4" s="18"/>
      <c r="H4" s="18"/>
      <c r="I4" s="18"/>
    </row>
    <row r="5" spans="1:9" x14ac:dyDescent="0.2">
      <c r="A5" s="5" t="s">
        <v>34</v>
      </c>
      <c r="B5" s="18"/>
      <c r="C5" s="18"/>
      <c r="D5" s="18"/>
      <c r="E5" s="18"/>
      <c r="F5" s="18"/>
      <c r="G5" s="18"/>
      <c r="H5" s="18"/>
      <c r="I5" s="18"/>
    </row>
    <row r="6" spans="1:9" x14ac:dyDescent="0.2">
      <c r="A6" s="6" t="s">
        <v>22</v>
      </c>
      <c r="B6" s="23">
        <v>184</v>
      </c>
      <c r="C6" s="23">
        <v>20</v>
      </c>
      <c r="D6" s="23">
        <v>204</v>
      </c>
      <c r="E6" s="23">
        <v>25</v>
      </c>
      <c r="F6" s="23">
        <v>159</v>
      </c>
      <c r="G6" s="23">
        <v>27</v>
      </c>
      <c r="H6" s="23">
        <v>227</v>
      </c>
      <c r="I6" s="23">
        <v>43</v>
      </c>
    </row>
    <row r="7" spans="1:9" x14ac:dyDescent="0.2">
      <c r="A7" s="6" t="s">
        <v>21</v>
      </c>
      <c r="B7" s="18"/>
      <c r="C7" s="18"/>
      <c r="D7" s="18"/>
      <c r="E7" s="18"/>
      <c r="F7" s="18"/>
      <c r="G7" s="18"/>
      <c r="H7" s="18"/>
      <c r="I7" s="18"/>
    </row>
    <row r="8" spans="1:9" x14ac:dyDescent="0.2">
      <c r="A8" s="6" t="s">
        <v>28</v>
      </c>
      <c r="B8" s="25">
        <v>24</v>
      </c>
      <c r="C8" s="25">
        <v>38</v>
      </c>
      <c r="D8" s="25">
        <v>57</v>
      </c>
      <c r="E8" s="25">
        <v>114</v>
      </c>
      <c r="F8" s="25">
        <v>68</v>
      </c>
      <c r="G8" s="25">
        <v>79</v>
      </c>
      <c r="H8" s="25">
        <v>1463</v>
      </c>
      <c r="I8" s="25">
        <v>2294</v>
      </c>
    </row>
    <row r="9" spans="1:9" x14ac:dyDescent="0.2">
      <c r="A9" s="6" t="s">
        <v>29</v>
      </c>
      <c r="B9" s="23"/>
      <c r="C9" s="23"/>
      <c r="D9" s="23">
        <v>6</v>
      </c>
      <c r="E9" s="23">
        <v>5</v>
      </c>
      <c r="F9" s="23">
        <v>34</v>
      </c>
      <c r="G9" s="23">
        <v>10</v>
      </c>
      <c r="H9" s="23">
        <v>51</v>
      </c>
      <c r="I9" s="23">
        <v>16</v>
      </c>
    </row>
    <row r="10" spans="1:9" x14ac:dyDescent="0.2">
      <c r="A10" s="5" t="s">
        <v>33</v>
      </c>
      <c r="B10" s="18"/>
      <c r="C10" s="18"/>
      <c r="D10" s="18"/>
      <c r="E10" s="18"/>
      <c r="F10" s="18"/>
      <c r="G10" s="18"/>
      <c r="H10" s="18"/>
      <c r="I10" s="18"/>
    </row>
    <row r="11" spans="1:9" x14ac:dyDescent="0.2">
      <c r="A11" s="6" t="s">
        <v>39</v>
      </c>
      <c r="B11" s="24">
        <v>0</v>
      </c>
      <c r="C11" s="24">
        <v>23</v>
      </c>
      <c r="D11" s="24">
        <v>0</v>
      </c>
      <c r="E11" s="24">
        <v>7</v>
      </c>
      <c r="F11" s="24">
        <v>0</v>
      </c>
      <c r="G11" s="24">
        <v>10</v>
      </c>
      <c r="H11" s="24">
        <v>0</v>
      </c>
      <c r="I11" s="24">
        <v>19</v>
      </c>
    </row>
    <row r="12" spans="1:9" x14ac:dyDescent="0.2">
      <c r="A12" s="6" t="s">
        <v>40</v>
      </c>
      <c r="B12" s="24">
        <v>0</v>
      </c>
      <c r="C12" s="24">
        <v>2</v>
      </c>
      <c r="D12" s="24">
        <v>2</v>
      </c>
      <c r="E12" s="24">
        <v>0</v>
      </c>
      <c r="F12" s="24">
        <v>0</v>
      </c>
      <c r="G12" s="24">
        <v>2</v>
      </c>
      <c r="H12" s="24">
        <v>0</v>
      </c>
      <c r="I12" s="24">
        <v>2</v>
      </c>
    </row>
    <row r="13" spans="1:9" x14ac:dyDescent="0.2">
      <c r="A13" s="6" t="s">
        <v>42</v>
      </c>
      <c r="B13" s="24">
        <v>0</v>
      </c>
      <c r="C13" s="24">
        <v>1</v>
      </c>
      <c r="D13" s="24">
        <v>0</v>
      </c>
      <c r="E13" s="24">
        <v>4</v>
      </c>
      <c r="F13" s="24">
        <v>0</v>
      </c>
      <c r="G13" s="24">
        <v>12</v>
      </c>
      <c r="H13" s="24">
        <v>0</v>
      </c>
      <c r="I13" s="24">
        <v>10</v>
      </c>
    </row>
    <row r="14" spans="1:9" x14ac:dyDescent="0.2">
      <c r="A14" s="6" t="s">
        <v>41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</row>
    <row r="15" spans="1:9" x14ac:dyDescent="0.2">
      <c r="A15" s="5" t="s">
        <v>32</v>
      </c>
      <c r="B15" s="18"/>
      <c r="C15" s="18"/>
      <c r="D15" s="18"/>
      <c r="E15" s="18"/>
      <c r="F15" s="18"/>
      <c r="G15" s="18"/>
      <c r="H15" s="18"/>
      <c r="I15" s="18"/>
    </row>
    <row r="16" spans="1:9" x14ac:dyDescent="0.2">
      <c r="A16" s="6" t="s">
        <v>0</v>
      </c>
      <c r="B16" s="18"/>
      <c r="C16" s="18"/>
      <c r="D16" s="18"/>
      <c r="E16" s="18"/>
      <c r="F16" s="18"/>
      <c r="G16" s="18"/>
      <c r="H16" s="18"/>
      <c r="I16" s="18"/>
    </row>
    <row r="17" spans="1:9" x14ac:dyDescent="0.2">
      <c r="A17" s="6" t="s">
        <v>3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">
      <c r="A19" s="6" t="s">
        <v>13</v>
      </c>
      <c r="B19" s="18"/>
      <c r="C19" s="18"/>
      <c r="D19" s="18"/>
      <c r="E19" s="18"/>
      <c r="F19" s="18"/>
      <c r="G19" s="18"/>
      <c r="H19" s="18"/>
      <c r="I19" s="18"/>
    </row>
    <row r="20" spans="1:9" x14ac:dyDescent="0.2">
      <c r="A20" s="2" t="s">
        <v>7</v>
      </c>
      <c r="B20" s="18"/>
      <c r="C20" s="18"/>
      <c r="D20" s="18"/>
      <c r="E20" s="18"/>
      <c r="F20" s="18"/>
      <c r="G20" s="18"/>
      <c r="H20" s="18"/>
      <c r="I20" s="18"/>
    </row>
    <row r="21" spans="1:9" x14ac:dyDescent="0.2">
      <c r="A21" s="5" t="s">
        <v>34</v>
      </c>
      <c r="B21" s="18"/>
      <c r="C21" s="18"/>
      <c r="D21" s="18"/>
      <c r="E21" s="18"/>
      <c r="F21" s="18"/>
      <c r="G21" s="18"/>
      <c r="H21" s="18"/>
      <c r="I21" s="18"/>
    </row>
    <row r="22" spans="1:9" x14ac:dyDescent="0.2">
      <c r="A22" s="6" t="s">
        <v>21</v>
      </c>
      <c r="B22" s="18">
        <v>5224</v>
      </c>
      <c r="C22" s="18">
        <v>1151</v>
      </c>
      <c r="D22" s="18"/>
      <c r="E22" s="18"/>
      <c r="F22" s="18"/>
      <c r="G22" s="18"/>
      <c r="H22" s="18"/>
      <c r="I22" s="18"/>
    </row>
    <row r="23" spans="1:9" x14ac:dyDescent="0.2">
      <c r="A23" s="6" t="s">
        <v>22</v>
      </c>
      <c r="B23" s="23">
        <v>573</v>
      </c>
      <c r="C23" s="23">
        <v>388</v>
      </c>
      <c r="D23" s="23">
        <v>778</v>
      </c>
      <c r="E23" s="23">
        <v>473</v>
      </c>
      <c r="F23" s="23">
        <v>778</v>
      </c>
      <c r="G23" s="23">
        <v>304</v>
      </c>
      <c r="H23" s="23">
        <v>1013</v>
      </c>
      <c r="I23" s="23">
        <v>436</v>
      </c>
    </row>
    <row r="24" spans="1:9" x14ac:dyDescent="0.2">
      <c r="A24" s="6" t="s">
        <v>28</v>
      </c>
      <c r="B24" s="25">
        <v>633</v>
      </c>
      <c r="C24" s="25">
        <v>1263</v>
      </c>
      <c r="D24" s="25">
        <v>1573</v>
      </c>
      <c r="E24" s="25">
        <v>2577</v>
      </c>
      <c r="F24" s="25">
        <v>1657</v>
      </c>
      <c r="G24" s="25">
        <v>2093</v>
      </c>
      <c r="H24" s="25">
        <v>83</v>
      </c>
      <c r="I24" s="25">
        <v>139</v>
      </c>
    </row>
    <row r="25" spans="1:9" x14ac:dyDescent="0.2">
      <c r="A25" s="6" t="s">
        <v>29</v>
      </c>
      <c r="B25" s="23"/>
      <c r="C25" s="23">
        <v>9</v>
      </c>
      <c r="D25" s="23"/>
      <c r="E25" s="23">
        <v>23</v>
      </c>
      <c r="F25" s="23"/>
      <c r="G25" s="23">
        <v>22</v>
      </c>
      <c r="H25" s="23"/>
      <c r="I25" s="23">
        <v>10</v>
      </c>
    </row>
    <row r="26" spans="1:9" x14ac:dyDescent="0.2">
      <c r="A26" s="5" t="s">
        <v>33</v>
      </c>
      <c r="B26" s="18"/>
      <c r="C26" s="18"/>
      <c r="D26" s="18"/>
      <c r="E26" s="18"/>
      <c r="F26" s="18"/>
      <c r="G26" s="18"/>
      <c r="H26" s="18"/>
      <c r="I26" s="18"/>
    </row>
    <row r="27" spans="1:9" x14ac:dyDescent="0.2">
      <c r="A27" s="6" t="s">
        <v>39</v>
      </c>
      <c r="B27" s="24">
        <v>1</v>
      </c>
      <c r="C27" s="24">
        <v>62</v>
      </c>
      <c r="D27" s="24">
        <v>12</v>
      </c>
      <c r="E27" s="24">
        <v>107</v>
      </c>
      <c r="F27" s="24">
        <v>10</v>
      </c>
      <c r="G27" s="24">
        <v>83</v>
      </c>
      <c r="H27" s="24">
        <v>2</v>
      </c>
      <c r="I27" s="24">
        <v>103</v>
      </c>
    </row>
    <row r="28" spans="1:9" x14ac:dyDescent="0.2">
      <c r="A28" s="6" t="s">
        <v>40</v>
      </c>
      <c r="B28" s="24">
        <v>0</v>
      </c>
      <c r="C28" s="24">
        <v>3</v>
      </c>
      <c r="D28" s="24">
        <v>0</v>
      </c>
      <c r="E28" s="24">
        <v>15</v>
      </c>
      <c r="F28" s="24">
        <v>1</v>
      </c>
      <c r="G28" s="24">
        <v>6</v>
      </c>
      <c r="H28" s="24">
        <v>0</v>
      </c>
      <c r="I28" s="24">
        <v>22</v>
      </c>
    </row>
    <row r="29" spans="1:9" x14ac:dyDescent="0.2">
      <c r="A29" s="6" t="s">
        <v>42</v>
      </c>
      <c r="B29" s="24">
        <v>4</v>
      </c>
      <c r="C29" s="24">
        <v>1</v>
      </c>
      <c r="D29" s="24">
        <v>3</v>
      </c>
      <c r="E29" s="24">
        <v>10</v>
      </c>
      <c r="F29" s="24">
        <v>0</v>
      </c>
      <c r="G29" s="24">
        <v>12</v>
      </c>
      <c r="H29" s="24">
        <v>0</v>
      </c>
      <c r="I29" s="24">
        <v>9</v>
      </c>
    </row>
    <row r="30" spans="1:9" x14ac:dyDescent="0.2">
      <c r="A30" s="6" t="s">
        <v>41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</row>
    <row r="31" spans="1:9" x14ac:dyDescent="0.2">
      <c r="A31" s="5" t="s">
        <v>32</v>
      </c>
      <c r="B31" s="18"/>
      <c r="C31" s="18"/>
      <c r="D31" s="18"/>
      <c r="E31" s="18"/>
      <c r="F31" s="18"/>
      <c r="G31" s="18"/>
      <c r="H31" s="18"/>
      <c r="I31" s="18"/>
    </row>
    <row r="32" spans="1:9" x14ac:dyDescent="0.2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">
      <c r="A33" s="6" t="s">
        <v>4</v>
      </c>
    </row>
    <row r="34" spans="1:10" x14ac:dyDescent="0.2">
      <c r="B34" s="201" t="s">
        <v>47</v>
      </c>
      <c r="C34" s="201"/>
      <c r="D34" s="201" t="s">
        <v>46</v>
      </c>
      <c r="E34" s="201"/>
      <c r="F34" s="201" t="s">
        <v>44</v>
      </c>
      <c r="G34" s="201"/>
      <c r="H34" s="201" t="s">
        <v>45</v>
      </c>
      <c r="I34" s="201"/>
    </row>
    <row r="35" spans="1:10" x14ac:dyDescent="0.2">
      <c r="A35" s="25" t="s">
        <v>96</v>
      </c>
      <c r="B35" s="25" t="s">
        <v>35</v>
      </c>
      <c r="C35" s="25" t="s">
        <v>30</v>
      </c>
      <c r="D35" s="25" t="s">
        <v>35</v>
      </c>
      <c r="E35" s="25" t="s">
        <v>30</v>
      </c>
      <c r="F35" s="25" t="s">
        <v>35</v>
      </c>
      <c r="G35" s="25" t="s">
        <v>30</v>
      </c>
      <c r="H35" s="25" t="s">
        <v>35</v>
      </c>
      <c r="I35" s="25" t="s">
        <v>30</v>
      </c>
    </row>
    <row r="36" spans="1:10" x14ac:dyDescent="0.2">
      <c r="A36" s="26" t="s">
        <v>34</v>
      </c>
      <c r="B36" s="23"/>
      <c r="C36" s="23"/>
      <c r="D36" s="23"/>
      <c r="E36" s="23"/>
      <c r="F36" s="23"/>
      <c r="G36" s="23"/>
      <c r="H36" s="23"/>
      <c r="I36" s="23"/>
    </row>
    <row r="37" spans="1:10" x14ac:dyDescent="0.2">
      <c r="A37" s="27" t="s">
        <v>64</v>
      </c>
      <c r="B37" s="28">
        <v>8160</v>
      </c>
      <c r="C37" s="28">
        <v>1993</v>
      </c>
      <c r="D37" s="28">
        <v>12264</v>
      </c>
      <c r="E37" s="28">
        <v>3200</v>
      </c>
      <c r="F37" s="28">
        <v>10083</v>
      </c>
      <c r="G37" s="28">
        <v>2671</v>
      </c>
      <c r="H37" s="28">
        <v>13198</v>
      </c>
      <c r="I37" s="28">
        <v>3425</v>
      </c>
      <c r="J37">
        <f>SUM(B37:I37)</f>
        <v>54994</v>
      </c>
    </row>
    <row r="38" spans="1:10" x14ac:dyDescent="0.2">
      <c r="A38" s="27" t="s">
        <v>71</v>
      </c>
      <c r="B38" s="28">
        <v>657</v>
      </c>
      <c r="C38" s="28">
        <v>1073</v>
      </c>
      <c r="D38" s="28">
        <v>1630</v>
      </c>
      <c r="E38" s="28">
        <v>1806</v>
      </c>
      <c r="F38" s="28">
        <v>1725</v>
      </c>
      <c r="G38" s="28">
        <v>2056</v>
      </c>
      <c r="H38" s="28">
        <v>1546</v>
      </c>
      <c r="I38" s="28">
        <v>2149</v>
      </c>
      <c r="J38">
        <f t="shared" ref="J38:J49" si="0">SUM(B38:I38)</f>
        <v>12642</v>
      </c>
    </row>
    <row r="39" spans="1:10" x14ac:dyDescent="0.2">
      <c r="A39" s="26" t="s">
        <v>33</v>
      </c>
      <c r="B39" s="28"/>
      <c r="C39" s="28">
        <v>29</v>
      </c>
      <c r="D39" s="28"/>
      <c r="E39" s="28">
        <v>33</v>
      </c>
      <c r="F39" s="28"/>
      <c r="G39" s="28">
        <v>31</v>
      </c>
      <c r="H39" s="28"/>
      <c r="I39" s="28">
        <v>53</v>
      </c>
      <c r="J39">
        <f>SUM(B39:I39)</f>
        <v>146</v>
      </c>
    </row>
    <row r="40" spans="1:10" x14ac:dyDescent="0.2">
      <c r="A40" s="27" t="s">
        <v>39</v>
      </c>
      <c r="B40" s="29">
        <v>4</v>
      </c>
      <c r="C40" s="29"/>
      <c r="D40" s="29">
        <v>9</v>
      </c>
      <c r="E40" s="29"/>
      <c r="F40" s="29">
        <v>4</v>
      </c>
      <c r="G40" s="29"/>
      <c r="H40" s="29">
        <v>2</v>
      </c>
      <c r="I40" s="29"/>
      <c r="J40">
        <f t="shared" si="0"/>
        <v>19</v>
      </c>
    </row>
    <row r="41" spans="1:10" x14ac:dyDescent="0.2">
      <c r="A41" s="27" t="s">
        <v>40</v>
      </c>
      <c r="B41" s="29"/>
      <c r="C41" s="29"/>
      <c r="D41" s="29"/>
      <c r="E41" s="29"/>
      <c r="F41" s="29"/>
      <c r="G41" s="29"/>
      <c r="H41" s="29"/>
      <c r="I41" s="29"/>
      <c r="J41">
        <f t="shared" si="0"/>
        <v>0</v>
      </c>
    </row>
    <row r="42" spans="1:10" x14ac:dyDescent="0.2">
      <c r="A42" s="27" t="s">
        <v>42</v>
      </c>
      <c r="B42" s="29">
        <f>+B13+B29</f>
        <v>4</v>
      </c>
      <c r="C42" s="29">
        <v>0</v>
      </c>
      <c r="D42" s="29">
        <v>4</v>
      </c>
      <c r="E42" s="29">
        <v>0</v>
      </c>
      <c r="F42" s="29">
        <v>1</v>
      </c>
      <c r="G42" s="29">
        <v>0</v>
      </c>
      <c r="H42" s="29">
        <f>+H13+H29</f>
        <v>0</v>
      </c>
      <c r="I42" s="29">
        <v>0</v>
      </c>
      <c r="J42">
        <f t="shared" si="0"/>
        <v>9</v>
      </c>
    </row>
    <row r="43" spans="1:10" x14ac:dyDescent="0.2">
      <c r="A43" s="27" t="s">
        <v>41</v>
      </c>
      <c r="B43" s="29">
        <f t="shared" ref="B43:I43" si="1">+B14+B30</f>
        <v>0</v>
      </c>
      <c r="C43" s="29">
        <f t="shared" si="1"/>
        <v>0</v>
      </c>
      <c r="D43" s="29">
        <f t="shared" si="1"/>
        <v>0</v>
      </c>
      <c r="E43" s="29">
        <f t="shared" si="1"/>
        <v>0</v>
      </c>
      <c r="F43" s="29">
        <f t="shared" si="1"/>
        <v>0</v>
      </c>
      <c r="G43" s="29">
        <f t="shared" si="1"/>
        <v>0</v>
      </c>
      <c r="H43" s="29">
        <f t="shared" si="1"/>
        <v>0</v>
      </c>
      <c r="I43" s="29">
        <f t="shared" si="1"/>
        <v>0</v>
      </c>
      <c r="J43">
        <f t="shared" si="0"/>
        <v>0</v>
      </c>
    </row>
    <row r="44" spans="1:10" x14ac:dyDescent="0.2">
      <c r="A44" s="26" t="s">
        <v>32</v>
      </c>
      <c r="B44" s="28"/>
      <c r="C44" s="28"/>
      <c r="D44" s="28"/>
      <c r="E44" s="28"/>
      <c r="F44" s="28"/>
      <c r="G44" s="28"/>
      <c r="H44" s="28"/>
      <c r="I44" s="28"/>
      <c r="J44">
        <f t="shared" si="0"/>
        <v>0</v>
      </c>
    </row>
    <row r="45" spans="1:10" x14ac:dyDescent="0.2">
      <c r="A45" s="27" t="s">
        <v>0</v>
      </c>
      <c r="B45" s="28">
        <v>0</v>
      </c>
      <c r="C45" s="28">
        <v>91</v>
      </c>
      <c r="D45" s="28"/>
      <c r="E45" s="28">
        <v>130</v>
      </c>
      <c r="F45" s="28"/>
      <c r="G45" s="28">
        <v>103</v>
      </c>
      <c r="H45" s="28"/>
      <c r="I45" s="28">
        <v>169</v>
      </c>
      <c r="J45">
        <f t="shared" si="0"/>
        <v>493</v>
      </c>
    </row>
    <row r="46" spans="1:10" x14ac:dyDescent="0.2">
      <c r="A46" s="27" t="s">
        <v>3</v>
      </c>
      <c r="B46" s="28">
        <v>9</v>
      </c>
      <c r="C46" s="28">
        <v>4</v>
      </c>
      <c r="D46" s="28">
        <v>8</v>
      </c>
      <c r="E46" s="28">
        <v>19</v>
      </c>
      <c r="F46" s="28">
        <v>26</v>
      </c>
      <c r="G46" s="28">
        <v>11</v>
      </c>
      <c r="H46" s="28">
        <v>13</v>
      </c>
      <c r="I46" s="28">
        <v>23</v>
      </c>
      <c r="J46">
        <f t="shared" si="0"/>
        <v>113</v>
      </c>
    </row>
    <row r="47" spans="1:10" x14ac:dyDescent="0.2">
      <c r="A47" s="27" t="s">
        <v>5</v>
      </c>
      <c r="B47" s="28">
        <v>840</v>
      </c>
      <c r="C47" s="28">
        <v>995</v>
      </c>
      <c r="D47" s="28">
        <v>1580</v>
      </c>
      <c r="E47" s="28">
        <v>1678</v>
      </c>
      <c r="F47" s="28">
        <v>1052</v>
      </c>
      <c r="G47" s="28">
        <v>1147</v>
      </c>
      <c r="H47" s="28">
        <v>1552</v>
      </c>
      <c r="I47" s="28">
        <v>1511</v>
      </c>
      <c r="J47">
        <f t="shared" si="0"/>
        <v>10355</v>
      </c>
    </row>
    <row r="48" spans="1:10" x14ac:dyDescent="0.2">
      <c r="A48" s="27" t="s">
        <v>13</v>
      </c>
      <c r="B48" s="28">
        <v>2</v>
      </c>
      <c r="C48" s="28">
        <v>0</v>
      </c>
      <c r="D48" s="28">
        <v>2</v>
      </c>
      <c r="E48" s="28">
        <v>0</v>
      </c>
      <c r="F48" s="28">
        <v>10</v>
      </c>
      <c r="G48" s="28">
        <v>4</v>
      </c>
      <c r="H48" s="28">
        <v>4</v>
      </c>
      <c r="I48" s="28">
        <v>9</v>
      </c>
      <c r="J48">
        <f t="shared" si="0"/>
        <v>31</v>
      </c>
    </row>
    <row r="49" spans="1:10" x14ac:dyDescent="0.2">
      <c r="A49" s="27" t="s">
        <v>4</v>
      </c>
      <c r="B49" s="28">
        <v>29</v>
      </c>
      <c r="C49" s="28">
        <v>23</v>
      </c>
      <c r="D49" s="28">
        <v>36</v>
      </c>
      <c r="E49" s="28">
        <v>47</v>
      </c>
      <c r="F49" s="28">
        <v>32</v>
      </c>
      <c r="G49" s="28">
        <v>52</v>
      </c>
      <c r="H49" s="28">
        <v>17</v>
      </c>
      <c r="I49" s="28">
        <v>58</v>
      </c>
      <c r="J49">
        <f t="shared" si="0"/>
        <v>294</v>
      </c>
    </row>
    <row r="50" spans="1:10" x14ac:dyDescent="0.2">
      <c r="A50" s="30" t="s">
        <v>97</v>
      </c>
      <c r="B50" s="30"/>
      <c r="C50" s="30"/>
      <c r="D50" s="30"/>
      <c r="E50" s="30"/>
      <c r="F50" s="30"/>
      <c r="G50" s="30"/>
      <c r="H50" s="30"/>
      <c r="I50" s="30"/>
    </row>
    <row r="51" spans="1:10" x14ac:dyDescent="0.2">
      <c r="A51" s="31" t="s">
        <v>34</v>
      </c>
      <c r="B51" s="32"/>
      <c r="C51" s="32"/>
      <c r="D51" s="32"/>
      <c r="E51" s="32"/>
      <c r="F51" s="32"/>
      <c r="G51" s="32"/>
      <c r="H51" s="32"/>
      <c r="I51" s="32"/>
    </row>
    <row r="52" spans="1:10" x14ac:dyDescent="0.2">
      <c r="A52" s="33" t="s">
        <v>64</v>
      </c>
      <c r="B52" s="34">
        <f>+B6+B7+B22+B23</f>
        <v>5981</v>
      </c>
      <c r="C52" s="34">
        <f t="shared" ref="C52:I52" si="2">+C6+C7+C22+C23</f>
        <v>1559</v>
      </c>
      <c r="D52" s="34">
        <f t="shared" si="2"/>
        <v>982</v>
      </c>
      <c r="E52" s="34">
        <f t="shared" si="2"/>
        <v>498</v>
      </c>
      <c r="F52" s="34">
        <f t="shared" si="2"/>
        <v>937</v>
      </c>
      <c r="G52" s="34">
        <f t="shared" si="2"/>
        <v>331</v>
      </c>
      <c r="H52" s="34">
        <f t="shared" si="2"/>
        <v>1240</v>
      </c>
      <c r="I52" s="34">
        <f t="shared" si="2"/>
        <v>479</v>
      </c>
    </row>
    <row r="53" spans="1:10" x14ac:dyDescent="0.2">
      <c r="A53" s="33" t="s">
        <v>71</v>
      </c>
      <c r="B53" s="34">
        <f>+B8+B9+B24+B25</f>
        <v>657</v>
      </c>
      <c r="C53" s="34">
        <f t="shared" ref="C53:I53" si="3">+C8+C9+C24+C25</f>
        <v>1310</v>
      </c>
      <c r="D53" s="34">
        <f t="shared" si="3"/>
        <v>1636</v>
      </c>
      <c r="E53" s="34">
        <f t="shared" si="3"/>
        <v>2719</v>
      </c>
      <c r="F53" s="34">
        <f t="shared" si="3"/>
        <v>1759</v>
      </c>
      <c r="G53" s="34">
        <f t="shared" si="3"/>
        <v>2204</v>
      </c>
      <c r="H53" s="34">
        <f t="shared" si="3"/>
        <v>1597</v>
      </c>
      <c r="I53" s="34">
        <f t="shared" si="3"/>
        <v>2459</v>
      </c>
    </row>
    <row r="54" spans="1:10" x14ac:dyDescent="0.2">
      <c r="A54" s="31" t="s">
        <v>33</v>
      </c>
      <c r="B54" s="34"/>
      <c r="C54" s="34"/>
      <c r="D54" s="34"/>
      <c r="E54" s="34"/>
      <c r="F54" s="34"/>
      <c r="G54" s="34"/>
      <c r="H54" s="34"/>
      <c r="I54" s="34"/>
    </row>
    <row r="55" spans="1:10" x14ac:dyDescent="0.2">
      <c r="A55" s="33" t="s">
        <v>39</v>
      </c>
      <c r="B55" s="35">
        <f>+B11+B27</f>
        <v>1</v>
      </c>
      <c r="C55" s="35">
        <f t="shared" ref="C55:I55" si="4">+C11+C27</f>
        <v>85</v>
      </c>
      <c r="D55" s="35">
        <f t="shared" si="4"/>
        <v>12</v>
      </c>
      <c r="E55" s="35">
        <f t="shared" si="4"/>
        <v>114</v>
      </c>
      <c r="F55" s="35">
        <f t="shared" si="4"/>
        <v>10</v>
      </c>
      <c r="G55" s="35">
        <f t="shared" si="4"/>
        <v>93</v>
      </c>
      <c r="H55" s="35">
        <f t="shared" si="4"/>
        <v>2</v>
      </c>
      <c r="I55" s="35">
        <f t="shared" si="4"/>
        <v>122</v>
      </c>
      <c r="J55" s="90">
        <f>SUM(B55:I55)</f>
        <v>439</v>
      </c>
    </row>
    <row r="56" spans="1:10" x14ac:dyDescent="0.2">
      <c r="A56" s="33" t="s">
        <v>40</v>
      </c>
      <c r="B56" s="35">
        <f>+B12+B28</f>
        <v>0</v>
      </c>
      <c r="C56" s="35">
        <f t="shared" ref="C56:I56" si="5">+C12+C28</f>
        <v>5</v>
      </c>
      <c r="D56" s="35">
        <f t="shared" si="5"/>
        <v>2</v>
      </c>
      <c r="E56" s="35">
        <f t="shared" si="5"/>
        <v>15</v>
      </c>
      <c r="F56" s="35">
        <f t="shared" si="5"/>
        <v>1</v>
      </c>
      <c r="G56" s="35">
        <f t="shared" si="5"/>
        <v>8</v>
      </c>
      <c r="H56" s="35">
        <f t="shared" si="5"/>
        <v>0</v>
      </c>
      <c r="I56" s="35">
        <f t="shared" si="5"/>
        <v>24</v>
      </c>
      <c r="J56" s="90">
        <f>SUM(B56:I56)</f>
        <v>55</v>
      </c>
    </row>
    <row r="57" spans="1:10" x14ac:dyDescent="0.2">
      <c r="A57" s="33" t="s">
        <v>42</v>
      </c>
      <c r="B57" s="35">
        <f t="shared" ref="B57:I57" si="6">+B13+B29</f>
        <v>4</v>
      </c>
      <c r="C57" s="35">
        <f t="shared" si="6"/>
        <v>2</v>
      </c>
      <c r="D57" s="35">
        <f t="shared" si="6"/>
        <v>3</v>
      </c>
      <c r="E57" s="35">
        <f t="shared" si="6"/>
        <v>14</v>
      </c>
      <c r="F57" s="35">
        <f t="shared" si="6"/>
        <v>0</v>
      </c>
      <c r="G57" s="35">
        <f t="shared" si="6"/>
        <v>24</v>
      </c>
      <c r="H57" s="35">
        <f t="shared" si="6"/>
        <v>0</v>
      </c>
      <c r="I57" s="35">
        <f t="shared" si="6"/>
        <v>19</v>
      </c>
      <c r="J57" s="90">
        <f>SUM(B57:I57)</f>
        <v>66</v>
      </c>
    </row>
    <row r="58" spans="1:10" x14ac:dyDescent="0.2">
      <c r="A58" s="33" t="s">
        <v>41</v>
      </c>
      <c r="B58" s="35">
        <f t="shared" ref="B58:I58" si="7">+B14+B30</f>
        <v>0</v>
      </c>
      <c r="C58" s="35">
        <f t="shared" si="7"/>
        <v>0</v>
      </c>
      <c r="D58" s="35">
        <f t="shared" si="7"/>
        <v>0</v>
      </c>
      <c r="E58" s="35">
        <f t="shared" si="7"/>
        <v>0</v>
      </c>
      <c r="F58" s="35">
        <f t="shared" si="7"/>
        <v>0</v>
      </c>
      <c r="G58" s="35">
        <f t="shared" si="7"/>
        <v>0</v>
      </c>
      <c r="H58" s="35">
        <f t="shared" si="7"/>
        <v>0</v>
      </c>
      <c r="I58" s="35">
        <f t="shared" si="7"/>
        <v>0</v>
      </c>
    </row>
    <row r="59" spans="1:10" x14ac:dyDescent="0.2">
      <c r="A59" s="31" t="s">
        <v>32</v>
      </c>
      <c r="B59" s="34"/>
      <c r="C59" s="34"/>
      <c r="D59" s="34"/>
      <c r="E59" s="34"/>
      <c r="F59" s="34"/>
      <c r="G59" s="34"/>
      <c r="H59" s="34"/>
      <c r="I59" s="34"/>
    </row>
    <row r="60" spans="1:10" x14ac:dyDescent="0.2">
      <c r="A60" s="33" t="s">
        <v>0</v>
      </c>
      <c r="B60" s="34">
        <f>+B16</f>
        <v>0</v>
      </c>
      <c r="C60" s="34">
        <f t="shared" ref="C60:I60" si="8">+C16</f>
        <v>0</v>
      </c>
      <c r="D60" s="34">
        <f t="shared" si="8"/>
        <v>0</v>
      </c>
      <c r="E60" s="34">
        <f t="shared" si="8"/>
        <v>0</v>
      </c>
      <c r="F60" s="34">
        <f t="shared" si="8"/>
        <v>0</v>
      </c>
      <c r="G60" s="34">
        <f t="shared" si="8"/>
        <v>0</v>
      </c>
      <c r="H60" s="34">
        <f t="shared" si="8"/>
        <v>0</v>
      </c>
      <c r="I60" s="34">
        <f t="shared" si="8"/>
        <v>0</v>
      </c>
    </row>
    <row r="61" spans="1:10" x14ac:dyDescent="0.2">
      <c r="A61" s="33" t="s">
        <v>3</v>
      </c>
      <c r="B61" s="34"/>
      <c r="C61" s="34"/>
      <c r="D61" s="34"/>
      <c r="E61" s="34"/>
      <c r="F61" s="34"/>
      <c r="G61" s="34"/>
      <c r="H61" s="34"/>
      <c r="I61" s="34"/>
    </row>
    <row r="62" spans="1:10" x14ac:dyDescent="0.2">
      <c r="A62" s="33" t="s">
        <v>5</v>
      </c>
      <c r="B62" s="34">
        <f>+B18+B32</f>
        <v>840</v>
      </c>
      <c r="C62" s="34">
        <f t="shared" ref="C62:I62" si="9">+C18+C32</f>
        <v>191</v>
      </c>
      <c r="D62" s="34">
        <f t="shared" si="9"/>
        <v>1580</v>
      </c>
      <c r="E62" s="34">
        <f t="shared" si="9"/>
        <v>456</v>
      </c>
      <c r="F62" s="34">
        <f t="shared" si="9"/>
        <v>1051</v>
      </c>
      <c r="G62" s="34">
        <f t="shared" si="9"/>
        <v>249</v>
      </c>
      <c r="H62" s="34">
        <f t="shared" si="9"/>
        <v>1544</v>
      </c>
      <c r="I62" s="34">
        <f t="shared" si="9"/>
        <v>299</v>
      </c>
    </row>
    <row r="63" spans="1:10" x14ac:dyDescent="0.2">
      <c r="A63" s="33" t="s">
        <v>13</v>
      </c>
      <c r="B63" s="36"/>
      <c r="C63" s="36"/>
      <c r="D63" s="36"/>
      <c r="E63" s="36"/>
      <c r="F63" s="36"/>
      <c r="G63" s="36"/>
      <c r="H63" s="36"/>
      <c r="I63" s="36"/>
    </row>
    <row r="64" spans="1:10" x14ac:dyDescent="0.2">
      <c r="A64" s="37" t="s">
        <v>4</v>
      </c>
      <c r="B64" s="34"/>
      <c r="C64" s="34"/>
      <c r="D64" s="34"/>
      <c r="E64" s="34"/>
      <c r="F64" s="34"/>
      <c r="G64" s="34"/>
      <c r="H64" s="34"/>
      <c r="I64" s="34"/>
    </row>
    <row r="66" spans="1:9" x14ac:dyDescent="0.2">
      <c r="A66" s="25" t="s">
        <v>98</v>
      </c>
      <c r="B66" s="25" t="s">
        <v>35</v>
      </c>
      <c r="C66" s="25" t="s">
        <v>30</v>
      </c>
      <c r="D66" s="25" t="s">
        <v>35</v>
      </c>
      <c r="E66" s="25" t="s">
        <v>30</v>
      </c>
      <c r="F66" s="25" t="s">
        <v>35</v>
      </c>
      <c r="G66" s="25" t="s">
        <v>30</v>
      </c>
      <c r="H66" s="25" t="s">
        <v>35</v>
      </c>
      <c r="I66" s="25" t="s">
        <v>30</v>
      </c>
    </row>
    <row r="67" spans="1:9" x14ac:dyDescent="0.2">
      <c r="A67" s="26" t="s">
        <v>34</v>
      </c>
      <c r="B67" s="23"/>
      <c r="C67" s="23"/>
      <c r="D67" s="23"/>
      <c r="E67" s="23"/>
      <c r="F67" s="23"/>
      <c r="G67" s="23"/>
      <c r="H67" s="23"/>
      <c r="I67" s="23"/>
    </row>
    <row r="68" spans="1:9" x14ac:dyDescent="0.2">
      <c r="A68" s="27" t="s">
        <v>64</v>
      </c>
      <c r="B68" s="28">
        <f t="shared" ref="B68:B78" si="10">B37-B52</f>
        <v>2179</v>
      </c>
      <c r="C68" s="28">
        <f t="shared" ref="C68:I68" si="11">C37-C52</f>
        <v>434</v>
      </c>
      <c r="D68" s="28">
        <f t="shared" si="11"/>
        <v>11282</v>
      </c>
      <c r="E68" s="28">
        <f t="shared" si="11"/>
        <v>2702</v>
      </c>
      <c r="F68" s="28">
        <f t="shared" si="11"/>
        <v>9146</v>
      </c>
      <c r="G68" s="28">
        <f t="shared" si="11"/>
        <v>2340</v>
      </c>
      <c r="H68" s="28">
        <f t="shared" si="11"/>
        <v>11958</v>
      </c>
      <c r="I68" s="28">
        <f t="shared" si="11"/>
        <v>2946</v>
      </c>
    </row>
    <row r="69" spans="1:9" x14ac:dyDescent="0.2">
      <c r="A69" s="27" t="s">
        <v>71</v>
      </c>
      <c r="B69" s="28">
        <f t="shared" si="10"/>
        <v>0</v>
      </c>
      <c r="C69" s="28">
        <f t="shared" ref="C69:I78" si="12">C38-C53</f>
        <v>-237</v>
      </c>
      <c r="D69" s="28">
        <f t="shared" si="12"/>
        <v>-6</v>
      </c>
      <c r="E69" s="28">
        <f t="shared" si="12"/>
        <v>-913</v>
      </c>
      <c r="F69" s="28">
        <f t="shared" si="12"/>
        <v>-34</v>
      </c>
      <c r="G69" s="28">
        <f t="shared" si="12"/>
        <v>-148</v>
      </c>
      <c r="H69" s="28">
        <f t="shared" si="12"/>
        <v>-51</v>
      </c>
      <c r="I69" s="28">
        <f t="shared" si="12"/>
        <v>-310</v>
      </c>
    </row>
    <row r="70" spans="1:9" x14ac:dyDescent="0.2">
      <c r="A70" s="26" t="s">
        <v>33</v>
      </c>
      <c r="B70" s="28">
        <f t="shared" si="10"/>
        <v>0</v>
      </c>
      <c r="C70" s="28">
        <f t="shared" si="12"/>
        <v>29</v>
      </c>
      <c r="D70" s="28">
        <f t="shared" si="12"/>
        <v>0</v>
      </c>
      <c r="E70" s="28">
        <f t="shared" si="12"/>
        <v>33</v>
      </c>
      <c r="F70" s="28">
        <f t="shared" si="12"/>
        <v>0</v>
      </c>
      <c r="G70" s="28">
        <f t="shared" si="12"/>
        <v>31</v>
      </c>
      <c r="H70" s="28">
        <f t="shared" si="12"/>
        <v>0</v>
      </c>
      <c r="I70" s="28">
        <f t="shared" si="12"/>
        <v>53</v>
      </c>
    </row>
    <row r="71" spans="1:9" x14ac:dyDescent="0.2">
      <c r="A71" s="27" t="s">
        <v>39</v>
      </c>
      <c r="B71" s="28">
        <f t="shared" si="10"/>
        <v>3</v>
      </c>
      <c r="C71" s="28">
        <f t="shared" si="12"/>
        <v>-85</v>
      </c>
      <c r="D71" s="28">
        <f t="shared" si="12"/>
        <v>-3</v>
      </c>
      <c r="E71" s="28">
        <f t="shared" si="12"/>
        <v>-114</v>
      </c>
      <c r="F71" s="28">
        <f t="shared" si="12"/>
        <v>-6</v>
      </c>
      <c r="G71" s="28">
        <f t="shared" si="12"/>
        <v>-93</v>
      </c>
      <c r="H71" s="28">
        <f t="shared" si="12"/>
        <v>0</v>
      </c>
      <c r="I71" s="28">
        <f t="shared" si="12"/>
        <v>-122</v>
      </c>
    </row>
    <row r="72" spans="1:9" x14ac:dyDescent="0.2">
      <c r="A72" s="27" t="s">
        <v>40</v>
      </c>
      <c r="B72" s="28">
        <f t="shared" si="10"/>
        <v>0</v>
      </c>
      <c r="C72" s="28">
        <f t="shared" si="12"/>
        <v>-5</v>
      </c>
      <c r="D72" s="28">
        <f t="shared" si="12"/>
        <v>-2</v>
      </c>
      <c r="E72" s="28">
        <f t="shared" si="12"/>
        <v>-15</v>
      </c>
      <c r="F72" s="28">
        <f t="shared" si="12"/>
        <v>-1</v>
      </c>
      <c r="G72" s="28">
        <f t="shared" si="12"/>
        <v>-8</v>
      </c>
      <c r="H72" s="28">
        <f t="shared" si="12"/>
        <v>0</v>
      </c>
      <c r="I72" s="28">
        <f t="shared" si="12"/>
        <v>-24</v>
      </c>
    </row>
    <row r="73" spans="1:9" x14ac:dyDescent="0.2">
      <c r="A73" s="27" t="s">
        <v>42</v>
      </c>
      <c r="B73" s="28">
        <f t="shared" si="10"/>
        <v>0</v>
      </c>
      <c r="C73" s="28">
        <f t="shared" si="12"/>
        <v>-2</v>
      </c>
      <c r="D73" s="28">
        <f t="shared" si="12"/>
        <v>1</v>
      </c>
      <c r="E73" s="28">
        <f t="shared" si="12"/>
        <v>-14</v>
      </c>
      <c r="F73" s="28">
        <f t="shared" si="12"/>
        <v>1</v>
      </c>
      <c r="G73" s="28">
        <f t="shared" si="12"/>
        <v>-24</v>
      </c>
      <c r="H73" s="28">
        <f t="shared" si="12"/>
        <v>0</v>
      </c>
      <c r="I73" s="28">
        <f t="shared" si="12"/>
        <v>-19</v>
      </c>
    </row>
    <row r="74" spans="1:9" x14ac:dyDescent="0.2">
      <c r="A74" s="27" t="s">
        <v>41</v>
      </c>
      <c r="B74" s="28">
        <f t="shared" si="10"/>
        <v>0</v>
      </c>
      <c r="C74" s="28">
        <f t="shared" si="12"/>
        <v>0</v>
      </c>
      <c r="D74" s="28">
        <f t="shared" si="12"/>
        <v>0</v>
      </c>
      <c r="E74" s="28">
        <f t="shared" si="12"/>
        <v>0</v>
      </c>
      <c r="F74" s="28">
        <f t="shared" si="12"/>
        <v>0</v>
      </c>
      <c r="G74" s="28">
        <f t="shared" si="12"/>
        <v>0</v>
      </c>
      <c r="H74" s="28">
        <f t="shared" si="12"/>
        <v>0</v>
      </c>
      <c r="I74" s="28">
        <f t="shared" si="12"/>
        <v>0</v>
      </c>
    </row>
    <row r="75" spans="1:9" x14ac:dyDescent="0.2">
      <c r="A75" s="26" t="s">
        <v>32</v>
      </c>
      <c r="B75" s="28">
        <f t="shared" si="10"/>
        <v>0</v>
      </c>
      <c r="C75" s="28">
        <f t="shared" si="12"/>
        <v>0</v>
      </c>
      <c r="D75" s="28">
        <f t="shared" si="12"/>
        <v>0</v>
      </c>
      <c r="E75" s="28">
        <f t="shared" si="12"/>
        <v>0</v>
      </c>
      <c r="F75" s="28">
        <f t="shared" si="12"/>
        <v>0</v>
      </c>
      <c r="G75" s="28">
        <f t="shared" si="12"/>
        <v>0</v>
      </c>
      <c r="H75" s="28">
        <f t="shared" si="12"/>
        <v>0</v>
      </c>
      <c r="I75" s="28">
        <f t="shared" si="12"/>
        <v>0</v>
      </c>
    </row>
    <row r="76" spans="1:9" x14ac:dyDescent="0.2">
      <c r="A76" s="27" t="s">
        <v>0</v>
      </c>
      <c r="B76" s="28">
        <f t="shared" si="10"/>
        <v>0</v>
      </c>
      <c r="C76" s="28">
        <f t="shared" si="12"/>
        <v>91</v>
      </c>
      <c r="D76" s="28">
        <f t="shared" si="12"/>
        <v>0</v>
      </c>
      <c r="E76" s="28">
        <f t="shared" si="12"/>
        <v>130</v>
      </c>
      <c r="F76" s="28">
        <f t="shared" si="12"/>
        <v>0</v>
      </c>
      <c r="G76" s="28">
        <f t="shared" si="12"/>
        <v>103</v>
      </c>
      <c r="H76" s="28">
        <f t="shared" si="12"/>
        <v>0</v>
      </c>
      <c r="I76" s="28">
        <f t="shared" si="12"/>
        <v>169</v>
      </c>
    </row>
    <row r="77" spans="1:9" x14ac:dyDescent="0.2">
      <c r="A77" s="27" t="s">
        <v>3</v>
      </c>
      <c r="B77" s="28">
        <f t="shared" si="10"/>
        <v>9</v>
      </c>
      <c r="C77" s="28">
        <f t="shared" si="12"/>
        <v>4</v>
      </c>
      <c r="D77" s="28">
        <f t="shared" si="12"/>
        <v>8</v>
      </c>
      <c r="E77" s="28">
        <f t="shared" si="12"/>
        <v>19</v>
      </c>
      <c r="F77" s="28">
        <f t="shared" si="12"/>
        <v>26</v>
      </c>
      <c r="G77" s="28">
        <f t="shared" si="12"/>
        <v>11</v>
      </c>
      <c r="H77" s="28">
        <f t="shared" si="12"/>
        <v>13</v>
      </c>
      <c r="I77" s="28">
        <f t="shared" si="12"/>
        <v>23</v>
      </c>
    </row>
    <row r="78" spans="1:9" x14ac:dyDescent="0.2">
      <c r="A78" s="27" t="s">
        <v>5</v>
      </c>
      <c r="B78" s="28">
        <f t="shared" si="10"/>
        <v>0</v>
      </c>
      <c r="C78" s="28">
        <f t="shared" si="12"/>
        <v>804</v>
      </c>
      <c r="D78" s="28">
        <f t="shared" si="12"/>
        <v>0</v>
      </c>
      <c r="E78" s="28">
        <f t="shared" si="12"/>
        <v>1222</v>
      </c>
      <c r="F78" s="28">
        <f t="shared" si="12"/>
        <v>1</v>
      </c>
      <c r="G78" s="28">
        <f t="shared" si="12"/>
        <v>898</v>
      </c>
      <c r="H78" s="28">
        <f t="shared" si="12"/>
        <v>8</v>
      </c>
      <c r="I78" s="28">
        <f t="shared" si="12"/>
        <v>1212</v>
      </c>
    </row>
    <row r="79" spans="1:9" x14ac:dyDescent="0.2">
      <c r="A79" s="27" t="s">
        <v>13</v>
      </c>
      <c r="B79" s="28">
        <f t="shared" ref="B79:I79" si="13">B48-B63</f>
        <v>2</v>
      </c>
      <c r="C79" s="28">
        <f t="shared" si="13"/>
        <v>0</v>
      </c>
      <c r="D79" s="28">
        <f t="shared" si="13"/>
        <v>2</v>
      </c>
      <c r="E79" s="28">
        <f t="shared" si="13"/>
        <v>0</v>
      </c>
      <c r="F79" s="28">
        <f t="shared" si="13"/>
        <v>10</v>
      </c>
      <c r="G79" s="28">
        <f t="shared" si="13"/>
        <v>4</v>
      </c>
      <c r="H79" s="28">
        <f t="shared" si="13"/>
        <v>4</v>
      </c>
      <c r="I79" s="28">
        <f t="shared" si="13"/>
        <v>9</v>
      </c>
    </row>
    <row r="80" spans="1:9" x14ac:dyDescent="0.2">
      <c r="A80" s="27" t="s">
        <v>4</v>
      </c>
      <c r="B80" s="28">
        <f t="shared" ref="B80:I80" si="14">B49-B64</f>
        <v>29</v>
      </c>
      <c r="C80" s="28">
        <f t="shared" si="14"/>
        <v>23</v>
      </c>
      <c r="D80" s="28">
        <f t="shared" si="14"/>
        <v>36</v>
      </c>
      <c r="E80" s="28">
        <f t="shared" si="14"/>
        <v>47</v>
      </c>
      <c r="F80" s="28">
        <f t="shared" si="14"/>
        <v>32</v>
      </c>
      <c r="G80" s="28">
        <f t="shared" si="14"/>
        <v>52</v>
      </c>
      <c r="H80" s="28">
        <f t="shared" si="14"/>
        <v>17</v>
      </c>
      <c r="I80" s="28">
        <f t="shared" si="14"/>
        <v>58</v>
      </c>
    </row>
  </sheetData>
  <mergeCells count="9">
    <mergeCell ref="B1:I1"/>
    <mergeCell ref="B2:C2"/>
    <mergeCell ref="D2:E2"/>
    <mergeCell ref="F2:G2"/>
    <mergeCell ref="H2:I2"/>
    <mergeCell ref="B34:C34"/>
    <mergeCell ref="D34:E34"/>
    <mergeCell ref="F34:G34"/>
    <mergeCell ref="H34:I34"/>
  </mergeCells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Weekly Report</vt:lpstr>
      <vt:lpstr>Data</vt:lpstr>
      <vt:lpstr>EIM New Deals</vt:lpstr>
      <vt:lpstr>WE 2-22 EOL Data</vt:lpstr>
      <vt:lpstr>WE 2-28 EOL Data</vt:lpstr>
      <vt:lpstr>WE 2-15 EOL Data</vt:lpstr>
      <vt:lpstr>WE 2-8 EOL Data</vt:lpstr>
      <vt:lpstr>WE 2-1 EOL Data</vt:lpstr>
      <vt:lpstr>template from individuals</vt:lpstr>
      <vt:lpstr>template from eol</vt:lpstr>
      <vt:lpstr>Data People</vt:lpstr>
      <vt:lpstr>'EIM New Deals'!Print_Area</vt:lpstr>
      <vt:lpstr>'template from individuals'!Print_Area</vt:lpstr>
      <vt:lpstr>'Weekly Report'!Print_Area</vt:lpstr>
      <vt:lpstr>'EIM New Deals'!Print_Titles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Jan Havlíček</cp:lastModifiedBy>
  <cp:lastPrinted>2001-03-02T14:49:03Z</cp:lastPrinted>
  <dcterms:created xsi:type="dcterms:W3CDTF">2001-01-24T16:52:27Z</dcterms:created>
  <dcterms:modified xsi:type="dcterms:W3CDTF">2023-09-17T00:42:35Z</dcterms:modified>
</cp:coreProperties>
</file>