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EA2B5F-73D9-4E8D-A2E2-A811BBE7512A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D10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F14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D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<sst xmlns="http://schemas.openxmlformats.org/spreadsheetml/2006/main" count="427" uniqueCount="133">
  <si>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</si>
  <si>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</si>
  <si>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</si>
  <si>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</si>
  <si>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</si>
  <si>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</si>
  <si>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</si>
  <si>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</si>
  <si>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</si>
  <si>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</si>
  <si>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</si>
  <si>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</si>
  <si>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</si>
  <si>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</si>
  <si>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</si>
  <si>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</si>
  <si>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</si>
  <si>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</si>
  <si>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</si>
  <si>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</si>
  <si>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</si>
  <si>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</si>
  <si>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</si>
  <si>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</si>
  <si>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</si>
  <si>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</si>
  <si>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</si>
  <si>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</si>
  <si>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</si>
  <si>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</si>
  <si>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</si>
  <si>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</si>
  <si>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</si>
  <si>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</si>
  <si>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</si>
  <si>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</si>
  <si>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</si>
  <si>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</si>
  <si>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</si>
  <si>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</si>
  <si>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</si>
  <si>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</si>
  <si>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</si>
  <si>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</si>
  <si>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</si>
  <si>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</si>
  <si>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</si>
  <si>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</si>
  <si>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</si>
  <si>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</si>
  <si>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</si>
  <si>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</si>
  <si>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</si>
  <si>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</si>
  <si>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</si>
  <si>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</si>
  <si>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</si>
  <si>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</si>
  <si>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</si>
  <si>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</si>
  <si>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</si>
  <si>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</si>
  <si>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</si>
  <si>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</si>
  <si>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</si>
  <si>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</si>
  <si>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</si>
  <si>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</si>
  <si>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</si>
  <si>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</si>
  <si>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</si>
  <si>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</si>
  <si>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</si>
  <si>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</si>
  <si>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</si>
  <si>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</si>
  <si>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</si>
  <si>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</si>
  <si>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</si>
  <si>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</si>
  <si>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</si>
  <si>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</si>
  <si>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</si>
  <si>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</si>
  <si>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</si>
  <si>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</si>
  <si>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</si>
  <si>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</si>
  <si>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</si>
  <si>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</si>
  <si>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</si>
  <si>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</si>
  <si>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</si>
  <si>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</si>
  <si>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</si>
  <si>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</si>
  <si>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</si>
  <si>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</si>
  <si>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</si>
  <si>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</si>
  <si>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</si>
  <si>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</si>
  <si>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</si>
  <si>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</si>
  <si>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</si>
  <si>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</si>
  <si>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</si>
  <si>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</si>
  <si>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</si>
  <si>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</si>
  <si>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</si>
  <si>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</si>
  <si>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</si>
  <si>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</si>
  <si>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</si>
  <si>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</si>
  <si>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</si>
  <si>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</si>
  <si>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</si>
  <si>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</si>
  <si>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</si>
  <si>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</si>
  <si>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</si>
  <si>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</si>
  <si>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</si>
  <si>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</si>
  <si>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</si>
  <si>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</si>
  <si>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</si>
  <si>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</si>
  <si>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Peaker expenses to ENA</t>
  </si>
  <si>
    <t>Envera Service Fee</t>
  </si>
  <si>
    <t>Results based on activity through February 22,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</si>
</sst>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145BC100-9127-0444-069C-B3C760373B84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814B6405-0AEE-D2AB-DF52-8A0CEB6B7B88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2750A481-DEEA-9A08-DCA1-BA882554BD74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BA174ECA-B1FC-CB4C-1D84-5110E17C7E28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>
          <a:extLst>
            <a:ext uri="{FF2B5EF4-FFF2-40B4-BE49-F238E27FC236}">
              <a16:creationId xmlns:a16="http://schemas.microsoft.com/office/drawing/2014/main" id="{84C8ACCB-3718-5B2C-65FC-5CF7EA86027B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>
          <a:extLst>
            <a:ext uri="{FF2B5EF4-FFF2-40B4-BE49-F238E27FC236}">
              <a16:creationId xmlns:a16="http://schemas.microsoft.com/office/drawing/2014/main" id="{E311067A-B5FB-A5B4-34F2-39FF044C5FF0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9D3F7478-94C0-09D6-2D76-B2E039409F6B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412A21B3-FA27-2EC3-F2FE-EBE93057251D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98F04938-533F-A640-08AD-AC0459E365D4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F9ADF525-D5E7-34DE-B64C-FC1618D5D4B6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851B3CF6-E2AF-D3D8-5F58-EB12F9A3F9B8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37533E0A-9D99-8344-F142-C0F4682419B9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EF12AD15-9921-5716-AFA2-48B313593532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825EEFB0-5B39-3D36-A270-1EF0588FB76D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C3C40DD8-B1D3-A012-A3B9-AFDCE44AA09E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8744B5AD-11E8-E173-181A-79AFC711DC4D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C9B627BF-35C1-6A5C-10DD-9D3451140A2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D51AB6C5-9A4B-65EE-E808-90DAD246F8C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065521BB-1255-5061-F949-D638CB62A70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04CCEC26-91C1-4B2E-3B57-4EC6FFDE911A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EE70EBDC-3928-C290-FA0F-D67F8F1EF05A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>
        <row r="8">
          <cell r="C8">
            <v>-4678</v>
          </cell>
          <cell r="G8">
            <v>16841.212</v>
          </cell>
        </row>
        <row r="9">
          <cell r="C9">
            <v>-1510.0340000000001</v>
          </cell>
          <cell r="G9">
            <v>8166.1699999999992</v>
          </cell>
        </row>
        <row r="10">
          <cell r="C10">
            <v>-5086</v>
          </cell>
          <cell r="G10">
            <v>2123.4380000000001</v>
          </cell>
        </row>
        <row r="11">
          <cell r="C11">
            <v>2410</v>
          </cell>
          <cell r="G11">
            <v>4048.2690000000002</v>
          </cell>
        </row>
        <row r="12">
          <cell r="C12">
            <v>114.292</v>
          </cell>
          <cell r="G12">
            <v>1965.9789999999998</v>
          </cell>
        </row>
        <row r="13">
          <cell r="C13">
            <v>6635</v>
          </cell>
          <cell r="G13">
            <v>5545.3940000000002</v>
          </cell>
        </row>
        <row r="14">
          <cell r="C14">
            <v>0</v>
          </cell>
          <cell r="G14">
            <v>633.803</v>
          </cell>
        </row>
        <row r="15">
          <cell r="C15">
            <v>1082</v>
          </cell>
          <cell r="G15">
            <v>2634.0640000000003</v>
          </cell>
        </row>
        <row r="16">
          <cell r="C16">
            <v>165</v>
          </cell>
          <cell r="G16">
            <v>1600.923</v>
          </cell>
        </row>
        <row r="17">
          <cell r="C17">
            <v>-829</v>
          </cell>
          <cell r="G17">
            <v>1433.066</v>
          </cell>
        </row>
        <row r="18">
          <cell r="C18">
            <v>0</v>
          </cell>
          <cell r="G18">
            <v>783.779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-22667.67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February 15,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-4678</v>
          </cell>
          <cell r="H9">
            <v>0</v>
          </cell>
          <cell r="I9">
            <v>0</v>
          </cell>
          <cell r="J9">
            <v>-4678</v>
          </cell>
          <cell r="L9">
            <v>0</v>
          </cell>
          <cell r="M9">
            <v>6858.77</v>
          </cell>
          <cell r="N9">
            <v>9982.4419999999991</v>
          </cell>
          <cell r="O9">
            <v>-21519.212</v>
          </cell>
          <cell r="Q9">
            <v>-44678</v>
          </cell>
          <cell r="S9">
            <v>0</v>
          </cell>
          <cell r="T9">
            <v>-91</v>
          </cell>
          <cell r="U9">
            <v>0</v>
          </cell>
          <cell r="V9">
            <v>-44769</v>
          </cell>
        </row>
        <row r="10">
          <cell r="A10" t="str">
            <v>Coal</v>
          </cell>
          <cell r="C10">
            <v>13750</v>
          </cell>
          <cell r="D10">
            <v>8166.17</v>
          </cell>
          <cell r="E10">
            <v>5583.83</v>
          </cell>
          <cell r="G10">
            <v>-1510.0340000000001</v>
          </cell>
          <cell r="H10">
            <v>0</v>
          </cell>
          <cell r="I10">
            <v>0</v>
          </cell>
          <cell r="J10">
            <v>-1510.0340000000001</v>
          </cell>
          <cell r="L10">
            <v>753.42399999999998</v>
          </cell>
          <cell r="M10">
            <v>4013.0929999999998</v>
          </cell>
          <cell r="N10">
            <v>3399.6529999999998</v>
          </cell>
          <cell r="O10">
            <v>-9676.2040000000015</v>
          </cell>
          <cell r="Q10">
            <v>-15260.034</v>
          </cell>
          <cell r="S10">
            <v>0</v>
          </cell>
          <cell r="T10">
            <v>0</v>
          </cell>
          <cell r="U10">
            <v>0</v>
          </cell>
          <cell r="V10">
            <v>-15260</v>
          </cell>
        </row>
        <row r="11">
          <cell r="A11" t="str">
            <v>Emissions</v>
          </cell>
          <cell r="C11">
            <v>5000</v>
          </cell>
          <cell r="D11">
            <v>2123.4380000000001</v>
          </cell>
          <cell r="E11">
            <v>2876.5619999999999</v>
          </cell>
          <cell r="G11">
            <v>-5086</v>
          </cell>
          <cell r="H11">
            <v>0</v>
          </cell>
          <cell r="I11">
            <v>0</v>
          </cell>
          <cell r="J11">
            <v>-5086</v>
          </cell>
          <cell r="L11">
            <v>39.063000000000002</v>
          </cell>
          <cell r="M11">
            <v>1213.6179999999999</v>
          </cell>
          <cell r="N11">
            <v>870.75699999999995</v>
          </cell>
          <cell r="O11">
            <v>-7209.4380000000001</v>
          </cell>
          <cell r="Q11">
            <v>-10086</v>
          </cell>
          <cell r="S11">
            <v>0</v>
          </cell>
          <cell r="T11">
            <v>0</v>
          </cell>
          <cell r="U11">
            <v>0</v>
          </cell>
          <cell r="V11">
            <v>-10086</v>
          </cell>
        </row>
        <row r="12">
          <cell r="A12" t="str">
            <v>Weather</v>
          </cell>
          <cell r="C12">
            <v>8509.2510000000002</v>
          </cell>
          <cell r="D12">
            <v>4048.2690000000002</v>
          </cell>
          <cell r="E12">
            <v>4460.982</v>
          </cell>
          <cell r="G12">
            <v>2410</v>
          </cell>
          <cell r="H12">
            <v>0</v>
          </cell>
          <cell r="I12">
            <v>0</v>
          </cell>
          <cell r="J12">
            <v>2410</v>
          </cell>
          <cell r="L12">
            <v>0</v>
          </cell>
          <cell r="M12">
            <v>1808.5229999999999</v>
          </cell>
          <cell r="N12">
            <v>2239.7460000000001</v>
          </cell>
          <cell r="O12">
            <v>-1638.269</v>
          </cell>
          <cell r="Q12">
            <v>-6099.2510000000002</v>
          </cell>
          <cell r="S12">
            <v>0</v>
          </cell>
          <cell r="T12">
            <v>0</v>
          </cell>
          <cell r="U12">
            <v>0</v>
          </cell>
          <cell r="V12">
            <v>-6099</v>
          </cell>
        </row>
        <row r="13">
          <cell r="A13" t="str">
            <v>Global Risk Markets</v>
          </cell>
          <cell r="C13">
            <v>4875</v>
          </cell>
          <cell r="D13">
            <v>2615.9789999999998</v>
          </cell>
          <cell r="E13">
            <v>2259.0210000000002</v>
          </cell>
          <cell r="G13">
            <v>114.292</v>
          </cell>
          <cell r="H13">
            <v>0</v>
          </cell>
          <cell r="I13">
            <v>0</v>
          </cell>
          <cell r="J13">
            <v>114.292</v>
          </cell>
          <cell r="L13">
            <v>0</v>
          </cell>
          <cell r="M13">
            <v>1152.6479999999999</v>
          </cell>
          <cell r="N13">
            <v>813.33100000000002</v>
          </cell>
          <cell r="O13">
            <v>-1851.6869999999999</v>
          </cell>
          <cell r="Q13">
            <v>-4760.7079999999996</v>
          </cell>
          <cell r="S13">
            <v>0</v>
          </cell>
          <cell r="T13">
            <v>650</v>
          </cell>
          <cell r="U13">
            <v>0</v>
          </cell>
          <cell r="V13">
            <v>-4111</v>
          </cell>
        </row>
        <row r="14">
          <cell r="A14" t="str">
            <v>Financial Trading</v>
          </cell>
          <cell r="C14">
            <v>20000</v>
          </cell>
          <cell r="D14">
            <v>5545.3940000000002</v>
          </cell>
          <cell r="E14">
            <v>14454.606</v>
          </cell>
          <cell r="G14">
            <v>6635</v>
          </cell>
          <cell r="H14">
            <v>0</v>
          </cell>
          <cell r="I14">
            <v>0</v>
          </cell>
          <cell r="J14">
            <v>6635</v>
          </cell>
          <cell r="L14">
            <v>0</v>
          </cell>
          <cell r="M14">
            <v>3467.386</v>
          </cell>
          <cell r="N14">
            <v>2078.0079999999998</v>
          </cell>
          <cell r="O14">
            <v>1089.6060000000002</v>
          </cell>
          <cell r="Q14">
            <v>-13365</v>
          </cell>
          <cell r="S14">
            <v>0</v>
          </cell>
          <cell r="T14">
            <v>0</v>
          </cell>
          <cell r="U14">
            <v>0</v>
          </cell>
          <cell r="V14">
            <v>-13365</v>
          </cell>
        </row>
        <row r="15">
          <cell r="A15" t="str">
            <v>Freight</v>
          </cell>
          <cell r="C15">
            <v>500</v>
          </cell>
          <cell r="D15">
            <v>633.803</v>
          </cell>
          <cell r="E15">
            <v>-133.803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172.096</v>
          </cell>
          <cell r="O15">
            <v>-633.803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2634.0640000000003</v>
          </cell>
          <cell r="E16">
            <v>365.93599999999969</v>
          </cell>
          <cell r="G16">
            <v>1082</v>
          </cell>
          <cell r="H16">
            <v>0</v>
          </cell>
          <cell r="I16">
            <v>0</v>
          </cell>
          <cell r="J16">
            <v>1082</v>
          </cell>
          <cell r="L16">
            <v>0</v>
          </cell>
          <cell r="M16">
            <v>1430.25</v>
          </cell>
          <cell r="N16">
            <v>1203.8140000000001</v>
          </cell>
          <cell r="O16">
            <v>-1552.0640000000001</v>
          </cell>
          <cell r="Q16">
            <v>-1918</v>
          </cell>
          <cell r="S16">
            <v>0</v>
          </cell>
          <cell r="T16">
            <v>0</v>
          </cell>
          <cell r="U16">
            <v>0</v>
          </cell>
          <cell r="V16">
            <v>-1918</v>
          </cell>
        </row>
        <row r="17">
          <cell r="A17" t="str">
            <v>Middle East</v>
          </cell>
          <cell r="C17">
            <v>1413</v>
          </cell>
          <cell r="D17">
            <v>1600.923</v>
          </cell>
          <cell r="E17">
            <v>-187.923</v>
          </cell>
          <cell r="G17">
            <v>165</v>
          </cell>
          <cell r="H17">
            <v>0</v>
          </cell>
          <cell r="I17">
            <v>0</v>
          </cell>
          <cell r="J17">
            <v>165</v>
          </cell>
          <cell r="L17">
            <v>0</v>
          </cell>
          <cell r="M17">
            <v>809.5</v>
          </cell>
          <cell r="N17">
            <v>791.423</v>
          </cell>
          <cell r="O17">
            <v>-1435.923</v>
          </cell>
          <cell r="Q17">
            <v>-1248</v>
          </cell>
          <cell r="S17">
            <v>0</v>
          </cell>
          <cell r="T17">
            <v>0</v>
          </cell>
          <cell r="U17">
            <v>0</v>
          </cell>
          <cell r="V17">
            <v>-1248</v>
          </cell>
        </row>
        <row r="18">
          <cell r="A18" t="str">
            <v>Puerto Rico</v>
          </cell>
          <cell r="C18">
            <v>-858.5010000000002</v>
          </cell>
          <cell r="D18">
            <v>1433.0659999999998</v>
          </cell>
          <cell r="E18">
            <v>-2291.567</v>
          </cell>
          <cell r="G18">
            <v>-829</v>
          </cell>
          <cell r="H18">
            <v>0</v>
          </cell>
          <cell r="I18">
            <v>0</v>
          </cell>
          <cell r="J18">
            <v>-829</v>
          </cell>
          <cell r="L18">
            <v>591</v>
          </cell>
          <cell r="M18">
            <v>272.54199999999997</v>
          </cell>
          <cell r="N18">
            <v>569.524</v>
          </cell>
          <cell r="O18">
            <v>-2262.0659999999998</v>
          </cell>
          <cell r="Q18">
            <v>29.501000000000204</v>
          </cell>
          <cell r="S18">
            <v>0</v>
          </cell>
          <cell r="T18">
            <v>0</v>
          </cell>
          <cell r="U18">
            <v>0</v>
          </cell>
          <cell r="V18">
            <v>30</v>
          </cell>
        </row>
        <row r="19">
          <cell r="A19" t="str">
            <v>Finance and Structuring</v>
          </cell>
          <cell r="C19">
            <v>0</v>
          </cell>
          <cell r="D19">
            <v>783.779</v>
          </cell>
          <cell r="E19">
            <v>-783.779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71.608999999999995</v>
          </cell>
          <cell r="O19">
            <v>-783.779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1008.636</v>
          </cell>
          <cell r="E20">
            <v>-1008.636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475.267</v>
          </cell>
          <cell r="O20">
            <v>-1258.636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47343.733</v>
          </cell>
          <cell r="E22">
            <v>48845.016999999993</v>
          </cell>
          <cell r="G22">
            <v>-1696.7420000000002</v>
          </cell>
          <cell r="H22">
            <v>0</v>
          </cell>
          <cell r="I22">
            <v>0</v>
          </cell>
          <cell r="J22">
            <v>-1696.7420000000002</v>
          </cell>
          <cell r="K22">
            <v>0</v>
          </cell>
          <cell r="L22">
            <v>1383.4870000000001</v>
          </cell>
          <cell r="M22">
            <v>22983.575999999997</v>
          </cell>
          <cell r="N22">
            <v>22667.67</v>
          </cell>
          <cell r="O22">
            <v>-48731.474999999999</v>
          </cell>
          <cell r="Q22">
            <v>-97885.491999999998</v>
          </cell>
          <cell r="R22">
            <v>0</v>
          </cell>
          <cell r="S22">
            <v>0</v>
          </cell>
          <cell r="T22">
            <v>309</v>
          </cell>
          <cell r="U22">
            <v>0</v>
          </cell>
          <cell r="V22">
            <v>-97576</v>
          </cell>
        </row>
        <row r="24">
          <cell r="A24" t="str">
            <v>Group Support Cost</v>
          </cell>
          <cell r="C24">
            <v>0</v>
          </cell>
          <cell r="D24">
            <v>27406.815999999999</v>
          </cell>
          <cell r="E24">
            <v>-27406.815999999999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27406.815999999999</v>
          </cell>
          <cell r="N24">
            <v>0</v>
          </cell>
          <cell r="O24">
            <v>-27406.815999999999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-22667.67</v>
          </cell>
          <cell r="E25">
            <v>22667.67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-22667.67</v>
          </cell>
          <cell r="O25">
            <v>22667.67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44989.357999999993</v>
          </cell>
          <cell r="G29">
            <v>-2196.7420000000002</v>
          </cell>
          <cell r="H29">
            <v>0</v>
          </cell>
          <cell r="I29">
            <v>0</v>
          </cell>
          <cell r="J29">
            <v>-2196.7420000000002</v>
          </cell>
          <cell r="K29">
            <v>0</v>
          </cell>
          <cell r="L29">
            <v>0</v>
          </cell>
          <cell r="M29">
            <v>50390.391999999993</v>
          </cell>
          <cell r="N29">
            <v>0</v>
          </cell>
          <cell r="O29">
            <v>-52587.133999999998</v>
          </cell>
          <cell r="Q29">
            <v>-97885.491999999998</v>
          </cell>
          <cell r="R29">
            <v>0</v>
          </cell>
          <cell r="S29">
            <v>0</v>
          </cell>
          <cell r="T29">
            <v>309</v>
          </cell>
          <cell r="U29">
            <v>0</v>
          </cell>
          <cell r="V29">
            <v>-97576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44681.357999999993</v>
          </cell>
          <cell r="G33">
            <v>-2196.7420000000002</v>
          </cell>
          <cell r="H33">
            <v>0</v>
          </cell>
          <cell r="I33">
            <v>0</v>
          </cell>
          <cell r="J33">
            <v>-2196.7420000000002</v>
          </cell>
          <cell r="K33">
            <v>0</v>
          </cell>
          <cell r="L33">
            <v>0</v>
          </cell>
          <cell r="M33">
            <v>50698.391999999993</v>
          </cell>
          <cell r="N33">
            <v>0</v>
          </cell>
          <cell r="O33">
            <v>-52895.133999999991</v>
          </cell>
          <cell r="Q33">
            <v>-97885.491999999998</v>
          </cell>
          <cell r="R33">
            <v>0</v>
          </cell>
          <cell r="S33">
            <v>0</v>
          </cell>
          <cell r="T33">
            <v>309</v>
          </cell>
          <cell r="U33">
            <v>0</v>
          </cell>
          <cell r="V33">
            <v>-97576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/>
      <sheetData sheetId="4">
        <row r="10">
          <cell r="D10">
            <v>-4678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-1624</v>
          </cell>
          <cell r="E11">
            <v>113.96599999999999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-5086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2410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114.292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1434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2369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2838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-829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6858.77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1152.6479999999999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6.5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16750.212</v>
      </c>
      <c r="E9" s="135">
        <f>C9-D9</f>
        <v>23249.788</v>
      </c>
      <c r="F9" s="36"/>
      <c r="G9" s="133">
        <f>+'Mgmt Summary'!G9</f>
        <v>9598</v>
      </c>
      <c r="H9" s="36">
        <f>GrossMargin!J10</f>
        <v>0</v>
      </c>
      <c r="I9" s="36">
        <f>+'Mgmt Summary'!I9</f>
        <v>0</v>
      </c>
      <c r="J9" s="136">
        <f>SUM(G9:I9)</f>
        <v>9598</v>
      </c>
      <c r="K9" s="137"/>
      <c r="L9" s="139">
        <f>+'Mgmt Summary'!L9</f>
        <v>0</v>
      </c>
      <c r="M9" s="140">
        <f>+'Mgmt Summary'!M9</f>
        <v>6858.77</v>
      </c>
      <c r="N9" s="140">
        <f>+'Mgmt Summary'!N9</f>
        <v>9982.4419999999991</v>
      </c>
      <c r="O9" s="136">
        <f>J9-K9-M9-N9-L9</f>
        <v>-7243.2119999999995</v>
      </c>
      <c r="P9" s="37"/>
      <c r="Q9" s="133">
        <f>+'Mgmt Summary'!Q9</f>
        <v>-30402</v>
      </c>
      <c r="R9" s="36"/>
      <c r="S9" s="36">
        <f>+'Mgmt Summary'!S9</f>
        <v>0</v>
      </c>
      <c r="T9" s="36">
        <f>+'Mgmt Summary'!T9</f>
        <v>-91</v>
      </c>
      <c r="U9" s="36">
        <f>+'Mgmt Summary'!U9</f>
        <v>0</v>
      </c>
      <c r="V9" s="135">
        <f>ROUND(SUM(Q9:U9),0)</f>
        <v>-30493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8166.17</v>
      </c>
      <c r="E10" s="135">
        <f t="shared" ref="E10:E17" si="0">C10-D10</f>
        <v>5583.83</v>
      </c>
      <c r="F10" s="36"/>
      <c r="G10" s="133">
        <f>+'Mgmt Summary'!G10</f>
        <v>-1591.0340000000001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-1591.0340000000001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3399.6529999999998</v>
      </c>
      <c r="O10" s="136">
        <f t="shared" ref="O10:O17" si="2">J10-K10-M10-N10-L10</f>
        <v>-9757.2040000000015</v>
      </c>
      <c r="P10" s="37"/>
      <c r="Q10" s="133">
        <f>+'Mgmt Summary'!Q10</f>
        <v>-15341.034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-15341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2123.4380000000001</v>
      </c>
      <c r="E11" s="135">
        <f t="shared" si="0"/>
        <v>2876.5619999999999</v>
      </c>
      <c r="F11" s="36"/>
      <c r="G11" s="133">
        <f>+'Mgmt Summary'!G11</f>
        <v>-4589</v>
      </c>
      <c r="H11" s="36">
        <f>GrossMargin!J12</f>
        <v>0</v>
      </c>
      <c r="I11" s="36">
        <f>+'Mgmt Summary'!I11</f>
        <v>0</v>
      </c>
      <c r="J11" s="136">
        <f t="shared" si="1"/>
        <v>-4589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870.75699999999995</v>
      </c>
      <c r="O11" s="136">
        <f t="shared" si="2"/>
        <v>-6712.4380000000001</v>
      </c>
      <c r="P11" s="37"/>
      <c r="Q11" s="133">
        <f>+'Mgmt Summary'!Q11</f>
        <v>-9589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-9589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4048.2690000000002</v>
      </c>
      <c r="E12" s="135">
        <f t="shared" si="0"/>
        <v>4460.982</v>
      </c>
      <c r="F12" s="36"/>
      <c r="G12" s="133">
        <f>+'Mgmt Summary'!G12</f>
        <v>4807</v>
      </c>
      <c r="H12" s="36">
        <f>GrossMargin!J13</f>
        <v>0</v>
      </c>
      <c r="I12" s="36">
        <f>+'Mgmt Summary'!I12</f>
        <v>0</v>
      </c>
      <c r="J12" s="136">
        <f t="shared" si="1"/>
        <v>4807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2239.7460000000001</v>
      </c>
      <c r="O12" s="136">
        <f t="shared" si="2"/>
        <v>758.73099999999977</v>
      </c>
      <c r="P12" s="37"/>
      <c r="Q12" s="133">
        <f>+'Mgmt Summary'!Q12</f>
        <v>-3702.2510000000002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-3702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2615.9789999999998</v>
      </c>
      <c r="E13" s="135">
        <f t="shared" si="0"/>
        <v>2259.0210000000002</v>
      </c>
      <c r="F13" s="36"/>
      <c r="G13" s="133">
        <f>+'Mgmt Summary'!G13</f>
        <v>114.292</v>
      </c>
      <c r="H13" s="36">
        <f>GrossMargin!J14</f>
        <v>0</v>
      </c>
      <c r="I13" s="36">
        <f>+'Mgmt Summary'!I13</f>
        <v>0</v>
      </c>
      <c r="J13" s="136">
        <f t="shared" si="1"/>
        <v>114.292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813.33100000000002</v>
      </c>
      <c r="O13" s="136">
        <f t="shared" si="2"/>
        <v>-1851.6869999999999</v>
      </c>
      <c r="P13" s="37"/>
      <c r="Q13" s="133">
        <f>+'Mgmt Summary'!Q13</f>
        <v>-4760.7079999999996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-4111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5545.3940000000002</v>
      </c>
      <c r="E14" s="135">
        <f t="shared" si="0"/>
        <v>14454.606</v>
      </c>
      <c r="F14" s="36"/>
      <c r="G14" s="133">
        <f>+'Mgmt Summary'!G14</f>
        <v>7376</v>
      </c>
      <c r="H14" s="36">
        <f>GrossMargin!J15</f>
        <v>0</v>
      </c>
      <c r="I14" s="36">
        <f>+'Mgmt Summary'!I14</f>
        <v>0</v>
      </c>
      <c r="J14" s="136">
        <f t="shared" si="1"/>
        <v>7376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2078.0079999999998</v>
      </c>
      <c r="O14" s="136">
        <f t="shared" si="2"/>
        <v>1830.6060000000002</v>
      </c>
      <c r="P14" s="37"/>
      <c r="Q14" s="133">
        <f>+'Mgmt Summary'!Q14</f>
        <v>-12624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-12624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633.803</v>
      </c>
      <c r="E15" s="135">
        <f t="shared" si="0"/>
        <v>-133.803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172.096</v>
      </c>
      <c r="O15" s="136">
        <f t="shared" si="2"/>
        <v>-633.803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1008.636</v>
      </c>
      <c r="E17" s="135">
        <f t="shared" si="0"/>
        <v>-1008.636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475.267</v>
      </c>
      <c r="O17" s="136">
        <f t="shared" si="2"/>
        <v>-1258.636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2634.0640000000003</v>
      </c>
      <c r="E21" s="135">
        <f>C21-D21</f>
        <v>365.93599999999969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1203.8140000000001</v>
      </c>
      <c r="O21" s="136">
        <f>J21-K21-M21-N21-L21</f>
        <v>-1552.0640000000001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1600.923</v>
      </c>
      <c r="E22" s="135">
        <f>C22-D22</f>
        <v>-187.923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791.423</v>
      </c>
      <c r="O22" s="136">
        <f>J22-K22-M22-N22-L22</f>
        <v>-1435.923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1433.0659999999998</v>
      </c>
      <c r="E23" s="135">
        <f>C23-D23</f>
        <v>-2291.567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569.524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5668.0529999999999</v>
      </c>
      <c r="E25" s="45">
        <f>SUM(E21:E24)</f>
        <v>-2113.5540000000001</v>
      </c>
      <c r="F25" s="36">
        <f>SUM(F19:F23)</f>
        <v>0</v>
      </c>
      <c r="G25" s="43">
        <f t="shared" ref="G25:O25" si="6">SUM(G21:G24)</f>
        <v>418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2564.761</v>
      </c>
      <c r="O25" s="46" t="e">
        <f t="shared" si="6"/>
        <v>#REF!</v>
      </c>
      <c r="P25" s="180"/>
      <c r="Q25" s="43">
        <f t="shared" ref="Q25:V25" si="7">SUM(Q21:Q24)</f>
        <v>-3136.4989999999998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-3136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-22667.67</v>
      </c>
      <c r="E31" s="135">
        <f>C31-D31</f>
        <v>22667.67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-22667.67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I2" sqref="I2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22,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9598</v>
      </c>
      <c r="D8" s="226">
        <f>+'Mgmt Summary'!C9</f>
        <v>40000</v>
      </c>
      <c r="E8" s="227">
        <f t="shared" ref="E8:E13" si="0">-D8+C8</f>
        <v>-30402</v>
      </c>
      <c r="F8" s="228"/>
      <c r="G8" s="225">
        <f>+Expenses!D9+'CapChrg-AllocExp'!K10+'CapChrg-AllocExp'!D10</f>
        <v>16841.212</v>
      </c>
      <c r="H8" s="226">
        <f>+Expenses!E9+'CapChrg-AllocExp'!L10+'CapChrg-AllocExp'!E10</f>
        <v>16750.212</v>
      </c>
      <c r="I8" s="227">
        <f t="shared" ref="I8:I14" si="1">+H8-G8</f>
        <v>-91</v>
      </c>
      <c r="J8" s="228"/>
      <c r="K8" s="225">
        <f>+C8-G8</f>
        <v>-7243.2119999999995</v>
      </c>
      <c r="L8" s="226">
        <f t="shared" ref="K8:L13" si="2">D8-H8</f>
        <v>23249.788</v>
      </c>
      <c r="M8" s="227">
        <f t="shared" ref="M8:M13" si="3">K8-L8</f>
        <v>-30493</v>
      </c>
      <c r="N8" s="290"/>
      <c r="O8" s="225">
        <f>+C8-'[1]QTD Mgmt Summary'!C8</f>
        <v>14276</v>
      </c>
      <c r="P8" s="226">
        <f>-G8+'[1]QTD Mgmt Summary'!G8</f>
        <v>0</v>
      </c>
      <c r="Q8" s="227">
        <f>+O8+P8</f>
        <v>14276</v>
      </c>
    </row>
    <row r="9" spans="1:22" s="32" customFormat="1" ht="13.5" customHeight="1">
      <c r="A9" s="223" t="s">
        <v>1</v>
      </c>
      <c r="B9" s="224"/>
      <c r="C9" s="225">
        <f>+'Mgmt Summary'!J10</f>
        <v>-1591.0340000000001</v>
      </c>
      <c r="D9" s="226">
        <f>+'Mgmt Summary'!C10</f>
        <v>13750</v>
      </c>
      <c r="E9" s="227">
        <f t="shared" si="0"/>
        <v>-15341.034</v>
      </c>
      <c r="F9" s="228"/>
      <c r="G9" s="225">
        <f>+Expenses!D10+'CapChrg-AllocExp'!K11+'CapChrg-AllocExp'!D11</f>
        <v>8166.1699999999992</v>
      </c>
      <c r="H9" s="226">
        <f>+Expenses!E10+'CapChrg-AllocExp'!L11+'CapChrg-AllocExp'!E11</f>
        <v>8166.1699999999992</v>
      </c>
      <c r="I9" s="227">
        <f t="shared" si="1"/>
        <v>0</v>
      </c>
      <c r="J9" s="228"/>
      <c r="K9" s="225">
        <f t="shared" si="2"/>
        <v>-9757.2039999999997</v>
      </c>
      <c r="L9" s="226">
        <f t="shared" si="2"/>
        <v>5583.8300000000008</v>
      </c>
      <c r="M9" s="227">
        <f t="shared" si="3"/>
        <v>-15341.034</v>
      </c>
      <c r="N9" s="290"/>
      <c r="O9" s="225">
        <f>+C9-'[1]QTD Mgmt Summary'!C9</f>
        <v>-81</v>
      </c>
      <c r="P9" s="226">
        <f>-G9+'[1]QTD Mgmt Summary'!G9</f>
        <v>0</v>
      </c>
      <c r="Q9" s="227">
        <f t="shared" ref="Q9:Q16" si="4">+O9+P9</f>
        <v>-81</v>
      </c>
    </row>
    <row r="10" spans="1:22" s="32" customFormat="1" ht="13.5" customHeight="1">
      <c r="A10" s="223" t="s">
        <v>44</v>
      </c>
      <c r="B10" s="224"/>
      <c r="C10" s="225">
        <f>+'Mgmt Summary'!J11</f>
        <v>-4589</v>
      </c>
      <c r="D10" s="226">
        <f>+'Mgmt Summary'!C11</f>
        <v>5000</v>
      </c>
      <c r="E10" s="227">
        <f t="shared" si="0"/>
        <v>-9589</v>
      </c>
      <c r="F10" s="228"/>
      <c r="G10" s="225">
        <f>+Expenses!D11+'CapChrg-AllocExp'!K12+'CapChrg-AllocExp'!D12</f>
        <v>2123.4380000000001</v>
      </c>
      <c r="H10" s="226">
        <f>+Expenses!E11+'CapChrg-AllocExp'!L12+'CapChrg-AllocExp'!E12</f>
        <v>2123.4380000000001</v>
      </c>
      <c r="I10" s="227">
        <f t="shared" si="1"/>
        <v>0</v>
      </c>
      <c r="J10" s="228"/>
      <c r="K10" s="225">
        <f t="shared" si="2"/>
        <v>-6712.4380000000001</v>
      </c>
      <c r="L10" s="226">
        <f t="shared" si="2"/>
        <v>2876.5619999999999</v>
      </c>
      <c r="M10" s="227">
        <f t="shared" si="3"/>
        <v>-9589</v>
      </c>
      <c r="N10" s="290"/>
      <c r="O10" s="225">
        <f>+C10-'[1]QTD Mgmt Summary'!C10</f>
        <v>497</v>
      </c>
      <c r="P10" s="226">
        <f>-G10+'[1]QTD Mgmt Summary'!G10</f>
        <v>0</v>
      </c>
      <c r="Q10" s="227">
        <f t="shared" si="4"/>
        <v>497</v>
      </c>
    </row>
    <row r="11" spans="1:22" s="32" customFormat="1" ht="13.5" customHeight="1">
      <c r="A11" s="223" t="s">
        <v>64</v>
      </c>
      <c r="B11" s="224"/>
      <c r="C11" s="225">
        <f>+'Mgmt Summary'!J12</f>
        <v>4807</v>
      </c>
      <c r="D11" s="226">
        <f>+'Mgmt Summary'!C12</f>
        <v>8509.2510000000002</v>
      </c>
      <c r="E11" s="227">
        <f t="shared" si="0"/>
        <v>-3702.2510000000002</v>
      </c>
      <c r="F11" s="228"/>
      <c r="G11" s="225">
        <f>+Expenses!D12+'CapChrg-AllocExp'!K13+'CapChrg-AllocExp'!D13</f>
        <v>4048.2690000000002</v>
      </c>
      <c r="H11" s="226">
        <f>+Expenses!E12+'CapChrg-AllocExp'!L13+'CapChrg-AllocExp'!E13</f>
        <v>4048.2690000000002</v>
      </c>
      <c r="I11" s="227">
        <f t="shared" si="1"/>
        <v>0</v>
      </c>
      <c r="J11" s="228"/>
      <c r="K11" s="225">
        <f t="shared" si="2"/>
        <v>758.73099999999977</v>
      </c>
      <c r="L11" s="226">
        <f t="shared" si="2"/>
        <v>4460.982</v>
      </c>
      <c r="M11" s="227">
        <f t="shared" si="3"/>
        <v>-3702.2510000000002</v>
      </c>
      <c r="N11" s="290"/>
      <c r="O11" s="225">
        <f>+C11-'[1]QTD Mgmt Summary'!C11</f>
        <v>2397</v>
      </c>
      <c r="P11" s="226">
        <f>-G11+'[1]QTD Mgmt Summary'!G11</f>
        <v>0</v>
      </c>
      <c r="Q11" s="227">
        <f t="shared" si="4"/>
        <v>2397</v>
      </c>
    </row>
    <row r="12" spans="1:22" s="32" customFormat="1" ht="13.5" customHeight="1">
      <c r="A12" s="223" t="s">
        <v>71</v>
      </c>
      <c r="B12" s="224"/>
      <c r="C12" s="225">
        <f>+'Mgmt Summary'!J13</f>
        <v>114.292</v>
      </c>
      <c r="D12" s="226">
        <f>+'Mgmt Summary'!C13</f>
        <v>4875</v>
      </c>
      <c r="E12" s="227">
        <f t="shared" si="0"/>
        <v>-4760.7079999999996</v>
      </c>
      <c r="F12" s="228"/>
      <c r="G12" s="225">
        <f>+Expenses!D13+'CapChrg-AllocExp'!K14+'CapChrg-AllocExp'!D14</f>
        <v>1965.9789999999998</v>
      </c>
      <c r="H12" s="226">
        <f>+Expenses!E13+'CapChrg-AllocExp'!L14+'CapChrg-AllocExp'!E14</f>
        <v>2615.9789999999998</v>
      </c>
      <c r="I12" s="227">
        <f t="shared" si="1"/>
        <v>650</v>
      </c>
      <c r="J12" s="228"/>
      <c r="K12" s="225">
        <f t="shared" si="2"/>
        <v>-1851.6869999999999</v>
      </c>
      <c r="L12" s="226">
        <f t="shared" si="2"/>
        <v>2259.0210000000002</v>
      </c>
      <c r="M12" s="227">
        <f t="shared" si="3"/>
        <v>-4110.7080000000005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7376</v>
      </c>
      <c r="D13" s="226">
        <f>+'Mgmt Summary'!C14</f>
        <v>20000</v>
      </c>
      <c r="E13" s="227">
        <f t="shared" si="0"/>
        <v>-12624</v>
      </c>
      <c r="F13" s="228"/>
      <c r="G13" s="225">
        <f>+Expenses!D14+'CapChrg-AllocExp'!K15+'CapChrg-AllocExp'!D15</f>
        <v>5545.3940000000002</v>
      </c>
      <c r="H13" s="226">
        <f>+Expenses!E14+'CapChrg-AllocExp'!L15+'CapChrg-AllocExp'!E15</f>
        <v>5545.3940000000002</v>
      </c>
      <c r="I13" s="227">
        <f t="shared" si="1"/>
        <v>0</v>
      </c>
      <c r="J13" s="228"/>
      <c r="K13" s="225">
        <f t="shared" si="2"/>
        <v>1830.6059999999998</v>
      </c>
      <c r="L13" s="226">
        <f t="shared" si="2"/>
        <v>14454.606</v>
      </c>
      <c r="M13" s="227">
        <f t="shared" si="3"/>
        <v>-12624</v>
      </c>
      <c r="N13" s="290"/>
      <c r="O13" s="225">
        <f>+C13-'[1]QTD Mgmt Summary'!C13</f>
        <v>741</v>
      </c>
      <c r="P13" s="294">
        <f>(-G13+'[1]QTD Mgmt Summary'!G13)*0</f>
        <v>0</v>
      </c>
      <c r="Q13" s="227">
        <f t="shared" si="4"/>
        <v>741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633.803</v>
      </c>
      <c r="H14" s="226">
        <f>+Expenses!E15+'CapChrg-AllocExp'!L16+'CapChrg-AllocExp'!E16</f>
        <v>633.803</v>
      </c>
      <c r="I14" s="227">
        <f t="shared" si="1"/>
        <v>0</v>
      </c>
      <c r="J14" s="228"/>
      <c r="K14" s="225">
        <f>C14-G14</f>
        <v>-633.803</v>
      </c>
      <c r="L14" s="226">
        <f>D14-H14</f>
        <v>-133.803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2634.0640000000003</v>
      </c>
      <c r="H15" s="226">
        <f>+Expenses!E16+'CapChrg-AllocExp'!L17+'CapChrg-AllocExp'!E17</f>
        <v>2634.0640000000003</v>
      </c>
      <c r="I15" s="227">
        <f>+H15-G15</f>
        <v>0</v>
      </c>
      <c r="J15" s="228"/>
      <c r="K15" s="225">
        <f t="shared" ref="K15:L17" si="7">C15-G15</f>
        <v>-1552.0640000000003</v>
      </c>
      <c r="L15" s="226">
        <f t="shared" si="7"/>
        <v>365.93599999999969</v>
      </c>
      <c r="M15" s="227">
        <f t="shared" si="6"/>
        <v>-1918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1600.923</v>
      </c>
      <c r="H16" s="226">
        <f>+Expenses!E17+'CapChrg-AllocExp'!L18+'CapChrg-AllocExp'!E18</f>
        <v>1600.923</v>
      </c>
      <c r="I16" s="227">
        <f>+H16-G16</f>
        <v>0</v>
      </c>
      <c r="J16" s="228"/>
      <c r="K16" s="225">
        <f t="shared" si="7"/>
        <v>-1435.923</v>
      </c>
      <c r="L16" s="226">
        <f t="shared" si="7"/>
        <v>-187.923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1433.066</v>
      </c>
      <c r="H17" s="259">
        <f>+Expenses!E18+'CapChrg-AllocExp'!L19+'CapChrg-AllocExp'!E19</f>
        <v>1433.066</v>
      </c>
      <c r="I17" s="260">
        <f>+H17-G17</f>
        <v>0</v>
      </c>
      <c r="J17" s="228"/>
      <c r="K17" s="258">
        <f t="shared" si="7"/>
        <v>-2262.0659999999998</v>
      </c>
      <c r="L17" s="259">
        <f t="shared" si="7"/>
        <v>-2291.567</v>
      </c>
      <c r="M17" s="260">
        <f t="shared" si="6"/>
        <v>29.501000000000204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783.779</v>
      </c>
      <c r="H18" s="259">
        <f>+Expenses!E19+'CapChrg-AllocExp'!L20+'CapChrg-AllocExp'!E20</f>
        <v>783.779</v>
      </c>
      <c r="I18" s="260">
        <f>+H18-G18</f>
        <v>0</v>
      </c>
      <c r="J18" s="228"/>
      <c r="K18" s="258">
        <f>C18-G18</f>
        <v>-783.779</v>
      </c>
      <c r="L18" s="259">
        <f>D18-H18</f>
        <v>-783.779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1258.636</v>
      </c>
      <c r="H19" s="226">
        <f>+Expenses!E20+'CapChrg-AllocExp'!L21</f>
        <v>1008.636</v>
      </c>
      <c r="I19" s="227">
        <f>+H19-G19</f>
        <v>-250</v>
      </c>
      <c r="J19" s="228"/>
      <c r="K19" s="225">
        <f>C19-G19</f>
        <v>-1258.636</v>
      </c>
      <c r="L19" s="226">
        <f>D19-H19</f>
        <v>-1008.636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16133.258000000002</v>
      </c>
      <c r="D21" s="235">
        <f>SUM(D8:D20)</f>
        <v>96188.75</v>
      </c>
      <c r="E21" s="236">
        <f>SUM(E8:E20)</f>
        <v>-80055.491999999998</v>
      </c>
      <c r="F21" s="237"/>
      <c r="G21" s="234">
        <f>SUM(G8:G20)</f>
        <v>47034.733</v>
      </c>
      <c r="H21" s="235">
        <f>SUM(H8:H20)</f>
        <v>47343.733</v>
      </c>
      <c r="I21" s="236">
        <f>SUM(I8:I20)</f>
        <v>309</v>
      </c>
      <c r="J21" s="237"/>
      <c r="K21" s="234">
        <f>SUM(K8:K20)</f>
        <v>-30901.474999999991</v>
      </c>
      <c r="L21" s="235">
        <f>SUM(L8:L20)</f>
        <v>48845.016999999993</v>
      </c>
      <c r="M21" s="236">
        <f>SUM(M8:M20)</f>
        <v>-79746.491999999998</v>
      </c>
      <c r="N21" s="291"/>
      <c r="O21" s="234">
        <f>SUM(O8:O20)</f>
        <v>17830</v>
      </c>
      <c r="P21" s="235">
        <f>SUM(P8:P20)</f>
        <v>0</v>
      </c>
      <c r="Q21" s="236">
        <f>SUM(Q8:Q20)</f>
        <v>17830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-22667.67</v>
      </c>
      <c r="H24" s="226">
        <f>+'Mgmt Summary'!D25</f>
        <v>-22667.67</v>
      </c>
      <c r="I24" s="227">
        <f>+H24-G24</f>
        <v>0</v>
      </c>
      <c r="J24" s="228"/>
      <c r="K24" s="225">
        <f t="shared" ref="K24:L26" si="8">C24-G24</f>
        <v>22667.67</v>
      </c>
      <c r="L24" s="226">
        <f t="shared" si="8"/>
        <v>22667.67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15633.258000000002</v>
      </c>
      <c r="D28" s="235">
        <f>SUM(D21:D26)</f>
        <v>95688.75</v>
      </c>
      <c r="E28" s="236">
        <f>SUM(E21:E26)</f>
        <v>-80055.491999999998</v>
      </c>
      <c r="F28" s="237"/>
      <c r="G28" s="234">
        <f>SUM(G21:G26)</f>
        <v>50390.392</v>
      </c>
      <c r="H28" s="235">
        <f>SUM(H21:H26)</f>
        <v>50699.392</v>
      </c>
      <c r="I28" s="236">
        <f>SUM(I21:I26)</f>
        <v>309</v>
      </c>
      <c r="J28" s="237"/>
      <c r="K28" s="234">
        <f>SUM(K21:K26)</f>
        <v>-34757.133999999991</v>
      </c>
      <c r="L28" s="235">
        <f>SUM(L21:L26)</f>
        <v>44989.357999999993</v>
      </c>
      <c r="M28" s="236">
        <f>SUM(M21:M26)</f>
        <v>-79746.491999999998</v>
      </c>
      <c r="N28" s="291"/>
      <c r="O28" s="234">
        <f>SUM(O21:O26)</f>
        <v>17830</v>
      </c>
      <c r="P28" s="235">
        <f>SUM(P21:P26)</f>
        <v>0</v>
      </c>
      <c r="Q28" s="236">
        <f>SUM(Q21:Q26)</f>
        <v>17830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15633.258000000002</v>
      </c>
      <c r="D32" s="240">
        <f>+D28-D30</f>
        <v>95688.75</v>
      </c>
      <c r="E32" s="264">
        <f>+E28-E30</f>
        <v>-80055.491999999998</v>
      </c>
      <c r="F32" s="241"/>
      <c r="G32" s="239">
        <f>SUM(G28:G30)</f>
        <v>50698.392</v>
      </c>
      <c r="H32" s="240">
        <f>SUM(H28:H30)</f>
        <v>51007.392</v>
      </c>
      <c r="I32" s="264">
        <f>SUM(I28:I30)</f>
        <v>309</v>
      </c>
      <c r="J32" s="241"/>
      <c r="K32" s="239">
        <f>SUM(K28:K30)</f>
        <v>-35065.133999999991</v>
      </c>
      <c r="L32" s="240">
        <f>SUM(L28:L30)</f>
        <v>44681.357999999993</v>
      </c>
      <c r="M32" s="264">
        <f>SUM(M28:M30)</f>
        <v>-79746.491999999998</v>
      </c>
      <c r="N32" s="291"/>
      <c r="O32" s="239">
        <f>SUM(O28:O30)</f>
        <v>17830</v>
      </c>
      <c r="P32" s="240">
        <f>SUM(P28:P30)</f>
        <v>0</v>
      </c>
      <c r="Q32" s="264">
        <f>SUM(Q28:Q30)</f>
        <v>17830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16841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989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0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17830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15633.258</v>
      </c>
      <c r="G46" s="269" t="s">
        <v>108</v>
      </c>
      <c r="H46" s="270"/>
      <c r="I46" s="272">
        <f>+G32</f>
        <v>50698.392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15633.258</v>
      </c>
      <c r="G48" s="279" t="s">
        <v>109</v>
      </c>
      <c r="H48" s="280"/>
      <c r="I48" s="285">
        <f>+I46-I45</f>
        <v>50698.392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A2" sqref="A2:V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5">
      <c r="A3" s="314" t="s">
        <v>132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16750.212</v>
      </c>
      <c r="E9" s="135">
        <f t="shared" ref="E9:E15" si="0">C9-D9</f>
        <v>23249.788</v>
      </c>
      <c r="F9" s="36"/>
      <c r="G9" s="133">
        <f>GrossMargin!I10</f>
        <v>9598</v>
      </c>
      <c r="H9" s="36">
        <f>GrossMargin!J10</f>
        <v>0</v>
      </c>
      <c r="I9" s="36">
        <f>GrossMargin!K10</f>
        <v>0</v>
      </c>
      <c r="J9" s="136">
        <f t="shared" ref="J9:J15" si="1">SUM(G9:I9)</f>
        <v>9598</v>
      </c>
      <c r="K9" s="137"/>
      <c r="L9" s="139">
        <f>'CapChrg-AllocExp'!D10</f>
        <v>0</v>
      </c>
      <c r="M9" s="140">
        <f>Expenses!D9</f>
        <v>6858.77</v>
      </c>
      <c r="N9" s="140">
        <f>'CapChrg-AllocExp'!K10</f>
        <v>9982.4419999999991</v>
      </c>
      <c r="O9" s="136">
        <f t="shared" ref="O9:O15" si="2">J9-K9-M9-N9-L9</f>
        <v>-7243.2119999999995</v>
      </c>
      <c r="P9" s="37"/>
      <c r="Q9" s="133">
        <f t="shared" ref="Q9:Q15" si="3">+J9-C9</f>
        <v>-30402</v>
      </c>
      <c r="R9" s="36"/>
      <c r="S9" s="36">
        <f>'CapChrg-AllocExp'!F10</f>
        <v>0</v>
      </c>
      <c r="T9" s="36">
        <f>Expenses!F9</f>
        <v>-91</v>
      </c>
      <c r="U9" s="36">
        <f>'CapChrg-AllocExp'!M10</f>
        <v>0</v>
      </c>
      <c r="V9" s="135">
        <f t="shared" ref="V9:V15" si="4">ROUND(SUM(Q9:U9),0)</f>
        <v>-30493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8166.17</v>
      </c>
      <c r="E10" s="135">
        <f t="shared" si="0"/>
        <v>5583.83</v>
      </c>
      <c r="F10" s="36"/>
      <c r="G10" s="133">
        <f>GrossMargin!I11</f>
        <v>-1591.0340000000001</v>
      </c>
      <c r="H10" s="36">
        <f>GrossMargin!J11</f>
        <v>0</v>
      </c>
      <c r="I10" s="36">
        <f>GrossMargin!K11</f>
        <v>0</v>
      </c>
      <c r="J10" s="136">
        <f t="shared" si="1"/>
        <v>-1591.0340000000001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3399.6529999999998</v>
      </c>
      <c r="O10" s="136">
        <f t="shared" si="2"/>
        <v>-9757.2040000000015</v>
      </c>
      <c r="P10" s="37"/>
      <c r="Q10" s="133">
        <f t="shared" si="3"/>
        <v>-15341.034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-15341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2123.4380000000001</v>
      </c>
      <c r="E11" s="135">
        <f t="shared" si="0"/>
        <v>2876.5619999999999</v>
      </c>
      <c r="F11" s="36"/>
      <c r="G11" s="133">
        <f>GrossMargin!I12</f>
        <v>-4589</v>
      </c>
      <c r="H11" s="36">
        <f>GrossMargin!J12</f>
        <v>0</v>
      </c>
      <c r="I11" s="36">
        <f>GrossMargin!K12</f>
        <v>0</v>
      </c>
      <c r="J11" s="136">
        <f t="shared" si="1"/>
        <v>-4589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870.75699999999995</v>
      </c>
      <c r="O11" s="136">
        <f t="shared" si="2"/>
        <v>-6712.4380000000001</v>
      </c>
      <c r="P11" s="37"/>
      <c r="Q11" s="133">
        <f t="shared" si="3"/>
        <v>-9589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-9589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4048.2690000000002</v>
      </c>
      <c r="E12" s="135">
        <f t="shared" si="0"/>
        <v>4460.982</v>
      </c>
      <c r="F12" s="36"/>
      <c r="G12" s="133">
        <f>GrossMargin!I13</f>
        <v>4807</v>
      </c>
      <c r="H12" s="36">
        <f>GrossMargin!J13</f>
        <v>0</v>
      </c>
      <c r="I12" s="36">
        <f>GrossMargin!K13</f>
        <v>0</v>
      </c>
      <c r="J12" s="136">
        <f t="shared" si="1"/>
        <v>4807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2239.7460000000001</v>
      </c>
      <c r="O12" s="136">
        <f t="shared" si="2"/>
        <v>758.73099999999977</v>
      </c>
      <c r="P12" s="37"/>
      <c r="Q12" s="133">
        <f t="shared" si="3"/>
        <v>-3702.2510000000002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-3702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2615.9789999999998</v>
      </c>
      <c r="E13" s="135">
        <f t="shared" si="0"/>
        <v>2259.0210000000002</v>
      </c>
      <c r="F13" s="36"/>
      <c r="G13" s="133">
        <f>GrossMargin!I14</f>
        <v>114.292</v>
      </c>
      <c r="H13" s="36">
        <f>GrossMargin!J14</f>
        <v>0</v>
      </c>
      <c r="I13" s="36">
        <f>GrossMargin!K14</f>
        <v>0</v>
      </c>
      <c r="J13" s="136">
        <f t="shared" si="1"/>
        <v>114.292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813.33100000000002</v>
      </c>
      <c r="O13" s="136">
        <f t="shared" si="2"/>
        <v>-1851.6869999999999</v>
      </c>
      <c r="P13" s="37"/>
      <c r="Q13" s="133">
        <f t="shared" si="3"/>
        <v>-4760.7079999999996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-4111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5545.3940000000002</v>
      </c>
      <c r="E14" s="164">
        <f t="shared" si="0"/>
        <v>14454.606</v>
      </c>
      <c r="F14" s="140"/>
      <c r="G14" s="139">
        <f>+GrossMargin!I21</f>
        <v>7376</v>
      </c>
      <c r="H14" s="140">
        <f>GrossMargin!J15</f>
        <v>0</v>
      </c>
      <c r="I14" s="140">
        <f>+GrossMargin!K21</f>
        <v>0</v>
      </c>
      <c r="J14" s="179">
        <f t="shared" si="1"/>
        <v>7376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2078.0079999999998</v>
      </c>
      <c r="O14" s="179">
        <f t="shared" si="2"/>
        <v>1830.6060000000002</v>
      </c>
      <c r="P14" s="181"/>
      <c r="Q14" s="139">
        <f t="shared" si="3"/>
        <v>-12624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-12624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633.803</v>
      </c>
      <c r="E15" s="164">
        <f t="shared" si="0"/>
        <v>-133.803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172.096</v>
      </c>
      <c r="O15" s="179">
        <f t="shared" si="2"/>
        <v>-633.803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2634.0640000000003</v>
      </c>
      <c r="E16" s="164">
        <f>C16-D16</f>
        <v>365.93599999999969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1203.8140000000001</v>
      </c>
      <c r="O16" s="179">
        <f>J16-K16-M16-N16-L16</f>
        <v>-1552.0640000000001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1600.923</v>
      </c>
      <c r="E17" s="164">
        <f>C17-D17</f>
        <v>-187.923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791.423</v>
      </c>
      <c r="O17" s="179">
        <f>J17-K17-M17-N17-L17</f>
        <v>-1435.923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1433.0659999999998</v>
      </c>
      <c r="E18" s="164">
        <f>C18-D18</f>
        <v>-2291.567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569.524</v>
      </c>
      <c r="O18" s="179">
        <f>J18-K18-M18-N18-L18</f>
        <v>-2262.0659999999998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783.779</v>
      </c>
      <c r="E19" s="164">
        <f>C19-D19</f>
        <v>-783.779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71.608999999999995</v>
      </c>
      <c r="O19" s="179">
        <f>J19-K19-M19-N19-L19</f>
        <v>-783.779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1008.636</v>
      </c>
      <c r="E20" s="135">
        <f>C20-D20</f>
        <v>-1008.636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475.267</v>
      </c>
      <c r="O20" s="136">
        <f>J20-K20-M20-N20-L20</f>
        <v>-1258.636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47343.733</v>
      </c>
      <c r="E22" s="45">
        <f>SUM(E9:E21)</f>
        <v>48845.016999999993</v>
      </c>
      <c r="F22" s="36"/>
      <c r="G22" s="43">
        <f t="shared" ref="G22:O22" si="5">SUM(G9:G21)</f>
        <v>16133.258000000002</v>
      </c>
      <c r="H22" s="44">
        <f t="shared" si="5"/>
        <v>0</v>
      </c>
      <c r="I22" s="45">
        <f t="shared" si="5"/>
        <v>0</v>
      </c>
      <c r="J22" s="46">
        <f t="shared" si="5"/>
        <v>16133.258000000002</v>
      </c>
      <c r="K22" s="44">
        <f t="shared" si="5"/>
        <v>0</v>
      </c>
      <c r="L22" s="43">
        <f t="shared" si="5"/>
        <v>1383.4870000000001</v>
      </c>
      <c r="M22" s="44">
        <f t="shared" si="5"/>
        <v>22983.575999999997</v>
      </c>
      <c r="N22" s="44">
        <f t="shared" si="5"/>
        <v>22667.67</v>
      </c>
      <c r="O22" s="46">
        <f t="shared" si="5"/>
        <v>-30901.474999999991</v>
      </c>
      <c r="P22" s="180"/>
      <c r="Q22" s="43">
        <f t="shared" ref="Q22:V22" si="6">SUM(Q9:Q21)</f>
        <v>-80055.491999999998</v>
      </c>
      <c r="R22" s="44">
        <f t="shared" si="6"/>
        <v>0</v>
      </c>
      <c r="S22" s="44">
        <f t="shared" si="6"/>
        <v>0</v>
      </c>
      <c r="T22" s="44">
        <f t="shared" si="6"/>
        <v>309</v>
      </c>
      <c r="U22" s="44">
        <f t="shared" si="6"/>
        <v>0</v>
      </c>
      <c r="V22" s="45">
        <f t="shared" si="6"/>
        <v>-79746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-22667.67</v>
      </c>
      <c r="E25" s="135">
        <f>C25-D25</f>
        <v>22667.67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-22667.67</v>
      </c>
      <c r="O25" s="136">
        <f>J25-K25-M25-N25-L25</f>
        <v>22667.67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44989.357999999993</v>
      </c>
      <c r="F29" s="36"/>
      <c r="G29" s="43">
        <f t="shared" ref="G29:O29" si="7">SUM(G22:G28)</f>
        <v>15633.258000000002</v>
      </c>
      <c r="H29" s="44">
        <f t="shared" si="7"/>
        <v>0</v>
      </c>
      <c r="I29" s="45">
        <f t="shared" si="7"/>
        <v>0</v>
      </c>
      <c r="J29" s="46">
        <f t="shared" si="7"/>
        <v>15633.258000000002</v>
      </c>
      <c r="K29" s="44">
        <f t="shared" si="7"/>
        <v>0</v>
      </c>
      <c r="L29" s="43">
        <f t="shared" si="7"/>
        <v>0</v>
      </c>
      <c r="M29" s="44">
        <f t="shared" si="7"/>
        <v>50390.391999999993</v>
      </c>
      <c r="N29" s="44">
        <f t="shared" si="7"/>
        <v>0</v>
      </c>
      <c r="O29" s="46">
        <f t="shared" si="7"/>
        <v>-34757.133999999991</v>
      </c>
      <c r="P29" s="180"/>
      <c r="Q29" s="43">
        <f t="shared" ref="Q29:V29" si="8">SUM(Q22:Q28)</f>
        <v>-80055.491999999998</v>
      </c>
      <c r="R29" s="44">
        <f t="shared" si="8"/>
        <v>0</v>
      </c>
      <c r="S29" s="44">
        <f t="shared" si="8"/>
        <v>0</v>
      </c>
      <c r="T29" s="44">
        <f t="shared" si="8"/>
        <v>309</v>
      </c>
      <c r="U29" s="44">
        <f t="shared" si="8"/>
        <v>0</v>
      </c>
      <c r="V29" s="45">
        <f t="shared" si="8"/>
        <v>-79746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44681.357999999993</v>
      </c>
      <c r="F33" s="36"/>
      <c r="G33" s="39">
        <f t="shared" ref="G33:V33" si="9">SUM(G29:G31)</f>
        <v>15633.258000000002</v>
      </c>
      <c r="H33" s="40">
        <f t="shared" si="9"/>
        <v>0</v>
      </c>
      <c r="I33" s="40">
        <f t="shared" si="9"/>
        <v>0</v>
      </c>
      <c r="J33" s="42">
        <f t="shared" si="9"/>
        <v>15633.258000000002</v>
      </c>
      <c r="K33" s="40">
        <f t="shared" si="9"/>
        <v>0</v>
      </c>
      <c r="L33" s="39">
        <f t="shared" si="9"/>
        <v>0</v>
      </c>
      <c r="M33" s="40">
        <f t="shared" si="9"/>
        <v>50698.391999999993</v>
      </c>
      <c r="N33" s="40">
        <f t="shared" si="9"/>
        <v>0</v>
      </c>
      <c r="O33" s="42">
        <f>J33-K33-M33-N33-L33</f>
        <v>-35065.133999999991</v>
      </c>
      <c r="P33" s="37"/>
      <c r="Q33" s="39">
        <f t="shared" si="9"/>
        <v>-80055.491999999998</v>
      </c>
      <c r="R33" s="40">
        <f t="shared" si="9"/>
        <v>0</v>
      </c>
      <c r="S33" s="40">
        <f t="shared" si="9"/>
        <v>0</v>
      </c>
      <c r="T33" s="40">
        <f t="shared" si="9"/>
        <v>309</v>
      </c>
      <c r="U33" s="40">
        <f t="shared" si="9"/>
        <v>0</v>
      </c>
      <c r="V33" s="41">
        <f t="shared" si="9"/>
        <v>-79746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E36" sqref="E36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February 22,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13287</v>
      </c>
      <c r="D9" s="36">
        <f>+GrossMargin!E10-[1]GrossMargin!E10</f>
        <v>989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14276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14276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-81</v>
      </c>
      <c r="D10" s="140">
        <f>+GrossMargin!E11-[1]GrossMargin!E11</f>
        <v>0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-81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-81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497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497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497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2397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2397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2397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442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442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442</v>
      </c>
    </row>
    <row r="15" spans="1:11" ht="13.5" hidden="1" customHeight="1">
      <c r="A15" s="242" t="s">
        <v>115</v>
      </c>
      <c r="B15" s="249"/>
      <c r="C15" s="244">
        <f>+GrossMargin!D16-[1]GrossMargin!D16</f>
        <v>-28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-28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-28</v>
      </c>
    </row>
    <row r="16" spans="1:11" ht="13.5" hidden="1" customHeight="1">
      <c r="A16" s="242" t="s">
        <v>84</v>
      </c>
      <c r="B16" s="249"/>
      <c r="C16" s="295">
        <f>+GrossMargin!D17-[1]GrossMargin!D17</f>
        <v>335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335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335</v>
      </c>
    </row>
    <row r="17" spans="1:11" ht="13.5" hidden="1" customHeight="1">
      <c r="A17" s="242" t="s">
        <v>82</v>
      </c>
      <c r="B17" s="249"/>
      <c r="C17" s="295">
        <f>+GrossMargin!D18-[1]GrossMargin!D18</f>
        <v>-8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-8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-8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741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741</v>
      </c>
      <c r="I20" s="299">
        <f t="shared" si="2"/>
        <v>0</v>
      </c>
      <c r="J20" s="36">
        <f t="shared" si="2"/>
        <v>0</v>
      </c>
      <c r="K20" s="135">
        <f t="shared" si="2"/>
        <v>741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16841</v>
      </c>
      <c r="D28" s="44">
        <f t="shared" si="5"/>
        <v>989</v>
      </c>
      <c r="E28" s="44">
        <f t="shared" si="5"/>
        <v>0</v>
      </c>
      <c r="F28" s="44">
        <f t="shared" si="5"/>
        <v>0</v>
      </c>
      <c r="G28" s="45">
        <f t="shared" si="5"/>
        <v>0</v>
      </c>
      <c r="H28" s="46">
        <f t="shared" si="5"/>
        <v>17830</v>
      </c>
      <c r="I28" s="44">
        <f t="shared" si="5"/>
        <v>0</v>
      </c>
      <c r="J28" s="44">
        <f t="shared" si="5"/>
        <v>0</v>
      </c>
      <c r="K28" s="45">
        <f t="shared" si="5"/>
        <v>17830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16841</v>
      </c>
      <c r="D32" s="40">
        <f>SUM(D28:D30)</f>
        <v>989</v>
      </c>
      <c r="E32" s="40">
        <f>SUM(E28:E31)</f>
        <v>0</v>
      </c>
      <c r="F32" s="40">
        <f>SUM(F28:F30)</f>
        <v>0</v>
      </c>
      <c r="G32" s="41">
        <f>SUM(G28:G30)</f>
        <v>0</v>
      </c>
      <c r="H32" s="39">
        <f>SUM(C32:G32)</f>
        <v>17830</v>
      </c>
      <c r="I32" s="39">
        <f>SUM(I28:I30)</f>
        <v>0</v>
      </c>
      <c r="J32" s="40">
        <f>SUM(J28:J30)</f>
        <v>0</v>
      </c>
      <c r="K32" s="41">
        <f>SUM(H32:J32)</f>
        <v>17830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F38" sqref="F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February 22,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f>9709-1100</f>
        <v>8609</v>
      </c>
      <c r="E10" s="140">
        <v>989</v>
      </c>
      <c r="F10" s="140">
        <v>0</v>
      </c>
      <c r="G10" s="140">
        <v>0</v>
      </c>
      <c r="H10" s="138">
        <v>0</v>
      </c>
      <c r="I10" s="136">
        <f t="shared" ref="I10:I20" si="0">SUM(D10:H10)</f>
        <v>9598</v>
      </c>
      <c r="J10" s="137"/>
      <c r="K10" s="36">
        <v>0</v>
      </c>
      <c r="L10" s="36">
        <f>+I10+K10</f>
        <v>9598</v>
      </c>
      <c r="M10" s="253">
        <v>40000</v>
      </c>
      <c r="N10" s="135">
        <f t="shared" ref="N10:N22" si="1">L10-M10</f>
        <v>-30402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-6294-D12</f>
        <v>-1705</v>
      </c>
      <c r="E11" s="140">
        <f>48.339+65.627</f>
        <v>113.96599999999999</v>
      </c>
      <c r="F11" s="140">
        <v>0</v>
      </c>
      <c r="G11" s="140">
        <v>0</v>
      </c>
      <c r="H11" s="138">
        <v>0</v>
      </c>
      <c r="I11" s="136">
        <f t="shared" si="0"/>
        <v>-1591.0340000000001</v>
      </c>
      <c r="J11" s="137"/>
      <c r="K11" s="36">
        <v>0</v>
      </c>
      <c r="L11" s="36">
        <f t="shared" ref="L11:L22" si="2">+I11+K11</f>
        <v>-1591.0340000000001</v>
      </c>
      <c r="M11" s="253">
        <v>13750</v>
      </c>
      <c r="N11" s="135">
        <f t="shared" si="1"/>
        <v>-15341.034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-4589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-4589</v>
      </c>
      <c r="J12" s="137"/>
      <c r="K12" s="36">
        <v>0</v>
      </c>
      <c r="L12" s="36">
        <f t="shared" si="2"/>
        <v>-4589</v>
      </c>
      <c r="M12" s="253">
        <f>1875+3125</f>
        <v>5000</v>
      </c>
      <c r="N12" s="135">
        <f t="shared" si="1"/>
        <v>-9589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4807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4807</v>
      </c>
      <c r="J13" s="137"/>
      <c r="K13" s="36">
        <v>0</v>
      </c>
      <c r="L13" s="36">
        <f t="shared" si="2"/>
        <v>4807</v>
      </c>
      <c r="M13" s="253">
        <v>8509.2510000000002</v>
      </c>
      <c r="N13" s="135">
        <f t="shared" si="1"/>
        <v>-3702.2510000000002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f>104.768+9.524</f>
        <v>114.292</v>
      </c>
      <c r="G14" s="140">
        <v>0</v>
      </c>
      <c r="H14" s="138">
        <v>0</v>
      </c>
      <c r="I14" s="136">
        <f t="shared" si="0"/>
        <v>114.292</v>
      </c>
      <c r="J14" s="137"/>
      <c r="K14" s="36">
        <v>0</v>
      </c>
      <c r="L14" s="36">
        <f t="shared" si="2"/>
        <v>114.292</v>
      </c>
      <c r="M14" s="253">
        <v>4875</v>
      </c>
      <c r="N14" s="135">
        <f t="shared" si="1"/>
        <v>-4760.7079999999996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1876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1876</v>
      </c>
      <c r="J15" s="246"/>
      <c r="K15" s="246">
        <v>0</v>
      </c>
      <c r="L15" s="36">
        <f t="shared" si="2"/>
        <v>1876</v>
      </c>
      <c r="M15" s="255">
        <v>0</v>
      </c>
      <c r="N15" s="247">
        <f>L15-M15</f>
        <v>1876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2341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2341</v>
      </c>
      <c r="J16" s="246"/>
      <c r="K16" s="246">
        <v>0</v>
      </c>
      <c r="L16" s="36">
        <f>+I16+K16</f>
        <v>2341</v>
      </c>
      <c r="M16" s="255">
        <v>0</v>
      </c>
      <c r="N16" s="247">
        <f>L16-M16</f>
        <v>2341</v>
      </c>
    </row>
    <row r="17" spans="1:16" ht="13.5" hidden="1" customHeight="1">
      <c r="B17" s="242" t="s">
        <v>84</v>
      </c>
      <c r="C17" s="243"/>
      <c r="D17" s="244">
        <v>3173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3173</v>
      </c>
      <c r="J17" s="246"/>
      <c r="K17" s="246">
        <v>0</v>
      </c>
      <c r="L17" s="36">
        <f t="shared" si="2"/>
        <v>3173</v>
      </c>
      <c r="M17" s="255">
        <v>0</v>
      </c>
      <c r="N17" s="247">
        <f>L17-M17</f>
        <v>3173</v>
      </c>
      <c r="P17" s="166"/>
    </row>
    <row r="18" spans="1:16" ht="13.5" hidden="1" customHeight="1">
      <c r="B18" s="242" t="s">
        <v>82</v>
      </c>
      <c r="C18" s="243"/>
      <c r="D18" s="244">
        <v>-14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-14</v>
      </c>
      <c r="J18" s="246"/>
      <c r="K18" s="246">
        <v>0</v>
      </c>
      <c r="L18" s="36">
        <f t="shared" si="2"/>
        <v>-14</v>
      </c>
      <c r="M18" s="255">
        <v>0</v>
      </c>
      <c r="N18" s="247">
        <f t="shared" si="1"/>
        <v>-14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7376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7376</v>
      </c>
      <c r="J21" s="137"/>
      <c r="K21" s="36">
        <f>SUM(K15:K20)</f>
        <v>0</v>
      </c>
      <c r="L21" s="36">
        <f t="shared" si="2"/>
        <v>7376</v>
      </c>
      <c r="M21" s="253">
        <v>20000</v>
      </c>
      <c r="N21" s="135">
        <f>L21-M21</f>
        <v>-12624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15542</v>
      </c>
      <c r="E29" s="40">
        <f t="shared" si="5"/>
        <v>1102.9659999999999</v>
      </c>
      <c r="F29" s="40">
        <f t="shared" si="5"/>
        <v>114.292</v>
      </c>
      <c r="G29" s="40">
        <f t="shared" si="5"/>
        <v>-626</v>
      </c>
      <c r="H29" s="41">
        <f t="shared" si="5"/>
        <v>0</v>
      </c>
      <c r="I29" s="42">
        <f t="shared" si="5"/>
        <v>16133.258</v>
      </c>
      <c r="J29" s="40">
        <f t="shared" si="5"/>
        <v>0</v>
      </c>
      <c r="K29" s="39">
        <f t="shared" si="5"/>
        <v>0</v>
      </c>
      <c r="L29" s="40">
        <f t="shared" si="5"/>
        <v>16133.258</v>
      </c>
      <c r="M29" s="41">
        <f t="shared" si="5"/>
        <v>96188.75</v>
      </c>
      <c r="N29" s="41">
        <f t="shared" si="5"/>
        <v>-80055.491999999998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15542</v>
      </c>
      <c r="E33" s="40">
        <f>+E29+E31</f>
        <v>1102.9659999999999</v>
      </c>
      <c r="F33" s="40">
        <f>+F29+F31</f>
        <v>114.292</v>
      </c>
      <c r="G33" s="40">
        <f>+G29+G31</f>
        <v>-1126</v>
      </c>
      <c r="H33" s="41">
        <f>+H29+H31</f>
        <v>0</v>
      </c>
      <c r="I33" s="42">
        <f>SUM(I29:I31)</f>
        <v>15633.258</v>
      </c>
      <c r="J33" s="40">
        <f>SUM(J29:J31)</f>
        <v>0</v>
      </c>
      <c r="K33" s="39">
        <f>+K29+K31</f>
        <v>0</v>
      </c>
      <c r="L33" s="40">
        <f>+L29+L31</f>
        <v>15633.258</v>
      </c>
      <c r="M33" s="41">
        <f>+M29+M31</f>
        <v>95688.75</v>
      </c>
      <c r="N33" s="41">
        <f>SUM(N29:N31)</f>
        <v>-80055.491999999998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B2" sqref="B2:K2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5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February 22,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>+E9+91</f>
        <v>6858.77</v>
      </c>
      <c r="E9" s="173">
        <v>6767.77</v>
      </c>
      <c r="F9" s="177">
        <f t="shared" ref="F9:F15" si="0">E9-D9</f>
        <v>-91</v>
      </c>
      <c r="G9" s="52"/>
      <c r="H9" s="251" t="s">
        <v>131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ref="D10:D15" si="1">+E10</f>
        <v>4013.0929999999998</v>
      </c>
      <c r="E10" s="173">
        <v>4013.0929999999998</v>
      </c>
      <c r="F10" s="143">
        <f t="shared" si="0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1"/>
        <v>1213.6179999999999</v>
      </c>
      <c r="E11" s="173">
        <f>233.037+980.581</f>
        <v>1213.6179999999999</v>
      </c>
      <c r="F11" s="143">
        <f t="shared" si="0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1"/>
        <v>1808.5229999999999</v>
      </c>
      <c r="E12" s="173">
        <v>1808.5229999999999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0"/>
        <v>650</v>
      </c>
      <c r="G13" s="52"/>
      <c r="H13" s="251" t="s">
        <v>130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1"/>
        <v>3467.386</v>
      </c>
      <c r="E14" s="173">
        <v>3467.386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1"/>
        <v>461.70699999999999</v>
      </c>
      <c r="E15" s="173">
        <v>461.70699999999999</v>
      </c>
      <c r="F15" s="177">
        <f t="shared" si="0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22983.575999999997</v>
      </c>
      <c r="E22" s="57">
        <f>SUM(E9:E21)</f>
        <v>23292.575999999997</v>
      </c>
      <c r="F22" s="183">
        <f>SUM(F9:F21)</f>
        <v>309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50390.391999999993</v>
      </c>
      <c r="E27" s="48">
        <f>SUM(E22:E25)</f>
        <v>50699.391999999993</v>
      </c>
      <c r="F27" s="49">
        <f>SUM(F22:F25)</f>
        <v>309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G38" sqref="G38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5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February 22,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2" sqref="B2:P2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5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February 22,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9982.4419999999991</v>
      </c>
      <c r="L10" s="173">
        <v>9982.4419999999991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3399.6529999999998</v>
      </c>
      <c r="L11" s="173">
        <v>3399.6529999999998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870.75699999999995</v>
      </c>
      <c r="L12" s="173">
        <v>870.75699999999995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2239.7460000000001</v>
      </c>
      <c r="L13" s="173">
        <v>2239.7460000000001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813.33100000000002</v>
      </c>
      <c r="L14" s="173">
        <v>813.33100000000002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2078.0079999999998</v>
      </c>
      <c r="L15" s="173">
        <v>2078.0079999999998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172.096</v>
      </c>
      <c r="L16" s="173">
        <v>172.096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1203.8140000000001</v>
      </c>
      <c r="L17" s="173">
        <v>1203.8140000000001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791.423</v>
      </c>
      <c r="L18" s="173">
        <v>791.423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569.524</v>
      </c>
      <c r="L19" s="173">
        <v>569.524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71.608999999999995</v>
      </c>
      <c r="L20" s="173">
        <v>71.608999999999995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475.267</v>
      </c>
      <c r="L21" s="142">
        <v>475.267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22667.67</v>
      </c>
      <c r="L23" s="57">
        <f>SUM(L10:L22)</f>
        <v>22667.67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-22667.67</v>
      </c>
      <c r="L26" s="142">
        <f>-L23</f>
        <v>-22667.67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5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2001-02-23T20:31:07Z</cp:lastPrinted>
  <dcterms:created xsi:type="dcterms:W3CDTF">1999-10-18T12:36:30Z</dcterms:created>
  <dcterms:modified xsi:type="dcterms:W3CDTF">2023-09-17T00:44:08Z</dcterms:modified>
</cp:coreProperties>
</file>