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2A9511A-64FD-40ED-A8D4-A888AE8280A2}" xr6:coauthVersionLast="47" xr6:coauthVersionMax="47" xr10:uidLastSave="{00000000-0000-0000-0000-000000000000}"/>
  <bookViews>
    <workbookView xWindow="-120" yWindow="-120" windowWidth="38640" windowHeight="15720" tabRatio="723"/>
  </bookViews>
  <sheets>
    <sheet name="TW Nom" sheetId="58229" r:id="rId1"/>
    <sheet name="Gallup Nom" sheetId="2" r:id="rId2"/>
    <sheet name="Bisti" sheetId="1" r:id="rId3"/>
    <sheet name="Bloomfield" sheetId="3" r:id="rId4"/>
    <sheet name="Gallup" sheetId="3" r:id="rId5"/>
    <sheet name="Load &amp; Conversion Factors" sheetId="1916" r:id="rId6"/>
    <sheet name="Gallup Rebate (Orig)" sheetId="2" state="hidden" r:id="rId7"/>
  </sheets>
  <definedNames>
    <definedName name="_xlnm.Print_Area" localSheetId="2">Bisti!$A$1:$Y$52</definedName>
    <definedName name="_xlnm.Print_Area" localSheetId="1">'Gallup Nom'!$A$1:$Y$41</definedName>
    <definedName name="_xlnm.Print_Area" localSheetId="0">'TW Nom'!$A$1:$Y$62</definedName>
    <definedName name="_xlnm.Print_Titles" localSheetId="2">Bisti!$A:$A</definedName>
    <definedName name="_xlnm.Print_Titles" localSheetId="3">Bloomfield!$A:$A</definedName>
    <definedName name="_xlnm.Print_Titles" localSheetId="4">Gallup!$A:$A</definedName>
    <definedName name="_xlnm.Print_Titles" localSheetId="1">'Gallup Nom'!$A:$A</definedName>
    <definedName name="_xlnm.Print_Titles" localSheetId="6">'Gallup Rebate (Orig)'!$A:$A</definedName>
    <definedName name="_xlnm.Print_Titles" localSheetId="0">'TW Nom'!$A:$A</definedName>
  </definedNames>
  <calcPr calcId="92512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C16" i="1"/>
  <c r="D16" i="1"/>
  <c r="E16" i="1"/>
  <c r="F16" i="1"/>
  <c r="G16" i="1"/>
  <c r="H16" i="1"/>
  <c r="I16" i="1"/>
  <c r="J16" i="1"/>
  <c r="K16" i="1"/>
  <c r="L16" i="1"/>
  <c r="M16" i="1"/>
  <c r="K18" i="1"/>
  <c r="N18" i="1"/>
  <c r="P18" i="1"/>
  <c r="Q18" i="1"/>
  <c r="R18" i="1"/>
  <c r="S18" i="1"/>
  <c r="T18" i="1"/>
  <c r="U18" i="1"/>
  <c r="V18" i="1"/>
  <c r="W18" i="1"/>
  <c r="X18" i="1"/>
  <c r="Y18" i="1"/>
  <c r="A3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F2" i="3"/>
  <c r="G2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A3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F2" i="2"/>
  <c r="G2" i="2"/>
  <c r="A3" i="2"/>
  <c r="N9" i="2"/>
  <c r="N11" i="2"/>
  <c r="N14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B17" i="2"/>
  <c r="C17" i="2"/>
  <c r="D17" i="2"/>
  <c r="E17" i="2"/>
  <c r="F17" i="2"/>
  <c r="G17" i="2"/>
  <c r="H17" i="2"/>
  <c r="I17" i="2"/>
  <c r="J17" i="2"/>
  <c r="K17" i="2"/>
  <c r="L17" i="2"/>
  <c r="M17" i="2"/>
  <c r="O17" i="2"/>
  <c r="P17" i="2"/>
  <c r="Q17" i="2"/>
  <c r="R17" i="2"/>
  <c r="S17" i="2"/>
  <c r="T17" i="2"/>
  <c r="U17" i="2"/>
  <c r="V17" i="2"/>
  <c r="W17" i="2"/>
  <c r="X17" i="2"/>
  <c r="Y17" i="2"/>
  <c r="Z17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B26" i="2"/>
  <c r="C26" i="2"/>
  <c r="D26" i="2"/>
  <c r="E26" i="2"/>
  <c r="F26" i="2"/>
  <c r="G26" i="2"/>
  <c r="H26" i="2"/>
  <c r="I26" i="2"/>
  <c r="J26" i="2"/>
  <c r="K26" i="2"/>
  <c r="L26" i="2"/>
  <c r="M26" i="2"/>
  <c r="O26" i="2"/>
  <c r="P26" i="2"/>
  <c r="Q26" i="2"/>
  <c r="R26" i="2"/>
  <c r="S26" i="2"/>
  <c r="T26" i="2"/>
  <c r="U26" i="2"/>
  <c r="V26" i="2"/>
  <c r="W26" i="2"/>
  <c r="X26" i="2"/>
  <c r="Y26" i="2"/>
  <c r="Z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B29" i="2"/>
  <c r="C29" i="2"/>
  <c r="D29" i="2"/>
  <c r="E29" i="2"/>
  <c r="F29" i="2"/>
  <c r="G29" i="2"/>
  <c r="H29" i="2"/>
  <c r="I29" i="2"/>
  <c r="J29" i="2"/>
  <c r="K29" i="2"/>
  <c r="L29" i="2"/>
  <c r="M29" i="2"/>
  <c r="O29" i="2"/>
  <c r="P29" i="2"/>
  <c r="Q29" i="2"/>
  <c r="R29" i="2"/>
  <c r="S29" i="2"/>
  <c r="T29" i="2"/>
  <c r="U29" i="2"/>
  <c r="V29" i="2"/>
  <c r="W29" i="2"/>
  <c r="X29" i="2"/>
  <c r="Y29" i="2"/>
  <c r="Z29" i="2"/>
  <c r="B31" i="2"/>
  <c r="C31" i="2"/>
  <c r="D31" i="2"/>
  <c r="E31" i="2"/>
  <c r="F31" i="2"/>
  <c r="G31" i="2"/>
  <c r="H31" i="2"/>
  <c r="I31" i="2"/>
  <c r="J31" i="2"/>
  <c r="K31" i="2"/>
  <c r="L31" i="2"/>
  <c r="M31" i="2"/>
  <c r="O31" i="2"/>
  <c r="P31" i="2"/>
  <c r="Q31" i="2"/>
  <c r="R31" i="2"/>
  <c r="S31" i="2"/>
  <c r="T31" i="2"/>
  <c r="U31" i="2"/>
  <c r="V31" i="2"/>
  <c r="W31" i="2"/>
  <c r="X31" i="2"/>
  <c r="Y31" i="2"/>
  <c r="Z31" i="2"/>
  <c r="B35" i="2"/>
  <c r="N35" i="2"/>
  <c r="O35" i="2"/>
  <c r="B36" i="2"/>
  <c r="N36" i="2"/>
  <c r="O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B38" i="2"/>
  <c r="C38" i="2"/>
  <c r="D38" i="2"/>
  <c r="E38" i="2"/>
  <c r="F38" i="2"/>
  <c r="G38" i="2"/>
  <c r="H38" i="2"/>
  <c r="I38" i="2"/>
  <c r="J38" i="2"/>
  <c r="K38" i="2"/>
  <c r="L38" i="2"/>
  <c r="M38" i="2"/>
  <c r="O38" i="2"/>
  <c r="P38" i="2"/>
  <c r="Q38" i="2"/>
  <c r="R38" i="2"/>
  <c r="S38" i="2"/>
  <c r="T38" i="2"/>
  <c r="U38" i="2"/>
  <c r="V38" i="2"/>
  <c r="W38" i="2"/>
  <c r="X38" i="2"/>
  <c r="Y38" i="2"/>
  <c r="Z38" i="2"/>
  <c r="B39" i="2"/>
  <c r="C39" i="2"/>
  <c r="D39" i="2"/>
  <c r="E39" i="2"/>
  <c r="F39" i="2"/>
  <c r="G39" i="2"/>
  <c r="H39" i="2"/>
  <c r="I39" i="2"/>
  <c r="J39" i="2"/>
  <c r="K39" i="2"/>
  <c r="L39" i="2"/>
  <c r="M39" i="2"/>
  <c r="O39" i="2"/>
  <c r="P39" i="2"/>
  <c r="Q39" i="2"/>
  <c r="R39" i="2"/>
  <c r="S39" i="2"/>
  <c r="T39" i="2"/>
  <c r="U39" i="2"/>
  <c r="V39" i="2"/>
  <c r="W39" i="2"/>
  <c r="X39" i="2"/>
  <c r="Y39" i="2"/>
  <c r="Z39" i="2"/>
  <c r="B40" i="2"/>
  <c r="C40" i="2"/>
  <c r="D40" i="2"/>
  <c r="E40" i="2"/>
  <c r="F40" i="2"/>
  <c r="G40" i="2"/>
  <c r="H40" i="2"/>
  <c r="I40" i="2"/>
  <c r="J40" i="2"/>
  <c r="K40" i="2"/>
  <c r="L40" i="2"/>
  <c r="M40" i="2"/>
  <c r="O40" i="2"/>
  <c r="P40" i="2"/>
  <c r="Q40" i="2"/>
  <c r="R40" i="2"/>
  <c r="S40" i="2"/>
  <c r="T40" i="2"/>
  <c r="U40" i="2"/>
  <c r="V40" i="2"/>
  <c r="W40" i="2"/>
  <c r="X40" i="2"/>
  <c r="Y40" i="2"/>
  <c r="Z40" i="2"/>
  <c r="B41" i="2"/>
  <c r="C41" i="2"/>
  <c r="D41" i="2"/>
  <c r="E41" i="2"/>
  <c r="F41" i="2"/>
  <c r="G41" i="2"/>
  <c r="H41" i="2"/>
  <c r="I41" i="2"/>
  <c r="J41" i="2"/>
  <c r="K41" i="2"/>
  <c r="L41" i="2"/>
  <c r="M41" i="2"/>
  <c r="O41" i="2"/>
  <c r="P41" i="2"/>
  <c r="Q41" i="2"/>
  <c r="R41" i="2"/>
  <c r="S41" i="2"/>
  <c r="T41" i="2"/>
  <c r="U41" i="2"/>
  <c r="V41" i="2"/>
  <c r="W41" i="2"/>
  <c r="X41" i="2"/>
  <c r="Y41" i="2"/>
  <c r="Z41" i="2"/>
  <c r="B42" i="2"/>
  <c r="C42" i="2"/>
  <c r="D42" i="2"/>
  <c r="E42" i="2"/>
  <c r="F42" i="2"/>
  <c r="G42" i="2"/>
  <c r="H42" i="2"/>
  <c r="I42" i="2"/>
  <c r="J42" i="2"/>
  <c r="K42" i="2"/>
  <c r="L42" i="2"/>
  <c r="M42" i="2"/>
  <c r="O42" i="2"/>
  <c r="P42" i="2"/>
  <c r="Q42" i="2"/>
  <c r="R42" i="2"/>
  <c r="S42" i="2"/>
  <c r="T42" i="2"/>
  <c r="U42" i="2"/>
  <c r="V42" i="2"/>
  <c r="W42" i="2"/>
  <c r="X42" i="2"/>
  <c r="Y42" i="2"/>
  <c r="Z42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D45" i="2"/>
  <c r="G45" i="2"/>
  <c r="J45" i="2"/>
  <c r="M45" i="2"/>
  <c r="Q45" i="2"/>
  <c r="T45" i="2"/>
  <c r="W45" i="2"/>
  <c r="Z45" i="2"/>
  <c r="G6" i="1916"/>
  <c r="K6" i="1916"/>
  <c r="G7" i="1916"/>
  <c r="K7" i="1916"/>
  <c r="G8" i="1916"/>
  <c r="K8" i="1916"/>
  <c r="G9" i="1916"/>
  <c r="K9" i="1916"/>
  <c r="G10" i="1916"/>
  <c r="K10" i="1916"/>
  <c r="G11" i="1916"/>
  <c r="K11" i="1916"/>
  <c r="G12" i="1916"/>
  <c r="K12" i="1916"/>
  <c r="G13" i="1916"/>
  <c r="K13" i="1916"/>
  <c r="G14" i="1916"/>
  <c r="K14" i="1916"/>
  <c r="G15" i="1916"/>
  <c r="K15" i="1916"/>
  <c r="G16" i="1916"/>
  <c r="K16" i="1916"/>
  <c r="G17" i="1916"/>
  <c r="K17" i="1916"/>
  <c r="G18" i="1916"/>
  <c r="K18" i="1916"/>
  <c r="G19" i="1916"/>
  <c r="K19" i="1916"/>
  <c r="G20" i="1916"/>
  <c r="K20" i="1916"/>
  <c r="G21" i="1916"/>
  <c r="K21" i="1916"/>
  <c r="G22" i="1916"/>
  <c r="K22" i="1916"/>
  <c r="G23" i="1916"/>
  <c r="K23" i="1916"/>
  <c r="G24" i="1916"/>
  <c r="K24" i="1916"/>
  <c r="G25" i="1916"/>
  <c r="K25" i="1916"/>
  <c r="G26" i="1916"/>
  <c r="K26" i="1916"/>
  <c r="G27" i="1916"/>
  <c r="K27" i="1916"/>
  <c r="G28" i="1916"/>
  <c r="K28" i="1916"/>
  <c r="G29" i="1916"/>
  <c r="K29" i="1916"/>
  <c r="G30" i="1916"/>
  <c r="K30" i="1916"/>
  <c r="G31" i="1916"/>
  <c r="K31" i="1916"/>
  <c r="G32" i="1916"/>
  <c r="K32" i="1916"/>
  <c r="G33" i="1916"/>
  <c r="K33" i="1916"/>
  <c r="G34" i="1916"/>
  <c r="K34" i="1916"/>
  <c r="G35" i="1916"/>
  <c r="K35" i="1916"/>
  <c r="G36" i="1916"/>
  <c r="K36" i="1916"/>
  <c r="G37" i="1916"/>
  <c r="K37" i="1916"/>
  <c r="G38" i="1916"/>
  <c r="K38" i="1916"/>
  <c r="G39" i="1916"/>
  <c r="K39" i="1916"/>
  <c r="G40" i="1916"/>
  <c r="K40" i="1916"/>
  <c r="G41" i="1916"/>
  <c r="K41" i="1916"/>
  <c r="G42" i="1916"/>
  <c r="K42" i="1916"/>
  <c r="G43" i="1916"/>
  <c r="K43" i="1916"/>
  <c r="G44" i="1916"/>
  <c r="K44" i="1916"/>
  <c r="G45" i="1916"/>
  <c r="K45" i="1916"/>
  <c r="G46" i="1916"/>
  <c r="K46" i="1916"/>
  <c r="G47" i="1916"/>
  <c r="K47" i="1916"/>
  <c r="G48" i="1916"/>
  <c r="K48" i="1916"/>
  <c r="G49" i="1916"/>
  <c r="K49" i="1916"/>
  <c r="G50" i="1916"/>
  <c r="K50" i="1916"/>
  <c r="G51" i="1916"/>
  <c r="K51" i="1916"/>
  <c r="G52" i="1916"/>
  <c r="K52" i="1916"/>
  <c r="G53" i="1916"/>
  <c r="K53" i="1916"/>
  <c r="G54" i="1916"/>
  <c r="K54" i="1916"/>
  <c r="G55" i="1916"/>
  <c r="K55" i="1916"/>
  <c r="G56" i="1916"/>
  <c r="K56" i="1916"/>
  <c r="G57" i="1916"/>
  <c r="K57" i="1916"/>
  <c r="G58" i="1916"/>
  <c r="K58" i="1916"/>
  <c r="G59" i="1916"/>
  <c r="K59" i="1916"/>
  <c r="G60" i="1916"/>
  <c r="K60" i="1916"/>
  <c r="G61" i="1916"/>
  <c r="K61" i="1916"/>
  <c r="G62" i="1916"/>
  <c r="K62" i="1916"/>
  <c r="G63" i="1916"/>
  <c r="K63" i="1916"/>
  <c r="G64" i="1916"/>
  <c r="K64" i="1916"/>
  <c r="G65" i="1916"/>
  <c r="K65" i="1916"/>
  <c r="G66" i="1916"/>
  <c r="K66" i="1916"/>
  <c r="G67" i="1916"/>
  <c r="K67" i="1916"/>
  <c r="G68" i="1916"/>
  <c r="K68" i="1916"/>
  <c r="G69" i="1916"/>
  <c r="K69" i="1916"/>
  <c r="G70" i="1916"/>
  <c r="K70" i="1916"/>
  <c r="G71" i="1916"/>
  <c r="K71" i="1916"/>
  <c r="G72" i="1916"/>
  <c r="K72" i="1916"/>
  <c r="G73" i="1916"/>
  <c r="K73" i="1916"/>
  <c r="G74" i="1916"/>
  <c r="K74" i="1916"/>
  <c r="G75" i="1916"/>
  <c r="K75" i="1916"/>
  <c r="G76" i="1916"/>
  <c r="K76" i="1916"/>
  <c r="G77" i="1916"/>
  <c r="K77" i="1916"/>
  <c r="G78" i="1916"/>
  <c r="K78" i="1916"/>
  <c r="G79" i="1916"/>
  <c r="K79" i="1916"/>
  <c r="G80" i="1916"/>
  <c r="K80" i="1916"/>
  <c r="G81" i="1916"/>
  <c r="K81" i="1916"/>
  <c r="G82" i="1916"/>
  <c r="K82" i="1916"/>
  <c r="G83" i="1916"/>
  <c r="K83" i="1916"/>
  <c r="G84" i="1916"/>
  <c r="K84" i="1916"/>
  <c r="G85" i="1916"/>
  <c r="K85" i="1916"/>
  <c r="G86" i="1916"/>
  <c r="K86" i="1916"/>
  <c r="G87" i="1916"/>
  <c r="K87" i="1916"/>
  <c r="G88" i="1916"/>
  <c r="K88" i="1916"/>
  <c r="G89" i="1916"/>
  <c r="K89" i="1916"/>
  <c r="G90" i="1916"/>
  <c r="K90" i="1916"/>
  <c r="G91" i="1916"/>
  <c r="K91" i="1916"/>
  <c r="G92" i="1916"/>
  <c r="K92" i="1916"/>
  <c r="G93" i="1916"/>
  <c r="K93" i="1916"/>
  <c r="G94" i="1916"/>
  <c r="K94" i="1916"/>
  <c r="G95" i="1916"/>
  <c r="K95" i="1916"/>
  <c r="G96" i="1916"/>
  <c r="K96" i="1916"/>
  <c r="G97" i="1916"/>
  <c r="K97" i="1916"/>
  <c r="G98" i="1916"/>
  <c r="K98" i="1916"/>
  <c r="G99" i="1916"/>
  <c r="K99" i="1916"/>
  <c r="G100" i="1916"/>
  <c r="K100" i="1916"/>
  <c r="G101" i="1916"/>
  <c r="K101" i="1916"/>
  <c r="G102" i="1916"/>
  <c r="K102" i="1916"/>
  <c r="G103" i="1916"/>
  <c r="K103" i="1916"/>
  <c r="G104" i="1916"/>
  <c r="K104" i="1916"/>
  <c r="A3" i="58229"/>
  <c r="N8" i="58229"/>
  <c r="O8" i="58229"/>
  <c r="P8" i="58229"/>
  <c r="Q8" i="58229"/>
  <c r="R8" i="58229"/>
  <c r="S8" i="58229"/>
  <c r="T8" i="58229"/>
  <c r="U8" i="58229"/>
  <c r="V8" i="58229"/>
  <c r="W8" i="58229"/>
  <c r="X8" i="58229"/>
  <c r="N9" i="58229"/>
  <c r="O9" i="58229"/>
  <c r="P9" i="58229"/>
  <c r="Q9" i="58229"/>
  <c r="R9" i="58229"/>
  <c r="S9" i="58229"/>
  <c r="T9" i="58229"/>
  <c r="U9" i="58229"/>
  <c r="V9" i="58229"/>
  <c r="W9" i="58229"/>
  <c r="X9" i="58229"/>
  <c r="N10" i="58229"/>
  <c r="O10" i="58229"/>
  <c r="P10" i="58229"/>
  <c r="Q10" i="58229"/>
  <c r="R10" i="58229"/>
  <c r="S10" i="58229"/>
  <c r="T10" i="58229"/>
  <c r="U10" i="58229"/>
  <c r="V10" i="58229"/>
  <c r="W10" i="58229"/>
  <c r="X10" i="58229"/>
  <c r="B11" i="58229"/>
  <c r="C11" i="58229"/>
  <c r="D11" i="58229"/>
  <c r="E11" i="58229"/>
  <c r="F11" i="58229"/>
  <c r="G11" i="58229"/>
  <c r="H11" i="58229"/>
  <c r="I11" i="58229"/>
  <c r="J11" i="58229"/>
  <c r="K11" i="58229"/>
  <c r="L11" i="58229"/>
  <c r="M11" i="58229"/>
  <c r="N11" i="58229"/>
  <c r="O11" i="58229"/>
  <c r="P11" i="58229"/>
  <c r="Q11" i="58229"/>
  <c r="R11" i="58229"/>
  <c r="S11" i="58229"/>
  <c r="T11" i="58229"/>
  <c r="U11" i="58229"/>
  <c r="V11" i="58229"/>
  <c r="W11" i="58229"/>
  <c r="X11" i="58229"/>
  <c r="Y11" i="58229"/>
  <c r="N12" i="58229"/>
  <c r="B13" i="58229"/>
  <c r="C13" i="58229"/>
  <c r="D13" i="58229"/>
  <c r="E13" i="58229"/>
  <c r="F13" i="58229"/>
  <c r="G13" i="58229"/>
  <c r="H13" i="58229"/>
  <c r="I13" i="58229"/>
  <c r="J13" i="58229"/>
  <c r="K13" i="58229"/>
  <c r="L13" i="58229"/>
  <c r="M13" i="58229"/>
  <c r="N13" i="58229"/>
  <c r="O13" i="58229"/>
  <c r="P13" i="58229"/>
  <c r="Q13" i="58229"/>
  <c r="R13" i="58229"/>
  <c r="S13" i="58229"/>
  <c r="T13" i="58229"/>
  <c r="U13" i="58229"/>
  <c r="V13" i="58229"/>
  <c r="W13" i="58229"/>
  <c r="X13" i="58229"/>
  <c r="Y13" i="58229"/>
  <c r="B15" i="58229"/>
  <c r="C15" i="58229"/>
  <c r="D15" i="58229"/>
  <c r="E15" i="58229"/>
  <c r="F15" i="58229"/>
  <c r="G15" i="58229"/>
  <c r="H15" i="58229"/>
  <c r="I15" i="58229"/>
  <c r="J15" i="58229"/>
  <c r="K15" i="58229"/>
  <c r="L15" i="58229"/>
  <c r="M15" i="58229"/>
  <c r="N15" i="58229"/>
  <c r="O15" i="58229"/>
  <c r="P15" i="58229"/>
  <c r="Q15" i="58229"/>
  <c r="R15" i="58229"/>
  <c r="S15" i="58229"/>
  <c r="T15" i="58229"/>
  <c r="U15" i="58229"/>
  <c r="V15" i="58229"/>
  <c r="W15" i="58229"/>
  <c r="X15" i="58229"/>
  <c r="Y15" i="58229"/>
  <c r="B16" i="58229"/>
  <c r="C16" i="58229"/>
  <c r="D16" i="58229"/>
  <c r="E16" i="58229"/>
  <c r="F16" i="58229"/>
  <c r="G16" i="58229"/>
  <c r="H16" i="58229"/>
  <c r="I16" i="58229"/>
  <c r="J16" i="58229"/>
  <c r="K16" i="58229"/>
  <c r="L16" i="58229"/>
  <c r="M16" i="58229"/>
  <c r="N16" i="58229"/>
  <c r="O16" i="58229"/>
  <c r="P16" i="58229"/>
  <c r="Q16" i="58229"/>
  <c r="R16" i="58229"/>
  <c r="S16" i="58229"/>
  <c r="T16" i="58229"/>
  <c r="U16" i="58229"/>
  <c r="V16" i="58229"/>
  <c r="W16" i="58229"/>
  <c r="X16" i="58229"/>
  <c r="Y16" i="58229"/>
  <c r="B21" i="58229"/>
  <c r="C21" i="58229"/>
  <c r="D21" i="58229"/>
  <c r="E21" i="58229"/>
  <c r="F21" i="58229"/>
  <c r="G21" i="58229"/>
  <c r="H21" i="58229"/>
  <c r="I21" i="58229"/>
  <c r="J21" i="58229"/>
  <c r="K21" i="58229"/>
  <c r="L21" i="58229"/>
  <c r="M21" i="58229"/>
  <c r="N21" i="58229"/>
  <c r="O21" i="58229"/>
  <c r="P21" i="58229"/>
  <c r="Q21" i="58229"/>
  <c r="R21" i="58229"/>
  <c r="S21" i="58229"/>
  <c r="T21" i="58229"/>
  <c r="U21" i="58229"/>
  <c r="V21" i="58229"/>
  <c r="W21" i="58229"/>
  <c r="X21" i="58229"/>
  <c r="Y21" i="58229"/>
  <c r="N23" i="58229"/>
  <c r="O23" i="58229"/>
  <c r="P23" i="58229"/>
  <c r="Q23" i="58229"/>
  <c r="R23" i="58229"/>
  <c r="S23" i="58229"/>
  <c r="T23" i="58229"/>
  <c r="U23" i="58229"/>
  <c r="V23" i="58229"/>
  <c r="W23" i="58229"/>
  <c r="X23" i="58229"/>
  <c r="Y23" i="58229"/>
  <c r="N24" i="58229"/>
  <c r="O24" i="58229"/>
  <c r="P24" i="58229"/>
  <c r="Q24" i="58229"/>
  <c r="R24" i="58229"/>
  <c r="S24" i="58229"/>
  <c r="T24" i="58229"/>
  <c r="U24" i="58229"/>
  <c r="V24" i="58229"/>
  <c r="W24" i="58229"/>
  <c r="X24" i="58229"/>
  <c r="Y24" i="58229"/>
  <c r="B25" i="58229"/>
  <c r="C25" i="58229"/>
  <c r="D25" i="58229"/>
  <c r="E25" i="58229"/>
  <c r="F25" i="58229"/>
  <c r="G25" i="58229"/>
  <c r="H25" i="58229"/>
  <c r="I25" i="58229"/>
  <c r="J25" i="58229"/>
  <c r="K25" i="58229"/>
  <c r="L25" i="58229"/>
  <c r="M25" i="58229"/>
  <c r="N25" i="58229"/>
  <c r="O25" i="58229"/>
  <c r="P25" i="58229"/>
  <c r="Q25" i="58229"/>
  <c r="R25" i="58229"/>
  <c r="S25" i="58229"/>
  <c r="T25" i="58229"/>
  <c r="U25" i="58229"/>
  <c r="V25" i="58229"/>
  <c r="W25" i="58229"/>
  <c r="X25" i="58229"/>
  <c r="Y25" i="58229"/>
  <c r="B27" i="58229"/>
  <c r="C27" i="58229"/>
  <c r="D27" i="58229"/>
  <c r="E27" i="58229"/>
  <c r="F27" i="58229"/>
  <c r="G27" i="58229"/>
  <c r="H27" i="58229"/>
  <c r="I27" i="58229"/>
  <c r="J27" i="58229"/>
  <c r="K27" i="58229"/>
  <c r="L27" i="58229"/>
  <c r="M27" i="58229"/>
  <c r="N27" i="58229"/>
  <c r="O27" i="58229"/>
  <c r="P27" i="58229"/>
  <c r="Q27" i="58229"/>
  <c r="R27" i="58229"/>
  <c r="S27" i="58229"/>
  <c r="T27" i="58229"/>
  <c r="U27" i="58229"/>
  <c r="V27" i="58229"/>
  <c r="W27" i="58229"/>
  <c r="X27" i="58229"/>
  <c r="Y27" i="58229"/>
  <c r="C28" i="58229"/>
  <c r="D28" i="58229"/>
  <c r="E28" i="58229"/>
  <c r="F28" i="58229"/>
  <c r="G28" i="58229"/>
  <c r="H28" i="58229"/>
  <c r="I28" i="58229"/>
  <c r="J28" i="58229"/>
  <c r="K28" i="58229"/>
  <c r="L28" i="58229"/>
  <c r="M28" i="58229"/>
  <c r="N28" i="58229"/>
  <c r="O28" i="58229"/>
  <c r="P28" i="58229"/>
  <c r="Q28" i="58229"/>
  <c r="R28" i="58229"/>
  <c r="S28" i="58229"/>
  <c r="T28" i="58229"/>
  <c r="U28" i="58229"/>
  <c r="V28" i="58229"/>
  <c r="W28" i="58229"/>
  <c r="X28" i="58229"/>
  <c r="Y28" i="58229"/>
  <c r="N29" i="58229"/>
  <c r="O29" i="58229"/>
  <c r="P29" i="58229"/>
  <c r="Q29" i="58229"/>
  <c r="R29" i="58229"/>
  <c r="S29" i="58229"/>
  <c r="T29" i="58229"/>
  <c r="U29" i="58229"/>
  <c r="V29" i="58229"/>
  <c r="W29" i="58229"/>
  <c r="X29" i="58229"/>
  <c r="Y29" i="58229"/>
  <c r="K30" i="58229"/>
  <c r="N30" i="58229"/>
  <c r="O30" i="58229"/>
  <c r="P30" i="58229"/>
  <c r="Q30" i="58229"/>
  <c r="R30" i="58229"/>
  <c r="S30" i="58229"/>
  <c r="T30" i="58229"/>
  <c r="U30" i="58229"/>
  <c r="V30" i="58229"/>
  <c r="W30" i="58229"/>
  <c r="X30" i="58229"/>
  <c r="Y30" i="58229"/>
  <c r="B34" i="58229"/>
  <c r="C34" i="58229"/>
  <c r="D34" i="58229"/>
  <c r="E34" i="58229"/>
  <c r="F34" i="58229"/>
  <c r="G34" i="58229"/>
  <c r="H34" i="58229"/>
  <c r="I34" i="58229"/>
  <c r="J34" i="58229"/>
  <c r="K34" i="58229"/>
  <c r="L34" i="58229"/>
  <c r="M34" i="58229"/>
  <c r="N34" i="58229"/>
  <c r="O34" i="58229"/>
  <c r="P34" i="58229"/>
  <c r="Q34" i="58229"/>
  <c r="R34" i="58229"/>
  <c r="S34" i="58229"/>
  <c r="T34" i="58229"/>
  <c r="U34" i="58229"/>
  <c r="V34" i="58229"/>
  <c r="W34" i="58229"/>
  <c r="X34" i="58229"/>
  <c r="Y34" i="58229"/>
  <c r="B35" i="58229"/>
  <c r="C35" i="58229"/>
  <c r="D35" i="58229"/>
  <c r="E35" i="58229"/>
  <c r="F35" i="58229"/>
  <c r="G35" i="58229"/>
  <c r="H35" i="58229"/>
  <c r="I35" i="58229"/>
  <c r="J35" i="58229"/>
  <c r="K35" i="58229"/>
  <c r="L35" i="58229"/>
  <c r="M35" i="58229"/>
  <c r="N35" i="58229"/>
  <c r="O35" i="58229"/>
  <c r="P35" i="58229"/>
  <c r="Q35" i="58229"/>
  <c r="R35" i="58229"/>
  <c r="S35" i="58229"/>
  <c r="T35" i="58229"/>
  <c r="U35" i="58229"/>
  <c r="V35" i="58229"/>
  <c r="W35" i="58229"/>
  <c r="X35" i="58229"/>
  <c r="Y35" i="58229"/>
  <c r="B36" i="58229"/>
  <c r="C36" i="58229"/>
  <c r="D36" i="58229"/>
  <c r="E36" i="58229"/>
  <c r="F36" i="58229"/>
  <c r="G36" i="58229"/>
  <c r="H36" i="58229"/>
  <c r="I36" i="58229"/>
  <c r="J36" i="58229"/>
  <c r="K36" i="58229"/>
  <c r="L36" i="58229"/>
  <c r="M36" i="58229"/>
  <c r="N36" i="58229"/>
  <c r="O36" i="58229"/>
  <c r="P36" i="58229"/>
  <c r="Q36" i="58229"/>
  <c r="R36" i="58229"/>
  <c r="S36" i="58229"/>
  <c r="T36" i="58229"/>
  <c r="U36" i="58229"/>
  <c r="V36" i="58229"/>
  <c r="W36" i="58229"/>
  <c r="X36" i="58229"/>
  <c r="Y36" i="58229"/>
  <c r="B40" i="58229"/>
  <c r="C40" i="58229"/>
  <c r="D40" i="58229"/>
  <c r="E40" i="58229"/>
  <c r="F40" i="58229"/>
  <c r="G40" i="58229"/>
  <c r="H40" i="58229"/>
  <c r="I40" i="58229"/>
  <c r="J40" i="58229"/>
  <c r="K40" i="58229"/>
  <c r="L40" i="58229"/>
  <c r="M40" i="58229"/>
  <c r="N40" i="58229"/>
  <c r="O40" i="58229"/>
  <c r="P40" i="58229"/>
  <c r="Q40" i="58229"/>
  <c r="R40" i="58229"/>
  <c r="S40" i="58229"/>
  <c r="T40" i="58229"/>
  <c r="U40" i="58229"/>
  <c r="V40" i="58229"/>
  <c r="W40" i="58229"/>
  <c r="X40" i="58229"/>
  <c r="Y40" i="58229"/>
  <c r="B41" i="58229"/>
  <c r="C41" i="58229"/>
  <c r="D41" i="58229"/>
  <c r="E41" i="58229"/>
  <c r="F41" i="58229"/>
  <c r="G41" i="58229"/>
  <c r="H41" i="58229"/>
  <c r="I41" i="58229"/>
  <c r="J41" i="58229"/>
  <c r="K41" i="58229"/>
  <c r="L41" i="58229"/>
  <c r="M41" i="58229"/>
  <c r="N41" i="58229"/>
  <c r="O41" i="58229"/>
  <c r="P41" i="58229"/>
  <c r="Q41" i="58229"/>
  <c r="R41" i="58229"/>
  <c r="S41" i="58229"/>
  <c r="T41" i="58229"/>
  <c r="U41" i="58229"/>
  <c r="V41" i="58229"/>
  <c r="W41" i="58229"/>
  <c r="X41" i="58229"/>
  <c r="Y41" i="58229"/>
  <c r="B44" i="58229"/>
  <c r="C44" i="58229"/>
  <c r="D44" i="58229"/>
  <c r="E44" i="58229"/>
  <c r="F44" i="58229"/>
  <c r="G44" i="58229"/>
  <c r="H44" i="58229"/>
  <c r="I44" i="58229"/>
  <c r="J44" i="58229"/>
  <c r="K44" i="58229"/>
  <c r="L44" i="58229"/>
  <c r="M44" i="58229"/>
  <c r="N44" i="58229"/>
  <c r="O44" i="58229"/>
  <c r="P44" i="58229"/>
  <c r="Q44" i="58229"/>
  <c r="R44" i="58229"/>
  <c r="S44" i="58229"/>
  <c r="T44" i="58229"/>
  <c r="U44" i="58229"/>
  <c r="V44" i="58229"/>
  <c r="W44" i="58229"/>
  <c r="X44" i="58229"/>
  <c r="Y44" i="58229"/>
  <c r="B45" i="58229"/>
  <c r="C45" i="58229"/>
  <c r="D45" i="58229"/>
  <c r="E45" i="58229"/>
  <c r="F45" i="58229"/>
  <c r="G45" i="58229"/>
  <c r="H45" i="58229"/>
  <c r="I45" i="58229"/>
  <c r="J45" i="58229"/>
  <c r="K45" i="58229"/>
  <c r="L45" i="58229"/>
  <c r="M45" i="58229"/>
  <c r="N45" i="58229"/>
  <c r="O45" i="58229"/>
  <c r="P45" i="58229"/>
  <c r="Q45" i="58229"/>
  <c r="R45" i="58229"/>
  <c r="S45" i="58229"/>
  <c r="T45" i="58229"/>
  <c r="U45" i="58229"/>
  <c r="V45" i="58229"/>
  <c r="W45" i="58229"/>
  <c r="X45" i="58229"/>
  <c r="Y45" i="58229"/>
  <c r="D48" i="58229"/>
  <c r="E48" i="58229"/>
  <c r="F48" i="58229"/>
  <c r="G48" i="58229"/>
  <c r="H48" i="58229"/>
  <c r="I48" i="58229"/>
  <c r="J48" i="58229"/>
  <c r="K48" i="58229"/>
  <c r="L48" i="58229"/>
  <c r="M48" i="58229"/>
  <c r="N48" i="58229"/>
  <c r="O48" i="58229"/>
  <c r="P48" i="58229"/>
  <c r="Q48" i="58229"/>
  <c r="R48" i="58229"/>
  <c r="S48" i="58229"/>
  <c r="T48" i="58229"/>
  <c r="U48" i="58229"/>
  <c r="V48" i="58229"/>
  <c r="W48" i="58229"/>
  <c r="X48" i="58229"/>
  <c r="Y48" i="58229"/>
  <c r="D49" i="58229"/>
  <c r="E49" i="58229"/>
  <c r="F49" i="58229"/>
  <c r="G49" i="58229"/>
  <c r="H49" i="58229"/>
  <c r="I49" i="58229"/>
  <c r="J49" i="58229"/>
  <c r="K49" i="58229"/>
  <c r="L49" i="58229"/>
  <c r="M49" i="58229"/>
  <c r="N49" i="58229"/>
  <c r="O49" i="58229"/>
  <c r="P49" i="58229"/>
  <c r="Q49" i="58229"/>
  <c r="R49" i="58229"/>
  <c r="S49" i="58229"/>
  <c r="T49" i="58229"/>
  <c r="U49" i="58229"/>
  <c r="V49" i="58229"/>
  <c r="W49" i="58229"/>
  <c r="X49" i="58229"/>
  <c r="Y49" i="58229"/>
  <c r="D56" i="58229"/>
  <c r="E56" i="58229"/>
  <c r="F56" i="58229"/>
  <c r="G56" i="58229"/>
  <c r="H56" i="58229"/>
  <c r="I56" i="58229"/>
  <c r="J56" i="58229"/>
  <c r="K56" i="58229"/>
  <c r="L56" i="58229"/>
  <c r="M56" i="58229"/>
  <c r="N56" i="58229"/>
  <c r="O56" i="58229"/>
  <c r="P56" i="58229"/>
  <c r="Q56" i="58229"/>
  <c r="R56" i="58229"/>
  <c r="S56" i="58229"/>
  <c r="T56" i="58229"/>
  <c r="U56" i="58229"/>
  <c r="V56" i="58229"/>
  <c r="W56" i="58229"/>
  <c r="X56" i="58229"/>
  <c r="Y56" i="58229"/>
  <c r="D57" i="58229"/>
  <c r="E57" i="58229"/>
  <c r="F57" i="58229"/>
  <c r="G57" i="58229"/>
  <c r="H57" i="58229"/>
  <c r="I57" i="58229"/>
  <c r="J57" i="58229"/>
  <c r="K57" i="58229"/>
  <c r="L57" i="58229"/>
  <c r="M57" i="58229"/>
  <c r="N57" i="58229"/>
  <c r="O57" i="58229"/>
  <c r="P57" i="58229"/>
  <c r="Q57" i="58229"/>
  <c r="R57" i="58229"/>
  <c r="S57" i="58229"/>
  <c r="T57" i="58229"/>
  <c r="U57" i="58229"/>
  <c r="V57" i="58229"/>
  <c r="W57" i="58229"/>
  <c r="X57" i="58229"/>
  <c r="Y57" i="58229"/>
  <c r="B58" i="58229"/>
  <c r="C58" i="58229"/>
  <c r="D58" i="58229"/>
  <c r="E58" i="58229"/>
  <c r="F58" i="58229"/>
  <c r="G58" i="58229"/>
  <c r="H58" i="58229"/>
  <c r="I58" i="58229"/>
  <c r="J58" i="58229"/>
  <c r="K58" i="58229"/>
  <c r="L58" i="58229"/>
  <c r="M58" i="58229"/>
  <c r="N58" i="58229"/>
  <c r="O58" i="58229"/>
  <c r="P58" i="58229"/>
  <c r="Q58" i="58229"/>
  <c r="R58" i="58229"/>
  <c r="S58" i="58229"/>
  <c r="T58" i="58229"/>
  <c r="U58" i="58229"/>
  <c r="V58" i="58229"/>
  <c r="W58" i="58229"/>
  <c r="X58" i="58229"/>
  <c r="Y58" i="58229"/>
  <c r="B59" i="58229"/>
  <c r="C59" i="58229"/>
  <c r="D59" i="58229"/>
  <c r="E59" i="58229"/>
  <c r="F59" i="58229"/>
  <c r="G59" i="58229"/>
  <c r="H59" i="58229"/>
  <c r="I59" i="58229"/>
  <c r="J59" i="58229"/>
  <c r="K59" i="58229"/>
  <c r="L59" i="58229"/>
  <c r="M59" i="58229"/>
  <c r="N59" i="58229"/>
  <c r="O59" i="58229"/>
  <c r="P59" i="58229"/>
  <c r="Q59" i="58229"/>
  <c r="R59" i="58229"/>
  <c r="S59" i="58229"/>
  <c r="T59" i="58229"/>
  <c r="U59" i="58229"/>
  <c r="V59" i="58229"/>
  <c r="W59" i="58229"/>
  <c r="X59" i="58229"/>
  <c r="Y59" i="58229"/>
  <c r="B61" i="58229"/>
  <c r="C61" i="58229"/>
  <c r="D61" i="58229"/>
  <c r="E61" i="58229"/>
  <c r="F61" i="58229"/>
  <c r="G61" i="58229"/>
  <c r="H61" i="58229"/>
  <c r="I61" i="58229"/>
  <c r="J61" i="58229"/>
  <c r="K61" i="58229"/>
  <c r="L61" i="58229"/>
  <c r="M61" i="58229"/>
  <c r="N61" i="58229"/>
  <c r="O61" i="58229"/>
  <c r="P61" i="58229"/>
  <c r="Q61" i="58229"/>
  <c r="R61" i="58229"/>
  <c r="S61" i="58229"/>
  <c r="T61" i="58229"/>
  <c r="U61" i="58229"/>
  <c r="V61" i="58229"/>
  <c r="W61" i="58229"/>
  <c r="X61" i="58229"/>
  <c r="Y61" i="58229"/>
</calcChain>
</file>

<file path=xl/comments1.xml><?xml version="1.0" encoding="utf-8"?>
<comments xmlns="http://schemas.openxmlformats.org/spreadsheetml/2006/main">
  <authors>
    <author>Patrick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From City of Farmington Statements - linked from "Bloomfield Invoices" tab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From NTUA Statements - linked from "Bisti Invoices" tab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ROW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CPI</t>
        </r>
      </text>
    </comment>
    <comment ref="K35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The original nomination did not consider Loadside Generation MWH (on statement) in the original calculation affecting the Conversion Factor.</t>
        </r>
      </text>
    </comment>
    <comment ref="P61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Number given to Scheduling/Trading = </t>
        </r>
        <r>
          <rPr>
            <b/>
            <sz val="9"/>
            <color indexed="81"/>
            <rFont val="Tahoma"/>
            <family val="2"/>
          </rPr>
          <t>11,594 day</t>
        </r>
        <r>
          <rPr>
            <sz val="9"/>
            <color indexed="81"/>
            <rFont val="Tahoma"/>
            <family val="2"/>
          </rPr>
          <t xml:space="preserve">
Bisti - 126,561
Bloomfield - 126,658
Gallup - 106,195
Total - 359,414
Number changed when updating ROUNDUP function to ROUND. </t>
        </r>
      </text>
    </comment>
  </commentList>
</comments>
</file>

<file path=xl/comments2.xml><?xml version="1.0" encoding="utf-8"?>
<comments xmlns="http://schemas.openxmlformats.org/spreadsheetml/2006/main">
  <authors>
    <author>Patrick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From NTUA Statements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ROW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CPI</t>
        </r>
      </text>
    </comment>
  </commentList>
</comments>
</file>

<file path=xl/comments3.xml><?xml version="1.0" encoding="utf-8"?>
<comments xmlns="http://schemas.openxmlformats.org/spreadsheetml/2006/main">
  <authors>
    <author>Patrick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From City of Farmington Statements</t>
        </r>
      </text>
    </comment>
  </commentList>
</comments>
</file>

<file path=xl/sharedStrings.xml><?xml version="1.0" encoding="utf-8"?>
<sst xmlns="http://schemas.openxmlformats.org/spreadsheetml/2006/main" count="507" uniqueCount="131">
  <si>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</si>
  <si>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</si>
  <si>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</si>
  <si>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</si>
  <si>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</si>
  <si>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</si>
  <si>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</si>
  <si>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</si>
  <si>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</si>
  <si>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</si>
  <si>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</si>
  <si>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Subtotal</t>
  </si>
  <si>
    <t>Dec</t>
  </si>
  <si>
    <t>Actuals</t>
  </si>
  <si>
    <t>Minimum System Charge</t>
  </si>
  <si>
    <t>NTUA 2001 Summary</t>
  </si>
  <si>
    <t>ROW/CPI Charge</t>
  </si>
  <si>
    <t>Days per month</t>
  </si>
  <si>
    <t xml:space="preserve"> </t>
  </si>
  <si>
    <t>Percent Load Factor</t>
  </si>
  <si>
    <t>Bisti A/C  $168,122 monthly Jan - Oct</t>
  </si>
  <si>
    <t>Bisti A/C $173,662 for Nov - Dec &amp; to Oct. 02</t>
  </si>
  <si>
    <t>Bisti Min gas 125,215 - 121,176/month</t>
  </si>
  <si>
    <t>Bisti demand charge $66k</t>
  </si>
  <si>
    <t>Bisti O&amp;M .004703 x hp-hr or approx $29k/month</t>
  </si>
  <si>
    <t>KVAR Charge</t>
  </si>
  <si>
    <t>Taxes (5.75%)</t>
  </si>
  <si>
    <t>Total kwh</t>
  </si>
  <si>
    <t>$/kwh</t>
  </si>
  <si>
    <t>Cost Adjustment</t>
  </si>
  <si>
    <t>Farmington 2001 Summary</t>
  </si>
  <si>
    <t>Total Bisti &amp; Bloomfield Summary</t>
  </si>
  <si>
    <t>kwh Expense</t>
  </si>
  <si>
    <t>Loadside Generation</t>
  </si>
  <si>
    <t>Loadside $MWh</t>
  </si>
  <si>
    <t>Loadside Generation MWh</t>
  </si>
  <si>
    <t>$/MWh</t>
  </si>
  <si>
    <t>Total MWh</t>
  </si>
  <si>
    <t>MWh * Rate</t>
  </si>
  <si>
    <t>Power Totals</t>
  </si>
  <si>
    <t>Bloomfield</t>
  </si>
  <si>
    <t>Bisti</t>
  </si>
  <si>
    <t>Power Totals (kwh)</t>
  </si>
  <si>
    <t>Total</t>
  </si>
  <si>
    <t>Bloomfield Actuals (kwh)</t>
  </si>
  <si>
    <t>Bisti Actuals (Mwh)</t>
  </si>
  <si>
    <t>ECS/Gallup Compressor Station</t>
  </si>
  <si>
    <t>Demand (kw)</t>
  </si>
  <si>
    <t>Transmission</t>
  </si>
  <si>
    <t>Distribution</t>
  </si>
  <si>
    <t>Energy (kwh)</t>
  </si>
  <si>
    <t>Generation</t>
  </si>
  <si>
    <t>Generation Rate</t>
  </si>
  <si>
    <t>Generation kw</t>
  </si>
  <si>
    <t>Generation kwh</t>
  </si>
  <si>
    <t>Distribution Rate</t>
  </si>
  <si>
    <t>Distribution kwh</t>
  </si>
  <si>
    <t>Transmission Rate</t>
  </si>
  <si>
    <t>Transmission kw</t>
  </si>
  <si>
    <t>Gross Receipts Tax</t>
  </si>
  <si>
    <t>NMPUC Charge</t>
  </si>
  <si>
    <t>Total CDEC Expense</t>
  </si>
  <si>
    <t>Total Gallup Summary</t>
  </si>
  <si>
    <t>Gallup Actuals (kwh)</t>
  </si>
  <si>
    <t>Demand Generation</t>
  </si>
  <si>
    <t>Demand Tranmission</t>
  </si>
  <si>
    <t>Energy Generation</t>
  </si>
  <si>
    <t>Energy Distribution</t>
  </si>
  <si>
    <t>Bloomfield (7,000 HP)</t>
  </si>
  <si>
    <t>Bisti (10,000 HP)</t>
  </si>
  <si>
    <t>Gallup (10,000 HP)</t>
  </si>
  <si>
    <t>ECS LLC/Gallup Compressor Station</t>
  </si>
  <si>
    <t>kwh * Rate</t>
  </si>
  <si>
    <t>ECS LLC/Bloomfield Compressor Station</t>
  </si>
  <si>
    <t>ECS LLC/Bisti Compressor Station</t>
  </si>
  <si>
    <t>Conversion Factor</t>
  </si>
  <si>
    <t>O&amp;M Conversion Factor</t>
  </si>
  <si>
    <t>Load
Factor</t>
  </si>
  <si>
    <t>Conversion
Factor</t>
  </si>
  <si>
    <t>0.50 or lower</t>
  </si>
  <si>
    <t>Conversion
Factor
($HPhr)</t>
  </si>
  <si>
    <t>Gallup</t>
  </si>
  <si>
    <t xml:space="preserve">Total  </t>
  </si>
  <si>
    <t>Total Demand Charge</t>
  </si>
  <si>
    <t>TOTAL</t>
  </si>
  <si>
    <t>CDEC Demand (kw)</t>
  </si>
  <si>
    <t>DC (10,000 kwh)</t>
  </si>
  <si>
    <t>Current Energy Charge (Rate 21)</t>
  </si>
  <si>
    <t>Initial Energy Charge (Rate 21)</t>
  </si>
  <si>
    <t>Current Total Rate</t>
  </si>
  <si>
    <t>Initial Total Rate</t>
  </si>
  <si>
    <t>Buy Down Energy Charge</t>
  </si>
  <si>
    <t>Excess Energy Charges</t>
  </si>
  <si>
    <t>Total Excess Energy Charges</t>
  </si>
  <si>
    <t>Total Rebate Amount</t>
  </si>
  <si>
    <t>Quarterly Distirbution</t>
  </si>
  <si>
    <t>2001 Actuals/2002 Forecast</t>
  </si>
  <si>
    <t>Bisti/Bloomfield</t>
  </si>
  <si>
    <t>Actual Load Factor Determination</t>
  </si>
  <si>
    <t>Bloomfield CF to MMBtu</t>
  </si>
  <si>
    <t>Bisti CF to MMBtu</t>
  </si>
  <si>
    <t>MMBtu Shortage / (Excess)</t>
  </si>
  <si>
    <t>Nominated Gas Volumes</t>
  </si>
  <si>
    <t>Bloomfield MMBtu</t>
  </si>
  <si>
    <t>Bisti MMBtu</t>
  </si>
  <si>
    <t>Gallup MMBtu's (60% LF)</t>
  </si>
  <si>
    <t>Gas Volume True-Up</t>
  </si>
  <si>
    <t>"need Dec &amp; Nov 00"</t>
  </si>
  <si>
    <t>Actual Nominated Volumes</t>
  </si>
  <si>
    <t>ECS Add'l / (Excess Vol's)</t>
  </si>
  <si>
    <t>Actual Gas Vol Analysis</t>
  </si>
  <si>
    <t>MMBtu's (from 2 months prior)</t>
  </si>
  <si>
    <t>?</t>
  </si>
  <si>
    <t>Bloomfield MMBtu's (2 mnth shift)</t>
  </si>
  <si>
    <t>Bisti MMBtu's (2 mnth shift)</t>
  </si>
  <si>
    <t>Gallup MMBtu (2 mnth shift)</t>
  </si>
  <si>
    <t>Total West Texas Hub MMBtu's</t>
  </si>
  <si>
    <t>Daily MMBtu Totals</t>
  </si>
  <si>
    <t>Gas Nomination Volume</t>
  </si>
  <si>
    <t>Late Fee</t>
  </si>
  <si>
    <t>2001 Total</t>
  </si>
  <si>
    <t>Gallup Coincidental Peak Demand Rebates 2001/2002 Summary</t>
  </si>
  <si>
    <t>Actual Gas Conversion Volume</t>
  </si>
  <si>
    <t>Total Monthly MMBtu's</t>
  </si>
  <si>
    <t>Gas Vol. True-up - MMBtu's</t>
  </si>
  <si>
    <t>Fixed A/C &amp; Addtl MMBtu's</t>
  </si>
  <si>
    <t>Continental Divide Electric Coop (CDEC) 2001 Summary</t>
  </si>
  <si>
    <t>Demand Total</t>
  </si>
  <si>
    <t>Energy Total</t>
  </si>
  <si>
    <t>Resulting $/kwh</t>
  </si>
  <si>
    <t>Actual HP-hrs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</si>
</sst>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70" formatCode="_(* #,##0_);_(* \(#,##0\);_(* &quot;-&quot;??_);_(@_)"/>
    <numFmt numFmtId="172" formatCode="_(&quot;$&quot;* #,##0.00000_);_(&quot;$&quot;* \(#,##0.00000\);_(&quot;$&quot;* &quot;-&quot;?????_);_(@_)"/>
    <numFmt numFmtId="173" formatCode="_(&quot;$&quot;* #,##0.000_);_(&quot;$&quot;* \(#,##0.000\);_(&quot;$&quot;* &quot;-&quot;???_);_(@_)"/>
    <numFmt numFmtId="177" formatCode="_(&quot;$&quot;* #,##0.0000_);_(&quot;$&quot;* \(#,##0.0000\);_(&quot;$&quot;* &quot;-&quot;??_);_(@_)"/>
    <numFmt numFmtId="179" formatCode="0.00000"/>
    <numFmt numFmtId="182" formatCode="#,##0.00000"/>
    <numFmt numFmtId="183" formatCode="0.000000"/>
    <numFmt numFmtId="184" formatCode="0.00_);[Red]\(0.00\)"/>
    <numFmt numFmtId="191" formatCode="#,##0.00000_);[Red]\(#,##0.00000\)"/>
    <numFmt numFmtId="192" formatCode="0.000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10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5">
    <xf numFmtId="0" fontId="0" fillId="0" borderId="0" xfId="0"/>
    <xf numFmtId="0" fontId="2" fillId="0" borderId="0" xfId="0" applyFont="1"/>
    <xf numFmtId="0" fontId="0" fillId="0" borderId="1" xfId="0" applyBorder="1"/>
    <xf numFmtId="14" fontId="2" fillId="0" borderId="1" xfId="0" applyNumberFormat="1" applyFont="1" applyBorder="1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2" xfId="0" applyFont="1" applyBorder="1" applyAlignment="1">
      <alignment horizontal="right"/>
    </xf>
    <xf numFmtId="44" fontId="4" fillId="2" borderId="2" xfId="0" applyNumberFormat="1" applyFont="1" applyFill="1" applyBorder="1" applyAlignment="1">
      <alignment horizontal="right"/>
    </xf>
    <xf numFmtId="44" fontId="4" fillId="2" borderId="2" xfId="0" applyNumberFormat="1" applyFont="1" applyFill="1" applyBorder="1"/>
    <xf numFmtId="44" fontId="4" fillId="0" borderId="0" xfId="0" applyNumberFormat="1" applyFont="1"/>
    <xf numFmtId="38" fontId="4" fillId="0" borderId="0" xfId="0" applyNumberFormat="1" applyFont="1"/>
    <xf numFmtId="44" fontId="4" fillId="0" borderId="2" xfId="0" applyNumberFormat="1" applyFont="1" applyBorder="1"/>
    <xf numFmtId="38" fontId="4" fillId="0" borderId="0" xfId="0" applyNumberFormat="1" applyFont="1" applyBorder="1"/>
    <xf numFmtId="0" fontId="4" fillId="0" borderId="0" xfId="0" applyFont="1" applyAlignment="1">
      <alignment horizontal="right"/>
    </xf>
    <xf numFmtId="164" fontId="4" fillId="0" borderId="0" xfId="0" applyNumberFormat="1" applyFont="1"/>
    <xf numFmtId="44" fontId="4" fillId="0" borderId="2" xfId="0" applyNumberFormat="1" applyFont="1" applyBorder="1" applyAlignment="1">
      <alignment horizontal="right"/>
    </xf>
    <xf numFmtId="44" fontId="4" fillId="0" borderId="0" xfId="0" applyNumberFormat="1" applyFont="1" applyFill="1" applyBorder="1"/>
    <xf numFmtId="44" fontId="4" fillId="0" borderId="0" xfId="0" applyNumberFormat="1" applyFont="1" applyFill="1"/>
    <xf numFmtId="44" fontId="3" fillId="0" borderId="0" xfId="0" applyNumberFormat="1" applyFont="1" applyFill="1" applyBorder="1"/>
    <xf numFmtId="44" fontId="4" fillId="0" borderId="3" xfId="0" applyNumberFormat="1" applyFont="1" applyBorder="1"/>
    <xf numFmtId="0" fontId="5" fillId="0" borderId="0" xfId="0" applyFont="1"/>
    <xf numFmtId="0" fontId="5" fillId="0" borderId="1" xfId="0" applyFont="1" applyBorder="1"/>
    <xf numFmtId="10" fontId="4" fillId="0" borderId="2" xfId="0" applyNumberFormat="1" applyFont="1" applyBorder="1" applyAlignment="1">
      <alignment horizontal="right"/>
    </xf>
    <xf numFmtId="10" fontId="4" fillId="0" borderId="0" xfId="0" applyNumberFormat="1" applyFont="1"/>
    <xf numFmtId="44" fontId="4" fillId="0" borderId="0" xfId="0" applyNumberFormat="1" applyFont="1" applyBorder="1"/>
    <xf numFmtId="38" fontId="4" fillId="0" borderId="0" xfId="0" applyNumberFormat="1" applyFont="1" applyFill="1" applyBorder="1"/>
    <xf numFmtId="10" fontId="4" fillId="0" borderId="0" xfId="0" applyNumberFormat="1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3" fontId="4" fillId="0" borderId="2" xfId="0" applyNumberFormat="1" applyFont="1" applyBorder="1"/>
    <xf numFmtId="172" fontId="4" fillId="0" borderId="2" xfId="0" applyNumberFormat="1" applyFont="1" applyBorder="1"/>
    <xf numFmtId="172" fontId="4" fillId="0" borderId="0" xfId="0" applyNumberFormat="1" applyFont="1" applyBorder="1"/>
    <xf numFmtId="164" fontId="4" fillId="3" borderId="0" xfId="2" applyNumberFormat="1" applyFont="1" applyFill="1" applyBorder="1"/>
    <xf numFmtId="44" fontId="4" fillId="0" borderId="2" xfId="0" applyNumberFormat="1" applyFont="1" applyFill="1" applyBorder="1"/>
    <xf numFmtId="38" fontId="4" fillId="3" borderId="0" xfId="0" applyNumberFormat="1" applyFont="1" applyFill="1" applyBorder="1"/>
    <xf numFmtId="40" fontId="4" fillId="0" borderId="2" xfId="0" applyNumberFormat="1" applyFont="1" applyBorder="1"/>
    <xf numFmtId="40" fontId="4" fillId="0" borderId="0" xfId="0" applyNumberFormat="1" applyFont="1"/>
    <xf numFmtId="44" fontId="3" fillId="0" borderId="2" xfId="0" applyNumberFormat="1" applyFont="1" applyBorder="1"/>
    <xf numFmtId="44" fontId="3" fillId="0" borderId="0" xfId="0" applyNumberFormat="1" applyFont="1"/>
    <xf numFmtId="44" fontId="4" fillId="0" borderId="4" xfId="0" applyNumberFormat="1" applyFont="1" applyBorder="1"/>
    <xf numFmtId="38" fontId="0" fillId="0" borderId="0" xfId="0" applyNumberFormat="1"/>
    <xf numFmtId="38" fontId="4" fillId="0" borderId="3" xfId="0" applyNumberFormat="1" applyFont="1" applyBorder="1"/>
    <xf numFmtId="44" fontId="4" fillId="1" borderId="0" xfId="0" applyNumberFormat="1" applyFont="1" applyFill="1" applyBorder="1"/>
    <xf numFmtId="0" fontId="4" fillId="0" borderId="0" xfId="0" applyFont="1" applyFill="1"/>
    <xf numFmtId="0" fontId="5" fillId="0" borderId="0" xfId="0" applyFont="1" applyFill="1"/>
    <xf numFmtId="0" fontId="0" fillId="0" borderId="0" xfId="0" applyFill="1"/>
    <xf numFmtId="38" fontId="4" fillId="1" borderId="0" xfId="0" applyNumberFormat="1" applyFont="1" applyFill="1" applyBorder="1"/>
    <xf numFmtId="44" fontId="8" fillId="0" borderId="0" xfId="0" applyNumberFormat="1" applyFont="1" applyBorder="1"/>
    <xf numFmtId="0" fontId="4" fillId="1" borderId="0" xfId="0" applyFont="1" applyFill="1" applyBorder="1"/>
    <xf numFmtId="164" fontId="4" fillId="0" borderId="0" xfId="0" applyNumberFormat="1" applyFont="1" applyBorder="1"/>
    <xf numFmtId="0" fontId="4" fillId="0" borderId="0" xfId="0" applyFont="1" applyBorder="1"/>
    <xf numFmtId="40" fontId="4" fillId="0" borderId="0" xfId="0" applyNumberFormat="1" applyFont="1" applyBorder="1"/>
    <xf numFmtId="0" fontId="4" fillId="0" borderId="5" xfId="0" applyFont="1" applyBorder="1" applyAlignment="1">
      <alignment horizontal="center"/>
    </xf>
    <xf numFmtId="0" fontId="4" fillId="0" borderId="1" xfId="0" applyFont="1" applyBorder="1"/>
    <xf numFmtId="184" fontId="2" fillId="0" borderId="0" xfId="0" applyNumberFormat="1" applyFont="1"/>
    <xf numFmtId="4" fontId="4" fillId="0" borderId="2" xfId="0" applyNumberFormat="1" applyFont="1" applyBorder="1" applyAlignment="1">
      <alignment horizontal="center"/>
    </xf>
    <xf numFmtId="182" fontId="4" fillId="0" borderId="2" xfId="0" applyNumberFormat="1" applyFont="1" applyBorder="1" applyAlignment="1">
      <alignment horizontal="center"/>
    </xf>
    <xf numFmtId="184" fontId="4" fillId="0" borderId="2" xfId="0" applyNumberFormat="1" applyFont="1" applyBorder="1" applyAlignment="1">
      <alignment horizontal="center"/>
    </xf>
    <xf numFmtId="183" fontId="4" fillId="0" borderId="2" xfId="0" applyNumberFormat="1" applyFont="1" applyBorder="1" applyAlignment="1">
      <alignment horizontal="center"/>
    </xf>
    <xf numFmtId="184" fontId="4" fillId="0" borderId="0" xfId="0" applyNumberFormat="1" applyFont="1"/>
    <xf numFmtId="4" fontId="4" fillId="0" borderId="6" xfId="0" applyNumberFormat="1" applyFont="1" applyBorder="1" applyAlignment="1">
      <alignment horizontal="center"/>
    </xf>
    <xf numFmtId="182" fontId="4" fillId="0" borderId="6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left"/>
    </xf>
    <xf numFmtId="182" fontId="4" fillId="0" borderId="0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2" fontId="4" fillId="0" borderId="2" xfId="0" applyNumberFormat="1" applyFont="1" applyBorder="1" applyAlignment="1">
      <alignment horizontal="center"/>
    </xf>
    <xf numFmtId="179" fontId="4" fillId="0" borderId="2" xfId="0" applyNumberFormat="1" applyFont="1" applyBorder="1" applyAlignment="1">
      <alignment horizontal="center"/>
    </xf>
    <xf numFmtId="183" fontId="2" fillId="0" borderId="7" xfId="0" applyNumberFormat="1" applyFont="1" applyBorder="1"/>
    <xf numFmtId="0" fontId="0" fillId="0" borderId="7" xfId="0" applyBorder="1"/>
    <xf numFmtId="0" fontId="4" fillId="0" borderId="7" xfId="0" applyFont="1" applyBorder="1"/>
    <xf numFmtId="183" fontId="4" fillId="0" borderId="7" xfId="0" applyNumberFormat="1" applyFont="1" applyBorder="1"/>
    <xf numFmtId="44" fontId="4" fillId="0" borderId="5" xfId="0" applyNumberFormat="1" applyFont="1" applyBorder="1"/>
    <xf numFmtId="44" fontId="3" fillId="0" borderId="0" xfId="0" applyNumberFormat="1" applyFont="1" applyBorder="1"/>
    <xf numFmtId="0" fontId="5" fillId="0" borderId="0" xfId="0" applyFont="1" applyBorder="1"/>
    <xf numFmtId="172" fontId="0" fillId="0" borderId="0" xfId="0" applyNumberFormat="1"/>
    <xf numFmtId="44" fontId="3" fillId="0" borderId="6" xfId="0" applyNumberFormat="1" applyFont="1" applyBorder="1"/>
    <xf numFmtId="44" fontId="3" fillId="0" borderId="5" xfId="0" applyNumberFormat="1" applyFont="1" applyBorder="1"/>
    <xf numFmtId="4" fontId="2" fillId="0" borderId="0" xfId="0" applyNumberFormat="1" applyFont="1" applyFill="1" applyAlignment="1">
      <alignment horizontal="center"/>
    </xf>
    <xf numFmtId="182" fontId="2" fillId="0" borderId="0" xfId="0" applyNumberFormat="1" applyFont="1" applyFill="1"/>
    <xf numFmtId="0" fontId="2" fillId="0" borderId="0" xfId="0" applyFont="1" applyFill="1"/>
    <xf numFmtId="40" fontId="4" fillId="0" borderId="0" xfId="0" applyNumberFormat="1" applyFont="1" applyFill="1" applyBorder="1"/>
    <xf numFmtId="3" fontId="4" fillId="0" borderId="0" xfId="0" applyNumberFormat="1" applyFont="1" applyFill="1" applyBorder="1"/>
    <xf numFmtId="0" fontId="4" fillId="0" borderId="0" xfId="0" applyFont="1" applyAlignment="1">
      <alignment wrapText="1"/>
    </xf>
    <xf numFmtId="0" fontId="0" fillId="0" borderId="0" xfId="0" applyBorder="1"/>
    <xf numFmtId="179" fontId="4" fillId="0" borderId="0" xfId="0" applyNumberFormat="1" applyFont="1" applyFill="1"/>
    <xf numFmtId="170" fontId="4" fillId="3" borderId="8" xfId="1" applyNumberFormat="1" applyFont="1" applyFill="1" applyBorder="1"/>
    <xf numFmtId="170" fontId="4" fillId="3" borderId="9" xfId="1" applyNumberFormat="1" applyFont="1" applyFill="1" applyBorder="1"/>
    <xf numFmtId="170" fontId="4" fillId="3" borderId="0" xfId="1" applyNumberFormat="1" applyFont="1" applyFill="1" applyBorder="1"/>
    <xf numFmtId="170" fontId="4" fillId="3" borderId="10" xfId="1" applyNumberFormat="1" applyFont="1" applyFill="1" applyBorder="1"/>
    <xf numFmtId="170" fontId="4" fillId="0" borderId="0" xfId="1" applyNumberFormat="1" applyFont="1" applyFill="1" applyBorder="1"/>
    <xf numFmtId="170" fontId="4" fillId="0" borderId="10" xfId="1" applyNumberFormat="1" applyFont="1" applyFill="1" applyBorder="1"/>
    <xf numFmtId="0" fontId="4" fillId="0" borderId="1" xfId="0" applyFont="1" applyFill="1" applyBorder="1"/>
    <xf numFmtId="0" fontId="4" fillId="0" borderId="11" xfId="0" applyFont="1" applyFill="1" applyBorder="1"/>
    <xf numFmtId="38" fontId="4" fillId="2" borderId="8" xfId="0" applyNumberFormat="1" applyFont="1" applyFill="1" applyBorder="1"/>
    <xf numFmtId="38" fontId="4" fillId="2" borderId="9" xfId="0" applyNumberFormat="1" applyFont="1" applyFill="1" applyBorder="1"/>
    <xf numFmtId="38" fontId="4" fillId="2" borderId="0" xfId="0" applyNumberFormat="1" applyFont="1" applyFill="1" applyBorder="1"/>
    <xf numFmtId="38" fontId="4" fillId="2" borderId="10" xfId="0" applyNumberFormat="1" applyFont="1" applyFill="1" applyBorder="1"/>
    <xf numFmtId="0" fontId="4" fillId="4" borderId="0" xfId="0" applyFont="1" applyFill="1" applyBorder="1"/>
    <xf numFmtId="0" fontId="4" fillId="4" borderId="10" xfId="0" applyFont="1" applyFill="1" applyBorder="1"/>
    <xf numFmtId="170" fontId="4" fillId="4" borderId="0" xfId="1" applyNumberFormat="1" applyFont="1" applyFill="1" applyBorder="1"/>
    <xf numFmtId="170" fontId="4" fillId="4" borderId="10" xfId="1" applyNumberFormat="1" applyFont="1" applyFill="1" applyBorder="1"/>
    <xf numFmtId="170" fontId="4" fillId="4" borderId="1" xfId="1" applyNumberFormat="1" applyFont="1" applyFill="1" applyBorder="1"/>
    <xf numFmtId="170" fontId="4" fillId="4" borderId="11" xfId="1" applyNumberFormat="1" applyFont="1" applyFill="1" applyBorder="1"/>
    <xf numFmtId="170" fontId="4" fillId="4" borderId="0" xfId="0" applyNumberFormat="1" applyFont="1" applyFill="1" applyBorder="1"/>
    <xf numFmtId="0" fontId="4" fillId="4" borderId="1" xfId="0" applyFont="1" applyFill="1" applyBorder="1"/>
    <xf numFmtId="0" fontId="4" fillId="4" borderId="11" xfId="0" applyFont="1" applyFill="1" applyBorder="1"/>
    <xf numFmtId="179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70" fontId="4" fillId="4" borderId="0" xfId="1" applyNumberFormat="1" applyFont="1" applyFill="1" applyBorder="1" applyAlignment="1">
      <alignment horizontal="right"/>
    </xf>
    <xf numFmtId="191" fontId="4" fillId="2" borderId="0" xfId="0" applyNumberFormat="1" applyFont="1" applyFill="1"/>
    <xf numFmtId="191" fontId="4" fillId="0" borderId="0" xfId="0" applyNumberFormat="1" applyFont="1"/>
    <xf numFmtId="179" fontId="4" fillId="0" borderId="0" xfId="0" applyNumberFormat="1" applyFont="1" applyFill="1" applyAlignment="1">
      <alignment horizontal="right"/>
    </xf>
    <xf numFmtId="2" fontId="4" fillId="0" borderId="2" xfId="0" applyNumberFormat="1" applyFont="1" applyFill="1" applyBorder="1" applyAlignment="1">
      <alignment horizontal="center"/>
    </xf>
    <xf numFmtId="179" fontId="4" fillId="0" borderId="2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70" fontId="4" fillId="0" borderId="0" xfId="1" applyNumberFormat="1" applyFont="1"/>
    <xf numFmtId="170" fontId="4" fillId="0" borderId="0" xfId="1" applyNumberFormat="1" applyFont="1" applyBorder="1"/>
    <xf numFmtId="170" fontId="8" fillId="0" borderId="14" xfId="1" applyNumberFormat="1" applyFont="1" applyBorder="1"/>
    <xf numFmtId="0" fontId="4" fillId="0" borderId="14" xfId="0" applyFont="1" applyBorder="1"/>
    <xf numFmtId="170" fontId="4" fillId="0" borderId="14" xfId="1" applyNumberFormat="1" applyFont="1" applyBorder="1"/>
    <xf numFmtId="0" fontId="4" fillId="2" borderId="0" xfId="0" applyFont="1" applyFill="1"/>
    <xf numFmtId="0" fontId="4" fillId="2" borderId="0" xfId="0" applyFont="1" applyFill="1" applyBorder="1"/>
    <xf numFmtId="170" fontId="4" fillId="4" borderId="0" xfId="0" applyNumberFormat="1" applyFont="1" applyFill="1"/>
    <xf numFmtId="4" fontId="4" fillId="0" borderId="2" xfId="0" applyNumberFormat="1" applyFont="1" applyBorder="1" applyAlignment="1">
      <alignment horizontal="center" vertical="center" wrapText="1"/>
    </xf>
    <xf numFmtId="182" fontId="4" fillId="0" borderId="2" xfId="0" applyNumberFormat="1" applyFont="1" applyBorder="1" applyAlignment="1">
      <alignment horizontal="center" vertical="center" wrapText="1"/>
    </xf>
    <xf numFmtId="182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183" fontId="4" fillId="0" borderId="2" xfId="0" applyNumberFormat="1" applyFont="1" applyBorder="1" applyAlignment="1">
      <alignment horizontal="center" vertical="center" wrapText="1"/>
    </xf>
    <xf numFmtId="184" fontId="4" fillId="0" borderId="15" xfId="0" applyNumberFormat="1" applyFont="1" applyBorder="1" applyAlignment="1">
      <alignment horizontal="center" vertical="center" wrapText="1"/>
    </xf>
    <xf numFmtId="183" fontId="4" fillId="0" borderId="7" xfId="0" applyNumberFormat="1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179" fontId="4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13" xfId="0" applyFont="1" applyBorder="1" applyAlignment="1">
      <alignment horizontal="right"/>
    </xf>
    <xf numFmtId="0" fontId="4" fillId="0" borderId="5" xfId="0" applyFont="1" applyBorder="1"/>
    <xf numFmtId="0" fontId="4" fillId="0" borderId="16" xfId="0" applyFont="1" applyBorder="1" applyAlignment="1">
      <alignment horizontal="center"/>
    </xf>
    <xf numFmtId="172" fontId="4" fillId="0" borderId="13" xfId="0" applyNumberFormat="1" applyFont="1" applyBorder="1"/>
    <xf numFmtId="0" fontId="4" fillId="1" borderId="17" xfId="0" applyFont="1" applyFill="1" applyBorder="1"/>
    <xf numFmtId="44" fontId="4" fillId="0" borderId="17" xfId="0" applyNumberFormat="1" applyFont="1" applyBorder="1"/>
    <xf numFmtId="38" fontId="4" fillId="0" borderId="17" xfId="0" applyNumberFormat="1" applyFont="1" applyBorder="1"/>
    <xf numFmtId="172" fontId="4" fillId="0" borderId="17" xfId="0" applyNumberFormat="1" applyFont="1" applyBorder="1"/>
    <xf numFmtId="44" fontId="4" fillId="0" borderId="17" xfId="0" applyNumberFormat="1" applyFont="1" applyFill="1" applyBorder="1"/>
    <xf numFmtId="0" fontId="4" fillId="0" borderId="17" xfId="0" applyFont="1" applyBorder="1"/>
    <xf numFmtId="38" fontId="4" fillId="1" borderId="17" xfId="0" applyNumberFormat="1" applyFont="1" applyFill="1" applyBorder="1"/>
    <xf numFmtId="44" fontId="4" fillId="0" borderId="16" xfId="0" applyNumberFormat="1" applyFont="1" applyBorder="1"/>
    <xf numFmtId="0" fontId="0" fillId="0" borderId="17" xfId="0" applyBorder="1"/>
    <xf numFmtId="44" fontId="3" fillId="0" borderId="17" xfId="0" applyNumberFormat="1" applyFont="1" applyFill="1" applyBorder="1"/>
    <xf numFmtId="44" fontId="8" fillId="0" borderId="17" xfId="0" applyNumberFormat="1" applyFont="1" applyBorder="1"/>
    <xf numFmtId="44" fontId="4" fillId="1" borderId="17" xfId="0" applyNumberFormat="1" applyFont="1" applyFill="1" applyBorder="1"/>
    <xf numFmtId="44" fontId="4" fillId="0" borderId="18" xfId="0" applyNumberFormat="1" applyFont="1" applyBorder="1"/>
    <xf numFmtId="44" fontId="3" fillId="0" borderId="17" xfId="0" applyNumberFormat="1" applyFont="1" applyBorder="1"/>
    <xf numFmtId="0" fontId="3" fillId="0" borderId="13" xfId="0" applyFont="1" applyFill="1" applyBorder="1" applyAlignment="1">
      <alignment horizontal="right"/>
    </xf>
    <xf numFmtId="0" fontId="4" fillId="1" borderId="13" xfId="0" applyFont="1" applyFill="1" applyBorder="1"/>
    <xf numFmtId="44" fontId="4" fillId="1" borderId="13" xfId="0" applyNumberFormat="1" applyFont="1" applyFill="1" applyBorder="1"/>
    <xf numFmtId="38" fontId="4" fillId="0" borderId="13" xfId="0" applyNumberFormat="1" applyFont="1" applyBorder="1"/>
    <xf numFmtId="172" fontId="4" fillId="1" borderId="13" xfId="0" applyNumberFormat="1" applyFont="1" applyFill="1" applyBorder="1"/>
    <xf numFmtId="44" fontId="3" fillId="0" borderId="13" xfId="0" applyNumberFormat="1" applyFont="1" applyBorder="1"/>
    <xf numFmtId="38" fontId="3" fillId="1" borderId="13" xfId="0" applyNumberFormat="1" applyFont="1" applyFill="1" applyBorder="1"/>
    <xf numFmtId="44" fontId="3" fillId="0" borderId="13" xfId="0" applyNumberFormat="1" applyFont="1" applyFill="1" applyBorder="1"/>
    <xf numFmtId="44" fontId="3" fillId="1" borderId="13" xfId="0" applyNumberFormat="1" applyFont="1" applyFill="1" applyBorder="1"/>
    <xf numFmtId="44" fontId="3" fillId="0" borderId="19" xfId="0" applyNumberFormat="1" applyFont="1" applyBorder="1"/>
    <xf numFmtId="44" fontId="3" fillId="0" borderId="16" xfId="0" applyNumberFormat="1" applyFont="1" applyBorder="1"/>
    <xf numFmtId="0" fontId="4" fillId="0" borderId="0" xfId="0" applyFont="1" applyFill="1" applyAlignment="1">
      <alignment horizontal="right"/>
    </xf>
    <xf numFmtId="40" fontId="4" fillId="0" borderId="0" xfId="0" applyNumberFormat="1" applyFont="1" applyFill="1"/>
    <xf numFmtId="44" fontId="4" fillId="0" borderId="3" xfId="0" applyNumberFormat="1" applyFont="1" applyFill="1" applyBorder="1"/>
    <xf numFmtId="38" fontId="4" fillId="0" borderId="3" xfId="0" applyNumberFormat="1" applyFont="1" applyFill="1" applyBorder="1"/>
    <xf numFmtId="43" fontId="4" fillId="0" borderId="0" xfId="0" applyNumberFormat="1" applyFont="1" applyBorder="1" applyAlignment="1">
      <alignment horizontal="right"/>
    </xf>
    <xf numFmtId="43" fontId="3" fillId="0" borderId="0" xfId="0" applyNumberFormat="1" applyFont="1" applyBorder="1" applyAlignment="1">
      <alignment horizontal="right"/>
    </xf>
    <xf numFmtId="43" fontId="4" fillId="0" borderId="17" xfId="0" applyNumberFormat="1" applyFont="1" applyBorder="1" applyAlignment="1">
      <alignment horizontal="right"/>
    </xf>
    <xf numFmtId="43" fontId="4" fillId="0" borderId="0" xfId="0" applyNumberFormat="1" applyFont="1" applyAlignment="1">
      <alignment horizontal="right"/>
    </xf>
    <xf numFmtId="43" fontId="3" fillId="0" borderId="0" xfId="0" applyNumberFormat="1" applyFont="1" applyFill="1" applyBorder="1" applyAlignment="1">
      <alignment horizontal="right"/>
    </xf>
    <xf numFmtId="43" fontId="9" fillId="0" borderId="0" xfId="0" applyNumberFormat="1" applyFont="1" applyBorder="1" applyAlignment="1">
      <alignment horizontal="right"/>
    </xf>
    <xf numFmtId="43" fontId="4" fillId="0" borderId="0" xfId="0" applyNumberFormat="1" applyFont="1" applyFill="1" applyBorder="1" applyAlignment="1">
      <alignment horizontal="right"/>
    </xf>
    <xf numFmtId="43" fontId="0" fillId="0" borderId="0" xfId="0" applyNumberFormat="1" applyAlignment="1">
      <alignment horizontal="right"/>
    </xf>
    <xf numFmtId="43" fontId="3" fillId="0" borderId="0" xfId="0" applyNumberFormat="1" applyFont="1" applyAlignment="1">
      <alignment horizontal="right"/>
    </xf>
    <xf numFmtId="43" fontId="9" fillId="0" borderId="0" xfId="0" applyNumberFormat="1" applyFont="1" applyAlignment="1">
      <alignment horizontal="right"/>
    </xf>
    <xf numFmtId="43" fontId="4" fillId="3" borderId="0" xfId="0" applyNumberFormat="1" applyFont="1" applyFill="1" applyBorder="1" applyAlignment="1">
      <alignment horizontal="right"/>
    </xf>
    <xf numFmtId="43" fontId="10" fillId="0" borderId="0" xfId="0" applyNumberFormat="1" applyFont="1" applyAlignment="1">
      <alignment horizontal="right"/>
    </xf>
    <xf numFmtId="43" fontId="4" fillId="0" borderId="0" xfId="0" applyNumberFormat="1" applyFont="1"/>
    <xf numFmtId="43" fontId="4" fillId="2" borderId="2" xfId="0" applyNumberFormat="1" applyFont="1" applyFill="1" applyBorder="1" applyAlignment="1">
      <alignment horizontal="right"/>
    </xf>
    <xf numFmtId="43" fontId="3" fillId="2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38" fontId="4" fillId="0" borderId="18" xfId="0" applyNumberFormat="1" applyFont="1" applyBorder="1"/>
    <xf numFmtId="38" fontId="4" fillId="3" borderId="17" xfId="0" applyNumberFormat="1" applyFont="1" applyFill="1" applyBorder="1"/>
    <xf numFmtId="164" fontId="4" fillId="3" borderId="17" xfId="2" applyNumberFormat="1" applyFont="1" applyFill="1" applyBorder="1"/>
    <xf numFmtId="170" fontId="4" fillId="0" borderId="17" xfId="1" applyNumberFormat="1" applyFont="1" applyBorder="1"/>
    <xf numFmtId="170" fontId="4" fillId="0" borderId="20" xfId="1" applyNumberFormat="1" applyFont="1" applyBorder="1"/>
    <xf numFmtId="0" fontId="4" fillId="2" borderId="17" xfId="0" applyFont="1" applyFill="1" applyBorder="1"/>
    <xf numFmtId="170" fontId="4" fillId="4" borderId="17" xfId="0" applyNumberFormat="1" applyFont="1" applyFill="1" applyBorder="1"/>
    <xf numFmtId="43" fontId="10" fillId="0" borderId="7" xfId="0" applyNumberFormat="1" applyFont="1" applyFill="1" applyBorder="1" applyAlignment="1">
      <alignment horizontal="right"/>
    </xf>
    <xf numFmtId="43" fontId="4" fillId="4" borderId="7" xfId="0" applyNumberFormat="1" applyFont="1" applyFill="1" applyBorder="1" applyAlignment="1">
      <alignment horizontal="right"/>
    </xf>
    <xf numFmtId="43" fontId="4" fillId="4" borderId="7" xfId="0" applyNumberFormat="1" applyFont="1" applyFill="1" applyBorder="1"/>
    <xf numFmtId="43" fontId="4" fillId="4" borderId="21" xfId="0" applyNumberFormat="1" applyFont="1" applyFill="1" applyBorder="1"/>
    <xf numFmtId="43" fontId="4" fillId="0" borderId="2" xfId="0" applyNumberFormat="1" applyFont="1" applyBorder="1" applyAlignment="1">
      <alignment horizontal="right"/>
    </xf>
    <xf numFmtId="43" fontId="4" fillId="0" borderId="4" xfId="0" applyNumberFormat="1" applyFont="1" applyBorder="1" applyAlignment="1">
      <alignment horizontal="right"/>
    </xf>
    <xf numFmtId="177" fontId="4" fillId="0" borderId="0" xfId="0" applyNumberFormat="1" applyFont="1" applyFill="1" applyBorder="1"/>
    <xf numFmtId="44" fontId="3" fillId="2" borderId="22" xfId="0" applyNumberFormat="1" applyFont="1" applyFill="1" applyBorder="1"/>
    <xf numFmtId="40" fontId="4" fillId="0" borderId="23" xfId="0" applyNumberFormat="1" applyFont="1" applyBorder="1"/>
    <xf numFmtId="38" fontId="4" fillId="0" borderId="23" xfId="0" applyNumberFormat="1" applyFont="1" applyFill="1" applyBorder="1"/>
    <xf numFmtId="0" fontId="4" fillId="0" borderId="24" xfId="0" applyFont="1" applyBorder="1" applyAlignment="1">
      <alignment horizontal="right"/>
    </xf>
    <xf numFmtId="0" fontId="4" fillId="0" borderId="23" xfId="0" applyFont="1" applyBorder="1"/>
    <xf numFmtId="44" fontId="4" fillId="0" borderId="23" xfId="0" applyNumberFormat="1" applyFont="1" applyBorder="1"/>
    <xf numFmtId="44" fontId="4" fillId="0" borderId="25" xfId="0" applyNumberFormat="1" applyFont="1" applyFill="1" applyBorder="1"/>
    <xf numFmtId="44" fontId="4" fillId="0" borderId="23" xfId="0" applyNumberFormat="1" applyFont="1" applyFill="1" applyBorder="1"/>
    <xf numFmtId="3" fontId="4" fillId="0" borderId="23" xfId="0" applyNumberFormat="1" applyFont="1" applyFill="1" applyBorder="1"/>
    <xf numFmtId="172" fontId="4" fillId="0" borderId="23" xfId="0" applyNumberFormat="1" applyFont="1" applyBorder="1"/>
    <xf numFmtId="40" fontId="4" fillId="0" borderId="23" xfId="0" applyNumberFormat="1" applyFont="1" applyFill="1" applyBorder="1"/>
    <xf numFmtId="38" fontId="4" fillId="0" borderId="25" xfId="0" applyNumberFormat="1" applyFont="1" applyFill="1" applyBorder="1"/>
    <xf numFmtId="179" fontId="4" fillId="0" borderId="23" xfId="0" applyNumberFormat="1" applyFont="1" applyFill="1" applyBorder="1" applyAlignment="1">
      <alignment horizontal="right"/>
    </xf>
    <xf numFmtId="179" fontId="4" fillId="0" borderId="23" xfId="0" applyNumberFormat="1" applyFont="1" applyFill="1" applyBorder="1"/>
    <xf numFmtId="170" fontId="4" fillId="0" borderId="23" xfId="1" applyNumberFormat="1" applyFont="1" applyFill="1" applyBorder="1"/>
    <xf numFmtId="0" fontId="4" fillId="0" borderId="26" xfId="0" applyFont="1" applyFill="1" applyBorder="1"/>
    <xf numFmtId="38" fontId="4" fillId="2" borderId="27" xfId="0" applyNumberFormat="1" applyFont="1" applyFill="1" applyBorder="1"/>
    <xf numFmtId="38" fontId="4" fillId="2" borderId="23" xfId="0" applyNumberFormat="1" applyFont="1" applyFill="1" applyBorder="1"/>
    <xf numFmtId="0" fontId="4" fillId="4" borderId="23" xfId="0" applyFont="1" applyFill="1" applyBorder="1"/>
    <xf numFmtId="170" fontId="4" fillId="4" borderId="23" xfId="1" applyNumberFormat="1" applyFont="1" applyFill="1" applyBorder="1"/>
    <xf numFmtId="170" fontId="4" fillId="4" borderId="26" xfId="1" applyNumberFormat="1" applyFont="1" applyFill="1" applyBorder="1"/>
    <xf numFmtId="170" fontId="4" fillId="4" borderId="23" xfId="0" applyNumberFormat="1" applyFont="1" applyFill="1" applyBorder="1"/>
    <xf numFmtId="0" fontId="4" fillId="4" borderId="26" xfId="0" applyFont="1" applyFill="1" applyBorder="1"/>
    <xf numFmtId="0" fontId="4" fillId="5" borderId="28" xfId="0" applyFont="1" applyFill="1" applyBorder="1" applyAlignment="1">
      <alignment horizontal="right"/>
    </xf>
    <xf numFmtId="170" fontId="3" fillId="5" borderId="0" xfId="1" applyNumberFormat="1" applyFont="1" applyFill="1" applyBorder="1"/>
    <xf numFmtId="170" fontId="3" fillId="5" borderId="23" xfId="0" applyNumberFormat="1" applyFont="1" applyFill="1" applyBorder="1"/>
    <xf numFmtId="170" fontId="3" fillId="5" borderId="27" xfId="1" applyNumberFormat="1" applyFont="1" applyFill="1" applyBorder="1"/>
    <xf numFmtId="170" fontId="3" fillId="5" borderId="23" xfId="1" applyNumberFormat="1" applyFont="1" applyFill="1" applyBorder="1"/>
    <xf numFmtId="43" fontId="3" fillId="0" borderId="0" xfId="0" applyNumberFormat="1" applyFont="1" applyFill="1" applyAlignment="1">
      <alignment horizontal="right"/>
    </xf>
    <xf numFmtId="43" fontId="3" fillId="3" borderId="0" xfId="0" applyNumberFormat="1" applyFont="1" applyFill="1" applyBorder="1" applyAlignment="1">
      <alignment horizontal="right"/>
    </xf>
    <xf numFmtId="43" fontId="3" fillId="3" borderId="0" xfId="0" applyNumberFormat="1" applyFont="1" applyFill="1" applyBorder="1" applyAlignment="1">
      <alignment horizontal="right" wrapText="1"/>
    </xf>
    <xf numFmtId="43" fontId="3" fillId="3" borderId="0" xfId="0" applyNumberFormat="1" applyFont="1" applyFill="1" applyAlignment="1">
      <alignment horizontal="right"/>
    </xf>
    <xf numFmtId="43" fontId="4" fillId="3" borderId="29" xfId="0" applyNumberFormat="1" applyFont="1" applyFill="1" applyBorder="1" applyAlignment="1">
      <alignment horizontal="right" wrapText="1"/>
    </xf>
    <xf numFmtId="43" fontId="4" fillId="3" borderId="7" xfId="0" applyNumberFormat="1" applyFont="1" applyFill="1" applyBorder="1" applyAlignment="1">
      <alignment horizontal="right"/>
    </xf>
    <xf numFmtId="43" fontId="3" fillId="4" borderId="21" xfId="0" applyNumberFormat="1" applyFont="1" applyFill="1" applyBorder="1" applyAlignment="1">
      <alignment horizontal="right"/>
    </xf>
    <xf numFmtId="43" fontId="4" fillId="2" borderId="29" xfId="0" applyNumberFormat="1" applyFont="1" applyFill="1" applyBorder="1" applyAlignment="1">
      <alignment horizontal="right"/>
    </xf>
    <xf numFmtId="43" fontId="4" fillId="2" borderId="7" xfId="0" applyNumberFormat="1" applyFont="1" applyFill="1" applyBorder="1" applyAlignment="1">
      <alignment horizontal="right"/>
    </xf>
    <xf numFmtId="43" fontId="3" fillId="4" borderId="7" xfId="0" applyNumberFormat="1" applyFont="1" applyFill="1" applyBorder="1" applyAlignment="1">
      <alignment horizontal="right"/>
    </xf>
    <xf numFmtId="43" fontId="4" fillId="4" borderId="21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43" fontId="4" fillId="0" borderId="14" xfId="0" applyNumberFormat="1" applyFont="1" applyBorder="1" applyAlignment="1">
      <alignment horizontal="right"/>
    </xf>
    <xf numFmtId="43" fontId="3" fillId="0" borderId="0" xfId="0" applyNumberFormat="1" applyFont="1" applyAlignment="1">
      <alignment horizontal="right" wrapText="1"/>
    </xf>
    <xf numFmtId="192" fontId="4" fillId="0" borderId="0" xfId="2" applyNumberFormat="1" applyFont="1" applyFill="1" applyBorder="1"/>
    <xf numFmtId="192" fontId="4" fillId="0" borderId="23" xfId="2" applyNumberFormat="1" applyFont="1" applyFill="1" applyBorder="1"/>
    <xf numFmtId="192" fontId="4" fillId="0" borderId="0" xfId="0" applyNumberFormat="1" applyFont="1"/>
    <xf numFmtId="173" fontId="4" fillId="0" borderId="0" xfId="0" applyNumberFormat="1" applyFont="1" applyFill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4" xfId="0" applyNumberFormat="1" applyFont="1" applyBorder="1" applyAlignment="1">
      <alignment horizontal="center"/>
    </xf>
    <xf numFmtId="0" fontId="4" fillId="0" borderId="12" xfId="0" applyNumberFormat="1" applyFont="1" applyBorder="1" applyAlignment="1">
      <alignment horizontal="center"/>
    </xf>
    <xf numFmtId="0" fontId="4" fillId="0" borderId="13" xfId="0" applyNumberFormat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" fontId="2" fillId="2" borderId="0" xfId="0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MWh</a:t>
            </a:r>
          </a:p>
        </c:rich>
      </c:tx>
      <c:layout>
        <c:manualLayout>
          <c:xMode val="edge"/>
          <c:yMode val="edge"/>
          <c:x val="0.45243225568049411"/>
          <c:y val="3.39517003103347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76789708039683"/>
          <c:y val="0.16358546513161282"/>
          <c:w val="0.86742184192536109"/>
          <c:h val="0.7098991883069990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Bisti!$B$14:$O$14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</c:strCache>
            </c:strRef>
          </c:cat>
          <c:val>
            <c:numRef>
              <c:f>Bisti!$B$15:$O$15</c:f>
              <c:numCache>
                <c:formatCode>#,##0.00_);[Red]\(#,##0.00\)</c:formatCode>
                <c:ptCount val="14"/>
                <c:pt idx="0">
                  <c:v>4807.6139999999996</c:v>
                </c:pt>
                <c:pt idx="1">
                  <c:v>4339.9769999999999</c:v>
                </c:pt>
                <c:pt idx="2">
                  <c:v>4308.0290000000005</c:v>
                </c:pt>
                <c:pt idx="3">
                  <c:v>4149.5619999999999</c:v>
                </c:pt>
                <c:pt idx="4">
                  <c:v>4109.8810000000003</c:v>
                </c:pt>
                <c:pt idx="5">
                  <c:v>4566.7839999999997</c:v>
                </c:pt>
                <c:pt idx="6">
                  <c:v>4999.3140000000003</c:v>
                </c:pt>
                <c:pt idx="7">
                  <c:v>4707.8339999999998</c:v>
                </c:pt>
                <c:pt idx="8">
                  <c:v>4093.7849999999999</c:v>
                </c:pt>
                <c:pt idx="9">
                  <c:v>4220.28</c:v>
                </c:pt>
                <c:pt idx="10">
                  <c:v>4289.1000000000004</c:v>
                </c:pt>
                <c:pt idx="11">
                  <c:v>4427.8</c:v>
                </c:pt>
                <c:pt idx="12">
                  <c:v>4550.7020000000002</c:v>
                </c:pt>
                <c:pt idx="13">
                  <c:v>4423.2160000000003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7E3-44D0-BA15-B2B891D3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576463"/>
        <c:axId val="1"/>
      </c:lineChart>
      <c:catAx>
        <c:axId val="1943576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);[Red]\(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3576463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statement subtotals</a:t>
            </a:r>
          </a:p>
        </c:rich>
      </c:tx>
      <c:layout>
        <c:manualLayout>
          <c:xMode val="edge"/>
          <c:yMode val="edge"/>
          <c:x val="0.44239566597092211"/>
          <c:y val="3.8462786127582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365910755233614E-2"/>
          <c:y val="0.17483084603446422"/>
          <c:w val="0.93583698570771989"/>
          <c:h val="0.6993233841378568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Bisti!$B$6:$M$6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Bisti!$B$12:$M$12</c:f>
              <c:numCache>
                <c:formatCode>_("$"* #,##0.00_);_("$"* \(#,##0.00\);_("$"* "-"??_);_(@_)</c:formatCode>
                <c:ptCount val="12"/>
                <c:pt idx="0">
                  <c:v>190997.96399999998</c:v>
                </c:pt>
                <c:pt idx="1">
                  <c:v>178839.402</c:v>
                </c:pt>
                <c:pt idx="2">
                  <c:v>178008.75400000002</c:v>
                </c:pt>
                <c:pt idx="3">
                  <c:v>173888.61199999999</c:v>
                </c:pt>
                <c:pt idx="4">
                  <c:v>172856.90600000002</c:v>
                </c:pt>
                <c:pt idx="5">
                  <c:v>184736.38399999999</c:v>
                </c:pt>
                <c:pt idx="6">
                  <c:v>203374.13399999999</c:v>
                </c:pt>
                <c:pt idx="7">
                  <c:v>301967.34400000004</c:v>
                </c:pt>
                <c:pt idx="8">
                  <c:v>172438.41</c:v>
                </c:pt>
                <c:pt idx="9">
                  <c:v>195060.37</c:v>
                </c:pt>
                <c:pt idx="10">
                  <c:v>177516.6</c:v>
                </c:pt>
                <c:pt idx="11">
                  <c:v>181122.8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13B-4FBC-8343-C1BD5FAC3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909599"/>
        <c:axId val="1"/>
      </c:lineChart>
      <c:catAx>
        <c:axId val="2034909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49095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882147002146095"/>
          <c:y val="3.405686663750234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9649322466455"/>
          <c:y val="0.1826686483284217"/>
          <c:w val="0.87644844273449352"/>
          <c:h val="0.6904255691057295"/>
        </c:manualLayout>
      </c:layout>
      <c:lineChart>
        <c:grouping val="standard"/>
        <c:varyColors val="0"/>
        <c:ser>
          <c:idx val="0"/>
          <c:order val="0"/>
          <c:tx>
            <c:strRef>
              <c:f>Bloomfield!$A$16</c:f>
              <c:strCache>
                <c:ptCount val="1"/>
                <c:pt idx="0">
                  <c:v>Total kwh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Bloomfield!$B$15:$O$15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</c:strCache>
            </c:strRef>
          </c:cat>
          <c:val>
            <c:numRef>
              <c:f>Bloomfield!$B$16:$O$16</c:f>
              <c:numCache>
                <c:formatCode>#,##0</c:formatCode>
                <c:ptCount val="14"/>
                <c:pt idx="0">
                  <c:v>3259000</c:v>
                </c:pt>
                <c:pt idx="1">
                  <c:v>2972000</c:v>
                </c:pt>
                <c:pt idx="2">
                  <c:v>3367000</c:v>
                </c:pt>
                <c:pt idx="3">
                  <c:v>3455000</c:v>
                </c:pt>
                <c:pt idx="4">
                  <c:v>3547000</c:v>
                </c:pt>
                <c:pt idx="5">
                  <c:v>3711000</c:v>
                </c:pt>
                <c:pt idx="6">
                  <c:v>3787000</c:v>
                </c:pt>
                <c:pt idx="7">
                  <c:v>4019000</c:v>
                </c:pt>
                <c:pt idx="8">
                  <c:v>3911000</c:v>
                </c:pt>
                <c:pt idx="9">
                  <c:v>4155000</c:v>
                </c:pt>
                <c:pt idx="10">
                  <c:v>3905000</c:v>
                </c:pt>
                <c:pt idx="11">
                  <c:v>3906000</c:v>
                </c:pt>
                <c:pt idx="12">
                  <c:v>3723000</c:v>
                </c:pt>
                <c:pt idx="13">
                  <c:v>3442000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3B8-49CB-B92B-28EA58541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908159"/>
        <c:axId val="1"/>
      </c:lineChart>
      <c:catAx>
        <c:axId val="2034908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49081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DEMAND (kw)</a:t>
            </a:r>
          </a:p>
        </c:rich>
      </c:tx>
      <c:layout>
        <c:manualLayout>
          <c:xMode val="edge"/>
          <c:yMode val="edge"/>
          <c:x val="0.43721572430464056"/>
          <c:y val="3.38473340447880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2272388682602E-2"/>
          <c:y val="0.18462182206248051"/>
          <c:w val="0.87920107469260456"/>
          <c:h val="0.66156152905722188"/>
        </c:manualLayout>
      </c:layout>
      <c:lineChart>
        <c:grouping val="standard"/>
        <c:varyColors val="0"/>
        <c:ser>
          <c:idx val="0"/>
          <c:order val="0"/>
          <c:tx>
            <c:strRef>
              <c:f>Gallup!$A$26</c:f>
              <c:strCache>
                <c:ptCount val="1"/>
                <c:pt idx="0">
                  <c:v> Generation kw 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Gallup!$B$23:$O$23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</c:strCache>
            </c:strRef>
          </c:cat>
          <c:val>
            <c:numRef>
              <c:f>Gallup!$B$26:$O$26</c:f>
              <c:numCache>
                <c:formatCode>#,##0_);[Red]\(#,##0\)</c:formatCode>
                <c:ptCount val="14"/>
                <c:pt idx="0">
                  <c:v>5434</c:v>
                </c:pt>
                <c:pt idx="1">
                  <c:v>5088</c:v>
                </c:pt>
                <c:pt idx="2">
                  <c:v>7075</c:v>
                </c:pt>
                <c:pt idx="3">
                  <c:v>6797</c:v>
                </c:pt>
                <c:pt idx="4">
                  <c:v>8256</c:v>
                </c:pt>
                <c:pt idx="5">
                  <c:v>4973</c:v>
                </c:pt>
                <c:pt idx="6">
                  <c:v>6931</c:v>
                </c:pt>
                <c:pt idx="7">
                  <c:v>7930</c:v>
                </c:pt>
                <c:pt idx="8">
                  <c:v>19</c:v>
                </c:pt>
                <c:pt idx="9">
                  <c:v>5549</c:v>
                </c:pt>
                <c:pt idx="10">
                  <c:v>7411</c:v>
                </c:pt>
                <c:pt idx="11">
                  <c:v>5318</c:v>
                </c:pt>
                <c:pt idx="12">
                  <c:v>1000</c:v>
                </c:pt>
                <c:pt idx="13">
                  <c:v>8256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C86-46E7-AEA7-6BFA48E65506}"/>
            </c:ext>
          </c:extLst>
        </c:ser>
        <c:ser>
          <c:idx val="1"/>
          <c:order val="1"/>
          <c:tx>
            <c:strRef>
              <c:f>Gallup!$A$28</c:f>
              <c:strCache>
                <c:ptCount val="1"/>
                <c:pt idx="0">
                  <c:v> Transmission kw 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Gallup!$B$23:$O$23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</c:strCache>
            </c:strRef>
          </c:cat>
          <c:val>
            <c:numRef>
              <c:f>Gallup!$B$28:$O$28</c:f>
              <c:numCache>
                <c:formatCode>#,##0_);[Red]\(#,##0\)</c:formatCode>
                <c:ptCount val="14"/>
                <c:pt idx="0">
                  <c:v>6778</c:v>
                </c:pt>
                <c:pt idx="1">
                  <c:v>7344</c:v>
                </c:pt>
                <c:pt idx="2">
                  <c:v>7661</c:v>
                </c:pt>
                <c:pt idx="3">
                  <c:v>6787</c:v>
                </c:pt>
                <c:pt idx="4">
                  <c:v>8698</c:v>
                </c:pt>
                <c:pt idx="5">
                  <c:v>8410</c:v>
                </c:pt>
                <c:pt idx="6">
                  <c:v>8218</c:v>
                </c:pt>
                <c:pt idx="7">
                  <c:v>7968</c:v>
                </c:pt>
                <c:pt idx="8">
                  <c:v>7910</c:v>
                </c:pt>
                <c:pt idx="9">
                  <c:v>9331</c:v>
                </c:pt>
                <c:pt idx="10">
                  <c:v>9120</c:v>
                </c:pt>
                <c:pt idx="11">
                  <c:v>6106</c:v>
                </c:pt>
                <c:pt idx="12">
                  <c:v>7930</c:v>
                </c:pt>
                <c:pt idx="13">
                  <c:v>8256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C86-46E7-AEA7-6BFA48E65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911039"/>
        <c:axId val="1"/>
      </c:lineChart>
      <c:catAx>
        <c:axId val="2034911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49110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090170697146695"/>
          <c:y val="0.91080098884157057"/>
          <c:w val="0.35295233016592803"/>
          <c:h val="6.76946680895761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5" l="0.5" r="0.5" t="0.5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(kwh)</a:t>
            </a:r>
          </a:p>
        </c:rich>
      </c:tx>
      <c:layout>
        <c:manualLayout>
          <c:xMode val="edge"/>
          <c:yMode val="edge"/>
          <c:x val="0.43403597358242502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42040280529937"/>
          <c:y val="0.18293317218831712"/>
          <c:w val="0.85535294427598774"/>
          <c:h val="0.61282612683086235"/>
        </c:manualLayout>
      </c:layout>
      <c:lineChart>
        <c:grouping val="standard"/>
        <c:varyColors val="0"/>
        <c:ser>
          <c:idx val="0"/>
          <c:order val="0"/>
          <c:tx>
            <c:strRef>
              <c:f>Gallup!$A$31</c:f>
              <c:strCache>
                <c:ptCount val="1"/>
                <c:pt idx="0">
                  <c:v> Generation kwh 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Gallup!$B$23:$O$23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</c:strCache>
            </c:strRef>
          </c:cat>
          <c:val>
            <c:numRef>
              <c:f>Gallup!$B$31:$O$31</c:f>
              <c:numCache>
                <c:formatCode>#,##0_);[Red]\(#,##0\)</c:formatCode>
                <c:ptCount val="14"/>
                <c:pt idx="0">
                  <c:v>4540992</c:v>
                </c:pt>
                <c:pt idx="1">
                  <c:v>3956054</c:v>
                </c:pt>
                <c:pt idx="2">
                  <c:v>4430942</c:v>
                </c:pt>
                <c:pt idx="3">
                  <c:v>4401499</c:v>
                </c:pt>
                <c:pt idx="4">
                  <c:v>3422650</c:v>
                </c:pt>
                <c:pt idx="5">
                  <c:v>5199282</c:v>
                </c:pt>
                <c:pt idx="6">
                  <c:v>5285904</c:v>
                </c:pt>
                <c:pt idx="7">
                  <c:v>3574762</c:v>
                </c:pt>
                <c:pt idx="8">
                  <c:v>1217290</c:v>
                </c:pt>
                <c:pt idx="9">
                  <c:v>5319072</c:v>
                </c:pt>
                <c:pt idx="10">
                  <c:v>5044762</c:v>
                </c:pt>
                <c:pt idx="11">
                  <c:v>4509437</c:v>
                </c:pt>
                <c:pt idx="12">
                  <c:v>3209875</c:v>
                </c:pt>
                <c:pt idx="13">
                  <c:v>4495286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609-4423-96F3-D0E8ED949497}"/>
            </c:ext>
          </c:extLst>
        </c:ser>
        <c:ser>
          <c:idx val="1"/>
          <c:order val="1"/>
          <c:tx>
            <c:strRef>
              <c:f>Gallup!$A$33</c:f>
              <c:strCache>
                <c:ptCount val="1"/>
                <c:pt idx="0">
                  <c:v> Distribution kwh 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Gallup!$B$23:$O$23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</c:strCache>
            </c:strRef>
          </c:cat>
          <c:val>
            <c:numRef>
              <c:f>Gallup!$B$33:$O$33</c:f>
              <c:numCache>
                <c:formatCode>#,##0_);[Red]\(#,##0\)</c:formatCode>
                <c:ptCount val="14"/>
                <c:pt idx="0">
                  <c:v>4540992</c:v>
                </c:pt>
                <c:pt idx="1">
                  <c:v>3956054</c:v>
                </c:pt>
                <c:pt idx="2">
                  <c:v>4430942</c:v>
                </c:pt>
                <c:pt idx="3">
                  <c:v>4401499</c:v>
                </c:pt>
                <c:pt idx="4">
                  <c:v>3422650</c:v>
                </c:pt>
                <c:pt idx="5">
                  <c:v>5199282</c:v>
                </c:pt>
                <c:pt idx="6">
                  <c:v>5285904</c:v>
                </c:pt>
                <c:pt idx="7">
                  <c:v>3574762</c:v>
                </c:pt>
                <c:pt idx="8">
                  <c:v>1217290</c:v>
                </c:pt>
                <c:pt idx="9">
                  <c:v>5319072</c:v>
                </c:pt>
                <c:pt idx="10">
                  <c:v>5044762</c:v>
                </c:pt>
                <c:pt idx="11">
                  <c:v>4509437</c:v>
                </c:pt>
                <c:pt idx="12">
                  <c:v>3209875</c:v>
                </c:pt>
                <c:pt idx="13">
                  <c:v>4495286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609-4423-96F3-D0E8ED949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912479"/>
        <c:axId val="1"/>
      </c:lineChart>
      <c:catAx>
        <c:axId val="2034912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49124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203083449922142"/>
          <c:y val="0.91161697473844694"/>
          <c:w val="0.3545422055270358"/>
          <c:h val="6.70754964690496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5" l="0.5" r="0.5" t="0.5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6</xdr:col>
      <xdr:colOff>0</xdr:colOff>
      <xdr:row>41</xdr:row>
      <xdr:rowOff>9525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F368F8AD-AD1C-D358-5DAC-2E64E8093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742950</xdr:colOff>
      <xdr:row>61</xdr:row>
      <xdr:rowOff>114300</xdr:rowOff>
    </xdr:from>
    <xdr:to>
      <xdr:col>14</xdr:col>
      <xdr:colOff>0</xdr:colOff>
      <xdr:row>78</xdr:row>
      <xdr:rowOff>85725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E825A917-F823-0B8B-B37B-595EC14A4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152400</xdr:rowOff>
    </xdr:from>
    <xdr:to>
      <xdr:col>7</xdr:col>
      <xdr:colOff>790575</xdr:colOff>
      <xdr:row>38</xdr:row>
      <xdr:rowOff>152400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B561D1E3-D3E2-44F3-D83C-07077B613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9525</xdr:rowOff>
    </xdr:from>
    <xdr:to>
      <xdr:col>5</xdr:col>
      <xdr:colOff>790575</xdr:colOff>
      <xdr:row>53</xdr:row>
      <xdr:rowOff>28575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E6F7E799-876C-F1BC-B699-AC868F0C3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34</xdr:row>
      <xdr:rowOff>0</xdr:rowOff>
    </xdr:from>
    <xdr:to>
      <xdr:col>12</xdr:col>
      <xdr:colOff>447675</xdr:colOff>
      <xdr:row>53</xdr:row>
      <xdr:rowOff>47625</xdr:rowOff>
    </xdr:to>
    <xdr:graphicFrame macro="">
      <xdr:nvGraphicFramePr>
        <xdr:cNvPr id="9218" name="Chart 2">
          <a:extLst>
            <a:ext uri="{FF2B5EF4-FFF2-40B4-BE49-F238E27FC236}">
              <a16:creationId xmlns:a16="http://schemas.microsoft.com/office/drawing/2014/main" id="{771B47E4-1427-FCC2-1CC6-C9027AB7F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62"/>
  <sheetViews>
    <sheetView tabSelected="1" zoomScale="90" zoomScaleNormal="90" zoomScaleSheetLayoutView="90" workbookViewId="0">
      <pane xSplit="1" ySplit="7" topLeftCell="L32" activePane="bottomRight" state="frozen"/>
      <selection pane="topRight" activeCell="B1" sqref="B1"/>
      <selection pane="bottomLeft" activeCell="A8" sqref="A8"/>
      <selection pane="bottomRight" activeCell="Q61" sqref="Q61"/>
    </sheetView>
  </sheetViews>
  <sheetFormatPr defaultRowHeight="12" x14ac:dyDescent="0.2"/>
  <cols>
    <col min="1" max="1" width="33.7109375" style="5" customWidth="1"/>
    <col min="2" max="2" width="11.85546875" style="5" customWidth="1"/>
    <col min="3" max="3" width="12" style="5" customWidth="1"/>
    <col min="4" max="4" width="12.140625" style="5" customWidth="1"/>
    <col min="5" max="11" width="12" style="5" customWidth="1"/>
    <col min="12" max="12" width="12.7109375" style="5" customWidth="1"/>
    <col min="13" max="13" width="12" style="5" customWidth="1"/>
    <col min="14" max="14" width="11.7109375" style="5" customWidth="1"/>
    <col min="15" max="15" width="12" style="5" customWidth="1"/>
    <col min="16" max="25" width="12" style="5" bestFit="1" customWidth="1"/>
    <col min="26" max="16384" width="9.140625" style="5"/>
  </cols>
  <sheetData>
    <row r="1" spans="1:25" s="20" customFormat="1" ht="12.75" x14ac:dyDescent="0.2">
      <c r="A1" s="1" t="s">
        <v>31</v>
      </c>
    </row>
    <row r="2" spans="1:25" s="20" customFormat="1" ht="12.75" x14ac:dyDescent="0.2">
      <c r="A2" s="1" t="s">
        <v>39</v>
      </c>
    </row>
    <row r="3" spans="1:25" s="20" customFormat="1" ht="13.5" thickBot="1" x14ac:dyDescent="0.25">
      <c r="A3" s="3">
        <f ca="1">TODAY()</f>
        <v>37340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5" spans="1:25" ht="12.75" thickBot="1" x14ac:dyDescent="0.25">
      <c r="B5" s="243">
        <v>2001</v>
      </c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>
        <v>2002</v>
      </c>
      <c r="O5" s="243"/>
      <c r="P5" s="243"/>
      <c r="Q5" s="244"/>
      <c r="R5" s="243"/>
      <c r="S5" s="243"/>
      <c r="T5" s="243"/>
      <c r="U5" s="243"/>
      <c r="V5" s="243"/>
      <c r="W5" s="243"/>
      <c r="X5" s="243"/>
      <c r="Y5" s="243"/>
    </row>
    <row r="6" spans="1:25" x14ac:dyDescent="0.2">
      <c r="A6" s="225" t="s">
        <v>44</v>
      </c>
      <c r="B6" s="6" t="s">
        <v>0</v>
      </c>
      <c r="C6" s="6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6" t="s">
        <v>6</v>
      </c>
      <c r="I6" s="6" t="s">
        <v>7</v>
      </c>
      <c r="J6" s="6" t="s">
        <v>8</v>
      </c>
      <c r="K6" s="6" t="s">
        <v>9</v>
      </c>
      <c r="L6" s="6" t="s">
        <v>10</v>
      </c>
      <c r="M6" s="6" t="s">
        <v>12</v>
      </c>
      <c r="N6" s="6" t="s">
        <v>0</v>
      </c>
      <c r="O6" s="6" t="s">
        <v>1</v>
      </c>
      <c r="P6" s="200" t="s">
        <v>2</v>
      </c>
      <c r="Q6" s="220" t="s">
        <v>3</v>
      </c>
      <c r="R6" s="134" t="s">
        <v>4</v>
      </c>
      <c r="S6" s="6" t="s">
        <v>5</v>
      </c>
      <c r="T6" s="6" t="s">
        <v>6</v>
      </c>
      <c r="U6" s="6" t="s">
        <v>7</v>
      </c>
      <c r="V6" s="6" t="s">
        <v>8</v>
      </c>
      <c r="W6" s="6" t="s">
        <v>9</v>
      </c>
      <c r="X6" s="6" t="s">
        <v>10</v>
      </c>
      <c r="Y6" s="6" t="s">
        <v>12</v>
      </c>
    </row>
    <row r="7" spans="1:25" ht="7.5" customHeight="1" x14ac:dyDescent="0.2">
      <c r="A7" s="170"/>
      <c r="B7" s="14"/>
      <c r="N7" s="14"/>
      <c r="Q7" s="201"/>
    </row>
    <row r="8" spans="1:25" x14ac:dyDescent="0.2">
      <c r="A8" s="167" t="s">
        <v>72</v>
      </c>
      <c r="B8" s="24">
        <v>118410.44</v>
      </c>
      <c r="C8" s="24">
        <v>106164.54</v>
      </c>
      <c r="D8" s="24">
        <v>120266.04</v>
      </c>
      <c r="E8" s="24">
        <v>123407.64</v>
      </c>
      <c r="F8" s="24">
        <v>126692.04</v>
      </c>
      <c r="G8" s="24">
        <v>132546.84</v>
      </c>
      <c r="H8" s="24">
        <v>135260.04</v>
      </c>
      <c r="I8" s="24">
        <v>143542.44</v>
      </c>
      <c r="J8" s="24">
        <v>139686.84</v>
      </c>
      <c r="K8" s="24">
        <v>148397.64000000001</v>
      </c>
      <c r="L8" s="16">
        <v>136476.92000000001</v>
      </c>
      <c r="M8" s="16">
        <v>139506.20000000001</v>
      </c>
      <c r="N8" s="24">
        <f>Bloomfield!N8</f>
        <v>132975.24</v>
      </c>
      <c r="O8" s="24">
        <f>Bloomfield!O8</f>
        <v>122943.54</v>
      </c>
      <c r="P8" s="24">
        <f>Bloomfield!P8</f>
        <v>0</v>
      </c>
      <c r="Q8" s="202">
        <f>Bloomfield!Q8</f>
        <v>0</v>
      </c>
      <c r="R8" s="24">
        <f>Bloomfield!R8</f>
        <v>0</v>
      </c>
      <c r="S8" s="24">
        <f>Bloomfield!S8</f>
        <v>0</v>
      </c>
      <c r="T8" s="24">
        <f>Bloomfield!T8</f>
        <v>0</v>
      </c>
      <c r="U8" s="24">
        <f>Bloomfield!U8</f>
        <v>0</v>
      </c>
      <c r="V8" s="24">
        <f>Bloomfield!V8</f>
        <v>0</v>
      </c>
      <c r="W8" s="24">
        <f>Bloomfield!W8</f>
        <v>0</v>
      </c>
      <c r="X8" s="24">
        <f>Bloomfield!X8</f>
        <v>0</v>
      </c>
      <c r="Y8" s="24">
        <v>0</v>
      </c>
    </row>
    <row r="9" spans="1:25" x14ac:dyDescent="0.2">
      <c r="A9" s="167" t="s">
        <v>25</v>
      </c>
      <c r="B9" s="24">
        <v>94.9</v>
      </c>
      <c r="C9" s="24">
        <v>246.45</v>
      </c>
      <c r="D9" s="24">
        <v>1294.8499999999999</v>
      </c>
      <c r="E9" s="24">
        <v>111.45</v>
      </c>
      <c r="F9" s="24">
        <v>103.4</v>
      </c>
      <c r="G9" s="24">
        <v>1598.6</v>
      </c>
      <c r="H9" s="24">
        <v>1581.8</v>
      </c>
      <c r="I9" s="24">
        <v>1180.25</v>
      </c>
      <c r="J9" s="24">
        <v>1197.05</v>
      </c>
      <c r="K9" s="24">
        <v>1153.7</v>
      </c>
      <c r="L9" s="16">
        <v>196.9</v>
      </c>
      <c r="M9" s="16">
        <v>46.9</v>
      </c>
      <c r="N9" s="24">
        <f>Bloomfield!N9</f>
        <v>3.4</v>
      </c>
      <c r="O9" s="24">
        <f>Bloomfield!O9</f>
        <v>0</v>
      </c>
      <c r="P9" s="24">
        <f>Bloomfield!P9</f>
        <v>0</v>
      </c>
      <c r="Q9" s="202">
        <f>Bloomfield!Q9</f>
        <v>0</v>
      </c>
      <c r="R9" s="24">
        <f>Bloomfield!R9</f>
        <v>0</v>
      </c>
      <c r="S9" s="24">
        <f>Bloomfield!S9</f>
        <v>0</v>
      </c>
      <c r="T9" s="24">
        <f>Bloomfield!T9</f>
        <v>0</v>
      </c>
      <c r="U9" s="24">
        <f>Bloomfield!U9</f>
        <v>0</v>
      </c>
      <c r="V9" s="24">
        <f>Bloomfield!V9</f>
        <v>0</v>
      </c>
      <c r="W9" s="24">
        <f>Bloomfield!W9</f>
        <v>0</v>
      </c>
      <c r="X9" s="24">
        <f>Bloomfield!X9</f>
        <v>0</v>
      </c>
      <c r="Y9" s="24">
        <v>0</v>
      </c>
    </row>
    <row r="10" spans="1:25" x14ac:dyDescent="0.2">
      <c r="A10" s="167" t="s">
        <v>29</v>
      </c>
      <c r="B10" s="24">
        <v>0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12057</v>
      </c>
      <c r="J10" s="24">
        <v>11733</v>
      </c>
      <c r="K10" s="24">
        <v>12465</v>
      </c>
      <c r="L10" s="16">
        <v>11715</v>
      </c>
      <c r="M10" s="16">
        <v>11718</v>
      </c>
      <c r="N10" s="24">
        <f>Bloomfield!N10</f>
        <v>18615</v>
      </c>
      <c r="O10" s="24">
        <f>Bloomfield!O10</f>
        <v>17210</v>
      </c>
      <c r="P10" s="24">
        <f>Bloomfield!P10</f>
        <v>0</v>
      </c>
      <c r="Q10" s="202">
        <f>Bloomfield!Q10</f>
        <v>0</v>
      </c>
      <c r="R10" s="24">
        <f>Bloomfield!R10</f>
        <v>0</v>
      </c>
      <c r="S10" s="24">
        <f>Bloomfield!S10</f>
        <v>0</v>
      </c>
      <c r="T10" s="24">
        <f>Bloomfield!T10</f>
        <v>0</v>
      </c>
      <c r="U10" s="24">
        <f>Bloomfield!U10</f>
        <v>0</v>
      </c>
      <c r="V10" s="24">
        <f>Bloomfield!V10</f>
        <v>0</v>
      </c>
      <c r="W10" s="24">
        <f>Bloomfield!W10</f>
        <v>0</v>
      </c>
      <c r="X10" s="24">
        <f>Bloomfield!X10</f>
        <v>0</v>
      </c>
      <c r="Y10" s="24">
        <v>0</v>
      </c>
    </row>
    <row r="11" spans="1:25" x14ac:dyDescent="0.2">
      <c r="A11" s="167" t="s">
        <v>26</v>
      </c>
      <c r="B11" s="24">
        <f t="shared" ref="B11:H11" si="0">(B8+B9)*0.0575</f>
        <v>6814.0570500000003</v>
      </c>
      <c r="C11" s="24">
        <f t="shared" si="0"/>
        <v>6118.6319249999997</v>
      </c>
      <c r="D11" s="24">
        <f t="shared" si="0"/>
        <v>6989.7511750000003</v>
      </c>
      <c r="E11" s="24">
        <f t="shared" si="0"/>
        <v>7102.347675</v>
      </c>
      <c r="F11" s="24">
        <f t="shared" si="0"/>
        <v>7290.7377999999999</v>
      </c>
      <c r="G11" s="24">
        <f t="shared" si="0"/>
        <v>7713.3628000000008</v>
      </c>
      <c r="H11" s="24">
        <f t="shared" si="0"/>
        <v>7868.4058000000005</v>
      </c>
      <c r="I11" s="24">
        <f>(I8+I9+I10)*0.0575</f>
        <v>9014.8321750000014</v>
      </c>
      <c r="J11" s="24">
        <f>(J8+J9+J10)*0.0575</f>
        <v>8775.4711749999988</v>
      </c>
      <c r="K11" s="24">
        <f>(K8+K9+K10)*0.0575</f>
        <v>9315.9395500000028</v>
      </c>
      <c r="L11" s="24">
        <f>(L8+L9+L10)*0.0575</f>
        <v>8532.3571500000016</v>
      </c>
      <c r="M11" s="24">
        <f>(M8+M9+M10)*0.0575</f>
        <v>8698.0882500000007</v>
      </c>
      <c r="N11" s="24">
        <f t="shared" ref="N11:Y11" si="1">SUM(N8:N10)*0.0575</f>
        <v>8716.6342999999997</v>
      </c>
      <c r="O11" s="24">
        <f t="shared" si="1"/>
        <v>8058.8285499999993</v>
      </c>
      <c r="P11" s="24">
        <f t="shared" si="1"/>
        <v>0</v>
      </c>
      <c r="Q11" s="202">
        <f t="shared" si="1"/>
        <v>0</v>
      </c>
      <c r="R11" s="24">
        <f t="shared" si="1"/>
        <v>0</v>
      </c>
      <c r="S11" s="24">
        <f t="shared" si="1"/>
        <v>0</v>
      </c>
      <c r="T11" s="24">
        <f t="shared" si="1"/>
        <v>0</v>
      </c>
      <c r="U11" s="24">
        <f t="shared" si="1"/>
        <v>0</v>
      </c>
      <c r="V11" s="24">
        <f t="shared" si="1"/>
        <v>0</v>
      </c>
      <c r="W11" s="24">
        <f t="shared" si="1"/>
        <v>0</v>
      </c>
      <c r="X11" s="24">
        <f t="shared" si="1"/>
        <v>0</v>
      </c>
      <c r="Y11" s="24">
        <f t="shared" si="1"/>
        <v>0</v>
      </c>
    </row>
    <row r="12" spans="1:25" x14ac:dyDescent="0.2">
      <c r="A12" s="167"/>
      <c r="B12" s="24">
        <v>0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f>Bloomfield!N12</f>
        <v>1999.61</v>
      </c>
      <c r="O12" s="24">
        <v>0</v>
      </c>
      <c r="P12" s="24">
        <v>0</v>
      </c>
      <c r="Q12" s="202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</row>
    <row r="13" spans="1:25" s="42" customFormat="1" ht="12.75" thickBot="1" x14ac:dyDescent="0.25">
      <c r="A13" s="173" t="s">
        <v>43</v>
      </c>
      <c r="B13" s="165">
        <f t="shared" ref="B13:N13" si="2">SUM(B8:B12)</f>
        <v>125319.39705</v>
      </c>
      <c r="C13" s="165">
        <f t="shared" si="2"/>
        <v>112529.62192499998</v>
      </c>
      <c r="D13" s="165">
        <f t="shared" si="2"/>
        <v>128550.641175</v>
      </c>
      <c r="E13" s="165">
        <f t="shared" si="2"/>
        <v>130621.43767499999</v>
      </c>
      <c r="F13" s="165">
        <f t="shared" si="2"/>
        <v>134086.17779999998</v>
      </c>
      <c r="G13" s="165">
        <f t="shared" si="2"/>
        <v>141858.8028</v>
      </c>
      <c r="H13" s="165">
        <f t="shared" si="2"/>
        <v>144710.2458</v>
      </c>
      <c r="I13" s="165">
        <f t="shared" si="2"/>
        <v>165794.52217499999</v>
      </c>
      <c r="J13" s="165">
        <f t="shared" si="2"/>
        <v>161392.36117499997</v>
      </c>
      <c r="K13" s="165">
        <f t="shared" si="2"/>
        <v>171332.27955000004</v>
      </c>
      <c r="L13" s="165">
        <f t="shared" si="2"/>
        <v>156921.17715</v>
      </c>
      <c r="M13" s="165">
        <f t="shared" si="2"/>
        <v>159969.18825000001</v>
      </c>
      <c r="N13" s="165">
        <f t="shared" si="2"/>
        <v>162309.88429999998</v>
      </c>
      <c r="O13" s="165">
        <f t="shared" ref="O13:Y13" si="3">SUM(O8:O11)</f>
        <v>148212.36854999998</v>
      </c>
      <c r="P13" s="165">
        <f t="shared" si="3"/>
        <v>0</v>
      </c>
      <c r="Q13" s="203">
        <f t="shared" si="3"/>
        <v>0</v>
      </c>
      <c r="R13" s="165">
        <f t="shared" si="3"/>
        <v>0</v>
      </c>
      <c r="S13" s="165">
        <f t="shared" si="3"/>
        <v>0</v>
      </c>
      <c r="T13" s="165">
        <f t="shared" si="3"/>
        <v>0</v>
      </c>
      <c r="U13" s="165">
        <f t="shared" si="3"/>
        <v>0</v>
      </c>
      <c r="V13" s="165">
        <f t="shared" si="3"/>
        <v>0</v>
      </c>
      <c r="W13" s="165">
        <f t="shared" si="3"/>
        <v>0</v>
      </c>
      <c r="X13" s="165">
        <f t="shared" si="3"/>
        <v>0</v>
      </c>
      <c r="Y13" s="165">
        <f t="shared" si="3"/>
        <v>0</v>
      </c>
    </row>
    <row r="14" spans="1:25" s="42" customFormat="1" ht="12.75" thickTop="1" x14ac:dyDescent="0.2">
      <c r="A14" s="173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204"/>
      <c r="R14" s="16"/>
      <c r="S14" s="16"/>
      <c r="T14" s="16"/>
      <c r="U14" s="16"/>
      <c r="V14" s="16"/>
      <c r="W14" s="16"/>
      <c r="X14" s="16"/>
      <c r="Y14" s="16"/>
    </row>
    <row r="15" spans="1:25" s="42" customFormat="1" x14ac:dyDescent="0.2">
      <c r="A15" s="173" t="s">
        <v>27</v>
      </c>
      <c r="B15" s="81">
        <f>Bloomfield!B16</f>
        <v>3259000</v>
      </c>
      <c r="C15" s="81">
        <f>Bloomfield!C16</f>
        <v>2972000</v>
      </c>
      <c r="D15" s="81">
        <f>Bloomfield!D16</f>
        <v>3367000</v>
      </c>
      <c r="E15" s="81">
        <f>Bloomfield!E16</f>
        <v>3455000</v>
      </c>
      <c r="F15" s="81">
        <f>Bloomfield!F16</f>
        <v>3547000</v>
      </c>
      <c r="G15" s="81">
        <f>Bloomfield!G16</f>
        <v>3711000</v>
      </c>
      <c r="H15" s="81">
        <f>Bloomfield!H16</f>
        <v>3787000</v>
      </c>
      <c r="I15" s="81">
        <f>Bloomfield!I16</f>
        <v>4019000</v>
      </c>
      <c r="J15" s="81">
        <f>Bloomfield!J16</f>
        <v>3911000</v>
      </c>
      <c r="K15" s="81">
        <f>Bloomfield!K16</f>
        <v>4155000</v>
      </c>
      <c r="L15" s="81">
        <f>Bloomfield!L16</f>
        <v>3905000</v>
      </c>
      <c r="M15" s="81">
        <f>Bloomfield!M16</f>
        <v>3906000</v>
      </c>
      <c r="N15" s="81">
        <f>Bloomfield!N16</f>
        <v>3723000</v>
      </c>
      <c r="O15" s="81">
        <f>Bloomfield!O16</f>
        <v>3442000</v>
      </c>
      <c r="P15" s="81">
        <f>Bloomfield!P16</f>
        <v>0</v>
      </c>
      <c r="Q15" s="205">
        <f>Bloomfield!Q16</f>
        <v>0</v>
      </c>
      <c r="R15" s="81">
        <f>Bloomfield!R16</f>
        <v>0</v>
      </c>
      <c r="S15" s="81">
        <f>Bloomfield!S16</f>
        <v>0</v>
      </c>
      <c r="T15" s="81">
        <f>Bloomfield!T16</f>
        <v>0</v>
      </c>
      <c r="U15" s="81">
        <f>Bloomfield!U16</f>
        <v>0</v>
      </c>
      <c r="V15" s="81">
        <f>Bloomfield!V16</f>
        <v>0</v>
      </c>
      <c r="W15" s="81">
        <f>Bloomfield!W16</f>
        <v>0</v>
      </c>
      <c r="X15" s="81">
        <f>Bloomfield!X16</f>
        <v>0</v>
      </c>
      <c r="Y15" s="81">
        <f>Bloomfield!Y16</f>
        <v>0</v>
      </c>
    </row>
    <row r="16" spans="1:25" x14ac:dyDescent="0.2">
      <c r="A16" s="167" t="s">
        <v>28</v>
      </c>
      <c r="B16" s="30">
        <f t="shared" ref="B16:M16" si="4">B8/B15</f>
        <v>3.6333366063209575E-2</v>
      </c>
      <c r="C16" s="30">
        <f>C8/C15</f>
        <v>3.5721581426648719E-2</v>
      </c>
      <c r="D16" s="30">
        <f t="shared" si="4"/>
        <v>3.5719049599049597E-2</v>
      </c>
      <c r="E16" s="30">
        <f t="shared" si="4"/>
        <v>3.5718564399421129E-2</v>
      </c>
      <c r="F16" s="30">
        <f t="shared" si="4"/>
        <v>3.5718082886946716E-2</v>
      </c>
      <c r="G16" s="30">
        <f t="shared" si="4"/>
        <v>3.5717283751010506E-2</v>
      </c>
      <c r="H16" s="30">
        <f t="shared" si="4"/>
        <v>3.5716936889358335E-2</v>
      </c>
      <c r="I16" s="30">
        <f t="shared" si="4"/>
        <v>3.5715959193829312E-2</v>
      </c>
      <c r="J16" s="30">
        <f t="shared" si="4"/>
        <v>3.5716399897724363E-2</v>
      </c>
      <c r="K16" s="30">
        <f t="shared" si="4"/>
        <v>3.5715436823104699E-2</v>
      </c>
      <c r="L16" s="30">
        <f t="shared" si="4"/>
        <v>3.4949275288092191E-2</v>
      </c>
      <c r="M16" s="30">
        <f t="shared" si="4"/>
        <v>3.571587301587302E-2</v>
      </c>
      <c r="N16" s="30">
        <f t="shared" ref="N16:Y16" si="5">N8/N15</f>
        <v>3.5717228041901687E-2</v>
      </c>
      <c r="O16" s="30">
        <f t="shared" si="5"/>
        <v>3.5718634514816966E-2</v>
      </c>
      <c r="P16" s="30" t="e">
        <f t="shared" si="5"/>
        <v>#DIV/0!</v>
      </c>
      <c r="Q16" s="206" t="e">
        <f t="shared" si="5"/>
        <v>#DIV/0!</v>
      </c>
      <c r="R16" s="30" t="e">
        <f t="shared" si="5"/>
        <v>#DIV/0!</v>
      </c>
      <c r="S16" s="30" t="e">
        <f t="shared" si="5"/>
        <v>#DIV/0!</v>
      </c>
      <c r="T16" s="30" t="e">
        <f t="shared" si="5"/>
        <v>#DIV/0!</v>
      </c>
      <c r="U16" s="30" t="e">
        <f t="shared" si="5"/>
        <v>#DIV/0!</v>
      </c>
      <c r="V16" s="30" t="e">
        <f t="shared" si="5"/>
        <v>#DIV/0!</v>
      </c>
      <c r="W16" s="30" t="e">
        <f t="shared" si="5"/>
        <v>#DIV/0!</v>
      </c>
      <c r="X16" s="30" t="e">
        <f t="shared" si="5"/>
        <v>#DIV/0!</v>
      </c>
      <c r="Y16" s="30" t="e">
        <f t="shared" si="5"/>
        <v>#DIV/0!</v>
      </c>
    </row>
    <row r="17" spans="1:25" x14ac:dyDescent="0.2">
      <c r="A17" s="167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206"/>
      <c r="R17" s="30"/>
      <c r="S17" s="30"/>
      <c r="T17" s="30"/>
      <c r="U17" s="30"/>
      <c r="V17" s="30"/>
      <c r="W17" s="30"/>
      <c r="X17" s="30"/>
      <c r="Y17" s="30"/>
    </row>
    <row r="18" spans="1:25" x14ac:dyDescent="0.2">
      <c r="A18" s="167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206"/>
      <c r="R18" s="30"/>
      <c r="S18" s="30"/>
      <c r="T18" s="30"/>
      <c r="U18" s="30"/>
      <c r="V18" s="30"/>
      <c r="W18" s="30"/>
      <c r="X18" s="30"/>
      <c r="Y18" s="30"/>
    </row>
    <row r="19" spans="1:25" x14ac:dyDescent="0.2">
      <c r="A19" s="168" t="s">
        <v>45</v>
      </c>
      <c r="B19" s="6" t="s">
        <v>0</v>
      </c>
      <c r="C19" s="6" t="s">
        <v>1</v>
      </c>
      <c r="D19" s="6" t="s">
        <v>2</v>
      </c>
      <c r="E19" s="6" t="s">
        <v>3</v>
      </c>
      <c r="F19" s="6" t="s">
        <v>4</v>
      </c>
      <c r="G19" s="6" t="s">
        <v>5</v>
      </c>
      <c r="H19" s="6" t="s">
        <v>6</v>
      </c>
      <c r="I19" s="6" t="s">
        <v>7</v>
      </c>
      <c r="J19" s="6" t="s">
        <v>8</v>
      </c>
      <c r="K19" s="6" t="s">
        <v>9</v>
      </c>
      <c r="L19" s="6" t="s">
        <v>10</v>
      </c>
      <c r="M19" s="6" t="s">
        <v>12</v>
      </c>
      <c r="N19" s="6" t="s">
        <v>0</v>
      </c>
      <c r="O19" s="6" t="s">
        <v>1</v>
      </c>
      <c r="P19" s="6" t="s">
        <v>2</v>
      </c>
      <c r="Q19" s="6" t="s">
        <v>3</v>
      </c>
      <c r="R19" s="6" t="s">
        <v>4</v>
      </c>
      <c r="S19" s="6" t="s">
        <v>5</v>
      </c>
      <c r="T19" s="6" t="s">
        <v>6</v>
      </c>
      <c r="U19" s="6" t="s">
        <v>7</v>
      </c>
      <c r="V19" s="6" t="s">
        <v>8</v>
      </c>
      <c r="W19" s="6" t="s">
        <v>9</v>
      </c>
      <c r="X19" s="6" t="s">
        <v>10</v>
      </c>
      <c r="Y19" s="6" t="s">
        <v>12</v>
      </c>
    </row>
    <row r="20" spans="1:25" ht="6" customHeight="1" x14ac:dyDescent="0.2">
      <c r="A20" s="167"/>
      <c r="B20" s="48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8"/>
      <c r="O20" s="49"/>
      <c r="P20" s="49"/>
      <c r="Q20" s="201"/>
      <c r="R20" s="49"/>
      <c r="S20" s="49"/>
      <c r="T20" s="49"/>
      <c r="U20" s="49"/>
      <c r="V20" s="49"/>
      <c r="W20" s="49"/>
      <c r="X20" s="49"/>
      <c r="Y20" s="49"/>
    </row>
    <row r="21" spans="1:25" s="9" customFormat="1" x14ac:dyDescent="0.2">
      <c r="A21" s="167" t="s">
        <v>72</v>
      </c>
      <c r="B21" s="24">
        <f>B27*B28</f>
        <v>124997.96399999999</v>
      </c>
      <c r="C21" s="24">
        <f t="shared" ref="C21:M21" si="6">C27*C28</f>
        <v>112839.402</v>
      </c>
      <c r="D21" s="24">
        <f t="shared" si="6"/>
        <v>112008.75400000002</v>
      </c>
      <c r="E21" s="24">
        <f t="shared" si="6"/>
        <v>107888.61199999999</v>
      </c>
      <c r="F21" s="24">
        <f t="shared" si="6"/>
        <v>106856.906</v>
      </c>
      <c r="G21" s="24">
        <f t="shared" si="6"/>
        <v>118736.38399999999</v>
      </c>
      <c r="H21" s="24">
        <f t="shared" si="6"/>
        <v>129982.164</v>
      </c>
      <c r="I21" s="24">
        <f t="shared" si="6"/>
        <v>122403.68399999999</v>
      </c>
      <c r="J21" s="24">
        <f t="shared" si="6"/>
        <v>106438.41</v>
      </c>
      <c r="K21" s="24">
        <f t="shared" si="6"/>
        <v>109727.28</v>
      </c>
      <c r="L21" s="24">
        <f t="shared" si="6"/>
        <v>111516.6</v>
      </c>
      <c r="M21" s="24">
        <f t="shared" si="6"/>
        <v>115122.8</v>
      </c>
      <c r="N21" s="24">
        <f>N27*N28</f>
        <v>122868.95400000001</v>
      </c>
      <c r="O21" s="24">
        <f>O27*O28</f>
        <v>119426.83200000001</v>
      </c>
      <c r="P21" s="24">
        <f t="shared" ref="P21:Y21" si="7">P27*P28</f>
        <v>0</v>
      </c>
      <c r="Q21" s="202">
        <f t="shared" si="7"/>
        <v>0</v>
      </c>
      <c r="R21" s="24">
        <f t="shared" si="7"/>
        <v>0</v>
      </c>
      <c r="S21" s="24">
        <f t="shared" si="7"/>
        <v>0</v>
      </c>
      <c r="T21" s="24">
        <f t="shared" si="7"/>
        <v>0</v>
      </c>
      <c r="U21" s="24">
        <f t="shared" si="7"/>
        <v>0</v>
      </c>
      <c r="V21" s="24">
        <f t="shared" si="7"/>
        <v>0</v>
      </c>
      <c r="W21" s="24">
        <f t="shared" si="7"/>
        <v>0</v>
      </c>
      <c r="X21" s="24">
        <f t="shared" si="7"/>
        <v>0</v>
      </c>
      <c r="Y21" s="24">
        <f t="shared" si="7"/>
        <v>0</v>
      </c>
    </row>
    <row r="22" spans="1:25" s="9" customFormat="1" x14ac:dyDescent="0.2">
      <c r="A22" s="167" t="s">
        <v>14</v>
      </c>
      <c r="B22" s="24">
        <v>66000</v>
      </c>
      <c r="C22" s="24">
        <v>66000</v>
      </c>
      <c r="D22" s="24">
        <v>66000</v>
      </c>
      <c r="E22" s="24">
        <v>66000</v>
      </c>
      <c r="F22" s="24">
        <v>66000</v>
      </c>
      <c r="G22" s="24">
        <v>66000</v>
      </c>
      <c r="H22" s="24">
        <v>66000</v>
      </c>
      <c r="I22" s="24">
        <v>66000</v>
      </c>
      <c r="J22" s="24">
        <v>66000</v>
      </c>
      <c r="K22" s="24">
        <v>66000</v>
      </c>
      <c r="L22" s="24">
        <v>66000</v>
      </c>
      <c r="M22" s="24">
        <v>66000</v>
      </c>
      <c r="N22" s="24">
        <v>66000</v>
      </c>
      <c r="O22" s="24">
        <v>66000</v>
      </c>
      <c r="P22" s="24">
        <v>66000</v>
      </c>
      <c r="Q22" s="202">
        <v>66000</v>
      </c>
      <c r="R22" s="24">
        <v>66000</v>
      </c>
      <c r="S22" s="24">
        <v>66000</v>
      </c>
      <c r="T22" s="24">
        <v>66000</v>
      </c>
      <c r="U22" s="24">
        <v>66000</v>
      </c>
      <c r="V22" s="24">
        <v>66000</v>
      </c>
      <c r="W22" s="24">
        <v>66000</v>
      </c>
      <c r="X22" s="24">
        <v>66000</v>
      </c>
      <c r="Y22" s="24">
        <v>66000</v>
      </c>
    </row>
    <row r="23" spans="1:25" s="9" customFormat="1" x14ac:dyDescent="0.2">
      <c r="A23" s="167" t="s">
        <v>33</v>
      </c>
      <c r="B23" s="24">
        <v>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19333.09</v>
      </c>
      <c r="L23" s="24">
        <v>0</v>
      </c>
      <c r="M23" s="24">
        <v>0</v>
      </c>
      <c r="N23" s="24">
        <f>Bisti!N10</f>
        <v>1864.38</v>
      </c>
      <c r="O23" s="24">
        <f>Bisti!O10</f>
        <v>0</v>
      </c>
      <c r="P23" s="24">
        <f>Bisti!P10</f>
        <v>0</v>
      </c>
      <c r="Q23" s="202">
        <f>Bisti!Q10</f>
        <v>0</v>
      </c>
      <c r="R23" s="24">
        <f>Bisti!R10</f>
        <v>0</v>
      </c>
      <c r="S23" s="24">
        <f>Bisti!S10</f>
        <v>0</v>
      </c>
      <c r="T23" s="24">
        <f>Bisti!T10</f>
        <v>0</v>
      </c>
      <c r="U23" s="24">
        <f>Bisti!U10</f>
        <v>0</v>
      </c>
      <c r="V23" s="24">
        <f>Bisti!V10</f>
        <v>0</v>
      </c>
      <c r="W23" s="24">
        <f>Bisti!W10</f>
        <v>0</v>
      </c>
      <c r="X23" s="24">
        <f>Bisti!X10</f>
        <v>0</v>
      </c>
      <c r="Y23" s="24">
        <f>Bisti!Y10</f>
        <v>0</v>
      </c>
    </row>
    <row r="24" spans="1:25" s="9" customFormat="1" x14ac:dyDescent="0.2">
      <c r="A24" s="167" t="s">
        <v>16</v>
      </c>
      <c r="B24" s="24">
        <v>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7391.97</v>
      </c>
      <c r="I24" s="24">
        <v>113563.66</v>
      </c>
      <c r="J24" s="24">
        <v>0</v>
      </c>
      <c r="K24" s="24">
        <v>0</v>
      </c>
      <c r="L24" s="24">
        <v>0</v>
      </c>
      <c r="M24" s="24">
        <v>0</v>
      </c>
      <c r="N24" s="24">
        <f>Bisti!N11</f>
        <v>0</v>
      </c>
      <c r="O24" s="24">
        <f>Bisti!O11</f>
        <v>0</v>
      </c>
      <c r="P24" s="24">
        <f>Bisti!P11</f>
        <v>0</v>
      </c>
      <c r="Q24" s="202">
        <f>Bisti!Q11</f>
        <v>0</v>
      </c>
      <c r="R24" s="24">
        <f>Bisti!R11</f>
        <v>0</v>
      </c>
      <c r="S24" s="24">
        <f>Bisti!S11</f>
        <v>0</v>
      </c>
      <c r="T24" s="24">
        <f>Bisti!T11</f>
        <v>0</v>
      </c>
      <c r="U24" s="24">
        <f>Bisti!U11</f>
        <v>0</v>
      </c>
      <c r="V24" s="24">
        <f>Bisti!V11</f>
        <v>0</v>
      </c>
      <c r="W24" s="24">
        <f>Bisti!W11</f>
        <v>0</v>
      </c>
      <c r="X24" s="24">
        <f>Bisti!X11</f>
        <v>0</v>
      </c>
      <c r="Y24" s="24">
        <f>Bisti!Y11</f>
        <v>0</v>
      </c>
    </row>
    <row r="25" spans="1:25" s="17" customFormat="1" ht="12.75" thickBot="1" x14ac:dyDescent="0.25">
      <c r="A25" s="173" t="s">
        <v>43</v>
      </c>
      <c r="B25" s="165">
        <f>SUM(B21:B24)</f>
        <v>190997.96399999998</v>
      </c>
      <c r="C25" s="165">
        <f t="shared" ref="C25:M25" si="8">SUM(C21:C24)</f>
        <v>178839.402</v>
      </c>
      <c r="D25" s="165">
        <f t="shared" si="8"/>
        <v>178008.75400000002</v>
      </c>
      <c r="E25" s="165">
        <f t="shared" si="8"/>
        <v>173888.61199999999</v>
      </c>
      <c r="F25" s="165">
        <f t="shared" si="8"/>
        <v>172856.90600000002</v>
      </c>
      <c r="G25" s="165">
        <f t="shared" si="8"/>
        <v>184736.38399999999</v>
      </c>
      <c r="H25" s="165">
        <f t="shared" si="8"/>
        <v>203374.13399999999</v>
      </c>
      <c r="I25" s="165">
        <f t="shared" si="8"/>
        <v>301967.34400000004</v>
      </c>
      <c r="J25" s="165">
        <f t="shared" si="8"/>
        <v>172438.41</v>
      </c>
      <c r="K25" s="165">
        <f t="shared" si="8"/>
        <v>195060.37</v>
      </c>
      <c r="L25" s="165">
        <f t="shared" si="8"/>
        <v>177516.6</v>
      </c>
      <c r="M25" s="165">
        <f t="shared" si="8"/>
        <v>181122.8</v>
      </c>
      <c r="N25" s="165">
        <f t="shared" ref="N25:Y25" si="9">SUM(N21:N24)</f>
        <v>190733.33400000003</v>
      </c>
      <c r="O25" s="165">
        <f t="shared" si="9"/>
        <v>185426.83199999999</v>
      </c>
      <c r="P25" s="165">
        <f t="shared" si="9"/>
        <v>66000</v>
      </c>
      <c r="Q25" s="203">
        <f t="shared" si="9"/>
        <v>66000</v>
      </c>
      <c r="R25" s="165">
        <f t="shared" si="9"/>
        <v>66000</v>
      </c>
      <c r="S25" s="165">
        <f t="shared" si="9"/>
        <v>66000</v>
      </c>
      <c r="T25" s="165">
        <f t="shared" si="9"/>
        <v>66000</v>
      </c>
      <c r="U25" s="165">
        <f t="shared" si="9"/>
        <v>66000</v>
      </c>
      <c r="V25" s="165">
        <f t="shared" si="9"/>
        <v>66000</v>
      </c>
      <c r="W25" s="165">
        <f t="shared" si="9"/>
        <v>66000</v>
      </c>
      <c r="X25" s="165">
        <f t="shared" si="9"/>
        <v>66000</v>
      </c>
      <c r="Y25" s="165">
        <f t="shared" si="9"/>
        <v>66000</v>
      </c>
    </row>
    <row r="26" spans="1:25" s="17" customFormat="1" ht="12.75" thickTop="1" x14ac:dyDescent="0.2">
      <c r="A26" s="173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204"/>
      <c r="R26" s="16"/>
      <c r="S26" s="16"/>
      <c r="T26" s="16"/>
      <c r="U26" s="16"/>
      <c r="V26" s="16"/>
      <c r="W26" s="16"/>
      <c r="X26" s="16"/>
      <c r="Y26" s="16"/>
    </row>
    <row r="27" spans="1:25" s="164" customFormat="1" x14ac:dyDescent="0.2">
      <c r="A27" s="173" t="s">
        <v>37</v>
      </c>
      <c r="B27" s="80">
        <f>Bisti!B15</f>
        <v>4807.6139999999996</v>
      </c>
      <c r="C27" s="80">
        <f>Bisti!C15</f>
        <v>4339.9769999999999</v>
      </c>
      <c r="D27" s="80">
        <f>Bisti!D15</f>
        <v>4308.0290000000005</v>
      </c>
      <c r="E27" s="80">
        <f>Bisti!E15</f>
        <v>4149.5619999999999</v>
      </c>
      <c r="F27" s="80">
        <f>Bisti!F15</f>
        <v>4109.8810000000003</v>
      </c>
      <c r="G27" s="80">
        <f>Bisti!G15</f>
        <v>4566.7839999999997</v>
      </c>
      <c r="H27" s="80">
        <f>Bisti!H15</f>
        <v>4999.3140000000003</v>
      </c>
      <c r="I27" s="80">
        <f>Bisti!I15</f>
        <v>4707.8339999999998</v>
      </c>
      <c r="J27" s="80">
        <f>Bisti!J15</f>
        <v>4093.7849999999999</v>
      </c>
      <c r="K27" s="80">
        <f>Bisti!K15</f>
        <v>4220.28</v>
      </c>
      <c r="L27" s="80">
        <f>Bisti!L15</f>
        <v>4289.1000000000004</v>
      </c>
      <c r="M27" s="80">
        <f>Bisti!M15</f>
        <v>4427.8</v>
      </c>
      <c r="N27" s="80">
        <f>Bisti!N15</f>
        <v>4550.7020000000002</v>
      </c>
      <c r="O27" s="80">
        <f>Bisti!O15</f>
        <v>4423.2160000000003</v>
      </c>
      <c r="P27" s="80">
        <f>Bisti!P15</f>
        <v>0</v>
      </c>
      <c r="Q27" s="207">
        <f>Bisti!Q15</f>
        <v>0</v>
      </c>
      <c r="R27" s="80">
        <f>Bisti!R15</f>
        <v>0</v>
      </c>
      <c r="S27" s="80">
        <f>Bisti!S15</f>
        <v>0</v>
      </c>
      <c r="T27" s="80">
        <f>Bisti!T15</f>
        <v>0</v>
      </c>
      <c r="U27" s="80">
        <f>Bisti!U15</f>
        <v>0</v>
      </c>
      <c r="V27" s="80">
        <f>Bisti!V15</f>
        <v>0</v>
      </c>
      <c r="W27" s="80">
        <f>Bisti!W15</f>
        <v>0</v>
      </c>
      <c r="X27" s="80">
        <f>Bisti!X15</f>
        <v>0</v>
      </c>
      <c r="Y27" s="80">
        <f>Bisti!Y15</f>
        <v>0</v>
      </c>
    </row>
    <row r="28" spans="1:25" s="23" customFormat="1" x14ac:dyDescent="0.2">
      <c r="A28" s="167" t="s">
        <v>36</v>
      </c>
      <c r="B28" s="24">
        <v>26</v>
      </c>
      <c r="C28" s="24">
        <f>$B$28</f>
        <v>26</v>
      </c>
      <c r="D28" s="24">
        <f t="shared" ref="D28:M28" si="10">$B$28</f>
        <v>26</v>
      </c>
      <c r="E28" s="24">
        <f t="shared" si="10"/>
        <v>26</v>
      </c>
      <c r="F28" s="24">
        <f t="shared" si="10"/>
        <v>26</v>
      </c>
      <c r="G28" s="24">
        <f t="shared" si="10"/>
        <v>26</v>
      </c>
      <c r="H28" s="24">
        <f t="shared" si="10"/>
        <v>26</v>
      </c>
      <c r="I28" s="24">
        <f t="shared" si="10"/>
        <v>26</v>
      </c>
      <c r="J28" s="24">
        <f t="shared" si="10"/>
        <v>26</v>
      </c>
      <c r="K28" s="24">
        <f t="shared" si="10"/>
        <v>26</v>
      </c>
      <c r="L28" s="24">
        <f t="shared" si="10"/>
        <v>26</v>
      </c>
      <c r="M28" s="24">
        <f t="shared" si="10"/>
        <v>26</v>
      </c>
      <c r="N28" s="24">
        <f>Bisti!N16</f>
        <v>27</v>
      </c>
      <c r="O28" s="24">
        <f>Bisti!O16</f>
        <v>27</v>
      </c>
      <c r="P28" s="24">
        <f>Bisti!P16</f>
        <v>27</v>
      </c>
      <c r="Q28" s="202">
        <f>Bisti!Q16</f>
        <v>27</v>
      </c>
      <c r="R28" s="24">
        <f>Bisti!R16</f>
        <v>27</v>
      </c>
      <c r="S28" s="24">
        <f>Bisti!S16</f>
        <v>27</v>
      </c>
      <c r="T28" s="24">
        <f>Bisti!T16</f>
        <v>27</v>
      </c>
      <c r="U28" s="24">
        <f>Bisti!U16</f>
        <v>27</v>
      </c>
      <c r="V28" s="24">
        <f>Bisti!V16</f>
        <v>27</v>
      </c>
      <c r="W28" s="24">
        <f>Bisti!W16</f>
        <v>27</v>
      </c>
      <c r="X28" s="24">
        <f>Bisti!X16</f>
        <v>27</v>
      </c>
      <c r="Y28" s="24">
        <f>Bisti!Y16</f>
        <v>27</v>
      </c>
    </row>
    <row r="29" spans="1:25" s="35" customFormat="1" x14ac:dyDescent="0.2">
      <c r="A29" s="167" t="s">
        <v>35</v>
      </c>
      <c r="B29" s="50"/>
      <c r="C29" s="50"/>
      <c r="D29" s="50"/>
      <c r="E29" s="50"/>
      <c r="F29" s="50"/>
      <c r="G29" s="50"/>
      <c r="H29" s="50"/>
      <c r="I29" s="50"/>
      <c r="J29" s="50"/>
      <c r="K29" s="50">
        <v>509</v>
      </c>
      <c r="L29" s="50"/>
      <c r="M29" s="50"/>
      <c r="N29" s="50">
        <f>Bisti!N17</f>
        <v>35</v>
      </c>
      <c r="O29" s="50">
        <f>Bisti!O17</f>
        <v>0</v>
      </c>
      <c r="P29" s="50">
        <f>Bisti!P17</f>
        <v>0</v>
      </c>
      <c r="Q29" s="198">
        <f>Bisti!Q17</f>
        <v>0</v>
      </c>
      <c r="R29" s="50">
        <f>Bisti!R17</f>
        <v>0</v>
      </c>
      <c r="S29" s="50">
        <f>Bisti!S17</f>
        <v>0</v>
      </c>
      <c r="T29" s="50">
        <f>Bisti!T17</f>
        <v>0</v>
      </c>
      <c r="U29" s="50">
        <f>Bisti!U17</f>
        <v>0</v>
      </c>
      <c r="V29" s="50">
        <f>Bisti!V17</f>
        <v>0</v>
      </c>
      <c r="W29" s="50">
        <f>Bisti!W17</f>
        <v>0</v>
      </c>
      <c r="X29" s="50">
        <f>Bisti!X17</f>
        <v>0</v>
      </c>
      <c r="Y29" s="50">
        <f>Bisti!Y17</f>
        <v>0</v>
      </c>
    </row>
    <row r="30" spans="1:25" s="9" customFormat="1" x14ac:dyDescent="0.2">
      <c r="A30" s="167" t="s">
        <v>34</v>
      </c>
      <c r="B30" s="24"/>
      <c r="C30" s="24"/>
      <c r="D30" s="24"/>
      <c r="E30" s="24"/>
      <c r="F30" s="24"/>
      <c r="G30" s="24"/>
      <c r="H30" s="24"/>
      <c r="I30" s="24"/>
      <c r="J30" s="24"/>
      <c r="K30" s="24">
        <f>K23/K29</f>
        <v>37.982495088408648</v>
      </c>
      <c r="L30" s="24"/>
      <c r="M30" s="24"/>
      <c r="N30" s="24">
        <f>N23/N29</f>
        <v>53.268000000000001</v>
      </c>
      <c r="O30" s="24" t="e">
        <f t="shared" ref="O30:Y30" si="11">O23/O29</f>
        <v>#DIV/0!</v>
      </c>
      <c r="P30" s="24" t="e">
        <f t="shared" si="11"/>
        <v>#DIV/0!</v>
      </c>
      <c r="Q30" s="202" t="e">
        <f t="shared" si="11"/>
        <v>#DIV/0!</v>
      </c>
      <c r="R30" s="24" t="e">
        <f t="shared" si="11"/>
        <v>#DIV/0!</v>
      </c>
      <c r="S30" s="24" t="e">
        <f t="shared" si="11"/>
        <v>#DIV/0!</v>
      </c>
      <c r="T30" s="24" t="e">
        <f t="shared" si="11"/>
        <v>#DIV/0!</v>
      </c>
      <c r="U30" s="24" t="e">
        <f t="shared" si="11"/>
        <v>#DIV/0!</v>
      </c>
      <c r="V30" s="24" t="e">
        <f t="shared" si="11"/>
        <v>#DIV/0!</v>
      </c>
      <c r="W30" s="24" t="e">
        <f t="shared" si="11"/>
        <v>#DIV/0!</v>
      </c>
      <c r="X30" s="24" t="e">
        <f t="shared" si="11"/>
        <v>#DIV/0!</v>
      </c>
      <c r="Y30" s="24" t="e">
        <f t="shared" si="11"/>
        <v>#DIV/0!</v>
      </c>
    </row>
    <row r="31" spans="1:25" s="9" customFormat="1" x14ac:dyDescent="0.2">
      <c r="A31" s="167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02"/>
      <c r="R31" s="24"/>
      <c r="S31" s="24"/>
      <c r="T31" s="24"/>
      <c r="U31" s="24"/>
      <c r="V31" s="24"/>
      <c r="W31" s="24"/>
      <c r="X31" s="24"/>
      <c r="Y31" s="24"/>
    </row>
    <row r="32" spans="1:25" x14ac:dyDescent="0.2">
      <c r="A32" s="167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206"/>
      <c r="R32" s="30"/>
      <c r="S32" s="30"/>
      <c r="T32" s="30"/>
      <c r="U32" s="30"/>
      <c r="V32" s="30"/>
      <c r="W32" s="30"/>
      <c r="X32" s="30"/>
      <c r="Y32" s="30"/>
    </row>
    <row r="33" spans="1:25" x14ac:dyDescent="0.2">
      <c r="A33" s="226" t="s">
        <v>42</v>
      </c>
      <c r="B33" s="6" t="s">
        <v>0</v>
      </c>
      <c r="C33" s="6" t="s">
        <v>1</v>
      </c>
      <c r="D33" s="6" t="s">
        <v>2</v>
      </c>
      <c r="E33" s="6" t="s">
        <v>3</v>
      </c>
      <c r="F33" s="6" t="s">
        <v>4</v>
      </c>
      <c r="G33" s="6" t="s">
        <v>5</v>
      </c>
      <c r="H33" s="6" t="s">
        <v>6</v>
      </c>
      <c r="I33" s="6" t="s">
        <v>7</v>
      </c>
      <c r="J33" s="6" t="s">
        <v>8</v>
      </c>
      <c r="K33" s="6" t="s">
        <v>9</v>
      </c>
      <c r="L33" s="6" t="s">
        <v>10</v>
      </c>
      <c r="M33" s="6" t="s">
        <v>12</v>
      </c>
      <c r="N33" s="6" t="s">
        <v>0</v>
      </c>
      <c r="O33" s="6" t="s">
        <v>1</v>
      </c>
      <c r="P33" s="6" t="s">
        <v>2</v>
      </c>
      <c r="Q33" s="6" t="s">
        <v>3</v>
      </c>
      <c r="R33" s="6" t="s">
        <v>4</v>
      </c>
      <c r="S33" s="6" t="s">
        <v>5</v>
      </c>
      <c r="T33" s="6" t="s">
        <v>6</v>
      </c>
      <c r="U33" s="6" t="s">
        <v>7</v>
      </c>
      <c r="V33" s="6" t="s">
        <v>8</v>
      </c>
      <c r="W33" s="6" t="s">
        <v>9</v>
      </c>
      <c r="X33" s="6" t="s">
        <v>10</v>
      </c>
      <c r="Y33" s="6" t="s">
        <v>12</v>
      </c>
    </row>
    <row r="34" spans="1:25" s="10" customFormat="1" x14ac:dyDescent="0.2">
      <c r="A34" s="173" t="s">
        <v>40</v>
      </c>
      <c r="B34" s="25">
        <f>B15</f>
        <v>3259000</v>
      </c>
      <c r="C34" s="25">
        <f t="shared" ref="C34:N34" si="12">C15</f>
        <v>2972000</v>
      </c>
      <c r="D34" s="25">
        <f t="shared" si="12"/>
        <v>3367000</v>
      </c>
      <c r="E34" s="25">
        <f t="shared" si="12"/>
        <v>3455000</v>
      </c>
      <c r="F34" s="25">
        <f t="shared" si="12"/>
        <v>3547000</v>
      </c>
      <c r="G34" s="25">
        <f t="shared" si="12"/>
        <v>3711000</v>
      </c>
      <c r="H34" s="25">
        <f t="shared" si="12"/>
        <v>3787000</v>
      </c>
      <c r="I34" s="25">
        <f t="shared" si="12"/>
        <v>4019000</v>
      </c>
      <c r="J34" s="25">
        <f t="shared" si="12"/>
        <v>3911000</v>
      </c>
      <c r="K34" s="25">
        <f t="shared" si="12"/>
        <v>4155000</v>
      </c>
      <c r="L34" s="25">
        <f t="shared" si="12"/>
        <v>3905000</v>
      </c>
      <c r="M34" s="25">
        <f t="shared" si="12"/>
        <v>3906000</v>
      </c>
      <c r="N34" s="25">
        <f t="shared" si="12"/>
        <v>3723000</v>
      </c>
      <c r="O34" s="25">
        <f t="shared" ref="O34:Y34" si="13">O15</f>
        <v>3442000</v>
      </c>
      <c r="P34" s="25">
        <f t="shared" si="13"/>
        <v>0</v>
      </c>
      <c r="Q34" s="199">
        <f t="shared" si="13"/>
        <v>0</v>
      </c>
      <c r="R34" s="25">
        <f t="shared" si="13"/>
        <v>0</v>
      </c>
      <c r="S34" s="25">
        <f t="shared" si="13"/>
        <v>0</v>
      </c>
      <c r="T34" s="25">
        <f t="shared" si="13"/>
        <v>0</v>
      </c>
      <c r="U34" s="25">
        <f t="shared" si="13"/>
        <v>0</v>
      </c>
      <c r="V34" s="25">
        <f t="shared" si="13"/>
        <v>0</v>
      </c>
      <c r="W34" s="25">
        <f t="shared" si="13"/>
        <v>0</v>
      </c>
      <c r="X34" s="25">
        <f t="shared" si="13"/>
        <v>0</v>
      </c>
      <c r="Y34" s="25">
        <f t="shared" si="13"/>
        <v>0</v>
      </c>
    </row>
    <row r="35" spans="1:25" s="10" customFormat="1" x14ac:dyDescent="0.2">
      <c r="A35" s="173" t="s">
        <v>41</v>
      </c>
      <c r="B35" s="25">
        <f t="shared" ref="B35:Y35" si="14">(B27+B29)*1000</f>
        <v>4807614</v>
      </c>
      <c r="C35" s="25">
        <f t="shared" si="14"/>
        <v>4339977</v>
      </c>
      <c r="D35" s="25">
        <f t="shared" si="14"/>
        <v>4308029</v>
      </c>
      <c r="E35" s="25">
        <f t="shared" si="14"/>
        <v>4149562</v>
      </c>
      <c r="F35" s="25">
        <f t="shared" si="14"/>
        <v>4109881.0000000005</v>
      </c>
      <c r="G35" s="25">
        <f t="shared" si="14"/>
        <v>4566784</v>
      </c>
      <c r="H35" s="25">
        <f t="shared" si="14"/>
        <v>4999314</v>
      </c>
      <c r="I35" s="25">
        <f t="shared" si="14"/>
        <v>4707834</v>
      </c>
      <c r="J35" s="25">
        <f t="shared" si="14"/>
        <v>4093785</v>
      </c>
      <c r="K35" s="25">
        <f>(K27+K29)*1000</f>
        <v>4729280</v>
      </c>
      <c r="L35" s="25">
        <f>(L27+L29)*1000</f>
        <v>4289100</v>
      </c>
      <c r="M35" s="25">
        <f t="shared" si="14"/>
        <v>4427800</v>
      </c>
      <c r="N35" s="25">
        <f t="shared" si="14"/>
        <v>4585702</v>
      </c>
      <c r="O35" s="25">
        <f t="shared" si="14"/>
        <v>4423216</v>
      </c>
      <c r="P35" s="25">
        <f t="shared" si="14"/>
        <v>0</v>
      </c>
      <c r="Q35" s="199">
        <f t="shared" si="14"/>
        <v>0</v>
      </c>
      <c r="R35" s="25">
        <f t="shared" si="14"/>
        <v>0</v>
      </c>
      <c r="S35" s="25">
        <f t="shared" si="14"/>
        <v>0</v>
      </c>
      <c r="T35" s="25">
        <f t="shared" si="14"/>
        <v>0</v>
      </c>
      <c r="U35" s="25">
        <f t="shared" si="14"/>
        <v>0</v>
      </c>
      <c r="V35" s="25">
        <f t="shared" si="14"/>
        <v>0</v>
      </c>
      <c r="W35" s="25">
        <f t="shared" si="14"/>
        <v>0</v>
      </c>
      <c r="X35" s="25">
        <f t="shared" si="14"/>
        <v>0</v>
      </c>
      <c r="Y35" s="25">
        <f t="shared" si="14"/>
        <v>0</v>
      </c>
    </row>
    <row r="36" spans="1:25" s="10" customFormat="1" ht="12.75" thickBot="1" x14ac:dyDescent="0.25">
      <c r="A36" s="173" t="s">
        <v>43</v>
      </c>
      <c r="B36" s="166">
        <f>B34+B35</f>
        <v>8066614</v>
      </c>
      <c r="C36" s="166">
        <f t="shared" ref="C36:M36" si="15">C34+C35</f>
        <v>7311977</v>
      </c>
      <c r="D36" s="166">
        <f t="shared" si="15"/>
        <v>7675029</v>
      </c>
      <c r="E36" s="166">
        <f t="shared" si="15"/>
        <v>7604562</v>
      </c>
      <c r="F36" s="166">
        <f t="shared" si="15"/>
        <v>7656881</v>
      </c>
      <c r="G36" s="166">
        <f t="shared" si="15"/>
        <v>8277784</v>
      </c>
      <c r="H36" s="166">
        <f t="shared" si="15"/>
        <v>8786314</v>
      </c>
      <c r="I36" s="166">
        <f t="shared" si="15"/>
        <v>8726834</v>
      </c>
      <c r="J36" s="166">
        <f t="shared" si="15"/>
        <v>8004785</v>
      </c>
      <c r="K36" s="166">
        <f t="shared" si="15"/>
        <v>8884280</v>
      </c>
      <c r="L36" s="166">
        <f t="shared" si="15"/>
        <v>8194100</v>
      </c>
      <c r="M36" s="166">
        <f t="shared" si="15"/>
        <v>8333800</v>
      </c>
      <c r="N36" s="166">
        <f t="shared" ref="N36:Y36" si="16">N34+N35</f>
        <v>8308702</v>
      </c>
      <c r="O36" s="166">
        <f t="shared" si="16"/>
        <v>7865216</v>
      </c>
      <c r="P36" s="166">
        <f t="shared" si="16"/>
        <v>0</v>
      </c>
      <c r="Q36" s="208">
        <f t="shared" si="16"/>
        <v>0</v>
      </c>
      <c r="R36" s="166">
        <f t="shared" si="16"/>
        <v>0</v>
      </c>
      <c r="S36" s="166">
        <f t="shared" si="16"/>
        <v>0</v>
      </c>
      <c r="T36" s="166">
        <f t="shared" si="16"/>
        <v>0</v>
      </c>
      <c r="U36" s="166">
        <f t="shared" si="16"/>
        <v>0</v>
      </c>
      <c r="V36" s="166">
        <f t="shared" si="16"/>
        <v>0</v>
      </c>
      <c r="W36" s="166">
        <f t="shared" si="16"/>
        <v>0</v>
      </c>
      <c r="X36" s="166">
        <f t="shared" si="16"/>
        <v>0</v>
      </c>
      <c r="Y36" s="166">
        <f t="shared" si="16"/>
        <v>0</v>
      </c>
    </row>
    <row r="37" spans="1:25" ht="12.75" thickTop="1" x14ac:dyDescent="0.2">
      <c r="A37" s="167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206"/>
      <c r="R37" s="30"/>
      <c r="S37" s="30"/>
      <c r="T37" s="30"/>
      <c r="U37" s="30"/>
      <c r="V37" s="30"/>
      <c r="W37" s="30"/>
      <c r="X37" s="30"/>
      <c r="Y37" s="30"/>
    </row>
    <row r="38" spans="1:25" x14ac:dyDescent="0.2">
      <c r="A38" s="227" t="s">
        <v>98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206"/>
      <c r="R38" s="30"/>
      <c r="S38" s="30"/>
      <c r="T38" s="30"/>
      <c r="U38" s="30"/>
      <c r="V38" s="30"/>
      <c r="W38" s="30"/>
      <c r="X38" s="30"/>
      <c r="Y38" s="30"/>
    </row>
    <row r="39" spans="1:25" x14ac:dyDescent="0.2">
      <c r="A39" s="173" t="s">
        <v>17</v>
      </c>
      <c r="B39" s="25">
        <v>31</v>
      </c>
      <c r="C39" s="25">
        <v>28</v>
      </c>
      <c r="D39" s="25">
        <v>31</v>
      </c>
      <c r="E39" s="25">
        <v>30</v>
      </c>
      <c r="F39" s="25">
        <v>31</v>
      </c>
      <c r="G39" s="25">
        <v>30</v>
      </c>
      <c r="H39" s="25">
        <v>31</v>
      </c>
      <c r="I39" s="25">
        <v>31</v>
      </c>
      <c r="J39" s="25">
        <v>30</v>
      </c>
      <c r="K39" s="25">
        <v>31</v>
      </c>
      <c r="L39" s="25">
        <v>30</v>
      </c>
      <c r="M39" s="25">
        <v>31</v>
      </c>
      <c r="N39" s="25">
        <v>31</v>
      </c>
      <c r="O39" s="25">
        <v>28</v>
      </c>
      <c r="P39" s="25">
        <v>31</v>
      </c>
      <c r="Q39" s="199">
        <v>30</v>
      </c>
      <c r="R39" s="25">
        <v>31</v>
      </c>
      <c r="S39" s="25">
        <v>30</v>
      </c>
      <c r="T39" s="25">
        <v>31</v>
      </c>
      <c r="U39" s="25">
        <v>31</v>
      </c>
      <c r="V39" s="25">
        <v>30</v>
      </c>
      <c r="W39" s="25">
        <v>31</v>
      </c>
      <c r="X39" s="25">
        <v>30</v>
      </c>
      <c r="Y39" s="25">
        <v>31</v>
      </c>
    </row>
    <row r="40" spans="1:25" s="241" customFormat="1" x14ac:dyDescent="0.2">
      <c r="A40" s="242" t="s">
        <v>68</v>
      </c>
      <c r="B40" s="239">
        <f>(B34*1.34)/(7000*24*B39)</f>
        <v>0.8385291858678956</v>
      </c>
      <c r="C40" s="239">
        <f t="shared" ref="C40:M40" si="17">(C34*1.34)/(7000*24*C39)</f>
        <v>0.8466156462585035</v>
      </c>
      <c r="D40" s="239">
        <f t="shared" si="17"/>
        <v>0.86631720430107528</v>
      </c>
      <c r="E40" s="239">
        <f t="shared" si="17"/>
        <v>0.91859126984126982</v>
      </c>
      <c r="F40" s="239">
        <f t="shared" si="17"/>
        <v>0.91263056835637479</v>
      </c>
      <c r="G40" s="239">
        <f t="shared" si="17"/>
        <v>0.98665476190476187</v>
      </c>
      <c r="H40" s="239">
        <f t="shared" si="17"/>
        <v>0.97438172043010751</v>
      </c>
      <c r="I40" s="239">
        <f t="shared" si="17"/>
        <v>1.0340745007680492</v>
      </c>
      <c r="J40" s="239">
        <f t="shared" si="17"/>
        <v>1.0398293650793651</v>
      </c>
      <c r="K40" s="239">
        <f t="shared" si="17"/>
        <v>1.0690668202764977</v>
      </c>
      <c r="L40" s="239">
        <f t="shared" si="17"/>
        <v>1.0382341269841271</v>
      </c>
      <c r="M40" s="239">
        <f t="shared" si="17"/>
        <v>1.0049999999999999</v>
      </c>
      <c r="N40" s="239">
        <f>(N34*1.34)/(7000*24*N39)</f>
        <v>0.95791474654377884</v>
      </c>
      <c r="O40" s="239">
        <f t="shared" ref="O40:Y40" si="18">(O34*1.34)/(7000*24*O39)</f>
        <v>0.98050170068027209</v>
      </c>
      <c r="P40" s="239">
        <f t="shared" si="18"/>
        <v>0</v>
      </c>
      <c r="Q40" s="240">
        <f t="shared" si="18"/>
        <v>0</v>
      </c>
      <c r="R40" s="239">
        <f t="shared" si="18"/>
        <v>0</v>
      </c>
      <c r="S40" s="239">
        <f t="shared" si="18"/>
        <v>0</v>
      </c>
      <c r="T40" s="239">
        <f t="shared" si="18"/>
        <v>0</v>
      </c>
      <c r="U40" s="239">
        <f t="shared" si="18"/>
        <v>0</v>
      </c>
      <c r="V40" s="239">
        <f t="shared" si="18"/>
        <v>0</v>
      </c>
      <c r="W40" s="239">
        <f t="shared" si="18"/>
        <v>0</v>
      </c>
      <c r="X40" s="239">
        <f t="shared" si="18"/>
        <v>0</v>
      </c>
      <c r="Y40" s="239">
        <f t="shared" si="18"/>
        <v>0</v>
      </c>
    </row>
    <row r="41" spans="1:25" s="241" customFormat="1" x14ac:dyDescent="0.2">
      <c r="A41" s="242" t="s">
        <v>69</v>
      </c>
      <c r="B41" s="239">
        <f>(B35*1.34)/(10000*24*B39)</f>
        <v>0.86588746774193559</v>
      </c>
      <c r="C41" s="239">
        <f t="shared" ref="C41:M41" si="19">(C35*1.34)/(10000*24*C39)</f>
        <v>0.8654120803571429</v>
      </c>
      <c r="D41" s="239">
        <f t="shared" si="19"/>
        <v>0.77590844892473121</v>
      </c>
      <c r="E41" s="239">
        <f t="shared" si="19"/>
        <v>0.77227959444444449</v>
      </c>
      <c r="F41" s="239">
        <f t="shared" si="19"/>
        <v>0.74022050268817219</v>
      </c>
      <c r="G41" s="239">
        <f t="shared" si="19"/>
        <v>0.84992924444444451</v>
      </c>
      <c r="H41" s="239">
        <f t="shared" si="19"/>
        <v>0.90041408064516137</v>
      </c>
      <c r="I41" s="239">
        <f t="shared" si="19"/>
        <v>0.84791633870967753</v>
      </c>
      <c r="J41" s="239">
        <f t="shared" si="19"/>
        <v>0.76189887500000009</v>
      </c>
      <c r="K41" s="239">
        <f>(K35*1.34)/(10000*24*K39)</f>
        <v>0.85177892473118277</v>
      </c>
      <c r="L41" s="239">
        <f t="shared" si="19"/>
        <v>0.79824916666666668</v>
      </c>
      <c r="M41" s="239">
        <f t="shared" si="19"/>
        <v>0.7974801075268817</v>
      </c>
      <c r="N41" s="239">
        <f>(N35*1.34)/(10000*24*N39)</f>
        <v>0.82591944623655922</v>
      </c>
      <c r="O41" s="239">
        <f t="shared" ref="O41:Y41" si="20">(O35*1.34)/(10000*24*O39)</f>
        <v>0.88201033333333334</v>
      </c>
      <c r="P41" s="239">
        <f t="shared" si="20"/>
        <v>0</v>
      </c>
      <c r="Q41" s="240">
        <f t="shared" si="20"/>
        <v>0</v>
      </c>
      <c r="R41" s="239">
        <f t="shared" si="20"/>
        <v>0</v>
      </c>
      <c r="S41" s="239">
        <f t="shared" si="20"/>
        <v>0</v>
      </c>
      <c r="T41" s="239">
        <f t="shared" si="20"/>
        <v>0</v>
      </c>
      <c r="U41" s="239">
        <f t="shared" si="20"/>
        <v>0</v>
      </c>
      <c r="V41" s="239">
        <f t="shared" si="20"/>
        <v>0</v>
      </c>
      <c r="W41" s="239">
        <f t="shared" si="20"/>
        <v>0</v>
      </c>
      <c r="X41" s="239">
        <f t="shared" si="20"/>
        <v>0</v>
      </c>
      <c r="Y41" s="239">
        <f t="shared" si="20"/>
        <v>0</v>
      </c>
    </row>
    <row r="42" spans="1:25" x14ac:dyDescent="0.2">
      <c r="A42" s="179"/>
      <c r="Q42" s="201"/>
    </row>
    <row r="43" spans="1:25" x14ac:dyDescent="0.2">
      <c r="A43" s="228" t="s">
        <v>122</v>
      </c>
      <c r="B43" s="13"/>
      <c r="C43" s="13"/>
      <c r="D43" s="13"/>
      <c r="E43" s="13"/>
      <c r="F43" s="163"/>
      <c r="G43" s="163"/>
      <c r="H43" s="163"/>
      <c r="I43" s="13"/>
      <c r="J43" s="13"/>
      <c r="K43" s="13"/>
      <c r="L43" s="13"/>
      <c r="M43" s="13"/>
      <c r="N43" s="13"/>
      <c r="Q43" s="201"/>
    </row>
    <row r="44" spans="1:25" s="110" customFormat="1" x14ac:dyDescent="0.2">
      <c r="A44" s="170" t="s">
        <v>99</v>
      </c>
      <c r="B44" s="109">
        <f>IF(B40&gt;=1,VLOOKUP(B40,'Load &amp; Conversion Factors'!$A$5:$B$55,2),VLOOKUP(ROUNDUP(B40,2),'Load &amp; Conversion Factors'!$A$5:$B$55,2,FALSE))</f>
        <v>2.8340000000000001E-2</v>
      </c>
      <c r="C44" s="109">
        <f>IF(C40&gt;=1,VLOOKUP(C40,'Load &amp; Conversion Factors'!$A$5:$B$55,2),VLOOKUP(ROUNDUP(C40,2),'Load &amp; Conversion Factors'!$A$5:$B$55,2,FALSE))</f>
        <v>2.801E-2</v>
      </c>
      <c r="D44" s="109">
        <f>IF(D40&gt;=1,VLOOKUP(D40,'Load &amp; Conversion Factors'!$A$5:$B$55,2),VLOOKUP(ROUNDUP(D40,2),'Load &amp; Conversion Factors'!$A$5:$B$55,2,FALSE))</f>
        <v>2.7369999999999998E-2</v>
      </c>
      <c r="E44" s="109">
        <f>IF(E40&gt;=1,VLOOKUP(E40,'Load &amp; Conversion Factors'!$A$5:$B$55,2),VLOOKUP(ROUNDUP(E40,2),'Load &amp; Conversion Factors'!$A$5:$B$55,2,FALSE))</f>
        <v>2.588E-2</v>
      </c>
      <c r="F44" s="109">
        <f>IF(F40&gt;=1,VLOOKUP(F40,'Load &amp; Conversion Factors'!$A$5:$B$55,2),VLOOKUP(ROUNDUP(F40,2),'Load &amp; Conversion Factors'!$A$5:$B$55,2,FALSE))</f>
        <v>2.588E-2</v>
      </c>
      <c r="G44" s="109">
        <f>IF(G40&gt;=1,VLOOKUP(G40,'Load &amp; Conversion Factors'!$A$5:$B$55,2),VLOOKUP(ROUNDUP(G40,2),'Load &amp; Conversion Factors'!$A$5:$B$55,2,FALSE))</f>
        <v>2.4049999999999998E-2</v>
      </c>
      <c r="H44" s="109">
        <f>IF(H40&gt;=1,VLOOKUP(H40,'Load &amp; Conversion Factors'!$A$5:$B$55,2),VLOOKUP(ROUNDUP(H40,2),'Load &amp; Conversion Factors'!$A$5:$B$55,2,FALSE))</f>
        <v>2.4299999999999999E-2</v>
      </c>
      <c r="I44" s="109">
        <f>IF(I40&gt;=1,VLOOKUP(I40,'Load &amp; Conversion Factors'!$A$5:$B$55,2),VLOOKUP(ROUNDUP(I40,2),'Load &amp; Conversion Factors'!$A$5:$B$55,2,FALSE))</f>
        <v>2.3810000000000001E-2</v>
      </c>
      <c r="J44" s="109">
        <f>IF(J40&gt;=1,VLOOKUP(J40,'Load &amp; Conversion Factors'!$A$5:$B$55,2),VLOOKUP(ROUNDUP(J40,2),'Load &amp; Conversion Factors'!$A$5:$B$55,2,FALSE))</f>
        <v>2.3810000000000001E-2</v>
      </c>
      <c r="K44" s="109">
        <f>IF(K40&gt;=1,VLOOKUP(K40,'Load &amp; Conversion Factors'!$A$5:$B$55,2),VLOOKUP(ROUNDUP(K40,2),'Load &amp; Conversion Factors'!$A$5:$B$55,2,FALSE))</f>
        <v>2.3810000000000001E-2</v>
      </c>
      <c r="L44" s="109">
        <f>IF(L40&gt;=1,VLOOKUP(L40,'Load &amp; Conversion Factors'!$A$5:$B$55,2),VLOOKUP(ROUNDUP(L40,2),'Load &amp; Conversion Factors'!$A$5:$B$55,2,FALSE))</f>
        <v>2.3810000000000001E-2</v>
      </c>
      <c r="M44" s="109">
        <f>IF(M40&gt;=1,VLOOKUP(M40,'Load &amp; Conversion Factors'!$A$5:$B$55,2),VLOOKUP(ROUNDUP(M40,2),'Load &amp; Conversion Factors'!$A$5:$B$55,2,FALSE))</f>
        <v>2.3810000000000001E-2</v>
      </c>
      <c r="N44" s="109">
        <f>IF(N40&gt;=1,VLOOKUP(N40,'Load &amp; Conversion Factors'!$A$5:$B$55,2),VLOOKUP(ROUNDUP(N40,2),'Load &amp; Conversion Factors'!$A$5:$B$55,2,FALSE))</f>
        <v>2.4799999999999999E-2</v>
      </c>
      <c r="O44" s="109">
        <f>IF(O40&gt;=1,VLOOKUP(O40,'Load &amp; Conversion Factors'!$A$5:$B$55,2),VLOOKUP(ROUNDUP(O40,2),'Load &amp; Conversion Factors'!$A$5:$B$55,2,FALSE))</f>
        <v>2.4049999999999998E-2</v>
      </c>
      <c r="P44" s="109" t="e">
        <f>IF(P40&gt;=1,VLOOKUP(P40,'Load &amp; Conversion Factors'!$A$5:$B$55,2),VLOOKUP(ROUNDUP(P40,2),'Load &amp; Conversion Factors'!$A$5:$B$55,2,FALSE))</f>
        <v>#N/A</v>
      </c>
      <c r="Q44" s="109" t="e">
        <f>IF(Q40&gt;=1,VLOOKUP(Q40,'Load &amp; Conversion Factors'!$A$5:$B$55,2),VLOOKUP(ROUNDUP(Q40,2),'Load &amp; Conversion Factors'!$A$5:$B$55,2,FALSE))</f>
        <v>#N/A</v>
      </c>
      <c r="R44" s="109" t="e">
        <f>IF(R40&gt;=1,VLOOKUP(R40,'Load &amp; Conversion Factors'!$A$5:$B$55,2),VLOOKUP(ROUNDUP(R40,2),'Load &amp; Conversion Factors'!$A$5:$B$55,2,FALSE))</f>
        <v>#N/A</v>
      </c>
      <c r="S44" s="109" t="e">
        <f>IF(S40&gt;=1,VLOOKUP(S40,'Load &amp; Conversion Factors'!$A$5:$B$55,2),VLOOKUP(ROUNDUP(S40,2),'Load &amp; Conversion Factors'!$A$5:$B$55,2,FALSE))</f>
        <v>#N/A</v>
      </c>
      <c r="T44" s="109" t="e">
        <f>IF(T40&gt;=1,VLOOKUP(T40,'Load &amp; Conversion Factors'!$A$5:$B$55,2),VLOOKUP(ROUNDUP(T40,2),'Load &amp; Conversion Factors'!$A$5:$B$55,2,FALSE))</f>
        <v>#N/A</v>
      </c>
      <c r="U44" s="109" t="e">
        <f>IF(U40&gt;=1,VLOOKUP(U40,'Load &amp; Conversion Factors'!$A$5:$B$55,2),VLOOKUP(ROUNDUP(U40,2),'Load &amp; Conversion Factors'!$A$5:$B$55,2,FALSE))</f>
        <v>#N/A</v>
      </c>
      <c r="V44" s="109" t="e">
        <f>IF(V40&gt;=1,VLOOKUP(V40,'Load &amp; Conversion Factors'!$A$5:$B$55,2),VLOOKUP(ROUNDUP(V40,2),'Load &amp; Conversion Factors'!$A$5:$B$55,2,FALSE))</f>
        <v>#N/A</v>
      </c>
      <c r="W44" s="109" t="e">
        <f>IF(W40&gt;=1,VLOOKUP(W40,'Load &amp; Conversion Factors'!$A$5:$B$55,2),VLOOKUP(ROUNDUP(W40,2),'Load &amp; Conversion Factors'!$A$5:$B$55,2,FALSE))</f>
        <v>#N/A</v>
      </c>
      <c r="X44" s="109" t="e">
        <f>IF(X40&gt;=1,VLOOKUP(X40,'Load &amp; Conversion Factors'!$A$5:$B$55,2),VLOOKUP(ROUNDUP(X40,2),'Load &amp; Conversion Factors'!$A$5:$B$55,2,FALSE))</f>
        <v>#N/A</v>
      </c>
      <c r="Y44" s="109" t="e">
        <f>IF(Y40&gt;=1,VLOOKUP(Y40,'Load &amp; Conversion Factors'!$A$5:$B$55,2),VLOOKUP(ROUNDUP(Y40,2),'Load &amp; Conversion Factors'!$A$5:$B$55,2,FALSE))</f>
        <v>#N/A</v>
      </c>
    </row>
    <row r="45" spans="1:25" s="110" customFormat="1" x14ac:dyDescent="0.2">
      <c r="A45" s="170" t="s">
        <v>100</v>
      </c>
      <c r="B45" s="109">
        <f>IF(B41&gt;=1,VLOOKUP(B41,'Load &amp; Conversion Factors'!$D$5:$E$55,2),VLOOKUP(ROUNDUP(B41,2),'Load &amp; Conversion Factors'!$D$5:$E$55,2,FALSE))</f>
        <v>1.9800000000000002E-2</v>
      </c>
      <c r="C45" s="109">
        <f>IF(C41&gt;=1,VLOOKUP(C41,'Load &amp; Conversion Factors'!$D$5:$E$55,2),VLOOKUP(ROUNDUP(C41,2),'Load &amp; Conversion Factors'!$D$5:$E$55,2,FALSE))</f>
        <v>1.9800000000000002E-2</v>
      </c>
      <c r="D45" s="109">
        <f>IF(D41&gt;=1,VLOOKUP(D41,'Load &amp; Conversion Factors'!$D$5:$E$55,2),VLOOKUP(ROUNDUP(D41,2),'Load &amp; Conversion Factors'!$D$5:$E$55,2,FALSE))</f>
        <v>2.137E-2</v>
      </c>
      <c r="E45" s="109">
        <f>IF(E41&gt;=1,VLOOKUP(E41,'Load &amp; Conversion Factors'!$D$5:$E$55,2),VLOOKUP(ROUNDUP(E41,2),'Load &amp; Conversion Factors'!$D$5:$E$55,2,FALSE))</f>
        <v>2.137E-2</v>
      </c>
      <c r="F45" s="109">
        <f>IF(F41&gt;=1,VLOOKUP(F41,'Load &amp; Conversion Factors'!$D$5:$E$55,2),VLOOKUP(ROUNDUP(F41,2),'Load &amp; Conversion Factors'!$D$5:$E$55,2,FALSE))</f>
        <v>2.222E-2</v>
      </c>
      <c r="G45" s="109">
        <f>IF(G41&gt;=1,VLOOKUP(G41,'Load &amp; Conversion Factors'!$D$5:$E$55,2),VLOOKUP(ROUNDUP(G41,2),'Load &amp; Conversion Factors'!$D$5:$E$55,2,FALSE))</f>
        <v>1.9800000000000002E-2</v>
      </c>
      <c r="H45" s="109">
        <f>IF(H41&gt;=1,VLOOKUP(H41,'Load &amp; Conversion Factors'!$D$5:$E$55,2),VLOOKUP(ROUNDUP(H41,2),'Load &amp; Conversion Factors'!$D$5:$E$55,2,FALSE))</f>
        <v>1.9800000000000002E-2</v>
      </c>
      <c r="I45" s="109">
        <f>IF(I41&gt;=1,VLOOKUP(I41,'Load &amp; Conversion Factors'!$D$5:$E$55,2),VLOOKUP(ROUNDUP(I41,2),'Load &amp; Conversion Factors'!$D$5:$E$55,2,FALSE))</f>
        <v>1.9800000000000002E-2</v>
      </c>
      <c r="J45" s="109">
        <f>IF(J41&gt;=1,VLOOKUP(J41,'Load &amp; Conversion Factors'!$D$5:$E$55,2),VLOOKUP(ROUNDUP(J41,2),'Load &amp; Conversion Factors'!$D$5:$E$55,2,FALSE))</f>
        <v>2.1649999999999999E-2</v>
      </c>
      <c r="K45" s="109">
        <f>IF(K41&gt;=1,VLOOKUP(K41,'Load &amp; Conversion Factors'!$D$5:$E$55,2),VLOOKUP(ROUNDUP(K41,2),'Load &amp; Conversion Factors'!$D$5:$E$55,2,FALSE))</f>
        <v>1.9800000000000002E-2</v>
      </c>
      <c r="L45" s="109">
        <f>IF(L41&gt;=1,VLOOKUP(L41,'Load &amp; Conversion Factors'!$D$5:$E$55,2),VLOOKUP(ROUNDUP(L41,2),'Load &amp; Conversion Factors'!$D$5:$E$55,2,FALSE))</f>
        <v>2.0830000000000001E-2</v>
      </c>
      <c r="M45" s="109">
        <f>IF(M41&gt;=1,VLOOKUP(M41,'Load &amp; Conversion Factors'!$D$5:$E$55,2),VLOOKUP(ROUNDUP(M41,2),'Load &amp; Conversion Factors'!$D$5:$E$55,2,FALSE))</f>
        <v>2.0830000000000001E-2</v>
      </c>
      <c r="N45" s="109">
        <f>IF(N41&gt;=1,VLOOKUP(N41,'Load &amp; Conversion Factors'!$D$5:$E$55,2),VLOOKUP(ROUNDUP(N41,2),'Load &amp; Conversion Factors'!$D$5:$E$55,2,FALSE))</f>
        <v>2.0080000000000001E-2</v>
      </c>
      <c r="O45" s="109">
        <f>IF(O41&gt;=1,VLOOKUP(O41,'Load &amp; Conversion Factors'!$D$5:$E$55,2),VLOOKUP(ROUNDUP(O41,2),'Load &amp; Conversion Factors'!$D$5:$E$55,2,FALSE))</f>
        <v>1.9800000000000002E-2</v>
      </c>
      <c r="P45" s="109" t="e">
        <f>IF(P41&gt;=1,VLOOKUP(P41,'Load &amp; Conversion Factors'!$D$5:$E$55,2),VLOOKUP(ROUNDUP(P41,2),'Load &amp; Conversion Factors'!$D$5:$E$55,2,FALSE))</f>
        <v>#N/A</v>
      </c>
      <c r="Q45" s="109" t="e">
        <f>IF(Q41&gt;=1,VLOOKUP(Q41,'Load &amp; Conversion Factors'!$D$5:$E$55,2),VLOOKUP(ROUNDUP(Q41,2),'Load &amp; Conversion Factors'!$D$5:$E$55,2,FALSE))</f>
        <v>#N/A</v>
      </c>
      <c r="R45" s="109" t="e">
        <f>IF(R41&gt;=1,VLOOKUP(R41,'Load &amp; Conversion Factors'!$D$5:$E$55,2),VLOOKUP(ROUNDUP(R41,2),'Load &amp; Conversion Factors'!$D$5:$E$55,2,FALSE))</f>
        <v>#N/A</v>
      </c>
      <c r="S45" s="109" t="e">
        <f>IF(S41&gt;=1,VLOOKUP(S41,'Load &amp; Conversion Factors'!$D$5:$E$55,2),VLOOKUP(ROUNDUP(S41,2),'Load &amp; Conversion Factors'!$D$5:$E$55,2,FALSE))</f>
        <v>#N/A</v>
      </c>
      <c r="T45" s="109" t="e">
        <f>IF(T41&gt;=1,VLOOKUP(T41,'Load &amp; Conversion Factors'!$D$5:$E$55,2),VLOOKUP(ROUNDUP(T41,2),'Load &amp; Conversion Factors'!$D$5:$E$55,2,FALSE))</f>
        <v>#N/A</v>
      </c>
      <c r="U45" s="109" t="e">
        <f>IF(U41&gt;=1,VLOOKUP(U41,'Load &amp; Conversion Factors'!$D$5:$E$55,2),VLOOKUP(ROUNDUP(U41,2),'Load &amp; Conversion Factors'!$D$5:$E$55,2,FALSE))</f>
        <v>#N/A</v>
      </c>
      <c r="V45" s="109" t="e">
        <f>IF(V41&gt;=1,VLOOKUP(V41,'Load &amp; Conversion Factors'!$D$5:$E$55,2),VLOOKUP(ROUNDUP(V41,2),'Load &amp; Conversion Factors'!$D$5:$E$55,2,FALSE))</f>
        <v>#N/A</v>
      </c>
      <c r="W45" s="109" t="e">
        <f>IF(W41&gt;=1,VLOOKUP(W41,'Load &amp; Conversion Factors'!$D$5:$E$55,2),VLOOKUP(ROUNDUP(W41,2),'Load &amp; Conversion Factors'!$D$5:$E$55,2,FALSE))</f>
        <v>#N/A</v>
      </c>
      <c r="X45" s="109" t="e">
        <f>IF(X41&gt;=1,VLOOKUP(X41,'Load &amp; Conversion Factors'!$D$5:$E$55,2),VLOOKUP(ROUNDUP(X41,2),'Load &amp; Conversion Factors'!$D$5:$E$55,2,FALSE))</f>
        <v>#N/A</v>
      </c>
      <c r="Y45" s="109" t="e">
        <f>IF(Y41&gt;=1,VLOOKUP(Y41,'Load &amp; Conversion Factors'!$D$5:$E$55,2),VLOOKUP(ROUNDUP(Y41,2),'Load &amp; Conversion Factors'!$D$5:$E$55,2,FALSE))</f>
        <v>#N/A</v>
      </c>
    </row>
    <row r="46" spans="1:25" x14ac:dyDescent="0.2">
      <c r="A46" s="178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209"/>
      <c r="R46" s="111"/>
      <c r="S46" s="111"/>
      <c r="T46" s="111"/>
      <c r="U46" s="111"/>
      <c r="V46" s="111"/>
      <c r="W46" s="111"/>
      <c r="X46" s="111"/>
      <c r="Y46" s="111"/>
    </row>
    <row r="47" spans="1:25" ht="12.75" thickBot="1" x14ac:dyDescent="0.25">
      <c r="A47" s="228" t="s">
        <v>118</v>
      </c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210"/>
      <c r="R47" s="84"/>
      <c r="S47" s="84"/>
      <c r="T47" s="84"/>
      <c r="U47" s="84"/>
      <c r="V47" s="84"/>
      <c r="W47" s="84"/>
      <c r="X47" s="84"/>
      <c r="Y47" s="84"/>
    </row>
    <row r="48" spans="1:25" x14ac:dyDescent="0.2">
      <c r="A48" s="229" t="s">
        <v>113</v>
      </c>
      <c r="B48" s="85">
        <v>0</v>
      </c>
      <c r="C48" s="85">
        <v>0</v>
      </c>
      <c r="D48" s="85">
        <f>B34*1.34*1.0131*B44</f>
        <v>125383.76889323999</v>
      </c>
      <c r="E48" s="85">
        <f>C34*1.34*1.0131*C44</f>
        <v>113010.56016887999</v>
      </c>
      <c r="F48" s="85">
        <f t="shared" ref="F48:Y48" si="21">D34*1.34*1.0131*D44</f>
        <v>125105.10378365997</v>
      </c>
      <c r="G48" s="85">
        <f t="shared" si="21"/>
        <v>121386.23393159999</v>
      </c>
      <c r="H48" s="85">
        <f t="shared" si="21"/>
        <v>124618.51570343999</v>
      </c>
      <c r="I48" s="85">
        <f t="shared" si="21"/>
        <v>121161.08360069997</v>
      </c>
      <c r="J48" s="85">
        <f t="shared" si="21"/>
        <v>124927.68505139998</v>
      </c>
      <c r="K48" s="85">
        <f t="shared" si="21"/>
        <v>129907.58681405999</v>
      </c>
      <c r="L48" s="85">
        <f t="shared" si="21"/>
        <v>126416.66385413999</v>
      </c>
      <c r="M48" s="85">
        <f t="shared" si="21"/>
        <v>134303.56387469999</v>
      </c>
      <c r="N48" s="85">
        <f>L34*1.34*1.0131*L44</f>
        <v>126222.72368969998</v>
      </c>
      <c r="O48" s="85">
        <f>M34*1.34*1.0131*M44</f>
        <v>126255.04705044</v>
      </c>
      <c r="P48" s="85">
        <f>N34*1.34*1.0131*N44</f>
        <v>125343.50384159999</v>
      </c>
      <c r="Q48" s="223">
        <f>O34*1.34*1.0131*O44</f>
        <v>112378.45587539999</v>
      </c>
      <c r="R48" s="85" t="e">
        <f t="shared" si="21"/>
        <v>#N/A</v>
      </c>
      <c r="S48" s="85" t="e">
        <f t="shared" si="21"/>
        <v>#N/A</v>
      </c>
      <c r="T48" s="85" t="e">
        <f t="shared" si="21"/>
        <v>#N/A</v>
      </c>
      <c r="U48" s="85" t="e">
        <f t="shared" si="21"/>
        <v>#N/A</v>
      </c>
      <c r="V48" s="85" t="e">
        <f t="shared" si="21"/>
        <v>#N/A</v>
      </c>
      <c r="W48" s="85" t="e">
        <f t="shared" si="21"/>
        <v>#N/A</v>
      </c>
      <c r="X48" s="85" t="e">
        <f t="shared" si="21"/>
        <v>#N/A</v>
      </c>
      <c r="Y48" s="86" t="e">
        <f t="shared" si="21"/>
        <v>#N/A</v>
      </c>
    </row>
    <row r="49" spans="1:25" x14ac:dyDescent="0.2">
      <c r="A49" s="230" t="s">
        <v>114</v>
      </c>
      <c r="B49" s="87">
        <v>0</v>
      </c>
      <c r="C49" s="87">
        <v>0</v>
      </c>
      <c r="D49" s="87">
        <f>B35*1.34*1.0131*B45</f>
        <v>129226.59319988881</v>
      </c>
      <c r="E49" s="87">
        <f t="shared" ref="E49:Y49" si="22">C35*1.34*1.0131*C45</f>
        <v>116656.7120979084</v>
      </c>
      <c r="F49" s="87">
        <f t="shared" si="22"/>
        <v>124979.92336278041</v>
      </c>
      <c r="G49" s="87">
        <f t="shared" si="22"/>
        <v>120382.64848010674</v>
      </c>
      <c r="H49" s="87">
        <f t="shared" si="22"/>
        <v>123973.94338966427</v>
      </c>
      <c r="I49" s="87">
        <f t="shared" si="22"/>
        <v>122753.1865494528</v>
      </c>
      <c r="J49" s="87">
        <f t="shared" si="22"/>
        <v>134379.4066155288</v>
      </c>
      <c r="K49" s="87">
        <f t="shared" si="22"/>
        <v>126544.5497851128</v>
      </c>
      <c r="L49" s="87">
        <f t="shared" si="22"/>
        <v>120320.61547091849</v>
      </c>
      <c r="M49" s="87">
        <f>K35*1.34*1.0131*K45</f>
        <v>127121.00902617601</v>
      </c>
      <c r="N49" s="87">
        <f>L35*1.34*1.0131*L45</f>
        <v>121286.525662962</v>
      </c>
      <c r="O49" s="87">
        <f t="shared" si="22"/>
        <v>125208.66343299599</v>
      </c>
      <c r="P49" s="87">
        <f>N35*1.34*1.0131*N45</f>
        <v>125004.78890559264</v>
      </c>
      <c r="Q49" s="224">
        <f>O35*1.34*1.0131*O45</f>
        <v>118894.14055854719</v>
      </c>
      <c r="R49" s="87" t="e">
        <f t="shared" si="22"/>
        <v>#N/A</v>
      </c>
      <c r="S49" s="87" t="e">
        <f t="shared" si="22"/>
        <v>#N/A</v>
      </c>
      <c r="T49" s="87" t="e">
        <f t="shared" si="22"/>
        <v>#N/A</v>
      </c>
      <c r="U49" s="87" t="e">
        <f t="shared" si="22"/>
        <v>#N/A</v>
      </c>
      <c r="V49" s="87" t="e">
        <f t="shared" si="22"/>
        <v>#N/A</v>
      </c>
      <c r="W49" s="87" t="e">
        <f t="shared" si="22"/>
        <v>#N/A</v>
      </c>
      <c r="X49" s="87" t="e">
        <f t="shared" si="22"/>
        <v>#N/A</v>
      </c>
      <c r="Y49" s="88" t="e">
        <f t="shared" si="22"/>
        <v>#N/A</v>
      </c>
    </row>
    <row r="50" spans="1:25" x14ac:dyDescent="0.2">
      <c r="A50" s="190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211"/>
      <c r="R50" s="89"/>
      <c r="S50" s="89"/>
      <c r="T50" s="89"/>
      <c r="U50" s="89"/>
      <c r="V50" s="89"/>
      <c r="W50" s="89"/>
      <c r="X50" s="89"/>
      <c r="Y50" s="90"/>
    </row>
    <row r="51" spans="1:25" ht="12.75" thickBot="1" x14ac:dyDescent="0.25">
      <c r="A51" s="231" t="s">
        <v>102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212"/>
      <c r="R51" s="91"/>
      <c r="S51" s="91"/>
      <c r="T51" s="91"/>
      <c r="U51" s="91"/>
      <c r="V51" s="91"/>
      <c r="W51" s="91"/>
      <c r="X51" s="91"/>
      <c r="Y51" s="92"/>
    </row>
    <row r="52" spans="1:25" x14ac:dyDescent="0.2">
      <c r="A52" s="232" t="s">
        <v>103</v>
      </c>
      <c r="B52" s="93">
        <v>0</v>
      </c>
      <c r="C52" s="93">
        <v>0</v>
      </c>
      <c r="D52" s="93">
        <v>0</v>
      </c>
      <c r="E52" s="93">
        <v>0</v>
      </c>
      <c r="F52" s="93">
        <v>0</v>
      </c>
      <c r="G52" s="93">
        <v>0</v>
      </c>
      <c r="H52" s="93">
        <v>0</v>
      </c>
      <c r="I52" s="93">
        <v>0</v>
      </c>
      <c r="J52" s="93">
        <v>0</v>
      </c>
      <c r="K52" s="93">
        <v>0</v>
      </c>
      <c r="L52" s="93">
        <v>0</v>
      </c>
      <c r="M52" s="93">
        <v>0</v>
      </c>
      <c r="N52" s="93">
        <v>0</v>
      </c>
      <c r="O52" s="93">
        <v>0</v>
      </c>
      <c r="P52" s="93">
        <v>0</v>
      </c>
      <c r="Q52" s="213">
        <v>0</v>
      </c>
      <c r="R52" s="93">
        <v>0</v>
      </c>
      <c r="S52" s="93">
        <v>0</v>
      </c>
      <c r="T52" s="93">
        <v>0</v>
      </c>
      <c r="U52" s="93">
        <v>0</v>
      </c>
      <c r="V52" s="93">
        <v>0</v>
      </c>
      <c r="W52" s="93">
        <v>0</v>
      </c>
      <c r="X52" s="93">
        <v>0</v>
      </c>
      <c r="Y52" s="94">
        <v>0</v>
      </c>
    </row>
    <row r="53" spans="1:25" x14ac:dyDescent="0.2">
      <c r="A53" s="233" t="s">
        <v>104</v>
      </c>
      <c r="B53" s="95">
        <v>0</v>
      </c>
      <c r="C53" s="95">
        <v>0</v>
      </c>
      <c r="D53" s="95">
        <v>0</v>
      </c>
      <c r="E53" s="95">
        <v>0</v>
      </c>
      <c r="F53" s="95">
        <v>0</v>
      </c>
      <c r="G53" s="95">
        <v>0</v>
      </c>
      <c r="H53" s="95">
        <v>0</v>
      </c>
      <c r="I53" s="95">
        <v>0</v>
      </c>
      <c r="J53" s="95">
        <v>0</v>
      </c>
      <c r="K53" s="95">
        <v>0</v>
      </c>
      <c r="L53" s="95">
        <v>0</v>
      </c>
      <c r="M53" s="95">
        <v>0</v>
      </c>
      <c r="N53" s="95">
        <v>0</v>
      </c>
      <c r="O53" s="95">
        <v>0</v>
      </c>
      <c r="P53" s="95">
        <v>0</v>
      </c>
      <c r="Q53" s="214">
        <v>0</v>
      </c>
      <c r="R53" s="95">
        <v>0</v>
      </c>
      <c r="S53" s="95">
        <v>0</v>
      </c>
      <c r="T53" s="95">
        <v>0</v>
      </c>
      <c r="U53" s="95">
        <v>0</v>
      </c>
      <c r="V53" s="95">
        <v>0</v>
      </c>
      <c r="W53" s="95">
        <v>0</v>
      </c>
      <c r="X53" s="95">
        <v>0</v>
      </c>
      <c r="Y53" s="96">
        <v>0</v>
      </c>
    </row>
    <row r="54" spans="1:25" x14ac:dyDescent="0.2">
      <c r="A54" s="191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215"/>
      <c r="R54" s="97"/>
      <c r="S54" s="97"/>
      <c r="T54" s="97"/>
      <c r="U54" s="97"/>
      <c r="V54" s="97"/>
      <c r="W54" s="97"/>
      <c r="X54" s="97"/>
      <c r="Y54" s="98"/>
    </row>
    <row r="55" spans="1:25" x14ac:dyDescent="0.2">
      <c r="A55" s="234" t="s">
        <v>101</v>
      </c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215"/>
      <c r="R55" s="97"/>
      <c r="S55" s="97"/>
      <c r="T55" s="97"/>
      <c r="U55" s="97"/>
      <c r="V55" s="97"/>
      <c r="W55" s="97"/>
      <c r="X55" s="97"/>
      <c r="Y55" s="98"/>
    </row>
    <row r="56" spans="1:25" x14ac:dyDescent="0.2">
      <c r="A56" s="191" t="s">
        <v>103</v>
      </c>
      <c r="B56" s="108" t="s">
        <v>112</v>
      </c>
      <c r="C56" s="108" t="s">
        <v>112</v>
      </c>
      <c r="D56" s="99">
        <f>D48-D52</f>
        <v>125383.76889323999</v>
      </c>
      <c r="E56" s="99">
        <f t="shared" ref="E56:Y56" si="23">E48-E52</f>
        <v>113010.56016887999</v>
      </c>
      <c r="F56" s="99">
        <f t="shared" si="23"/>
        <v>125105.10378365997</v>
      </c>
      <c r="G56" s="99">
        <f t="shared" si="23"/>
        <v>121386.23393159999</v>
      </c>
      <c r="H56" s="99">
        <f t="shared" si="23"/>
        <v>124618.51570343999</v>
      </c>
      <c r="I56" s="99">
        <f t="shared" si="23"/>
        <v>121161.08360069997</v>
      </c>
      <c r="J56" s="99">
        <f t="shared" si="23"/>
        <v>124927.68505139998</v>
      </c>
      <c r="K56" s="99">
        <f t="shared" si="23"/>
        <v>129907.58681405999</v>
      </c>
      <c r="L56" s="99">
        <f t="shared" si="23"/>
        <v>126416.66385413999</v>
      </c>
      <c r="M56" s="99">
        <f t="shared" si="23"/>
        <v>134303.56387469999</v>
      </c>
      <c r="N56" s="99">
        <f t="shared" si="23"/>
        <v>126222.72368969998</v>
      </c>
      <c r="O56" s="99">
        <f t="shared" si="23"/>
        <v>126255.04705044</v>
      </c>
      <c r="P56" s="99">
        <f t="shared" si="23"/>
        <v>125343.50384159999</v>
      </c>
      <c r="Q56" s="216">
        <f t="shared" si="23"/>
        <v>112378.45587539999</v>
      </c>
      <c r="R56" s="99" t="e">
        <f>R48-R52</f>
        <v>#N/A</v>
      </c>
      <c r="S56" s="99" t="e">
        <f t="shared" si="23"/>
        <v>#N/A</v>
      </c>
      <c r="T56" s="99" t="e">
        <f t="shared" si="23"/>
        <v>#N/A</v>
      </c>
      <c r="U56" s="99" t="e">
        <f t="shared" si="23"/>
        <v>#N/A</v>
      </c>
      <c r="V56" s="99" t="e">
        <f t="shared" si="23"/>
        <v>#N/A</v>
      </c>
      <c r="W56" s="99" t="e">
        <f t="shared" si="23"/>
        <v>#N/A</v>
      </c>
      <c r="X56" s="99" t="e">
        <f t="shared" si="23"/>
        <v>#N/A</v>
      </c>
      <c r="Y56" s="100" t="e">
        <f t="shared" si="23"/>
        <v>#N/A</v>
      </c>
    </row>
    <row r="57" spans="1:25" x14ac:dyDescent="0.2">
      <c r="A57" s="191" t="s">
        <v>104</v>
      </c>
      <c r="B57" s="108" t="s">
        <v>112</v>
      </c>
      <c r="C57" s="108" t="s">
        <v>112</v>
      </c>
      <c r="D57" s="99">
        <f>D49-D53</f>
        <v>129226.59319988881</v>
      </c>
      <c r="E57" s="99">
        <f t="shared" ref="E57:Y57" si="24">E49-E53</f>
        <v>116656.7120979084</v>
      </c>
      <c r="F57" s="99">
        <f t="shared" si="24"/>
        <v>124979.92336278041</v>
      </c>
      <c r="G57" s="99">
        <f t="shared" si="24"/>
        <v>120382.64848010674</v>
      </c>
      <c r="H57" s="99">
        <f t="shared" si="24"/>
        <v>123973.94338966427</v>
      </c>
      <c r="I57" s="99">
        <f t="shared" si="24"/>
        <v>122753.1865494528</v>
      </c>
      <c r="J57" s="99">
        <f t="shared" si="24"/>
        <v>134379.4066155288</v>
      </c>
      <c r="K57" s="99">
        <f t="shared" si="24"/>
        <v>126544.5497851128</v>
      </c>
      <c r="L57" s="99">
        <f t="shared" si="24"/>
        <v>120320.61547091849</v>
      </c>
      <c r="M57" s="99">
        <f>M49-M53</f>
        <v>127121.00902617601</v>
      </c>
      <c r="N57" s="99">
        <f>N49-N53</f>
        <v>121286.525662962</v>
      </c>
      <c r="O57" s="99">
        <f t="shared" si="24"/>
        <v>125208.66343299599</v>
      </c>
      <c r="P57" s="99">
        <f t="shared" si="24"/>
        <v>125004.78890559264</v>
      </c>
      <c r="Q57" s="216">
        <f t="shared" si="24"/>
        <v>118894.14055854719</v>
      </c>
      <c r="R57" s="99" t="e">
        <f t="shared" si="24"/>
        <v>#N/A</v>
      </c>
      <c r="S57" s="99" t="e">
        <f t="shared" si="24"/>
        <v>#N/A</v>
      </c>
      <c r="T57" s="99" t="e">
        <f t="shared" si="24"/>
        <v>#N/A</v>
      </c>
      <c r="U57" s="99" t="e">
        <f t="shared" si="24"/>
        <v>#N/A</v>
      </c>
      <c r="V57" s="99" t="e">
        <f t="shared" si="24"/>
        <v>#N/A</v>
      </c>
      <c r="W57" s="99" t="e">
        <f t="shared" si="24"/>
        <v>#N/A</v>
      </c>
      <c r="X57" s="99" t="e">
        <f t="shared" si="24"/>
        <v>#N/A</v>
      </c>
      <c r="Y57" s="100" t="e">
        <f t="shared" si="24"/>
        <v>#N/A</v>
      </c>
    </row>
    <row r="58" spans="1:25" ht="12.75" thickBot="1" x14ac:dyDescent="0.25">
      <c r="A58" s="235" t="s">
        <v>115</v>
      </c>
      <c r="B58" s="101">
        <f>'Gallup Nom'!B41</f>
        <v>107125.68799999999</v>
      </c>
      <c r="C58" s="101">
        <f>'Gallup Nom'!C41</f>
        <v>104655.944</v>
      </c>
      <c r="D58" s="101">
        <f>'Gallup Nom'!D41</f>
        <v>116392.54069375999</v>
      </c>
      <c r="E58" s="101">
        <f>'Gallup Nom'!E41</f>
        <v>113557.95536212</v>
      </c>
      <c r="F58" s="101">
        <f>'Gallup Nom'!F41</f>
        <v>115549.47185475999</v>
      </c>
      <c r="G58" s="101">
        <f>'Gallup Nom'!G41</f>
        <v>115323.91550922001</v>
      </c>
      <c r="H58" s="101">
        <f>'Gallup Nom'!H41</f>
        <v>107825.16866699999</v>
      </c>
      <c r="I58" s="101">
        <f>'Gallup Nom'!I41</f>
        <v>122258.80355996</v>
      </c>
      <c r="J58" s="101">
        <f>'Gallup Nom'!J41</f>
        <v>121275.89964512001</v>
      </c>
      <c r="K58" s="101">
        <f>'Gallup Nom'!K41</f>
        <v>108990.46523435999</v>
      </c>
      <c r="L58" s="101">
        <f>'Gallup Nom'!L41</f>
        <v>90930.39088620001</v>
      </c>
      <c r="M58" s="101">
        <f>'Gallup Nom'!M41</f>
        <v>122353.24039615999</v>
      </c>
      <c r="N58" s="101">
        <f>'Gallup Nom'!N41</f>
        <v>121075.05983436</v>
      </c>
      <c r="O58" s="101">
        <f>'Gallup Nom'!O41</f>
        <v>113681.06078086</v>
      </c>
      <c r="P58" s="101">
        <f>'Gallup Nom'!P41</f>
        <v>106195.14620249999</v>
      </c>
      <c r="Q58" s="217">
        <f>'Gallup Nom'!Q41</f>
        <v>117688.89308308001</v>
      </c>
      <c r="R58" s="101">
        <f>'Gallup Nom'!R41</f>
        <v>81605</v>
      </c>
      <c r="S58" s="101">
        <f>'Gallup Nom'!S41</f>
        <v>81605</v>
      </c>
      <c r="T58" s="101">
        <f>'Gallup Nom'!T41</f>
        <v>81605</v>
      </c>
      <c r="U58" s="101">
        <f>'Gallup Nom'!U41</f>
        <v>82428.247999999992</v>
      </c>
      <c r="V58" s="101">
        <f>'Gallup Nom'!V41</f>
        <v>80781.752000000008</v>
      </c>
      <c r="W58" s="101">
        <f>'Gallup Nom'!W41</f>
        <v>81605</v>
      </c>
      <c r="X58" s="101">
        <f>'Gallup Nom'!X41</f>
        <v>81605</v>
      </c>
      <c r="Y58" s="102">
        <f>'Gallup Nom'!Y41</f>
        <v>81605</v>
      </c>
    </row>
    <row r="59" spans="1:25" x14ac:dyDescent="0.2">
      <c r="A59" s="191" t="s">
        <v>116</v>
      </c>
      <c r="B59" s="103">
        <f t="shared" ref="B59:Y59" si="25">B58+B49+B48</f>
        <v>107125.68799999999</v>
      </c>
      <c r="C59" s="103">
        <f t="shared" si="25"/>
        <v>104655.944</v>
      </c>
      <c r="D59" s="103">
        <f t="shared" si="25"/>
        <v>371002.90278688876</v>
      </c>
      <c r="E59" s="103">
        <f t="shared" si="25"/>
        <v>343225.22762890841</v>
      </c>
      <c r="F59" s="103">
        <f t="shared" si="25"/>
        <v>365634.49900120037</v>
      </c>
      <c r="G59" s="103">
        <f t="shared" si="25"/>
        <v>357092.79792092677</v>
      </c>
      <c r="H59" s="103">
        <f t="shared" si="25"/>
        <v>356417.62776010425</v>
      </c>
      <c r="I59" s="103">
        <f t="shared" si="25"/>
        <v>366173.07371011277</v>
      </c>
      <c r="J59" s="103">
        <f t="shared" si="25"/>
        <v>380582.99131204881</v>
      </c>
      <c r="K59" s="103">
        <f t="shared" si="25"/>
        <v>365442.6018335328</v>
      </c>
      <c r="L59" s="103">
        <f t="shared" si="25"/>
        <v>337667.67021125846</v>
      </c>
      <c r="M59" s="103">
        <f t="shared" si="25"/>
        <v>383777.81329703599</v>
      </c>
      <c r="N59" s="103">
        <f t="shared" si="25"/>
        <v>368584.30918702198</v>
      </c>
      <c r="O59" s="103">
        <f t="shared" si="25"/>
        <v>365144.77126429597</v>
      </c>
      <c r="P59" s="103">
        <f t="shared" si="25"/>
        <v>356543.43894969259</v>
      </c>
      <c r="Q59" s="218">
        <f t="shared" si="25"/>
        <v>348961.48951702716</v>
      </c>
      <c r="R59" s="103" t="e">
        <f t="shared" si="25"/>
        <v>#N/A</v>
      </c>
      <c r="S59" s="103" t="e">
        <f t="shared" si="25"/>
        <v>#N/A</v>
      </c>
      <c r="T59" s="103" t="e">
        <f t="shared" si="25"/>
        <v>#N/A</v>
      </c>
      <c r="U59" s="103" t="e">
        <f t="shared" si="25"/>
        <v>#N/A</v>
      </c>
      <c r="V59" s="103" t="e">
        <f t="shared" si="25"/>
        <v>#N/A</v>
      </c>
      <c r="W59" s="103" t="e">
        <f t="shared" si="25"/>
        <v>#N/A</v>
      </c>
      <c r="X59" s="103" t="e">
        <f t="shared" si="25"/>
        <v>#N/A</v>
      </c>
      <c r="Y59" s="103" t="e">
        <f t="shared" si="25"/>
        <v>#N/A</v>
      </c>
    </row>
    <row r="60" spans="1:25" x14ac:dyDescent="0.2">
      <c r="A60" s="192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215"/>
      <c r="R60" s="97"/>
      <c r="S60" s="97"/>
      <c r="T60" s="97"/>
      <c r="U60" s="97"/>
      <c r="V60" s="97"/>
      <c r="W60" s="97"/>
      <c r="X60" s="97"/>
      <c r="Y60" s="98"/>
    </row>
    <row r="61" spans="1:25" x14ac:dyDescent="0.2">
      <c r="A61" s="191" t="s">
        <v>117</v>
      </c>
      <c r="B61" s="103">
        <f t="shared" ref="B61:Y61" si="26">B59/B39</f>
        <v>3455.6673548387093</v>
      </c>
      <c r="C61" s="103">
        <f t="shared" si="26"/>
        <v>3737.7122857142858</v>
      </c>
      <c r="D61" s="103">
        <f t="shared" si="26"/>
        <v>11967.835573770606</v>
      </c>
      <c r="E61" s="103">
        <f t="shared" si="26"/>
        <v>11440.840920963614</v>
      </c>
      <c r="F61" s="103">
        <f t="shared" si="26"/>
        <v>11794.661258103237</v>
      </c>
      <c r="G61" s="103">
        <f t="shared" si="26"/>
        <v>11903.093264030893</v>
      </c>
      <c r="H61" s="103">
        <f t="shared" si="26"/>
        <v>11497.342830971105</v>
      </c>
      <c r="I61" s="103">
        <f t="shared" si="26"/>
        <v>11812.034635810089</v>
      </c>
      <c r="J61" s="103">
        <f t="shared" si="26"/>
        <v>12686.099710401626</v>
      </c>
      <c r="K61" s="103">
        <f t="shared" si="26"/>
        <v>11788.471026888155</v>
      </c>
      <c r="L61" s="103">
        <f t="shared" si="26"/>
        <v>11255.589007041948</v>
      </c>
      <c r="M61" s="103">
        <f t="shared" si="26"/>
        <v>12379.92946119471</v>
      </c>
      <c r="N61" s="103">
        <f t="shared" si="26"/>
        <v>11889.816425387806</v>
      </c>
      <c r="O61" s="103">
        <f t="shared" si="26"/>
        <v>13040.88468801057</v>
      </c>
      <c r="P61" s="103">
        <f t="shared" si="26"/>
        <v>11501.401256441697</v>
      </c>
      <c r="Q61" s="222">
        <f t="shared" si="26"/>
        <v>11632.049650567573</v>
      </c>
      <c r="R61" s="103" t="e">
        <f t="shared" si="26"/>
        <v>#N/A</v>
      </c>
      <c r="S61" s="103" t="e">
        <f t="shared" si="26"/>
        <v>#N/A</v>
      </c>
      <c r="T61" s="103" t="e">
        <f t="shared" si="26"/>
        <v>#N/A</v>
      </c>
      <c r="U61" s="103" t="e">
        <f t="shared" si="26"/>
        <v>#N/A</v>
      </c>
      <c r="V61" s="103" t="e">
        <f t="shared" si="26"/>
        <v>#N/A</v>
      </c>
      <c r="W61" s="103" t="e">
        <f t="shared" si="26"/>
        <v>#N/A</v>
      </c>
      <c r="X61" s="103" t="e">
        <f t="shared" si="26"/>
        <v>#N/A</v>
      </c>
      <c r="Y61" s="103" t="e">
        <f t="shared" si="26"/>
        <v>#N/A</v>
      </c>
    </row>
    <row r="62" spans="1:25" ht="12.75" thickBot="1" x14ac:dyDescent="0.25">
      <c r="A62" s="193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219"/>
      <c r="R62" s="104"/>
      <c r="S62" s="104"/>
      <c r="T62" s="104"/>
      <c r="U62" s="104"/>
      <c r="V62" s="104"/>
      <c r="W62" s="104"/>
      <c r="X62" s="104"/>
      <c r="Y62" s="105"/>
    </row>
  </sheetData>
  <mergeCells count="2">
    <mergeCell ref="B5:M5"/>
    <mergeCell ref="N5:Y5"/>
  </mergeCells>
  <phoneticPr fontId="0" type="noConversion"/>
  <pageMargins left="0.5" right="0.5" top="0.5" bottom="0.5" header="0.5" footer="0.25"/>
  <pageSetup scale="67" orientation="landscape" r:id="rId1"/>
  <headerFooter alignWithMargins="0">
    <oddFooter>&amp;L&amp;8&amp;F / &amp;A&amp;R&amp;8&amp;T</oddFooter>
  </headerFooter>
  <colBreaks count="1" manualBreakCount="1">
    <brk id="13" max="66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47"/>
  <sheetViews>
    <sheetView topLeftCell="A4" zoomScale="90" zoomScaleNormal="90" zoomScaleSheetLayoutView="90" workbookViewId="0">
      <pane xSplit="1" topLeftCell="N1" activePane="topRight" state="frozen"/>
      <selection activeCell="A3" sqref="A3"/>
      <selection pane="topRight" activeCell="O16" sqref="O16"/>
    </sheetView>
  </sheetViews>
  <sheetFormatPr defaultRowHeight="12.75" x14ac:dyDescent="0.2"/>
  <cols>
    <col min="1" max="1" width="25.7109375" customWidth="1"/>
    <col min="2" max="2" width="12.140625" bestFit="1" customWidth="1"/>
    <col min="3" max="5" width="12.140625" customWidth="1"/>
    <col min="6" max="11" width="12.140625" bestFit="1" customWidth="1"/>
    <col min="12" max="12" width="12.140625" customWidth="1"/>
    <col min="13" max="13" width="12.140625" bestFit="1" customWidth="1"/>
    <col min="14" max="25" width="12.28515625" customWidth="1"/>
  </cols>
  <sheetData>
    <row r="1" spans="1:25" x14ac:dyDescent="0.2">
      <c r="A1" s="1" t="s">
        <v>62</v>
      </c>
    </row>
    <row r="2" spans="1:25" x14ac:dyDescent="0.2">
      <c r="A2" s="1" t="s">
        <v>39</v>
      </c>
    </row>
    <row r="3" spans="1:25" ht="13.5" thickBot="1" x14ac:dyDescent="0.25">
      <c r="A3" s="3">
        <f ca="1">TODAY()</f>
        <v>37340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5" spans="1:25" x14ac:dyDescent="0.2">
      <c r="A5" s="5"/>
      <c r="B5" s="243">
        <v>2001</v>
      </c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4">
        <v>2002</v>
      </c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</row>
    <row r="6" spans="1:25" x14ac:dyDescent="0.2">
      <c r="A6" s="236" t="s">
        <v>63</v>
      </c>
      <c r="B6" s="6" t="s">
        <v>0</v>
      </c>
      <c r="C6" s="6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6" t="s">
        <v>6</v>
      </c>
      <c r="I6" s="6" t="s">
        <v>7</v>
      </c>
      <c r="J6" s="6" t="s">
        <v>8</v>
      </c>
      <c r="K6" s="6" t="s">
        <v>9</v>
      </c>
      <c r="L6" s="6" t="s">
        <v>10</v>
      </c>
      <c r="M6" s="6" t="s">
        <v>12</v>
      </c>
      <c r="N6" s="134" t="s">
        <v>0</v>
      </c>
      <c r="O6" s="6" t="s">
        <v>1</v>
      </c>
      <c r="P6" s="6" t="s">
        <v>2</v>
      </c>
      <c r="Q6" s="6" t="s">
        <v>3</v>
      </c>
      <c r="R6" s="6" t="s">
        <v>4</v>
      </c>
      <c r="S6" s="6" t="s">
        <v>5</v>
      </c>
      <c r="T6" s="6" t="s">
        <v>6</v>
      </c>
      <c r="U6" s="6" t="s">
        <v>7</v>
      </c>
      <c r="V6" s="6" t="s">
        <v>8</v>
      </c>
      <c r="W6" s="6" t="s">
        <v>9</v>
      </c>
      <c r="X6" s="6" t="s">
        <v>10</v>
      </c>
      <c r="Y6" s="6" t="s">
        <v>12</v>
      </c>
    </row>
    <row r="7" spans="1:25" ht="7.5" customHeight="1" x14ac:dyDescent="0.2">
      <c r="A7" s="13"/>
      <c r="B7" s="14"/>
      <c r="C7" s="5"/>
      <c r="D7" s="5"/>
      <c r="E7" s="5"/>
      <c r="F7" s="5"/>
      <c r="G7" s="5"/>
      <c r="H7" s="5"/>
      <c r="I7" s="5"/>
      <c r="J7" s="5"/>
      <c r="K7" s="5"/>
      <c r="L7" s="5"/>
      <c r="M7" s="143"/>
      <c r="N7" s="48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</row>
    <row r="8" spans="1:25" ht="12.75" customHeight="1" x14ac:dyDescent="0.2">
      <c r="A8" s="13"/>
      <c r="B8" s="14"/>
      <c r="C8" s="5"/>
      <c r="D8" s="5"/>
      <c r="E8" s="5"/>
      <c r="F8" s="5"/>
      <c r="G8" s="5"/>
      <c r="H8" s="5"/>
      <c r="I8" s="5"/>
      <c r="J8" s="5"/>
      <c r="K8" s="5"/>
      <c r="L8" s="5"/>
      <c r="M8" s="143"/>
      <c r="N8" s="48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 spans="1:25" x14ac:dyDescent="0.2">
      <c r="A9" s="168" t="s">
        <v>47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138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</row>
    <row r="10" spans="1:25" x14ac:dyDescent="0.2">
      <c r="A10" s="167" t="s">
        <v>52</v>
      </c>
      <c r="B10" s="24">
        <v>8.86</v>
      </c>
      <c r="C10" s="24">
        <v>8.86</v>
      </c>
      <c r="D10" s="24">
        <v>8.86</v>
      </c>
      <c r="E10" s="24">
        <v>8.86</v>
      </c>
      <c r="F10" s="24">
        <v>8.86</v>
      </c>
      <c r="G10" s="24">
        <v>8.86</v>
      </c>
      <c r="H10" s="24">
        <v>8.86</v>
      </c>
      <c r="I10" s="24">
        <v>8.86</v>
      </c>
      <c r="J10" s="24">
        <v>8.86</v>
      </c>
      <c r="K10" s="24">
        <v>8.86</v>
      </c>
      <c r="L10" s="24">
        <v>8.86</v>
      </c>
      <c r="M10" s="139">
        <v>8.86</v>
      </c>
      <c r="N10" s="24">
        <v>8.86</v>
      </c>
      <c r="O10" s="24">
        <v>8.86</v>
      </c>
      <c r="P10" s="24">
        <v>8.86</v>
      </c>
      <c r="Q10" s="24">
        <v>8.86</v>
      </c>
      <c r="R10" s="24">
        <v>8.86</v>
      </c>
      <c r="S10" s="24">
        <v>8.86</v>
      </c>
      <c r="T10" s="24">
        <v>8.86</v>
      </c>
      <c r="U10" s="24">
        <v>8.86</v>
      </c>
      <c r="V10" s="24">
        <v>8.86</v>
      </c>
      <c r="W10" s="24">
        <v>8.86</v>
      </c>
      <c r="X10" s="24">
        <v>8.86</v>
      </c>
      <c r="Y10" s="24">
        <v>8.86</v>
      </c>
    </row>
    <row r="11" spans="1:25" x14ac:dyDescent="0.2">
      <c r="A11" s="167" t="s">
        <v>53</v>
      </c>
      <c r="B11" s="12">
        <f>Gallup!B26</f>
        <v>5434</v>
      </c>
      <c r="C11" s="12">
        <f>Gallup!C26</f>
        <v>5088</v>
      </c>
      <c r="D11" s="12">
        <f>Gallup!D26</f>
        <v>7075</v>
      </c>
      <c r="E11" s="12">
        <f>Gallup!E26</f>
        <v>6797</v>
      </c>
      <c r="F11" s="12">
        <f>Gallup!F26</f>
        <v>8256</v>
      </c>
      <c r="G11" s="12">
        <f>Gallup!G26</f>
        <v>4973</v>
      </c>
      <c r="H11" s="12">
        <f>Gallup!H26</f>
        <v>6931</v>
      </c>
      <c r="I11" s="12">
        <f>Gallup!I26</f>
        <v>7930</v>
      </c>
      <c r="J11" s="12">
        <f>Gallup!J26</f>
        <v>19</v>
      </c>
      <c r="K11" s="12">
        <f>Gallup!K26</f>
        <v>5549</v>
      </c>
      <c r="L11" s="12">
        <f>Gallup!L26</f>
        <v>7411</v>
      </c>
      <c r="M11" s="140">
        <f>Gallup!M26</f>
        <v>5318</v>
      </c>
      <c r="N11" s="12">
        <f>Gallup!N26</f>
        <v>1000</v>
      </c>
      <c r="O11" s="12">
        <f>Gallup!O26</f>
        <v>8256</v>
      </c>
      <c r="P11" s="12">
        <f>Gallup!P26</f>
        <v>0</v>
      </c>
      <c r="Q11" s="12">
        <f>Gallup!Q26</f>
        <v>0</v>
      </c>
      <c r="R11" s="12">
        <f>Gallup!R26</f>
        <v>0</v>
      </c>
      <c r="S11" s="12">
        <f>Gallup!S26</f>
        <v>0</v>
      </c>
      <c r="T11" s="12">
        <f>Gallup!T26</f>
        <v>0</v>
      </c>
      <c r="U11" s="12">
        <f>Gallup!U26</f>
        <v>0</v>
      </c>
      <c r="V11" s="12">
        <f>Gallup!V26</f>
        <v>0</v>
      </c>
      <c r="W11" s="12">
        <f>Gallup!W26</f>
        <v>0</v>
      </c>
      <c r="X11" s="12">
        <f>Gallup!X26</f>
        <v>0</v>
      </c>
      <c r="Y11" s="12">
        <f>Gallup!Y26</f>
        <v>0</v>
      </c>
    </row>
    <row r="12" spans="1:25" x14ac:dyDescent="0.2">
      <c r="A12" s="167" t="s">
        <v>57</v>
      </c>
      <c r="B12" s="24">
        <v>3.35</v>
      </c>
      <c r="C12" s="24">
        <v>3.35</v>
      </c>
      <c r="D12" s="24">
        <v>3.35</v>
      </c>
      <c r="E12" s="24">
        <v>3.35</v>
      </c>
      <c r="F12" s="24">
        <v>3.35</v>
      </c>
      <c r="G12" s="24">
        <v>3.35</v>
      </c>
      <c r="H12" s="24">
        <v>3.35</v>
      </c>
      <c r="I12" s="24">
        <v>3.35</v>
      </c>
      <c r="J12" s="24">
        <v>3.35</v>
      </c>
      <c r="K12" s="24">
        <v>3.35</v>
      </c>
      <c r="L12" s="24">
        <v>3.35</v>
      </c>
      <c r="M12" s="139">
        <v>3.35</v>
      </c>
      <c r="N12" s="24">
        <v>3.35</v>
      </c>
      <c r="O12" s="24">
        <v>3.35</v>
      </c>
      <c r="P12" s="24">
        <v>3.35</v>
      </c>
      <c r="Q12" s="24">
        <v>3.35</v>
      </c>
      <c r="R12" s="24">
        <v>3.35</v>
      </c>
      <c r="S12" s="24">
        <v>3.35</v>
      </c>
      <c r="T12" s="24">
        <v>3.35</v>
      </c>
      <c r="U12" s="24">
        <v>3.35</v>
      </c>
      <c r="V12" s="24">
        <v>3.35</v>
      </c>
      <c r="W12" s="24">
        <v>3.35</v>
      </c>
      <c r="X12" s="24">
        <v>3.35</v>
      </c>
      <c r="Y12" s="24">
        <v>3.35</v>
      </c>
    </row>
    <row r="13" spans="1:25" x14ac:dyDescent="0.2">
      <c r="A13" s="167" t="s">
        <v>58</v>
      </c>
      <c r="B13" s="12">
        <f>Gallup!B28</f>
        <v>6778</v>
      </c>
      <c r="C13" s="12">
        <f>Gallup!C28</f>
        <v>7344</v>
      </c>
      <c r="D13" s="12">
        <f>Gallup!D28</f>
        <v>7661</v>
      </c>
      <c r="E13" s="12">
        <f>Gallup!E28</f>
        <v>6787</v>
      </c>
      <c r="F13" s="12">
        <f>Gallup!F28</f>
        <v>8698</v>
      </c>
      <c r="G13" s="12">
        <f>Gallup!G28</f>
        <v>8410</v>
      </c>
      <c r="H13" s="12">
        <f>Gallup!H28</f>
        <v>8218</v>
      </c>
      <c r="I13" s="12">
        <f>Gallup!I28</f>
        <v>7968</v>
      </c>
      <c r="J13" s="12">
        <f>Gallup!J28</f>
        <v>7910</v>
      </c>
      <c r="K13" s="12">
        <f>Gallup!K28</f>
        <v>9331</v>
      </c>
      <c r="L13" s="12">
        <f>Gallup!L28</f>
        <v>9120</v>
      </c>
      <c r="M13" s="140">
        <f>Gallup!M28</f>
        <v>6106</v>
      </c>
      <c r="N13" s="12">
        <f>Gallup!N28</f>
        <v>7930</v>
      </c>
      <c r="O13" s="12">
        <f>Gallup!O28</f>
        <v>8256</v>
      </c>
      <c r="P13" s="12">
        <f>Gallup!P28</f>
        <v>0</v>
      </c>
      <c r="Q13" s="12">
        <f>Gallup!Q28</f>
        <v>0</v>
      </c>
      <c r="R13" s="12">
        <f>Gallup!R28</f>
        <v>0</v>
      </c>
      <c r="S13" s="12">
        <f>Gallup!S28</f>
        <v>0</v>
      </c>
      <c r="T13" s="12">
        <f>Gallup!T28</f>
        <v>0</v>
      </c>
      <c r="U13" s="12">
        <f>Gallup!U28</f>
        <v>0</v>
      </c>
      <c r="V13" s="12">
        <f>Gallup!V28</f>
        <v>0</v>
      </c>
      <c r="W13" s="12">
        <f>Gallup!W28</f>
        <v>0</v>
      </c>
      <c r="X13" s="12">
        <f>Gallup!X28</f>
        <v>0</v>
      </c>
      <c r="Y13" s="12">
        <f>Gallup!Y28</f>
        <v>0</v>
      </c>
    </row>
    <row r="14" spans="1:25" x14ac:dyDescent="0.2">
      <c r="A14" s="168" t="s">
        <v>50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138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</row>
    <row r="15" spans="1:25" x14ac:dyDescent="0.2">
      <c r="A15" s="167" t="s">
        <v>52</v>
      </c>
      <c r="B15" s="30">
        <v>1.562E-2</v>
      </c>
      <c r="C15" s="30">
        <v>1.562E-2</v>
      </c>
      <c r="D15" s="30">
        <v>1.562E-2</v>
      </c>
      <c r="E15" s="30">
        <v>1.562E-2</v>
      </c>
      <c r="F15" s="30">
        <v>1.562E-2</v>
      </c>
      <c r="G15" s="30">
        <v>1.562E-2</v>
      </c>
      <c r="H15" s="30">
        <v>1.562E-2</v>
      </c>
      <c r="I15" s="30">
        <v>1.562E-2</v>
      </c>
      <c r="J15" s="30">
        <v>1.562E-2</v>
      </c>
      <c r="K15" s="30">
        <v>1.562E-2</v>
      </c>
      <c r="L15" s="30">
        <v>1.562E-2</v>
      </c>
      <c r="M15" s="141">
        <v>1.562E-2</v>
      </c>
      <c r="N15" s="30">
        <v>1.562E-2</v>
      </c>
      <c r="O15" s="30">
        <v>1.562E-2</v>
      </c>
      <c r="P15" s="30">
        <v>1.562E-2</v>
      </c>
      <c r="Q15" s="30">
        <v>1.562E-2</v>
      </c>
      <c r="R15" s="30">
        <v>1.562E-2</v>
      </c>
      <c r="S15" s="30">
        <v>1.562E-2</v>
      </c>
      <c r="T15" s="30">
        <v>1.562E-2</v>
      </c>
      <c r="U15" s="30">
        <v>1.562E-2</v>
      </c>
      <c r="V15" s="30">
        <v>1.562E-2</v>
      </c>
      <c r="W15" s="30">
        <v>1.562E-2</v>
      </c>
      <c r="X15" s="30">
        <v>1.562E-2</v>
      </c>
      <c r="Y15" s="30">
        <v>1.562E-2</v>
      </c>
    </row>
    <row r="16" spans="1:25" x14ac:dyDescent="0.2">
      <c r="A16" s="167" t="s">
        <v>54</v>
      </c>
      <c r="B16" s="12">
        <f>Gallup!B31</f>
        <v>4540992</v>
      </c>
      <c r="C16" s="12">
        <f>Gallup!C31</f>
        <v>3956054</v>
      </c>
      <c r="D16" s="12">
        <f>Gallup!D31</f>
        <v>4430942</v>
      </c>
      <c r="E16" s="12">
        <f>Gallup!E31</f>
        <v>4401499</v>
      </c>
      <c r="F16" s="12">
        <f>Gallup!F31</f>
        <v>3422650</v>
      </c>
      <c r="G16" s="12">
        <f>Gallup!G31</f>
        <v>5199282</v>
      </c>
      <c r="H16" s="12">
        <f>Gallup!H31</f>
        <v>5285904</v>
      </c>
      <c r="I16" s="12">
        <f>Gallup!I31</f>
        <v>3574762</v>
      </c>
      <c r="J16" s="12">
        <f>Gallup!J31</f>
        <v>1217290</v>
      </c>
      <c r="K16" s="12">
        <f>Gallup!K31</f>
        <v>5319072</v>
      </c>
      <c r="L16" s="12">
        <f>Gallup!L31</f>
        <v>5044762</v>
      </c>
      <c r="M16" s="140">
        <f>Gallup!M31</f>
        <v>4509437</v>
      </c>
      <c r="N16" s="12">
        <f>Gallup!N31</f>
        <v>3209875</v>
      </c>
      <c r="O16" s="12">
        <f>Gallup!O31</f>
        <v>4495286</v>
      </c>
      <c r="P16" s="12">
        <f>Gallup!P31</f>
        <v>0</v>
      </c>
      <c r="Q16" s="12">
        <f>Gallup!Q31</f>
        <v>0</v>
      </c>
      <c r="R16" s="12">
        <f>Gallup!R31</f>
        <v>0</v>
      </c>
      <c r="S16" s="12">
        <f>Gallup!S31</f>
        <v>0</v>
      </c>
      <c r="T16" s="12">
        <f>Gallup!T31</f>
        <v>0</v>
      </c>
      <c r="U16" s="12">
        <f>Gallup!U31</f>
        <v>0</v>
      </c>
      <c r="V16" s="12">
        <f>Gallup!V31</f>
        <v>0</v>
      </c>
      <c r="W16" s="12">
        <f>Gallup!W31</f>
        <v>0</v>
      </c>
      <c r="X16" s="12">
        <f>Gallup!X31</f>
        <v>0</v>
      </c>
      <c r="Y16" s="12">
        <f>Gallup!Y31</f>
        <v>0</v>
      </c>
    </row>
    <row r="17" spans="1:25" x14ac:dyDescent="0.2">
      <c r="A17" s="167" t="s">
        <v>55</v>
      </c>
      <c r="B17" s="30">
        <v>4.4999999999999997E-3</v>
      </c>
      <c r="C17" s="30">
        <v>4.4999999999999997E-3</v>
      </c>
      <c r="D17" s="30">
        <v>4.4999999999999997E-3</v>
      </c>
      <c r="E17" s="30">
        <v>4.4999999999999997E-3</v>
      </c>
      <c r="F17" s="30">
        <v>4.4999999999999997E-3</v>
      </c>
      <c r="G17" s="30">
        <v>4.4999999999999997E-3</v>
      </c>
      <c r="H17" s="30">
        <v>4.4999999999999997E-3</v>
      </c>
      <c r="I17" s="30">
        <v>4.4999999999999997E-3</v>
      </c>
      <c r="J17" s="30">
        <v>4.4999999999999997E-3</v>
      </c>
      <c r="K17" s="30">
        <v>4.4999999999999997E-3</v>
      </c>
      <c r="L17" s="30">
        <v>4.4999999999999997E-3</v>
      </c>
      <c r="M17" s="141">
        <v>4.4999999999999997E-3</v>
      </c>
      <c r="N17" s="30">
        <v>4.4999999999999997E-3</v>
      </c>
      <c r="O17" s="30">
        <v>4.4999999999999997E-3</v>
      </c>
      <c r="P17" s="30">
        <v>4.4999999999999997E-3</v>
      </c>
      <c r="Q17" s="30">
        <v>4.4999999999999997E-3</v>
      </c>
      <c r="R17" s="30">
        <v>4.4999999999999997E-3</v>
      </c>
      <c r="S17" s="30">
        <v>4.4999999999999997E-3</v>
      </c>
      <c r="T17" s="30">
        <v>4.4999999999999997E-3</v>
      </c>
      <c r="U17" s="30">
        <v>4.4999999999999997E-3</v>
      </c>
      <c r="V17" s="30">
        <v>4.4999999999999997E-3</v>
      </c>
      <c r="W17" s="30">
        <v>4.4999999999999997E-3</v>
      </c>
      <c r="X17" s="30">
        <v>4.4999999999999997E-3</v>
      </c>
      <c r="Y17" s="30">
        <v>4.4999999999999997E-3</v>
      </c>
    </row>
    <row r="18" spans="1:25" x14ac:dyDescent="0.2">
      <c r="A18" s="167" t="s">
        <v>56</v>
      </c>
      <c r="B18" s="12">
        <f>B16</f>
        <v>4540992</v>
      </c>
      <c r="C18" s="12">
        <f t="shared" ref="C18:M18" si="0">C16</f>
        <v>3956054</v>
      </c>
      <c r="D18" s="12">
        <f t="shared" si="0"/>
        <v>4430942</v>
      </c>
      <c r="E18" s="12">
        <f t="shared" si="0"/>
        <v>4401499</v>
      </c>
      <c r="F18" s="12">
        <f t="shared" si="0"/>
        <v>3422650</v>
      </c>
      <c r="G18" s="12">
        <f t="shared" si="0"/>
        <v>5199282</v>
      </c>
      <c r="H18" s="12">
        <f t="shared" si="0"/>
        <v>5285904</v>
      </c>
      <c r="I18" s="12">
        <f t="shared" si="0"/>
        <v>3574762</v>
      </c>
      <c r="J18" s="12">
        <f t="shared" si="0"/>
        <v>1217290</v>
      </c>
      <c r="K18" s="12">
        <f t="shared" si="0"/>
        <v>5319072</v>
      </c>
      <c r="L18" s="12">
        <f t="shared" si="0"/>
        <v>5044762</v>
      </c>
      <c r="M18" s="140">
        <f t="shared" si="0"/>
        <v>4509437</v>
      </c>
      <c r="N18" s="12">
        <f>N16</f>
        <v>3209875</v>
      </c>
      <c r="O18" s="12">
        <f t="shared" ref="O18:Y18" si="1">O16</f>
        <v>4495286</v>
      </c>
      <c r="P18" s="12">
        <f t="shared" si="1"/>
        <v>0</v>
      </c>
      <c r="Q18" s="12">
        <f t="shared" si="1"/>
        <v>0</v>
      </c>
      <c r="R18" s="12">
        <f t="shared" si="1"/>
        <v>0</v>
      </c>
      <c r="S18" s="12">
        <f t="shared" si="1"/>
        <v>0</v>
      </c>
      <c r="T18" s="12">
        <f t="shared" si="1"/>
        <v>0</v>
      </c>
      <c r="U18" s="12">
        <f t="shared" si="1"/>
        <v>0</v>
      </c>
      <c r="V18" s="12">
        <f t="shared" si="1"/>
        <v>0</v>
      </c>
      <c r="W18" s="12">
        <f t="shared" si="1"/>
        <v>0</v>
      </c>
      <c r="X18" s="12">
        <f t="shared" si="1"/>
        <v>0</v>
      </c>
      <c r="Y18" s="12">
        <f t="shared" si="1"/>
        <v>0</v>
      </c>
    </row>
    <row r="19" spans="1:25" x14ac:dyDescent="0.2">
      <c r="A19" s="16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40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2.75" customHeight="1" x14ac:dyDescent="0.2">
      <c r="A20" s="170"/>
      <c r="B20" s="245">
        <v>2001</v>
      </c>
      <c r="C20" s="246"/>
      <c r="D20" s="246"/>
      <c r="E20" s="246"/>
      <c r="F20" s="246"/>
      <c r="G20" s="246"/>
      <c r="H20" s="246"/>
      <c r="I20" s="246"/>
      <c r="J20" s="246"/>
      <c r="K20" s="246"/>
      <c r="L20" s="246"/>
      <c r="M20" s="247"/>
      <c r="N20" s="245">
        <v>2002</v>
      </c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7"/>
    </row>
    <row r="21" spans="1:25" x14ac:dyDescent="0.2">
      <c r="A21" s="168" t="s">
        <v>42</v>
      </c>
      <c r="B21" s="6" t="s">
        <v>0</v>
      </c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6</v>
      </c>
      <c r="I21" s="6" t="s">
        <v>7</v>
      </c>
      <c r="J21" s="6" t="s">
        <v>8</v>
      </c>
      <c r="K21" s="6" t="s">
        <v>9</v>
      </c>
      <c r="L21" s="6" t="s">
        <v>10</v>
      </c>
      <c r="M21" s="6" t="s">
        <v>12</v>
      </c>
      <c r="N21" s="134" t="s">
        <v>0</v>
      </c>
      <c r="O21" s="6" t="s">
        <v>1</v>
      </c>
      <c r="P21" s="6" t="s">
        <v>2</v>
      </c>
      <c r="Q21" s="6" t="s">
        <v>3</v>
      </c>
      <c r="R21" s="6" t="s">
        <v>4</v>
      </c>
      <c r="S21" s="6" t="s">
        <v>5</v>
      </c>
      <c r="T21" s="6" t="s">
        <v>6</v>
      </c>
      <c r="U21" s="6" t="s">
        <v>7</v>
      </c>
      <c r="V21" s="6" t="s">
        <v>8</v>
      </c>
      <c r="W21" s="6" t="s">
        <v>9</v>
      </c>
      <c r="X21" s="6" t="s">
        <v>10</v>
      </c>
      <c r="Y21" s="6" t="s">
        <v>12</v>
      </c>
    </row>
    <row r="22" spans="1:25" s="39" customFormat="1" x14ac:dyDescent="0.2">
      <c r="A22" s="167" t="s">
        <v>64</v>
      </c>
      <c r="B22" s="12">
        <f>B11*1000</f>
        <v>5434000</v>
      </c>
      <c r="C22" s="12">
        <f t="shared" ref="C22:M22" si="2">C11*1000</f>
        <v>5088000</v>
      </c>
      <c r="D22" s="12">
        <f t="shared" si="2"/>
        <v>7075000</v>
      </c>
      <c r="E22" s="12">
        <f t="shared" si="2"/>
        <v>6797000</v>
      </c>
      <c r="F22" s="12">
        <f t="shared" si="2"/>
        <v>8256000</v>
      </c>
      <c r="G22" s="12">
        <f t="shared" si="2"/>
        <v>4973000</v>
      </c>
      <c r="H22" s="12">
        <f t="shared" si="2"/>
        <v>6931000</v>
      </c>
      <c r="I22" s="12">
        <f t="shared" si="2"/>
        <v>7930000</v>
      </c>
      <c r="J22" s="12">
        <f t="shared" si="2"/>
        <v>19000</v>
      </c>
      <c r="K22" s="12">
        <f t="shared" si="2"/>
        <v>5549000</v>
      </c>
      <c r="L22" s="12">
        <f t="shared" si="2"/>
        <v>7411000</v>
      </c>
      <c r="M22" s="140">
        <f t="shared" si="2"/>
        <v>5318000</v>
      </c>
      <c r="N22" s="12">
        <f>N11*1000</f>
        <v>1000000</v>
      </c>
      <c r="O22" s="12">
        <f t="shared" ref="O22:Y22" si="3">O11*1000</f>
        <v>8256000</v>
      </c>
      <c r="P22" s="12">
        <f t="shared" si="3"/>
        <v>0</v>
      </c>
      <c r="Q22" s="12">
        <f t="shared" si="3"/>
        <v>0</v>
      </c>
      <c r="R22" s="12">
        <f t="shared" si="3"/>
        <v>0</v>
      </c>
      <c r="S22" s="12">
        <f t="shared" si="3"/>
        <v>0</v>
      </c>
      <c r="T22" s="12">
        <f t="shared" si="3"/>
        <v>0</v>
      </c>
      <c r="U22" s="12">
        <f t="shared" si="3"/>
        <v>0</v>
      </c>
      <c r="V22" s="12">
        <f t="shared" si="3"/>
        <v>0</v>
      </c>
      <c r="W22" s="12">
        <f t="shared" si="3"/>
        <v>0</v>
      </c>
      <c r="X22" s="12">
        <f t="shared" si="3"/>
        <v>0</v>
      </c>
      <c r="Y22" s="12">
        <f t="shared" si="3"/>
        <v>0</v>
      </c>
    </row>
    <row r="23" spans="1:25" s="39" customFormat="1" x14ac:dyDescent="0.2">
      <c r="A23" s="167" t="s">
        <v>65</v>
      </c>
      <c r="B23" s="12">
        <f>B13*1000</f>
        <v>6778000</v>
      </c>
      <c r="C23" s="12">
        <f t="shared" ref="C23:M23" si="4">C13*1000</f>
        <v>7344000</v>
      </c>
      <c r="D23" s="12">
        <f t="shared" si="4"/>
        <v>7661000</v>
      </c>
      <c r="E23" s="12">
        <f t="shared" si="4"/>
        <v>6787000</v>
      </c>
      <c r="F23" s="12">
        <f t="shared" si="4"/>
        <v>8698000</v>
      </c>
      <c r="G23" s="12">
        <f t="shared" si="4"/>
        <v>8410000</v>
      </c>
      <c r="H23" s="12">
        <f t="shared" si="4"/>
        <v>8218000</v>
      </c>
      <c r="I23" s="12">
        <f t="shared" si="4"/>
        <v>7968000</v>
      </c>
      <c r="J23" s="12">
        <f t="shared" si="4"/>
        <v>7910000</v>
      </c>
      <c r="K23" s="12">
        <f t="shared" si="4"/>
        <v>9331000</v>
      </c>
      <c r="L23" s="12">
        <f t="shared" si="4"/>
        <v>9120000</v>
      </c>
      <c r="M23" s="140">
        <f t="shared" si="4"/>
        <v>6106000</v>
      </c>
      <c r="N23" s="12">
        <f>N13*1000</f>
        <v>7930000</v>
      </c>
      <c r="O23" s="12">
        <f t="shared" ref="O23:Y23" si="5">O13*1000</f>
        <v>8256000</v>
      </c>
      <c r="P23" s="12">
        <f t="shared" si="5"/>
        <v>0</v>
      </c>
      <c r="Q23" s="12">
        <f t="shared" si="5"/>
        <v>0</v>
      </c>
      <c r="R23" s="12">
        <f t="shared" si="5"/>
        <v>0</v>
      </c>
      <c r="S23" s="12">
        <f t="shared" si="5"/>
        <v>0</v>
      </c>
      <c r="T23" s="12">
        <f t="shared" si="5"/>
        <v>0</v>
      </c>
      <c r="U23" s="12">
        <f t="shared" si="5"/>
        <v>0</v>
      </c>
      <c r="V23" s="12">
        <f t="shared" si="5"/>
        <v>0</v>
      </c>
      <c r="W23" s="12">
        <f t="shared" si="5"/>
        <v>0</v>
      </c>
      <c r="X23" s="12">
        <f t="shared" si="5"/>
        <v>0</v>
      </c>
      <c r="Y23" s="12">
        <f t="shared" si="5"/>
        <v>0</v>
      </c>
    </row>
    <row r="24" spans="1:25" s="39" customFormat="1" x14ac:dyDescent="0.2">
      <c r="A24" s="167" t="s">
        <v>66</v>
      </c>
      <c r="B24" s="12">
        <f>B16</f>
        <v>4540992</v>
      </c>
      <c r="C24" s="12">
        <f t="shared" ref="C24:M24" si="6">C16</f>
        <v>3956054</v>
      </c>
      <c r="D24" s="12">
        <f t="shared" si="6"/>
        <v>4430942</v>
      </c>
      <c r="E24" s="12">
        <f t="shared" si="6"/>
        <v>4401499</v>
      </c>
      <c r="F24" s="12">
        <f t="shared" si="6"/>
        <v>3422650</v>
      </c>
      <c r="G24" s="12">
        <f t="shared" si="6"/>
        <v>5199282</v>
      </c>
      <c r="H24" s="12">
        <f t="shared" si="6"/>
        <v>5285904</v>
      </c>
      <c r="I24" s="12">
        <f t="shared" si="6"/>
        <v>3574762</v>
      </c>
      <c r="J24" s="12">
        <f t="shared" si="6"/>
        <v>1217290</v>
      </c>
      <c r="K24" s="12">
        <f t="shared" si="6"/>
        <v>5319072</v>
      </c>
      <c r="L24" s="12">
        <f t="shared" si="6"/>
        <v>5044762</v>
      </c>
      <c r="M24" s="140">
        <f t="shared" si="6"/>
        <v>4509437</v>
      </c>
      <c r="N24" s="12">
        <f>N16</f>
        <v>3209875</v>
      </c>
      <c r="O24" s="12">
        <f t="shared" ref="O24:Y24" si="7">O16</f>
        <v>4495286</v>
      </c>
      <c r="P24" s="12">
        <f t="shared" si="7"/>
        <v>0</v>
      </c>
      <c r="Q24" s="12">
        <f t="shared" si="7"/>
        <v>0</v>
      </c>
      <c r="R24" s="12">
        <f t="shared" si="7"/>
        <v>0</v>
      </c>
      <c r="S24" s="12">
        <f t="shared" si="7"/>
        <v>0</v>
      </c>
      <c r="T24" s="12">
        <f t="shared" si="7"/>
        <v>0</v>
      </c>
      <c r="U24" s="12">
        <f t="shared" si="7"/>
        <v>0</v>
      </c>
      <c r="V24" s="12">
        <f t="shared" si="7"/>
        <v>0</v>
      </c>
      <c r="W24" s="12">
        <f t="shared" si="7"/>
        <v>0</v>
      </c>
      <c r="X24" s="12">
        <f t="shared" si="7"/>
        <v>0</v>
      </c>
      <c r="Y24" s="12">
        <f t="shared" si="7"/>
        <v>0</v>
      </c>
    </row>
    <row r="25" spans="1:25" s="39" customFormat="1" x14ac:dyDescent="0.2">
      <c r="A25" s="167" t="s">
        <v>67</v>
      </c>
      <c r="B25" s="12">
        <f>B18</f>
        <v>4540992</v>
      </c>
      <c r="C25" s="12">
        <f t="shared" ref="C25:M25" si="8">C18</f>
        <v>3956054</v>
      </c>
      <c r="D25" s="12">
        <f t="shared" si="8"/>
        <v>4430942</v>
      </c>
      <c r="E25" s="12">
        <f t="shared" si="8"/>
        <v>4401499</v>
      </c>
      <c r="F25" s="12">
        <f t="shared" si="8"/>
        <v>3422650</v>
      </c>
      <c r="G25" s="12">
        <f t="shared" si="8"/>
        <v>5199282</v>
      </c>
      <c r="H25" s="12">
        <f t="shared" si="8"/>
        <v>5285904</v>
      </c>
      <c r="I25" s="12">
        <f t="shared" si="8"/>
        <v>3574762</v>
      </c>
      <c r="J25" s="12">
        <f t="shared" si="8"/>
        <v>1217290</v>
      </c>
      <c r="K25" s="12">
        <f t="shared" si="8"/>
        <v>5319072</v>
      </c>
      <c r="L25" s="12">
        <f t="shared" si="8"/>
        <v>5044762</v>
      </c>
      <c r="M25" s="140">
        <f t="shared" si="8"/>
        <v>4509437</v>
      </c>
      <c r="N25" s="12">
        <f>N18</f>
        <v>3209875</v>
      </c>
      <c r="O25" s="12">
        <f t="shared" ref="O25:Y25" si="9">O18</f>
        <v>4495286</v>
      </c>
      <c r="P25" s="12">
        <f t="shared" si="9"/>
        <v>0</v>
      </c>
      <c r="Q25" s="12">
        <f t="shared" si="9"/>
        <v>0</v>
      </c>
      <c r="R25" s="12">
        <f t="shared" si="9"/>
        <v>0</v>
      </c>
      <c r="S25" s="12">
        <f t="shared" si="9"/>
        <v>0</v>
      </c>
      <c r="T25" s="12">
        <f t="shared" si="9"/>
        <v>0</v>
      </c>
      <c r="U25" s="12">
        <f t="shared" si="9"/>
        <v>0</v>
      </c>
      <c r="V25" s="12">
        <f t="shared" si="9"/>
        <v>0</v>
      </c>
      <c r="W25" s="12">
        <f t="shared" si="9"/>
        <v>0</v>
      </c>
      <c r="X25" s="12">
        <f t="shared" si="9"/>
        <v>0</v>
      </c>
      <c r="Y25" s="12">
        <f t="shared" si="9"/>
        <v>0</v>
      </c>
    </row>
    <row r="26" spans="1:25" s="39" customFormat="1" ht="13.5" thickBot="1" x14ac:dyDescent="0.25">
      <c r="A26" s="167" t="s">
        <v>43</v>
      </c>
      <c r="B26" s="40">
        <f>SUM(B22:B25)</f>
        <v>21293984</v>
      </c>
      <c r="C26" s="40">
        <f t="shared" ref="C26:M26" si="10">SUM(C22:C25)</f>
        <v>20344108</v>
      </c>
      <c r="D26" s="40">
        <f t="shared" si="10"/>
        <v>23597884</v>
      </c>
      <c r="E26" s="40">
        <f t="shared" si="10"/>
        <v>22386998</v>
      </c>
      <c r="F26" s="40">
        <f t="shared" si="10"/>
        <v>23799300</v>
      </c>
      <c r="G26" s="40">
        <f t="shared" si="10"/>
        <v>23781564</v>
      </c>
      <c r="H26" s="40">
        <f t="shared" si="10"/>
        <v>25720808</v>
      </c>
      <c r="I26" s="40">
        <f t="shared" si="10"/>
        <v>23047524</v>
      </c>
      <c r="J26" s="40">
        <f t="shared" si="10"/>
        <v>10363580</v>
      </c>
      <c r="K26" s="40">
        <f t="shared" si="10"/>
        <v>25518144</v>
      </c>
      <c r="L26" s="40">
        <f t="shared" si="10"/>
        <v>26620524</v>
      </c>
      <c r="M26" s="183">
        <f t="shared" si="10"/>
        <v>20442874</v>
      </c>
      <c r="N26" s="40">
        <f t="shared" ref="N26:Y26" si="11">SUM(N22:N25)</f>
        <v>15349750</v>
      </c>
      <c r="O26" s="40">
        <f t="shared" si="11"/>
        <v>25502572</v>
      </c>
      <c r="P26" s="40">
        <f t="shared" si="11"/>
        <v>0</v>
      </c>
      <c r="Q26" s="40">
        <f t="shared" si="11"/>
        <v>0</v>
      </c>
      <c r="R26" s="40">
        <f t="shared" si="11"/>
        <v>0</v>
      </c>
      <c r="S26" s="40">
        <f t="shared" si="11"/>
        <v>0</v>
      </c>
      <c r="T26" s="40">
        <f t="shared" si="11"/>
        <v>0</v>
      </c>
      <c r="U26" s="40">
        <f t="shared" si="11"/>
        <v>0</v>
      </c>
      <c r="V26" s="40">
        <f t="shared" si="11"/>
        <v>0</v>
      </c>
      <c r="W26" s="40">
        <f t="shared" si="11"/>
        <v>0</v>
      </c>
      <c r="X26" s="40">
        <f t="shared" si="11"/>
        <v>0</v>
      </c>
      <c r="Y26" s="40">
        <f t="shared" si="11"/>
        <v>0</v>
      </c>
    </row>
    <row r="27" spans="1:25" ht="12.75" customHeight="1" thickTop="1" x14ac:dyDescent="0.2">
      <c r="A27" s="170"/>
      <c r="B27" s="14"/>
      <c r="C27" s="5"/>
      <c r="D27" s="5"/>
      <c r="E27" s="5"/>
      <c r="F27" s="5"/>
      <c r="G27" s="5"/>
      <c r="H27" s="5"/>
      <c r="I27" s="5"/>
      <c r="J27" s="5"/>
      <c r="K27" s="5"/>
      <c r="L27" s="5"/>
      <c r="M27" s="143"/>
      <c r="N27" s="48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</row>
    <row r="28" spans="1:25" x14ac:dyDescent="0.2">
      <c r="A28" s="167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141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 s="5" customFormat="1" ht="12" x14ac:dyDescent="0.2">
      <c r="A29" s="168" t="s">
        <v>70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141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 s="5" customFormat="1" ht="12" x14ac:dyDescent="0.2">
      <c r="A30" s="177" t="s">
        <v>17</v>
      </c>
      <c r="B30" s="33">
        <v>31</v>
      </c>
      <c r="C30" s="33">
        <v>28</v>
      </c>
      <c r="D30" s="33">
        <v>31</v>
      </c>
      <c r="E30" s="33">
        <v>30</v>
      </c>
      <c r="F30" s="33">
        <v>31</v>
      </c>
      <c r="G30" s="33">
        <v>30</v>
      </c>
      <c r="H30" s="33">
        <v>31</v>
      </c>
      <c r="I30" s="33">
        <v>31</v>
      </c>
      <c r="J30" s="33">
        <v>30</v>
      </c>
      <c r="K30" s="33">
        <v>31</v>
      </c>
      <c r="L30" s="33">
        <v>30</v>
      </c>
      <c r="M30" s="184">
        <v>31</v>
      </c>
      <c r="N30" s="33">
        <v>31</v>
      </c>
      <c r="O30" s="33">
        <v>28</v>
      </c>
      <c r="P30" s="33">
        <v>31</v>
      </c>
      <c r="Q30" s="33">
        <v>30</v>
      </c>
      <c r="R30" s="33">
        <v>31</v>
      </c>
      <c r="S30" s="33">
        <v>30</v>
      </c>
      <c r="T30" s="33">
        <v>31</v>
      </c>
      <c r="U30" s="33">
        <v>31</v>
      </c>
      <c r="V30" s="33">
        <v>30</v>
      </c>
      <c r="W30" s="33">
        <v>31</v>
      </c>
      <c r="X30" s="33">
        <v>30</v>
      </c>
      <c r="Y30" s="33">
        <v>31</v>
      </c>
    </row>
    <row r="31" spans="1:25" s="5" customFormat="1" ht="12" x14ac:dyDescent="0.2">
      <c r="A31" s="177" t="s">
        <v>19</v>
      </c>
      <c r="B31" s="31">
        <f>(B24*1.34)/(10000*24*B30)</f>
        <v>0.81786683870967747</v>
      </c>
      <c r="C31" s="31">
        <f t="shared" ref="C31:M31" si="12">(C24*1.34)/(10000*24*C30)</f>
        <v>0.78885600595238103</v>
      </c>
      <c r="D31" s="31">
        <f t="shared" si="12"/>
        <v>0.79804600537634407</v>
      </c>
      <c r="E31" s="31">
        <f t="shared" si="12"/>
        <v>0.81916786944444442</v>
      </c>
      <c r="F31" s="31">
        <f t="shared" si="12"/>
        <v>0.61644502688172043</v>
      </c>
      <c r="G31" s="31">
        <f t="shared" si="12"/>
        <v>0.96764415000000015</v>
      </c>
      <c r="H31" s="31">
        <f t="shared" si="12"/>
        <v>0.95203109677419362</v>
      </c>
      <c r="I31" s="31">
        <f t="shared" si="12"/>
        <v>0.64384154301075269</v>
      </c>
      <c r="J31" s="31">
        <f t="shared" si="12"/>
        <v>0.22655119444444446</v>
      </c>
      <c r="K31" s="31">
        <f t="shared" si="12"/>
        <v>0.95800490322580656</v>
      </c>
      <c r="L31" s="31">
        <f t="shared" si="12"/>
        <v>0.93888626111111118</v>
      </c>
      <c r="M31" s="185">
        <f t="shared" si="12"/>
        <v>0.8121835456989247</v>
      </c>
      <c r="N31" s="31">
        <f>(N24*1.34)/(10000*24*N30)</f>
        <v>0.57812264784946232</v>
      </c>
      <c r="O31" s="31">
        <f t="shared" ref="O31:Y31" si="13">(O24*1.34)/(10000*24*O30)</f>
        <v>0.89638143452380958</v>
      </c>
      <c r="P31" s="31">
        <f t="shared" si="13"/>
        <v>0</v>
      </c>
      <c r="Q31" s="31">
        <f t="shared" si="13"/>
        <v>0</v>
      </c>
      <c r="R31" s="31">
        <f t="shared" si="13"/>
        <v>0</v>
      </c>
      <c r="S31" s="31">
        <f t="shared" si="13"/>
        <v>0</v>
      </c>
      <c r="T31" s="31">
        <f t="shared" si="13"/>
        <v>0</v>
      </c>
      <c r="U31" s="31">
        <f t="shared" si="13"/>
        <v>0</v>
      </c>
      <c r="V31" s="31">
        <f t="shared" si="13"/>
        <v>0</v>
      </c>
      <c r="W31" s="31">
        <f t="shared" si="13"/>
        <v>0</v>
      </c>
      <c r="X31" s="31">
        <f t="shared" si="13"/>
        <v>0</v>
      </c>
      <c r="Y31" s="31">
        <f t="shared" si="13"/>
        <v>0</v>
      </c>
    </row>
    <row r="32" spans="1:25" s="5" customFormat="1" ht="12" x14ac:dyDescent="0.2">
      <c r="A32" s="170"/>
      <c r="M32" s="143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</row>
    <row r="33" spans="1:25" s="5" customFormat="1" ht="12" x14ac:dyDescent="0.2">
      <c r="A33" s="175" t="s">
        <v>106</v>
      </c>
      <c r="M33" s="143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</row>
    <row r="34" spans="1:25" s="5" customFormat="1" ht="12" x14ac:dyDescent="0.2">
      <c r="A34" s="170" t="s">
        <v>130</v>
      </c>
      <c r="B34" s="116">
        <f>B24*1.34</f>
        <v>6084929.2800000003</v>
      </c>
      <c r="C34" s="116">
        <f t="shared" ref="C34:M34" si="14">C24*1.34</f>
        <v>5301112.3600000003</v>
      </c>
      <c r="D34" s="116">
        <f t="shared" si="14"/>
        <v>5937462.2800000003</v>
      </c>
      <c r="E34" s="116">
        <f t="shared" si="14"/>
        <v>5898008.6600000001</v>
      </c>
      <c r="F34" s="116">
        <f t="shared" si="14"/>
        <v>4586351</v>
      </c>
      <c r="G34" s="116">
        <f t="shared" si="14"/>
        <v>6967037.8800000008</v>
      </c>
      <c r="H34" s="116">
        <f t="shared" si="14"/>
        <v>7083111.3600000003</v>
      </c>
      <c r="I34" s="116">
        <f t="shared" si="14"/>
        <v>4790181.08</v>
      </c>
      <c r="J34" s="116">
        <f t="shared" si="14"/>
        <v>1631168.6</v>
      </c>
      <c r="K34" s="116">
        <f t="shared" si="14"/>
        <v>7127556.4800000004</v>
      </c>
      <c r="L34" s="116">
        <f>L24*1.34</f>
        <v>6759981.0800000001</v>
      </c>
      <c r="M34" s="186">
        <f t="shared" si="14"/>
        <v>6042645.5800000001</v>
      </c>
      <c r="N34" s="117">
        <f>N24*1.34</f>
        <v>4301232.5</v>
      </c>
      <c r="O34" s="117">
        <f>O24*1.34</f>
        <v>6023683.2400000002</v>
      </c>
      <c r="P34" s="117">
        <f t="shared" ref="P34:Y34" si="15">P24*1.34</f>
        <v>0</v>
      </c>
      <c r="Q34" s="117">
        <f t="shared" si="15"/>
        <v>0</v>
      </c>
      <c r="R34" s="117">
        <f t="shared" si="15"/>
        <v>0</v>
      </c>
      <c r="S34" s="117">
        <f t="shared" si="15"/>
        <v>0</v>
      </c>
      <c r="T34" s="117">
        <f t="shared" si="15"/>
        <v>0</v>
      </c>
      <c r="U34" s="117">
        <f t="shared" si="15"/>
        <v>0</v>
      </c>
      <c r="V34" s="117">
        <f t="shared" si="15"/>
        <v>0</v>
      </c>
      <c r="W34" s="117">
        <f t="shared" si="15"/>
        <v>0</v>
      </c>
      <c r="X34" s="117">
        <f t="shared" si="15"/>
        <v>0</v>
      </c>
      <c r="Y34" s="117">
        <f t="shared" si="15"/>
        <v>0</v>
      </c>
    </row>
    <row r="35" spans="1:25" s="5" customFormat="1" thickBot="1" x14ac:dyDescent="0.25">
      <c r="A35" s="170" t="s">
        <v>111</v>
      </c>
      <c r="B35" s="118" t="s">
        <v>107</v>
      </c>
      <c r="C35" s="116"/>
      <c r="D35" s="116">
        <f>B34*0.005717</f>
        <v>34787.540693759998</v>
      </c>
      <c r="E35" s="116">
        <f t="shared" ref="E35:M35" si="16">C34*0.005717</f>
        <v>30306.45936212</v>
      </c>
      <c r="F35" s="116">
        <f t="shared" si="16"/>
        <v>33944.471854759999</v>
      </c>
      <c r="G35" s="116">
        <f t="shared" si="16"/>
        <v>33718.915509220002</v>
      </c>
      <c r="H35" s="116">
        <f t="shared" si="16"/>
        <v>26220.168666999998</v>
      </c>
      <c r="I35" s="116">
        <f t="shared" si="16"/>
        <v>39830.555559960005</v>
      </c>
      <c r="J35" s="116">
        <f>H34*0.005717</f>
        <v>40494.14764512</v>
      </c>
      <c r="K35" s="116">
        <f t="shared" si="16"/>
        <v>27385.465234359999</v>
      </c>
      <c r="L35" s="116">
        <f t="shared" si="16"/>
        <v>9325.3908862000008</v>
      </c>
      <c r="M35" s="186">
        <f t="shared" si="16"/>
        <v>40748.240396159999</v>
      </c>
      <c r="N35" s="117">
        <f>L34*0.005717</f>
        <v>38646.81183436</v>
      </c>
      <c r="O35" s="117">
        <f t="shared" ref="O35:Y35" si="17">M34*0.005717</f>
        <v>34545.804780860002</v>
      </c>
      <c r="P35" s="117">
        <f>N34*0.005717</f>
        <v>24590.1462025</v>
      </c>
      <c r="Q35" s="117">
        <f>O34*0.005717</f>
        <v>34437.397083080003</v>
      </c>
      <c r="R35" s="117">
        <f t="shared" si="17"/>
        <v>0</v>
      </c>
      <c r="S35" s="117">
        <f t="shared" si="17"/>
        <v>0</v>
      </c>
      <c r="T35" s="117">
        <f t="shared" si="17"/>
        <v>0</v>
      </c>
      <c r="U35" s="117">
        <f t="shared" si="17"/>
        <v>0</v>
      </c>
      <c r="V35" s="117">
        <f t="shared" si="17"/>
        <v>0</v>
      </c>
      <c r="W35" s="117">
        <f t="shared" si="17"/>
        <v>0</v>
      </c>
      <c r="X35" s="117">
        <f t="shared" si="17"/>
        <v>0</v>
      </c>
      <c r="Y35" s="117">
        <f t="shared" si="17"/>
        <v>0</v>
      </c>
    </row>
    <row r="36" spans="1:25" s="5" customFormat="1" thickTop="1" x14ac:dyDescent="0.2">
      <c r="A36" s="170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86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</row>
    <row r="37" spans="1:25" s="5" customFormat="1" ht="12" x14ac:dyDescent="0.2">
      <c r="A37" s="175" t="s">
        <v>110</v>
      </c>
      <c r="M37" s="143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</row>
    <row r="38" spans="1:25" s="5" customFormat="1" ht="12" x14ac:dyDescent="0.2">
      <c r="A38" s="170" t="s">
        <v>105</v>
      </c>
      <c r="B38" s="10">
        <f>10000*24*B30*0.6*0.005717</f>
        <v>25520.687999999998</v>
      </c>
      <c r="C38" s="10">
        <f>10000*24*C30*0.6*0.005717</f>
        <v>23050.944</v>
      </c>
      <c r="D38" s="10">
        <f>10000*24*D30*0.6*0.005717</f>
        <v>25520.687999999998</v>
      </c>
      <c r="E38" s="10">
        <f t="shared" ref="E38:L38" si="18">10000*24*E30*0.6*0.005717</f>
        <v>24697.439999999999</v>
      </c>
      <c r="F38" s="10">
        <f t="shared" si="18"/>
        <v>25520.687999999998</v>
      </c>
      <c r="G38" s="10">
        <f t="shared" si="18"/>
        <v>24697.439999999999</v>
      </c>
      <c r="H38" s="10">
        <f>10000*24*H30*0.6*0.005717</f>
        <v>25520.687999999998</v>
      </c>
      <c r="I38" s="10">
        <f t="shared" si="18"/>
        <v>25520.687999999998</v>
      </c>
      <c r="J38" s="10">
        <f t="shared" si="18"/>
        <v>24697.439999999999</v>
      </c>
      <c r="K38" s="10">
        <f>10000*24*K30*0.6*0.005717</f>
        <v>25520.687999999998</v>
      </c>
      <c r="L38" s="10">
        <f t="shared" si="18"/>
        <v>24697.439999999999</v>
      </c>
      <c r="M38" s="140">
        <f t="shared" ref="M38:S38" si="19">10000*24*M30*0.6*0.005717</f>
        <v>25520.687999999998</v>
      </c>
      <c r="N38" s="12">
        <f t="shared" si="19"/>
        <v>25520.687999999998</v>
      </c>
      <c r="O38" s="12">
        <f t="shared" si="19"/>
        <v>23050.944</v>
      </c>
      <c r="P38" s="12">
        <f t="shared" si="19"/>
        <v>25520.687999999998</v>
      </c>
      <c r="Q38" s="12">
        <f t="shared" si="19"/>
        <v>24697.439999999999</v>
      </c>
      <c r="R38" s="12">
        <f t="shared" si="19"/>
        <v>25520.687999999998</v>
      </c>
      <c r="S38" s="12">
        <f t="shared" si="19"/>
        <v>24697.439999999999</v>
      </c>
      <c r="T38" s="12">
        <f t="shared" ref="T38:Y38" si="20">10000*24*T30*0.6*0.005717</f>
        <v>25520.687999999998</v>
      </c>
      <c r="U38" s="12">
        <f t="shared" si="20"/>
        <v>25520.687999999998</v>
      </c>
      <c r="V38" s="12">
        <f t="shared" si="20"/>
        <v>24697.439999999999</v>
      </c>
      <c r="W38" s="12">
        <f t="shared" si="20"/>
        <v>25520.687999999998</v>
      </c>
      <c r="X38" s="12">
        <f t="shared" si="20"/>
        <v>24697.439999999999</v>
      </c>
      <c r="Y38" s="12">
        <f t="shared" si="20"/>
        <v>25520.687999999998</v>
      </c>
    </row>
    <row r="39" spans="1:25" s="5" customFormat="1" ht="12" x14ac:dyDescent="0.2">
      <c r="A39" s="170" t="s">
        <v>125</v>
      </c>
      <c r="B39" s="116">
        <v>81605</v>
      </c>
      <c r="C39" s="116">
        <v>81605</v>
      </c>
      <c r="D39" s="116">
        <v>81605</v>
      </c>
      <c r="E39" s="116">
        <v>81605</v>
      </c>
      <c r="F39" s="116">
        <v>81605</v>
      </c>
      <c r="G39" s="116">
        <v>81605</v>
      </c>
      <c r="H39" s="116">
        <v>81605</v>
      </c>
      <c r="I39" s="116">
        <v>81605</v>
      </c>
      <c r="J39" s="116">
        <v>81605</v>
      </c>
      <c r="K39" s="116">
        <v>81605</v>
      </c>
      <c r="L39" s="116">
        <v>81605</v>
      </c>
      <c r="M39" s="186">
        <v>81605</v>
      </c>
      <c r="N39" s="116">
        <v>81605</v>
      </c>
      <c r="O39" s="117">
        <v>81605</v>
      </c>
      <c r="P39" s="117">
        <v>81605</v>
      </c>
      <c r="Q39" s="117">
        <v>81605</v>
      </c>
      <c r="R39" s="117">
        <v>81605</v>
      </c>
      <c r="S39" s="117">
        <v>81605</v>
      </c>
      <c r="T39" s="117">
        <v>81605</v>
      </c>
      <c r="U39" s="117">
        <v>81605</v>
      </c>
      <c r="V39" s="117">
        <v>81605</v>
      </c>
      <c r="W39" s="117">
        <v>81605</v>
      </c>
      <c r="X39" s="117">
        <v>81605</v>
      </c>
      <c r="Y39" s="117">
        <v>81605</v>
      </c>
    </row>
    <row r="40" spans="1:25" s="5" customFormat="1" thickBot="1" x14ac:dyDescent="0.25">
      <c r="A40" s="237" t="s">
        <v>124</v>
      </c>
      <c r="B40" s="118" t="s">
        <v>107</v>
      </c>
      <c r="C40" s="119"/>
      <c r="D40" s="120">
        <f>D35-B38</f>
        <v>9266.85269376</v>
      </c>
      <c r="E40" s="120">
        <f t="shared" ref="E40:L40" si="21">E35-C38</f>
        <v>7255.5153621200006</v>
      </c>
      <c r="F40" s="120">
        <f t="shared" si="21"/>
        <v>8423.7838547600004</v>
      </c>
      <c r="G40" s="120">
        <f t="shared" si="21"/>
        <v>9021.475509220003</v>
      </c>
      <c r="H40" s="120">
        <f t="shared" si="21"/>
        <v>699.48066699999981</v>
      </c>
      <c r="I40" s="120">
        <f t="shared" si="21"/>
        <v>15133.115559960006</v>
      </c>
      <c r="J40" s="120">
        <f t="shared" si="21"/>
        <v>14973.459645120001</v>
      </c>
      <c r="K40" s="120">
        <f>K35-I38</f>
        <v>1864.7772343600009</v>
      </c>
      <c r="L40" s="120">
        <f t="shared" si="21"/>
        <v>-15372.049113799998</v>
      </c>
      <c r="M40" s="187">
        <f t="shared" ref="M40:R40" si="22">M35-K38</f>
        <v>15227.552396160001</v>
      </c>
      <c r="N40" s="120">
        <f t="shared" si="22"/>
        <v>13949.371834360001</v>
      </c>
      <c r="O40" s="120">
        <f t="shared" si="22"/>
        <v>9025.1167808600039</v>
      </c>
      <c r="P40" s="120">
        <f t="shared" si="22"/>
        <v>-930.54179749999821</v>
      </c>
      <c r="Q40" s="120">
        <f t="shared" si="22"/>
        <v>11386.453083080003</v>
      </c>
      <c r="R40" s="120">
        <f t="shared" si="22"/>
        <v>-25520.687999999998</v>
      </c>
      <c r="S40" s="120">
        <f t="shared" ref="S40:Y40" si="23">S35-Q38</f>
        <v>-24697.439999999999</v>
      </c>
      <c r="T40" s="120">
        <f t="shared" si="23"/>
        <v>-25520.687999999998</v>
      </c>
      <c r="U40" s="120">
        <f>U35-S38</f>
        <v>-24697.439999999999</v>
      </c>
      <c r="V40" s="120">
        <f t="shared" si="23"/>
        <v>-25520.687999999998</v>
      </c>
      <c r="W40" s="120">
        <f t="shared" si="23"/>
        <v>-25520.687999999998</v>
      </c>
      <c r="X40" s="120">
        <f t="shared" si="23"/>
        <v>-24697.439999999999</v>
      </c>
      <c r="Y40" s="120">
        <f t="shared" si="23"/>
        <v>-25520.687999999998</v>
      </c>
    </row>
    <row r="41" spans="1:25" s="5" customFormat="1" thickTop="1" x14ac:dyDescent="0.2">
      <c r="A41" s="170" t="s">
        <v>123</v>
      </c>
      <c r="B41" s="116">
        <f>SUM(B38:B40)</f>
        <v>107125.68799999999</v>
      </c>
      <c r="C41" s="116">
        <f t="shared" ref="C41:L41" si="24">SUM(C38:C40)</f>
        <v>104655.944</v>
      </c>
      <c r="D41" s="116">
        <f t="shared" si="24"/>
        <v>116392.54069375999</v>
      </c>
      <c r="E41" s="116">
        <f t="shared" si="24"/>
        <v>113557.95536212</v>
      </c>
      <c r="F41" s="116">
        <f t="shared" si="24"/>
        <v>115549.47185475999</v>
      </c>
      <c r="G41" s="116">
        <f t="shared" si="24"/>
        <v>115323.91550922001</v>
      </c>
      <c r="H41" s="116">
        <f t="shared" si="24"/>
        <v>107825.16866699999</v>
      </c>
      <c r="I41" s="116">
        <f t="shared" si="24"/>
        <v>122258.80355996</v>
      </c>
      <c r="J41" s="116">
        <f t="shared" si="24"/>
        <v>121275.89964512001</v>
      </c>
      <c r="K41" s="116">
        <f t="shared" si="24"/>
        <v>108990.46523435999</v>
      </c>
      <c r="L41" s="116">
        <f t="shared" si="24"/>
        <v>90930.39088620001</v>
      </c>
      <c r="M41" s="186">
        <f>SUM(M38:M40)</f>
        <v>122353.24039615999</v>
      </c>
      <c r="N41" s="117">
        <f t="shared" ref="N41:Y41" si="25">SUM(N38:N40)</f>
        <v>121075.05983436</v>
      </c>
      <c r="O41" s="117">
        <f t="shared" si="25"/>
        <v>113681.06078086</v>
      </c>
      <c r="P41" s="117">
        <f>SUM(P38:P40)</f>
        <v>106195.14620249999</v>
      </c>
      <c r="Q41" s="221">
        <f>SUM(Q38:Q40)</f>
        <v>117688.89308308001</v>
      </c>
      <c r="R41" s="117">
        <f t="shared" si="25"/>
        <v>81605</v>
      </c>
      <c r="S41" s="117">
        <f t="shared" si="25"/>
        <v>81605</v>
      </c>
      <c r="T41" s="117">
        <f t="shared" si="25"/>
        <v>81605</v>
      </c>
      <c r="U41" s="117">
        <f t="shared" si="25"/>
        <v>82428.247999999992</v>
      </c>
      <c r="V41" s="117">
        <f t="shared" si="25"/>
        <v>80781.752000000008</v>
      </c>
      <c r="W41" s="117">
        <f t="shared" si="25"/>
        <v>81605</v>
      </c>
      <c r="X41" s="117">
        <f t="shared" si="25"/>
        <v>81605</v>
      </c>
      <c r="Y41" s="117">
        <f t="shared" si="25"/>
        <v>81605</v>
      </c>
    </row>
    <row r="42" spans="1:25" s="5" customFormat="1" ht="12" x14ac:dyDescent="0.2">
      <c r="A42" s="170"/>
      <c r="M42" s="143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</row>
    <row r="43" spans="1:25" s="5" customFormat="1" ht="12" x14ac:dyDescent="0.2">
      <c r="A43" s="170" t="s">
        <v>108</v>
      </c>
      <c r="B43" s="121">
        <v>0</v>
      </c>
      <c r="C43" s="121">
        <v>0</v>
      </c>
      <c r="D43" s="121">
        <v>0</v>
      </c>
      <c r="E43" s="121">
        <v>0</v>
      </c>
      <c r="F43" s="121">
        <v>0</v>
      </c>
      <c r="G43" s="121">
        <v>0</v>
      </c>
      <c r="H43" s="121">
        <v>0</v>
      </c>
      <c r="I43" s="121">
        <v>0</v>
      </c>
      <c r="J43" s="121">
        <v>0</v>
      </c>
      <c r="K43" s="121">
        <v>0</v>
      </c>
      <c r="L43" s="121">
        <v>0</v>
      </c>
      <c r="M43" s="188">
        <v>0</v>
      </c>
      <c r="N43" s="122">
        <v>0</v>
      </c>
      <c r="O43" s="122">
        <v>0</v>
      </c>
      <c r="P43" s="122">
        <v>0</v>
      </c>
      <c r="Q43" s="122">
        <v>0</v>
      </c>
      <c r="R43" s="122">
        <v>0</v>
      </c>
      <c r="S43" s="122">
        <v>0</v>
      </c>
      <c r="T43" s="122">
        <v>0</v>
      </c>
      <c r="U43" s="122">
        <v>0</v>
      </c>
      <c r="V43" s="122">
        <v>0</v>
      </c>
      <c r="W43" s="122">
        <v>0</v>
      </c>
      <c r="X43" s="122">
        <v>0</v>
      </c>
      <c r="Y43" s="122">
        <v>0</v>
      </c>
    </row>
    <row r="44" spans="1:25" s="5" customFormat="1" ht="12" x14ac:dyDescent="0.2">
      <c r="A44" s="170"/>
      <c r="M44" s="143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</row>
    <row r="45" spans="1:25" s="5" customFormat="1" ht="12" x14ac:dyDescent="0.2">
      <c r="A45" s="238" t="s">
        <v>109</v>
      </c>
      <c r="B45" s="123">
        <f>B41-B43</f>
        <v>107125.68799999999</v>
      </c>
      <c r="C45" s="123">
        <f t="shared" ref="C45:M45" si="26">C41-C43</f>
        <v>104655.944</v>
      </c>
      <c r="D45" s="123">
        <f t="shared" si="26"/>
        <v>116392.54069375999</v>
      </c>
      <c r="E45" s="123">
        <f>E41-E43</f>
        <v>113557.95536212</v>
      </c>
      <c r="F45" s="123">
        <f t="shared" si="26"/>
        <v>115549.47185475999</v>
      </c>
      <c r="G45" s="123">
        <f t="shared" si="26"/>
        <v>115323.91550922001</v>
      </c>
      <c r="H45" s="123">
        <f t="shared" si="26"/>
        <v>107825.16866699999</v>
      </c>
      <c r="I45" s="123">
        <f t="shared" si="26"/>
        <v>122258.80355996</v>
      </c>
      <c r="J45" s="123">
        <f t="shared" si="26"/>
        <v>121275.89964512001</v>
      </c>
      <c r="K45" s="123">
        <f t="shared" si="26"/>
        <v>108990.46523435999</v>
      </c>
      <c r="L45" s="123">
        <f t="shared" si="26"/>
        <v>90930.39088620001</v>
      </c>
      <c r="M45" s="189">
        <f t="shared" si="26"/>
        <v>122353.24039615999</v>
      </c>
      <c r="N45" s="103">
        <f t="shared" ref="N45:Y45" si="27">N41-N43</f>
        <v>121075.05983436</v>
      </c>
      <c r="O45" s="103">
        <f t="shared" si="27"/>
        <v>113681.06078086</v>
      </c>
      <c r="P45" s="103">
        <f t="shared" si="27"/>
        <v>106195.14620249999</v>
      </c>
      <c r="Q45" s="103">
        <f t="shared" si="27"/>
        <v>117688.89308308001</v>
      </c>
      <c r="R45" s="103">
        <f t="shared" si="27"/>
        <v>81605</v>
      </c>
      <c r="S45" s="103">
        <f t="shared" si="27"/>
        <v>81605</v>
      </c>
      <c r="T45" s="103">
        <f t="shared" si="27"/>
        <v>81605</v>
      </c>
      <c r="U45" s="103">
        <f t="shared" si="27"/>
        <v>82428.247999999992</v>
      </c>
      <c r="V45" s="103">
        <f t="shared" si="27"/>
        <v>80781.752000000008</v>
      </c>
      <c r="W45" s="103">
        <f t="shared" si="27"/>
        <v>81605</v>
      </c>
      <c r="X45" s="103">
        <f t="shared" si="27"/>
        <v>81605</v>
      </c>
      <c r="Y45" s="103">
        <f t="shared" si="27"/>
        <v>81605</v>
      </c>
    </row>
    <row r="46" spans="1:25" s="5" customFormat="1" ht="12" x14ac:dyDescent="0.2">
      <c r="A46" s="82" t="s">
        <v>18</v>
      </c>
    </row>
    <row r="47" spans="1:25" s="5" customFormat="1" ht="12" x14ac:dyDescent="0.2"/>
  </sheetData>
  <mergeCells count="4">
    <mergeCell ref="B5:M5"/>
    <mergeCell ref="N5:Y5"/>
    <mergeCell ref="B20:M20"/>
    <mergeCell ref="N20:Y20"/>
  </mergeCells>
  <phoneticPr fontId="0" type="noConversion"/>
  <pageMargins left="0.5" right="0.5" top="0.5" bottom="0.5" header="0.5" footer="0.5"/>
  <pageSetup scale="75" orientation="landscape" r:id="rId1"/>
  <headerFooter alignWithMargins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Y29"/>
  <sheetViews>
    <sheetView view="pageBreakPreview" zoomScale="90" zoomScaleNormal="90" zoomScaleSheetLayoutView="100" workbookViewId="0">
      <pane xSplit="1" topLeftCell="B1" activePane="topRight" state="frozen"/>
      <selection pane="topRight" activeCell="C19" sqref="C19"/>
    </sheetView>
  </sheetViews>
  <sheetFormatPr defaultRowHeight="12.75" x14ac:dyDescent="0.2"/>
  <cols>
    <col min="1" max="1" width="22" customWidth="1"/>
    <col min="2" max="2" width="15.5703125" bestFit="1" customWidth="1"/>
    <col min="3" max="4" width="13.42578125" bestFit="1" customWidth="1"/>
    <col min="5" max="10" width="13.5703125" bestFit="1" customWidth="1"/>
    <col min="11" max="11" width="12.5703125" bestFit="1" customWidth="1"/>
    <col min="12" max="13" width="12.7109375" customWidth="1"/>
    <col min="14" max="25" width="12" bestFit="1" customWidth="1"/>
  </cols>
  <sheetData>
    <row r="1" spans="1:25" x14ac:dyDescent="0.2">
      <c r="A1" s="1" t="s">
        <v>74</v>
      </c>
    </row>
    <row r="2" spans="1:25" x14ac:dyDescent="0.2">
      <c r="A2" s="1" t="s">
        <v>15</v>
      </c>
    </row>
    <row r="3" spans="1:25" ht="13.5" thickBot="1" x14ac:dyDescent="0.25">
      <c r="A3" s="3">
        <f ca="1">TODAY()</f>
        <v>37340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5" spans="1:25" s="5" customFormat="1" ht="12" x14ac:dyDescent="0.2">
      <c r="B5" s="243">
        <v>2001</v>
      </c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8">
        <v>2002</v>
      </c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50"/>
    </row>
    <row r="6" spans="1:25" s="5" customFormat="1" ht="12" x14ac:dyDescent="0.2">
      <c r="A6" s="170" t="s">
        <v>13</v>
      </c>
      <c r="B6" s="6" t="s">
        <v>0</v>
      </c>
      <c r="C6" s="6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6" t="s">
        <v>6</v>
      </c>
      <c r="I6" s="6" t="s">
        <v>7</v>
      </c>
      <c r="J6" s="6" t="s">
        <v>8</v>
      </c>
      <c r="K6" s="6" t="s">
        <v>9</v>
      </c>
      <c r="L6" s="6" t="s">
        <v>10</v>
      </c>
      <c r="M6" s="6" t="s">
        <v>12</v>
      </c>
      <c r="N6" s="6" t="s">
        <v>0</v>
      </c>
      <c r="O6" s="6" t="s">
        <v>1</v>
      </c>
      <c r="P6" s="6" t="s">
        <v>2</v>
      </c>
      <c r="Q6" s="6" t="s">
        <v>3</v>
      </c>
      <c r="R6" s="6" t="s">
        <v>4</v>
      </c>
      <c r="S6" s="6" t="s">
        <v>5</v>
      </c>
      <c r="T6" s="6" t="s">
        <v>6</v>
      </c>
      <c r="U6" s="6" t="s">
        <v>7</v>
      </c>
      <c r="V6" s="6" t="s">
        <v>8</v>
      </c>
      <c r="W6" s="6" t="s">
        <v>9</v>
      </c>
      <c r="X6" s="6" t="s">
        <v>10</v>
      </c>
      <c r="Y6" s="6" t="s">
        <v>12</v>
      </c>
    </row>
    <row r="7" spans="1:25" s="5" customFormat="1" ht="6" customHeight="1" x14ac:dyDescent="0.2">
      <c r="A7" s="170"/>
      <c r="B7" s="14"/>
    </row>
    <row r="8" spans="1:25" s="9" customFormat="1" ht="12" x14ac:dyDescent="0.2">
      <c r="A8" s="194" t="s">
        <v>38</v>
      </c>
      <c r="B8" s="11">
        <f>B15*B16</f>
        <v>124997.96399999999</v>
      </c>
      <c r="C8" s="11">
        <f t="shared" ref="C8:M8" si="0">C15*C16</f>
        <v>112839.402</v>
      </c>
      <c r="D8" s="11">
        <f t="shared" si="0"/>
        <v>112008.75400000002</v>
      </c>
      <c r="E8" s="11">
        <f t="shared" si="0"/>
        <v>107888.61199999999</v>
      </c>
      <c r="F8" s="11">
        <f t="shared" si="0"/>
        <v>106856.906</v>
      </c>
      <c r="G8" s="11">
        <f t="shared" si="0"/>
        <v>118736.38399999999</v>
      </c>
      <c r="H8" s="11">
        <f t="shared" si="0"/>
        <v>129982.164</v>
      </c>
      <c r="I8" s="11">
        <f t="shared" si="0"/>
        <v>122403.68399999999</v>
      </c>
      <c r="J8" s="11">
        <f t="shared" si="0"/>
        <v>106438.41</v>
      </c>
      <c r="K8" s="11">
        <f t="shared" si="0"/>
        <v>109727.28</v>
      </c>
      <c r="L8" s="11">
        <f t="shared" si="0"/>
        <v>111516.6</v>
      </c>
      <c r="M8" s="11">
        <f t="shared" si="0"/>
        <v>115122.8</v>
      </c>
      <c r="N8" s="11">
        <f>N15*N16</f>
        <v>122868.95400000001</v>
      </c>
      <c r="O8" s="11">
        <f t="shared" ref="O8:Y8" si="1">O15*O16</f>
        <v>119426.83200000001</v>
      </c>
      <c r="P8" s="11">
        <f t="shared" si="1"/>
        <v>0</v>
      </c>
      <c r="Q8" s="11">
        <f t="shared" si="1"/>
        <v>0</v>
      </c>
      <c r="R8" s="11">
        <f t="shared" si="1"/>
        <v>0</v>
      </c>
      <c r="S8" s="11">
        <f t="shared" si="1"/>
        <v>0</v>
      </c>
      <c r="T8" s="11">
        <f t="shared" si="1"/>
        <v>0</v>
      </c>
      <c r="U8" s="11">
        <f t="shared" si="1"/>
        <v>0</v>
      </c>
      <c r="V8" s="11">
        <f t="shared" si="1"/>
        <v>0</v>
      </c>
      <c r="W8" s="11">
        <f t="shared" si="1"/>
        <v>0</v>
      </c>
      <c r="X8" s="11">
        <f t="shared" si="1"/>
        <v>0</v>
      </c>
      <c r="Y8" s="11">
        <f t="shared" si="1"/>
        <v>0</v>
      </c>
    </row>
    <row r="9" spans="1:25" s="9" customFormat="1" ht="12" x14ac:dyDescent="0.2">
      <c r="A9" s="194" t="s">
        <v>14</v>
      </c>
      <c r="B9" s="11">
        <v>66000</v>
      </c>
      <c r="C9" s="11">
        <f>$B$9</f>
        <v>66000</v>
      </c>
      <c r="D9" s="11">
        <f t="shared" ref="D9:Y9" si="2">$B$9</f>
        <v>66000</v>
      </c>
      <c r="E9" s="11">
        <f t="shared" si="2"/>
        <v>66000</v>
      </c>
      <c r="F9" s="11">
        <f t="shared" si="2"/>
        <v>66000</v>
      </c>
      <c r="G9" s="11">
        <f t="shared" si="2"/>
        <v>66000</v>
      </c>
      <c r="H9" s="11">
        <f t="shared" si="2"/>
        <v>66000</v>
      </c>
      <c r="I9" s="11">
        <f t="shared" si="2"/>
        <v>66000</v>
      </c>
      <c r="J9" s="11">
        <f t="shared" si="2"/>
        <v>66000</v>
      </c>
      <c r="K9" s="11">
        <f t="shared" si="2"/>
        <v>66000</v>
      </c>
      <c r="L9" s="11">
        <f t="shared" si="2"/>
        <v>66000</v>
      </c>
      <c r="M9" s="11">
        <f t="shared" si="2"/>
        <v>66000</v>
      </c>
      <c r="N9" s="11">
        <f t="shared" si="2"/>
        <v>66000</v>
      </c>
      <c r="O9" s="11">
        <f t="shared" si="2"/>
        <v>66000</v>
      </c>
      <c r="P9" s="11">
        <f t="shared" si="2"/>
        <v>66000</v>
      </c>
      <c r="Q9" s="11">
        <f t="shared" si="2"/>
        <v>66000</v>
      </c>
      <c r="R9" s="11">
        <f t="shared" si="2"/>
        <v>66000</v>
      </c>
      <c r="S9" s="11">
        <f t="shared" si="2"/>
        <v>66000</v>
      </c>
      <c r="T9" s="11">
        <f t="shared" si="2"/>
        <v>66000</v>
      </c>
      <c r="U9" s="11">
        <f t="shared" si="2"/>
        <v>66000</v>
      </c>
      <c r="V9" s="11">
        <f t="shared" si="2"/>
        <v>66000</v>
      </c>
      <c r="W9" s="11">
        <f t="shared" si="2"/>
        <v>66000</v>
      </c>
      <c r="X9" s="11">
        <f t="shared" si="2"/>
        <v>66000</v>
      </c>
      <c r="Y9" s="11">
        <f t="shared" si="2"/>
        <v>66000</v>
      </c>
    </row>
    <row r="10" spans="1:25" s="9" customFormat="1" ht="12" x14ac:dyDescent="0.2">
      <c r="A10" s="194" t="s">
        <v>33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19333.09</v>
      </c>
      <c r="L10" s="11">
        <v>0</v>
      </c>
      <c r="M10" s="11">
        <v>0</v>
      </c>
      <c r="N10" s="11">
        <v>1864.38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</row>
    <row r="11" spans="1:25" s="9" customFormat="1" ht="12" x14ac:dyDescent="0.2">
      <c r="A11" s="194" t="s">
        <v>16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7391.97</v>
      </c>
      <c r="I11" s="11">
        <v>113563.66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</row>
    <row r="12" spans="1:25" s="9" customFormat="1" ht="12" x14ac:dyDescent="0.2">
      <c r="A12" s="180" t="s">
        <v>11</v>
      </c>
      <c r="B12" s="8">
        <f>SUM(B8:B11)</f>
        <v>190997.96399999998</v>
      </c>
      <c r="C12" s="8">
        <f t="shared" ref="C12:M12" si="3">SUM(C8:C11)</f>
        <v>178839.402</v>
      </c>
      <c r="D12" s="8">
        <f t="shared" si="3"/>
        <v>178008.75400000002</v>
      </c>
      <c r="E12" s="8">
        <f t="shared" si="3"/>
        <v>173888.61199999999</v>
      </c>
      <c r="F12" s="8">
        <f t="shared" si="3"/>
        <v>172856.90600000002</v>
      </c>
      <c r="G12" s="8">
        <f t="shared" si="3"/>
        <v>184736.38399999999</v>
      </c>
      <c r="H12" s="8">
        <f t="shared" si="3"/>
        <v>203374.13399999999</v>
      </c>
      <c r="I12" s="8">
        <f t="shared" si="3"/>
        <v>301967.34400000004</v>
      </c>
      <c r="J12" s="8">
        <f t="shared" si="3"/>
        <v>172438.41</v>
      </c>
      <c r="K12" s="8">
        <f t="shared" si="3"/>
        <v>195060.37</v>
      </c>
      <c r="L12" s="8">
        <f t="shared" si="3"/>
        <v>177516.6</v>
      </c>
      <c r="M12" s="8">
        <f t="shared" si="3"/>
        <v>181122.8</v>
      </c>
      <c r="N12" s="8">
        <f>SUM(N8:N11)</f>
        <v>190733.33400000003</v>
      </c>
      <c r="O12" s="8">
        <f t="shared" ref="O12:Y12" si="4">SUM(O8:O11)</f>
        <v>185426.83199999999</v>
      </c>
      <c r="P12" s="8">
        <f t="shared" si="4"/>
        <v>66000</v>
      </c>
      <c r="Q12" s="8">
        <f t="shared" si="4"/>
        <v>66000</v>
      </c>
      <c r="R12" s="8">
        <f t="shared" si="4"/>
        <v>66000</v>
      </c>
      <c r="S12" s="8">
        <f t="shared" si="4"/>
        <v>66000</v>
      </c>
      <c r="T12" s="8">
        <f t="shared" si="4"/>
        <v>66000</v>
      </c>
      <c r="U12" s="8">
        <f t="shared" si="4"/>
        <v>66000</v>
      </c>
      <c r="V12" s="8">
        <f t="shared" si="4"/>
        <v>66000</v>
      </c>
      <c r="W12" s="8">
        <f t="shared" si="4"/>
        <v>66000</v>
      </c>
      <c r="X12" s="8">
        <f t="shared" si="4"/>
        <v>66000</v>
      </c>
      <c r="Y12" s="8">
        <f t="shared" si="4"/>
        <v>66000</v>
      </c>
    </row>
    <row r="13" spans="1:25" s="5" customFormat="1" ht="12" x14ac:dyDescent="0.2">
      <c r="A13" s="170"/>
      <c r="B13" s="14"/>
    </row>
    <row r="14" spans="1:25" s="5" customFormat="1" ht="12" x14ac:dyDescent="0.2">
      <c r="A14" s="170"/>
      <c r="B14" s="6" t="s">
        <v>0</v>
      </c>
      <c r="C14" s="6" t="s">
        <v>1</v>
      </c>
      <c r="D14" s="6" t="s">
        <v>2</v>
      </c>
      <c r="E14" s="6" t="s">
        <v>3</v>
      </c>
      <c r="F14" s="6" t="s">
        <v>4</v>
      </c>
      <c r="G14" s="6" t="s">
        <v>5</v>
      </c>
      <c r="H14" s="6" t="s">
        <v>6</v>
      </c>
      <c r="I14" s="6" t="s">
        <v>7</v>
      </c>
      <c r="J14" s="6" t="s">
        <v>8</v>
      </c>
      <c r="K14" s="6" t="s">
        <v>9</v>
      </c>
      <c r="L14" s="6" t="s">
        <v>10</v>
      </c>
      <c r="M14" s="6" t="s">
        <v>12</v>
      </c>
      <c r="N14" s="6" t="s">
        <v>0</v>
      </c>
      <c r="O14" s="6" t="s">
        <v>1</v>
      </c>
      <c r="P14" s="6" t="s">
        <v>2</v>
      </c>
      <c r="Q14" s="6" t="s">
        <v>3</v>
      </c>
      <c r="R14" s="6" t="s">
        <v>4</v>
      </c>
      <c r="S14" s="6" t="s">
        <v>5</v>
      </c>
      <c r="T14" s="6" t="s">
        <v>6</v>
      </c>
      <c r="U14" s="6" t="s">
        <v>7</v>
      </c>
      <c r="V14" s="6" t="s">
        <v>8</v>
      </c>
      <c r="W14" s="6" t="s">
        <v>9</v>
      </c>
      <c r="X14" s="6" t="s">
        <v>10</v>
      </c>
      <c r="Y14" s="6" t="s">
        <v>12</v>
      </c>
    </row>
    <row r="15" spans="1:25" s="35" customFormat="1" ht="12" x14ac:dyDescent="0.2">
      <c r="A15" s="194" t="s">
        <v>37</v>
      </c>
      <c r="B15" s="34">
        <v>4807.6139999999996</v>
      </c>
      <c r="C15" s="34">
        <v>4339.9769999999999</v>
      </c>
      <c r="D15" s="34">
        <v>4308.0290000000005</v>
      </c>
      <c r="E15" s="34">
        <v>4149.5619999999999</v>
      </c>
      <c r="F15" s="34">
        <v>4109.8810000000003</v>
      </c>
      <c r="G15" s="34">
        <v>4566.7839999999997</v>
      </c>
      <c r="H15" s="34">
        <v>4999.3140000000003</v>
      </c>
      <c r="I15" s="34">
        <v>4707.8339999999998</v>
      </c>
      <c r="J15" s="34">
        <v>4093.7849999999999</v>
      </c>
      <c r="K15" s="34">
        <v>4220.28</v>
      </c>
      <c r="L15" s="34">
        <v>4289.1000000000004</v>
      </c>
      <c r="M15" s="34">
        <v>4427.8</v>
      </c>
      <c r="N15" s="34">
        <v>4550.7020000000002</v>
      </c>
      <c r="O15" s="34">
        <v>4423.2160000000003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</row>
    <row r="16" spans="1:25" s="23" customFormat="1" ht="12" x14ac:dyDescent="0.2">
      <c r="A16" s="195" t="s">
        <v>36</v>
      </c>
      <c r="B16" s="38">
        <v>26</v>
      </c>
      <c r="C16" s="38">
        <f>$B$16</f>
        <v>26</v>
      </c>
      <c r="D16" s="38">
        <f t="shared" ref="D16:M16" si="5">$B$16</f>
        <v>26</v>
      </c>
      <c r="E16" s="38">
        <f t="shared" si="5"/>
        <v>26</v>
      </c>
      <c r="F16" s="38">
        <f t="shared" si="5"/>
        <v>26</v>
      </c>
      <c r="G16" s="38">
        <f t="shared" si="5"/>
        <v>26</v>
      </c>
      <c r="H16" s="38">
        <f t="shared" si="5"/>
        <v>26</v>
      </c>
      <c r="I16" s="38">
        <f t="shared" si="5"/>
        <v>26</v>
      </c>
      <c r="J16" s="38">
        <f t="shared" si="5"/>
        <v>26</v>
      </c>
      <c r="K16" s="38">
        <f t="shared" si="5"/>
        <v>26</v>
      </c>
      <c r="L16" s="38">
        <f t="shared" si="5"/>
        <v>26</v>
      </c>
      <c r="M16" s="38">
        <f t="shared" si="5"/>
        <v>26</v>
      </c>
      <c r="N16" s="38">
        <v>27</v>
      </c>
      <c r="O16" s="38">
        <v>27</v>
      </c>
      <c r="P16" s="38">
        <v>27</v>
      </c>
      <c r="Q16" s="38">
        <v>27</v>
      </c>
      <c r="R16" s="38">
        <v>27</v>
      </c>
      <c r="S16" s="38">
        <v>27</v>
      </c>
      <c r="T16" s="38">
        <v>27</v>
      </c>
      <c r="U16" s="38">
        <v>27</v>
      </c>
      <c r="V16" s="38">
        <v>27</v>
      </c>
      <c r="W16" s="38">
        <v>27</v>
      </c>
      <c r="X16" s="38">
        <v>27</v>
      </c>
      <c r="Y16" s="38">
        <v>27</v>
      </c>
    </row>
    <row r="17" spans="1:25" s="35" customFormat="1" ht="12" x14ac:dyDescent="0.2">
      <c r="A17" s="194" t="s">
        <v>35</v>
      </c>
      <c r="B17" s="34"/>
      <c r="C17" s="34"/>
      <c r="D17" s="34"/>
      <c r="E17" s="34"/>
      <c r="F17" s="34"/>
      <c r="G17" s="34"/>
      <c r="H17" s="34"/>
      <c r="I17" s="34"/>
      <c r="J17" s="34"/>
      <c r="K17" s="34">
        <v>509</v>
      </c>
      <c r="L17" s="34"/>
      <c r="M17" s="34"/>
      <c r="N17" s="34">
        <v>35</v>
      </c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</row>
    <row r="18" spans="1:25" s="9" customFormat="1" ht="12" x14ac:dyDescent="0.2">
      <c r="A18" s="194" t="s">
        <v>34</v>
      </c>
      <c r="B18" s="11"/>
      <c r="C18" s="11"/>
      <c r="D18" s="11"/>
      <c r="E18" s="11"/>
      <c r="F18" s="11"/>
      <c r="G18" s="11"/>
      <c r="H18" s="11"/>
      <c r="I18" s="11"/>
      <c r="J18" s="11"/>
      <c r="K18" s="11">
        <f>K10/K17</f>
        <v>37.982495088408648</v>
      </c>
      <c r="L18" s="11"/>
      <c r="M18" s="11"/>
      <c r="N18" s="11">
        <f>N10/N17</f>
        <v>53.268000000000001</v>
      </c>
      <c r="O18" s="11"/>
      <c r="P18" s="11" t="e">
        <f t="shared" ref="P18:Y18" si="6">P10/P17</f>
        <v>#DIV/0!</v>
      </c>
      <c r="Q18" s="11" t="e">
        <f t="shared" si="6"/>
        <v>#DIV/0!</v>
      </c>
      <c r="R18" s="11" t="e">
        <f t="shared" si="6"/>
        <v>#DIV/0!</v>
      </c>
      <c r="S18" s="11" t="e">
        <f t="shared" si="6"/>
        <v>#DIV/0!</v>
      </c>
      <c r="T18" s="11" t="e">
        <f t="shared" si="6"/>
        <v>#DIV/0!</v>
      </c>
      <c r="U18" s="11" t="e">
        <f t="shared" si="6"/>
        <v>#DIV/0!</v>
      </c>
      <c r="V18" s="11" t="e">
        <f t="shared" si="6"/>
        <v>#DIV/0!</v>
      </c>
      <c r="W18" s="11" t="e">
        <f t="shared" si="6"/>
        <v>#DIV/0!</v>
      </c>
      <c r="X18" s="11" t="e">
        <f t="shared" si="6"/>
        <v>#DIV/0!</v>
      </c>
      <c r="Y18" s="11" t="e">
        <f t="shared" si="6"/>
        <v>#DIV/0!</v>
      </c>
    </row>
    <row r="19" spans="1:25" s="23" customFormat="1" ht="12" x14ac:dyDescent="0.2">
      <c r="A19" s="26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</row>
    <row r="20" spans="1:25" s="23" customFormat="1" ht="12" x14ac:dyDescent="0.2">
      <c r="A20" s="26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</row>
    <row r="21" spans="1:25" s="23" customFormat="1" ht="12" x14ac:dyDescent="0.2">
      <c r="A21" s="26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</row>
    <row r="25" spans="1:25" x14ac:dyDescent="0.2">
      <c r="I25" s="5" t="s">
        <v>20</v>
      </c>
    </row>
    <row r="26" spans="1:25" x14ac:dyDescent="0.2">
      <c r="I26" s="182" t="s">
        <v>21</v>
      </c>
    </row>
    <row r="27" spans="1:25" x14ac:dyDescent="0.2">
      <c r="I27" s="5" t="s">
        <v>22</v>
      </c>
    </row>
    <row r="28" spans="1:25" x14ac:dyDescent="0.2">
      <c r="I28" s="5" t="s">
        <v>23</v>
      </c>
    </row>
    <row r="29" spans="1:25" x14ac:dyDescent="0.2">
      <c r="I29" s="5" t="s">
        <v>24</v>
      </c>
    </row>
  </sheetData>
  <mergeCells count="2">
    <mergeCell ref="B5:M5"/>
    <mergeCell ref="N5:Y5"/>
  </mergeCells>
  <phoneticPr fontId="0" type="noConversion"/>
  <pageMargins left="0.25" right="0.25" top="0.5" bottom="0.5" header="0.5" footer="0.5"/>
  <pageSetup scale="74" orientation="landscape" r:id="rId1"/>
  <headerFooter alignWithMargins="0"/>
  <colBreaks count="1" manualBreakCount="1">
    <brk id="13" max="51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Y20"/>
  <sheetViews>
    <sheetView view="pageBreakPreview" zoomScale="90" zoomScaleNormal="90" zoomScaleSheetLayoutView="90" workbookViewId="0">
      <pane xSplit="1" topLeftCell="N1" activePane="topRight" state="frozen"/>
      <selection pane="topRight" activeCell="R38" sqref="R38"/>
    </sheetView>
  </sheetViews>
  <sheetFormatPr defaultRowHeight="12.75" x14ac:dyDescent="0.2"/>
  <cols>
    <col min="1" max="1" width="16.7109375" customWidth="1"/>
    <col min="2" max="13" width="12" bestFit="1" customWidth="1"/>
    <col min="14" max="14" width="13" customWidth="1"/>
    <col min="15" max="25" width="12" bestFit="1" customWidth="1"/>
  </cols>
  <sheetData>
    <row r="1" spans="1:25" x14ac:dyDescent="0.2">
      <c r="A1" s="1" t="s">
        <v>73</v>
      </c>
    </row>
    <row r="2" spans="1:25" x14ac:dyDescent="0.2">
      <c r="A2" s="1" t="s">
        <v>30</v>
      </c>
    </row>
    <row r="3" spans="1:25" ht="13.5" thickBot="1" x14ac:dyDescent="0.25">
      <c r="A3" s="3">
        <f ca="1">TODAY()</f>
        <v>37340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5" spans="1:25" x14ac:dyDescent="0.2">
      <c r="A5" s="5"/>
      <c r="B5" s="243">
        <v>2001</v>
      </c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8">
        <v>2002</v>
      </c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50"/>
    </row>
    <row r="6" spans="1:25" x14ac:dyDescent="0.2">
      <c r="A6" s="13" t="s">
        <v>13</v>
      </c>
      <c r="B6" s="6" t="s">
        <v>0</v>
      </c>
      <c r="C6" s="6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6" t="s">
        <v>6</v>
      </c>
      <c r="I6" s="6" t="s">
        <v>7</v>
      </c>
      <c r="J6" s="6" t="s">
        <v>8</v>
      </c>
      <c r="K6" s="6" t="s">
        <v>9</v>
      </c>
      <c r="L6" s="6" t="s">
        <v>10</v>
      </c>
      <c r="M6" s="6" t="s">
        <v>12</v>
      </c>
      <c r="N6" s="6" t="s">
        <v>0</v>
      </c>
      <c r="O6" s="6" t="s">
        <v>1</v>
      </c>
      <c r="P6" s="6" t="s">
        <v>2</v>
      </c>
      <c r="Q6" s="6" t="s">
        <v>3</v>
      </c>
      <c r="R6" s="6" t="s">
        <v>4</v>
      </c>
      <c r="S6" s="6" t="s">
        <v>5</v>
      </c>
      <c r="T6" s="6" t="s">
        <v>6</v>
      </c>
      <c r="U6" s="6" t="s">
        <v>7</v>
      </c>
      <c r="V6" s="6" t="s">
        <v>8</v>
      </c>
      <c r="W6" s="6" t="s">
        <v>9</v>
      </c>
      <c r="X6" s="6" t="s">
        <v>10</v>
      </c>
      <c r="Y6" s="6" t="s">
        <v>12</v>
      </c>
    </row>
    <row r="7" spans="1:25" x14ac:dyDescent="0.2">
      <c r="A7" s="13"/>
      <c r="B7" s="14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25" x14ac:dyDescent="0.2">
      <c r="A8" s="15" t="s">
        <v>32</v>
      </c>
      <c r="B8" s="11">
        <v>118410.44</v>
      </c>
      <c r="C8" s="11">
        <v>106164.54</v>
      </c>
      <c r="D8" s="11">
        <v>120266.04</v>
      </c>
      <c r="E8" s="11">
        <v>123407.64</v>
      </c>
      <c r="F8" s="11">
        <v>126692.04</v>
      </c>
      <c r="G8" s="11">
        <v>132546.84</v>
      </c>
      <c r="H8" s="11">
        <v>135260.04</v>
      </c>
      <c r="I8" s="11">
        <v>143542.44</v>
      </c>
      <c r="J8" s="11">
        <v>139686.84</v>
      </c>
      <c r="K8" s="11">
        <v>148397.64000000001</v>
      </c>
      <c r="L8" s="32">
        <v>139476.92000000001</v>
      </c>
      <c r="M8" s="32">
        <v>139506.20000000001</v>
      </c>
      <c r="N8" s="32">
        <v>132975.24</v>
      </c>
      <c r="O8" s="32">
        <v>122943.54</v>
      </c>
      <c r="P8" s="32">
        <v>0</v>
      </c>
      <c r="Q8" s="32">
        <v>0</v>
      </c>
      <c r="R8" s="32">
        <v>0</v>
      </c>
      <c r="S8" s="32">
        <v>0</v>
      </c>
      <c r="T8" s="32">
        <v>0</v>
      </c>
      <c r="U8" s="32">
        <v>0</v>
      </c>
      <c r="V8" s="32">
        <v>0</v>
      </c>
      <c r="W8" s="32">
        <v>0</v>
      </c>
      <c r="X8" s="32">
        <v>0</v>
      </c>
      <c r="Y8" s="32">
        <v>0</v>
      </c>
    </row>
    <row r="9" spans="1:25" x14ac:dyDescent="0.2">
      <c r="A9" s="15" t="s">
        <v>25</v>
      </c>
      <c r="B9" s="11">
        <v>94.9</v>
      </c>
      <c r="C9" s="11">
        <v>246.45</v>
      </c>
      <c r="D9" s="11">
        <v>1294.8499999999999</v>
      </c>
      <c r="E9" s="11">
        <v>111.45</v>
      </c>
      <c r="F9" s="11">
        <v>103.4</v>
      </c>
      <c r="G9" s="11">
        <v>1598.6</v>
      </c>
      <c r="H9" s="11">
        <v>1581.8</v>
      </c>
      <c r="I9" s="11">
        <v>1180.25</v>
      </c>
      <c r="J9" s="11">
        <v>1197.05</v>
      </c>
      <c r="K9" s="11">
        <v>1153.7</v>
      </c>
      <c r="L9" s="32">
        <v>196.9</v>
      </c>
      <c r="M9" s="32">
        <v>46.9</v>
      </c>
      <c r="N9" s="32">
        <v>3.4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</row>
    <row r="10" spans="1:25" x14ac:dyDescent="0.2">
      <c r="A10" s="15" t="s">
        <v>29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12057</v>
      </c>
      <c r="J10" s="11">
        <v>11733</v>
      </c>
      <c r="K10" s="11">
        <v>12465</v>
      </c>
      <c r="L10" s="32">
        <v>11715</v>
      </c>
      <c r="M10" s="32">
        <v>11718</v>
      </c>
      <c r="N10" s="32">
        <v>18615</v>
      </c>
      <c r="O10" s="32">
        <v>17210</v>
      </c>
      <c r="P10" s="32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</row>
    <row r="11" spans="1:25" x14ac:dyDescent="0.2">
      <c r="A11" s="15" t="s">
        <v>26</v>
      </c>
      <c r="B11" s="11">
        <f t="shared" ref="B11:H11" si="0">(B8+B9)*0.0575</f>
        <v>6814.0570500000003</v>
      </c>
      <c r="C11" s="11">
        <f t="shared" si="0"/>
        <v>6118.6319249999997</v>
      </c>
      <c r="D11" s="11">
        <f t="shared" si="0"/>
        <v>6989.7511750000003</v>
      </c>
      <c r="E11" s="11">
        <f t="shared" si="0"/>
        <v>7102.347675</v>
      </c>
      <c r="F11" s="11">
        <f t="shared" si="0"/>
        <v>7290.7377999999999</v>
      </c>
      <c r="G11" s="11">
        <f t="shared" si="0"/>
        <v>7713.3628000000008</v>
      </c>
      <c r="H11" s="11">
        <f t="shared" si="0"/>
        <v>7868.4058000000005</v>
      </c>
      <c r="I11" s="11">
        <f t="shared" ref="I11:N11" si="1">(I8+I9+I10)*0.0575</f>
        <v>9014.8321750000014</v>
      </c>
      <c r="J11" s="11">
        <f t="shared" si="1"/>
        <v>8775.4711749999988</v>
      </c>
      <c r="K11" s="11">
        <f t="shared" si="1"/>
        <v>9315.9395500000028</v>
      </c>
      <c r="L11" s="11">
        <f t="shared" si="1"/>
        <v>8704.8571500000016</v>
      </c>
      <c r="M11" s="11">
        <f t="shared" si="1"/>
        <v>8698.0882500000007</v>
      </c>
      <c r="N11" s="11">
        <f t="shared" si="1"/>
        <v>8716.6342999999997</v>
      </c>
      <c r="O11" s="11">
        <f t="shared" ref="O11:Y11" si="2">(O8+O9+O10)*0.0575</f>
        <v>8058.8285499999993</v>
      </c>
      <c r="P11" s="11">
        <f t="shared" si="2"/>
        <v>0</v>
      </c>
      <c r="Q11" s="11">
        <f t="shared" si="2"/>
        <v>0</v>
      </c>
      <c r="R11" s="11">
        <f t="shared" si="2"/>
        <v>0</v>
      </c>
      <c r="S11" s="11">
        <f t="shared" si="2"/>
        <v>0</v>
      </c>
      <c r="T11" s="11">
        <f t="shared" si="2"/>
        <v>0</v>
      </c>
      <c r="U11" s="11">
        <f t="shared" si="2"/>
        <v>0</v>
      </c>
      <c r="V11" s="11">
        <f t="shared" si="2"/>
        <v>0</v>
      </c>
      <c r="W11" s="11">
        <f t="shared" si="2"/>
        <v>0</v>
      </c>
      <c r="X11" s="11">
        <f t="shared" si="2"/>
        <v>0</v>
      </c>
      <c r="Y11" s="11">
        <f t="shared" si="2"/>
        <v>0</v>
      </c>
    </row>
    <row r="12" spans="1:25" x14ac:dyDescent="0.2">
      <c r="A12" s="15" t="s">
        <v>119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>
        <v>1999.61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</row>
    <row r="13" spans="1:25" x14ac:dyDescent="0.2">
      <c r="A13" s="7" t="s">
        <v>43</v>
      </c>
      <c r="B13" s="8">
        <f>SUM(B8:B11)</f>
        <v>125319.39705</v>
      </c>
      <c r="C13" s="8">
        <f t="shared" ref="C13:M13" si="3">SUM(C8:C11)</f>
        <v>112529.62192499998</v>
      </c>
      <c r="D13" s="8">
        <f t="shared" si="3"/>
        <v>128550.641175</v>
      </c>
      <c r="E13" s="8">
        <f t="shared" si="3"/>
        <v>130621.43767499999</v>
      </c>
      <c r="F13" s="8">
        <f t="shared" si="3"/>
        <v>134086.17779999998</v>
      </c>
      <c r="G13" s="8">
        <f t="shared" si="3"/>
        <v>141858.8028</v>
      </c>
      <c r="H13" s="8">
        <f t="shared" si="3"/>
        <v>144710.2458</v>
      </c>
      <c r="I13" s="8">
        <f t="shared" si="3"/>
        <v>165794.52217499999</v>
      </c>
      <c r="J13" s="8">
        <f t="shared" si="3"/>
        <v>161392.36117499997</v>
      </c>
      <c r="K13" s="8">
        <f t="shared" si="3"/>
        <v>171332.27955000004</v>
      </c>
      <c r="L13" s="8">
        <f t="shared" si="3"/>
        <v>160093.67715</v>
      </c>
      <c r="M13" s="8">
        <f t="shared" si="3"/>
        <v>159969.18825000001</v>
      </c>
      <c r="N13" s="8">
        <f>SUM(N8:N12)</f>
        <v>162309.88429999998</v>
      </c>
      <c r="O13" s="8">
        <f t="shared" ref="O13:Y13" si="4">SUM(O8:O12)</f>
        <v>148212.36854999998</v>
      </c>
      <c r="P13" s="8">
        <f t="shared" si="4"/>
        <v>0</v>
      </c>
      <c r="Q13" s="8">
        <f t="shared" si="4"/>
        <v>0</v>
      </c>
      <c r="R13" s="8">
        <f t="shared" si="4"/>
        <v>0</v>
      </c>
      <c r="S13" s="8">
        <f t="shared" si="4"/>
        <v>0</v>
      </c>
      <c r="T13" s="8">
        <f t="shared" si="4"/>
        <v>0</v>
      </c>
      <c r="U13" s="8">
        <f t="shared" si="4"/>
        <v>0</v>
      </c>
      <c r="V13" s="8">
        <f t="shared" si="4"/>
        <v>0</v>
      </c>
      <c r="W13" s="8">
        <f t="shared" si="4"/>
        <v>0</v>
      </c>
      <c r="X13" s="8">
        <f t="shared" si="4"/>
        <v>0</v>
      </c>
      <c r="Y13" s="8">
        <f t="shared" si="4"/>
        <v>0</v>
      </c>
    </row>
    <row r="14" spans="1:25" x14ac:dyDescent="0.2">
      <c r="A14" s="13"/>
      <c r="B14" s="1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">
      <c r="A15" s="13"/>
      <c r="B15" s="6" t="s">
        <v>0</v>
      </c>
      <c r="C15" s="6" t="s">
        <v>1</v>
      </c>
      <c r="D15" s="6" t="s">
        <v>2</v>
      </c>
      <c r="E15" s="6" t="s">
        <v>3</v>
      </c>
      <c r="F15" s="6" t="s">
        <v>4</v>
      </c>
      <c r="G15" s="6" t="s">
        <v>5</v>
      </c>
      <c r="H15" s="6" t="s">
        <v>6</v>
      </c>
      <c r="I15" s="6" t="s">
        <v>7</v>
      </c>
      <c r="J15" s="6" t="s">
        <v>8</v>
      </c>
      <c r="K15" s="6" t="s">
        <v>9</v>
      </c>
      <c r="L15" s="6" t="s">
        <v>10</v>
      </c>
      <c r="M15" s="6" t="s">
        <v>12</v>
      </c>
      <c r="N15" s="6" t="s">
        <v>0</v>
      </c>
      <c r="O15" s="6" t="s">
        <v>1</v>
      </c>
      <c r="P15" s="6" t="s">
        <v>2</v>
      </c>
      <c r="Q15" s="6" t="s">
        <v>3</v>
      </c>
      <c r="R15" s="6" t="s">
        <v>4</v>
      </c>
      <c r="S15" s="6" t="s">
        <v>5</v>
      </c>
      <c r="T15" s="6" t="s">
        <v>6</v>
      </c>
      <c r="U15" s="6" t="s">
        <v>7</v>
      </c>
      <c r="V15" s="6" t="s">
        <v>8</v>
      </c>
      <c r="W15" s="6" t="s">
        <v>9</v>
      </c>
      <c r="X15" s="6" t="s">
        <v>10</v>
      </c>
      <c r="Y15" s="6" t="s">
        <v>12</v>
      </c>
    </row>
    <row r="16" spans="1:25" x14ac:dyDescent="0.2">
      <c r="A16" s="27" t="s">
        <v>27</v>
      </c>
      <c r="B16" s="28">
        <v>3259000</v>
      </c>
      <c r="C16" s="28">
        <v>2972000</v>
      </c>
      <c r="D16" s="28">
        <v>3367000</v>
      </c>
      <c r="E16" s="28">
        <v>3455000</v>
      </c>
      <c r="F16" s="28">
        <v>3547000</v>
      </c>
      <c r="G16" s="28">
        <v>3711000</v>
      </c>
      <c r="H16" s="28">
        <v>3787000</v>
      </c>
      <c r="I16" s="28">
        <v>4019000</v>
      </c>
      <c r="J16" s="28">
        <v>3911000</v>
      </c>
      <c r="K16" s="28">
        <v>4155000</v>
      </c>
      <c r="L16" s="28">
        <v>3905000</v>
      </c>
      <c r="M16" s="28">
        <v>3906000</v>
      </c>
      <c r="N16" s="28">
        <v>3723000</v>
      </c>
      <c r="O16" s="28">
        <v>3442000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</row>
    <row r="17" spans="1:25" x14ac:dyDescent="0.2">
      <c r="A17" s="22" t="s">
        <v>28</v>
      </c>
      <c r="B17" s="29">
        <f t="shared" ref="B17:N17" si="5">B8/B16</f>
        <v>3.6333366063209575E-2</v>
      </c>
      <c r="C17" s="29">
        <f>C8/C16</f>
        <v>3.5721581426648719E-2</v>
      </c>
      <c r="D17" s="29">
        <f t="shared" si="5"/>
        <v>3.5719049599049597E-2</v>
      </c>
      <c r="E17" s="29">
        <f t="shared" si="5"/>
        <v>3.5718564399421129E-2</v>
      </c>
      <c r="F17" s="29">
        <f t="shared" si="5"/>
        <v>3.5718082886946716E-2</v>
      </c>
      <c r="G17" s="29">
        <f t="shared" si="5"/>
        <v>3.5717283751010506E-2</v>
      </c>
      <c r="H17" s="29">
        <f t="shared" si="5"/>
        <v>3.5716936889358335E-2</v>
      </c>
      <c r="I17" s="29">
        <f t="shared" si="5"/>
        <v>3.5715959193829312E-2</v>
      </c>
      <c r="J17" s="29">
        <f t="shared" si="5"/>
        <v>3.5716399897724363E-2</v>
      </c>
      <c r="K17" s="29">
        <f t="shared" si="5"/>
        <v>3.5715436823104699E-2</v>
      </c>
      <c r="L17" s="29">
        <f t="shared" si="5"/>
        <v>3.5717521126760569E-2</v>
      </c>
      <c r="M17" s="29">
        <f t="shared" si="5"/>
        <v>3.571587301587302E-2</v>
      </c>
      <c r="N17" s="29">
        <f t="shared" si="5"/>
        <v>3.5717228041901687E-2</v>
      </c>
      <c r="O17" s="29">
        <f t="shared" ref="O17:Y17" si="6">O8/O16</f>
        <v>3.5718634514816966E-2</v>
      </c>
      <c r="P17" s="29" t="e">
        <f t="shared" si="6"/>
        <v>#DIV/0!</v>
      </c>
      <c r="Q17" s="29" t="e">
        <f t="shared" si="6"/>
        <v>#DIV/0!</v>
      </c>
      <c r="R17" s="29" t="e">
        <f t="shared" si="6"/>
        <v>#DIV/0!</v>
      </c>
      <c r="S17" s="29" t="e">
        <f t="shared" si="6"/>
        <v>#DIV/0!</v>
      </c>
      <c r="T17" s="29" t="e">
        <f t="shared" si="6"/>
        <v>#DIV/0!</v>
      </c>
      <c r="U17" s="29" t="e">
        <f t="shared" si="6"/>
        <v>#DIV/0!</v>
      </c>
      <c r="V17" s="29" t="e">
        <f t="shared" si="6"/>
        <v>#DIV/0!</v>
      </c>
      <c r="W17" s="29" t="e">
        <f t="shared" si="6"/>
        <v>#DIV/0!</v>
      </c>
      <c r="X17" s="29" t="e">
        <f t="shared" si="6"/>
        <v>#DIV/0!</v>
      </c>
      <c r="Y17" s="29" t="e">
        <f t="shared" si="6"/>
        <v>#DIV/0!</v>
      </c>
    </row>
    <row r="18" spans="1:25" x14ac:dyDescent="0.2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spans="1:25" x14ac:dyDescent="0.2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1:25" x14ac:dyDescent="0.2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</sheetData>
  <mergeCells count="2">
    <mergeCell ref="B5:M5"/>
    <mergeCell ref="N5:Y5"/>
  </mergeCells>
  <phoneticPr fontId="0" type="noConversion"/>
  <pageMargins left="0.5" right="0.5" top="0.75" bottom="0.5" header="0.5" footer="0.5"/>
  <pageSetup scale="80" orientation="landscape" r:id="rId1"/>
  <headerFooter alignWithMargins="0"/>
  <colBreaks count="1" manualBreakCount="1">
    <brk id="13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33"/>
  <sheetViews>
    <sheetView zoomScale="90" zoomScaleNormal="90" zoomScaleSheetLayoutView="90" workbookViewId="0">
      <pane xSplit="1" topLeftCell="N1" activePane="topRight" state="frozen"/>
      <selection pane="topRight" activeCell="S38" sqref="S38"/>
    </sheetView>
  </sheetViews>
  <sheetFormatPr defaultRowHeight="12.75" x14ac:dyDescent="0.2"/>
  <cols>
    <col min="1" max="1" width="20.7109375" customWidth="1"/>
    <col min="2" max="3" width="14.42578125" bestFit="1" customWidth="1"/>
    <col min="4" max="4" width="14" bestFit="1" customWidth="1"/>
    <col min="5" max="5" width="14.42578125" bestFit="1" customWidth="1"/>
    <col min="6" max="6" width="13.28515625" bestFit="1" customWidth="1"/>
    <col min="7" max="7" width="14" bestFit="1" customWidth="1"/>
    <col min="8" max="8" width="14.85546875" bestFit="1" customWidth="1"/>
    <col min="9" max="9" width="14.42578125" bestFit="1" customWidth="1"/>
    <col min="10" max="10" width="12.85546875" bestFit="1" customWidth="1"/>
    <col min="11" max="13" width="14.42578125" bestFit="1" customWidth="1"/>
    <col min="14" max="25" width="13.7109375" customWidth="1"/>
  </cols>
  <sheetData>
    <row r="1" spans="1:25" x14ac:dyDescent="0.2">
      <c r="A1" s="1" t="s">
        <v>46</v>
      </c>
      <c r="F1" s="5"/>
      <c r="G1" s="5"/>
    </row>
    <row r="2" spans="1:25" x14ac:dyDescent="0.2">
      <c r="A2" s="1" t="s">
        <v>126</v>
      </c>
      <c r="F2" s="5">
        <f>0.005+0.05878</f>
        <v>6.3780000000000003E-2</v>
      </c>
      <c r="G2" s="5">
        <f>F2-0.0615</f>
        <v>2.2800000000000042E-3</v>
      </c>
    </row>
    <row r="3" spans="1:25" ht="13.5" thickBot="1" x14ac:dyDescent="0.25">
      <c r="A3" s="3">
        <v>37271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5" spans="1:25" x14ac:dyDescent="0.2">
      <c r="A5" s="5"/>
      <c r="B5" s="243">
        <v>2001</v>
      </c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8">
        <v>2002</v>
      </c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50"/>
    </row>
    <row r="6" spans="1:25" x14ac:dyDescent="0.2">
      <c r="A6" s="170" t="s">
        <v>13</v>
      </c>
      <c r="B6" s="6" t="s">
        <v>0</v>
      </c>
      <c r="C6" s="6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6" t="s">
        <v>6</v>
      </c>
      <c r="I6" s="6" t="s">
        <v>7</v>
      </c>
      <c r="J6" s="6" t="s">
        <v>8</v>
      </c>
      <c r="K6" s="6" t="s">
        <v>9</v>
      </c>
      <c r="L6" s="6" t="s">
        <v>10</v>
      </c>
      <c r="M6" s="6" t="s">
        <v>12</v>
      </c>
      <c r="N6" s="6" t="s">
        <v>0</v>
      </c>
      <c r="O6" s="6" t="s">
        <v>1</v>
      </c>
      <c r="P6" s="6" t="s">
        <v>2</v>
      </c>
      <c r="Q6" s="6" t="s">
        <v>3</v>
      </c>
      <c r="R6" s="6" t="s">
        <v>4</v>
      </c>
      <c r="S6" s="6" t="s">
        <v>5</v>
      </c>
      <c r="T6" s="6" t="s">
        <v>6</v>
      </c>
      <c r="U6" s="6" t="s">
        <v>7</v>
      </c>
      <c r="V6" s="6" t="s">
        <v>8</v>
      </c>
      <c r="W6" s="6" t="s">
        <v>9</v>
      </c>
      <c r="X6" s="6" t="s">
        <v>10</v>
      </c>
      <c r="Y6" s="6" t="s">
        <v>12</v>
      </c>
    </row>
    <row r="7" spans="1:25" x14ac:dyDescent="0.2">
      <c r="A7" s="170"/>
      <c r="B7" s="1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">
      <c r="A8" s="168" t="s">
        <v>47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spans="1:25" x14ac:dyDescent="0.2">
      <c r="A9" s="167" t="s">
        <v>51</v>
      </c>
      <c r="B9" s="24">
        <f>B25*B26</f>
        <v>48145.24</v>
      </c>
      <c r="C9" s="24">
        <f t="shared" ref="C9:N9" si="0">C25*C26</f>
        <v>45079.68</v>
      </c>
      <c r="D9" s="24">
        <f t="shared" si="0"/>
        <v>62684.499999999993</v>
      </c>
      <c r="E9" s="24">
        <f t="shared" si="0"/>
        <v>60221.42</v>
      </c>
      <c r="F9" s="24">
        <f t="shared" si="0"/>
        <v>73148.159999999989</v>
      </c>
      <c r="G9" s="24">
        <f t="shared" si="0"/>
        <v>44060.78</v>
      </c>
      <c r="H9" s="24">
        <f t="shared" si="0"/>
        <v>61408.659999999996</v>
      </c>
      <c r="I9" s="24">
        <f t="shared" si="0"/>
        <v>70259.799999999988</v>
      </c>
      <c r="J9" s="24">
        <f t="shared" si="0"/>
        <v>168.33999999999997</v>
      </c>
      <c r="K9" s="24">
        <f t="shared" si="0"/>
        <v>49164.14</v>
      </c>
      <c r="L9" s="24">
        <f t="shared" si="0"/>
        <v>65661.459999999992</v>
      </c>
      <c r="M9" s="24">
        <f t="shared" si="0"/>
        <v>47117.479999999996</v>
      </c>
      <c r="N9" s="24">
        <f t="shared" si="0"/>
        <v>8860</v>
      </c>
      <c r="O9" s="24">
        <f t="shared" ref="O9:Y9" si="1">O25*O26</f>
        <v>73148.159999999989</v>
      </c>
      <c r="P9" s="24">
        <f t="shared" si="1"/>
        <v>0</v>
      </c>
      <c r="Q9" s="24">
        <f t="shared" si="1"/>
        <v>0</v>
      </c>
      <c r="R9" s="24">
        <f t="shared" si="1"/>
        <v>0</v>
      </c>
      <c r="S9" s="24">
        <f t="shared" si="1"/>
        <v>0</v>
      </c>
      <c r="T9" s="24">
        <f t="shared" si="1"/>
        <v>0</v>
      </c>
      <c r="U9" s="24">
        <f t="shared" si="1"/>
        <v>0</v>
      </c>
      <c r="V9" s="24">
        <f t="shared" si="1"/>
        <v>0</v>
      </c>
      <c r="W9" s="24">
        <f t="shared" si="1"/>
        <v>0</v>
      </c>
      <c r="X9" s="24">
        <f t="shared" si="1"/>
        <v>0</v>
      </c>
      <c r="Y9" s="24">
        <f t="shared" si="1"/>
        <v>0</v>
      </c>
    </row>
    <row r="10" spans="1:25" x14ac:dyDescent="0.2">
      <c r="A10" s="167" t="s">
        <v>48</v>
      </c>
      <c r="B10" s="71">
        <f>B27*B28</f>
        <v>22706.3</v>
      </c>
      <c r="C10" s="71">
        <f t="shared" ref="C10:N10" si="2">C27*C28</f>
        <v>24602.400000000001</v>
      </c>
      <c r="D10" s="71">
        <f t="shared" si="2"/>
        <v>25664.350000000002</v>
      </c>
      <c r="E10" s="71">
        <f t="shared" si="2"/>
        <v>22736.45</v>
      </c>
      <c r="F10" s="71">
        <f t="shared" si="2"/>
        <v>29138.3</v>
      </c>
      <c r="G10" s="71">
        <f t="shared" si="2"/>
        <v>28173.5</v>
      </c>
      <c r="H10" s="71">
        <f t="shared" si="2"/>
        <v>27530.3</v>
      </c>
      <c r="I10" s="71">
        <f t="shared" si="2"/>
        <v>26692.799999999999</v>
      </c>
      <c r="J10" s="71">
        <f t="shared" si="2"/>
        <v>26498.5</v>
      </c>
      <c r="K10" s="71">
        <f t="shared" si="2"/>
        <v>31258.850000000002</v>
      </c>
      <c r="L10" s="71">
        <f t="shared" si="2"/>
        <v>30552</v>
      </c>
      <c r="M10" s="71">
        <f t="shared" si="2"/>
        <v>20455.100000000002</v>
      </c>
      <c r="N10" s="71">
        <f t="shared" si="2"/>
        <v>26565.5</v>
      </c>
      <c r="O10" s="71">
        <f t="shared" ref="O10:Y10" si="3">O27*O28</f>
        <v>27657.600000000002</v>
      </c>
      <c r="P10" s="71">
        <f t="shared" si="3"/>
        <v>0</v>
      </c>
      <c r="Q10" s="71">
        <f t="shared" si="3"/>
        <v>0</v>
      </c>
      <c r="R10" s="71">
        <f t="shared" si="3"/>
        <v>0</v>
      </c>
      <c r="S10" s="71">
        <f t="shared" si="3"/>
        <v>0</v>
      </c>
      <c r="T10" s="71">
        <f t="shared" si="3"/>
        <v>0</v>
      </c>
      <c r="U10" s="71">
        <f t="shared" si="3"/>
        <v>0</v>
      </c>
      <c r="V10" s="71">
        <f t="shared" si="3"/>
        <v>0</v>
      </c>
      <c r="W10" s="71">
        <f t="shared" si="3"/>
        <v>0</v>
      </c>
      <c r="X10" s="71">
        <f t="shared" si="3"/>
        <v>0</v>
      </c>
      <c r="Y10" s="71">
        <f t="shared" si="3"/>
        <v>0</v>
      </c>
    </row>
    <row r="11" spans="1:25" s="20" customFormat="1" x14ac:dyDescent="0.2">
      <c r="A11" s="167" t="s">
        <v>127</v>
      </c>
      <c r="B11" s="24">
        <f>B9+B10</f>
        <v>70851.539999999994</v>
      </c>
      <c r="C11" s="24">
        <f t="shared" ref="C11:M11" si="4">C9+C10</f>
        <v>69682.080000000002</v>
      </c>
      <c r="D11" s="24">
        <f t="shared" si="4"/>
        <v>88348.849999999991</v>
      </c>
      <c r="E11" s="24">
        <f t="shared" si="4"/>
        <v>82957.87</v>
      </c>
      <c r="F11" s="24">
        <f t="shared" si="4"/>
        <v>102286.45999999999</v>
      </c>
      <c r="G11" s="24">
        <f t="shared" si="4"/>
        <v>72234.28</v>
      </c>
      <c r="H11" s="24">
        <f t="shared" si="4"/>
        <v>88938.959999999992</v>
      </c>
      <c r="I11" s="24">
        <f t="shared" si="4"/>
        <v>96952.599999999991</v>
      </c>
      <c r="J11" s="24">
        <f t="shared" si="4"/>
        <v>26666.84</v>
      </c>
      <c r="K11" s="24">
        <f t="shared" si="4"/>
        <v>80422.990000000005</v>
      </c>
      <c r="L11" s="24">
        <f t="shared" si="4"/>
        <v>96213.459999999992</v>
      </c>
      <c r="M11" s="24">
        <f t="shared" si="4"/>
        <v>67572.58</v>
      </c>
      <c r="N11" s="24">
        <f>N9+N10</f>
        <v>35425.5</v>
      </c>
      <c r="O11" s="24">
        <f t="shared" ref="O11:Y11" si="5">O9+O10</f>
        <v>100805.75999999999</v>
      </c>
      <c r="P11" s="24">
        <f t="shared" si="5"/>
        <v>0</v>
      </c>
      <c r="Q11" s="24">
        <f t="shared" si="5"/>
        <v>0</v>
      </c>
      <c r="R11" s="24">
        <f t="shared" si="5"/>
        <v>0</v>
      </c>
      <c r="S11" s="24">
        <f t="shared" si="5"/>
        <v>0</v>
      </c>
      <c r="T11" s="24">
        <f t="shared" si="5"/>
        <v>0</v>
      </c>
      <c r="U11" s="24">
        <f t="shared" si="5"/>
        <v>0</v>
      </c>
      <c r="V11" s="24">
        <f t="shared" si="5"/>
        <v>0</v>
      </c>
      <c r="W11" s="24">
        <f t="shared" si="5"/>
        <v>0</v>
      </c>
      <c r="X11" s="24">
        <f t="shared" si="5"/>
        <v>0</v>
      </c>
      <c r="Y11" s="24">
        <f t="shared" si="5"/>
        <v>0</v>
      </c>
    </row>
    <row r="12" spans="1:25" x14ac:dyDescent="0.2">
      <c r="A12" s="168" t="s">
        <v>50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 spans="1:25" x14ac:dyDescent="0.2">
      <c r="A13" s="167" t="s">
        <v>51</v>
      </c>
      <c r="B13" s="24">
        <f>B30*B31</f>
        <v>70930.295039999997</v>
      </c>
      <c r="C13" s="24">
        <v>61793.563480000004</v>
      </c>
      <c r="D13" s="24">
        <v>69211.314039999997</v>
      </c>
      <c r="E13" s="24">
        <v>68751.414380000002</v>
      </c>
      <c r="F13" s="24">
        <v>53461.792999999998</v>
      </c>
      <c r="G13" s="24">
        <v>81212.784840000008</v>
      </c>
      <c r="H13" s="24">
        <v>82565.820479999995</v>
      </c>
      <c r="I13" s="24">
        <v>55837.782440000003</v>
      </c>
      <c r="J13" s="24">
        <v>19014.069800000001</v>
      </c>
      <c r="K13" s="24">
        <v>83083.904640000008</v>
      </c>
      <c r="L13" s="24">
        <v>78799.182440000004</v>
      </c>
      <c r="M13" s="24">
        <v>70437.405939999997</v>
      </c>
      <c r="N13" s="24">
        <f>N30*N31</f>
        <v>50138.247499999998</v>
      </c>
      <c r="O13" s="24">
        <f>O30*O31</f>
        <v>70216.367320000005</v>
      </c>
      <c r="P13" s="24">
        <f t="shared" ref="P13:Y13" si="6">P30*P31</f>
        <v>0</v>
      </c>
      <c r="Q13" s="24">
        <f t="shared" si="6"/>
        <v>0</v>
      </c>
      <c r="R13" s="24">
        <f t="shared" si="6"/>
        <v>0</v>
      </c>
      <c r="S13" s="24">
        <f t="shared" si="6"/>
        <v>0</v>
      </c>
      <c r="T13" s="24">
        <f t="shared" si="6"/>
        <v>0</v>
      </c>
      <c r="U13" s="24">
        <f t="shared" si="6"/>
        <v>0</v>
      </c>
      <c r="V13" s="24">
        <f t="shared" si="6"/>
        <v>0</v>
      </c>
      <c r="W13" s="24">
        <f t="shared" si="6"/>
        <v>0</v>
      </c>
      <c r="X13" s="24">
        <f t="shared" si="6"/>
        <v>0</v>
      </c>
      <c r="Y13" s="24">
        <f t="shared" si="6"/>
        <v>0</v>
      </c>
    </row>
    <row r="14" spans="1:25" x14ac:dyDescent="0.2">
      <c r="A14" s="167" t="s">
        <v>49</v>
      </c>
      <c r="B14" s="71">
        <f>B32*B33</f>
        <v>20434.464</v>
      </c>
      <c r="C14" s="71">
        <v>17802.242999999999</v>
      </c>
      <c r="D14" s="71">
        <v>19939.238999999998</v>
      </c>
      <c r="E14" s="71">
        <v>19806.745499999997</v>
      </c>
      <c r="F14" s="71">
        <v>15401.924999999999</v>
      </c>
      <c r="G14" s="71">
        <v>23396.768999999997</v>
      </c>
      <c r="H14" s="71">
        <v>23786.567999999999</v>
      </c>
      <c r="I14" s="71">
        <v>16086.428999999998</v>
      </c>
      <c r="J14" s="71">
        <v>5477.8049999999994</v>
      </c>
      <c r="K14" s="71">
        <v>23935.823999999997</v>
      </c>
      <c r="L14" s="71">
        <v>22701.429</v>
      </c>
      <c r="M14" s="71">
        <v>20292.466499999999</v>
      </c>
      <c r="N14" s="71">
        <f>N32*N33</f>
        <v>14444.437499999998</v>
      </c>
      <c r="O14" s="71">
        <f t="shared" ref="O14:Y14" si="7">O32*O33</f>
        <v>20228.787</v>
      </c>
      <c r="P14" s="71">
        <f t="shared" si="7"/>
        <v>0</v>
      </c>
      <c r="Q14" s="71">
        <f t="shared" si="7"/>
        <v>0</v>
      </c>
      <c r="R14" s="71">
        <f t="shared" si="7"/>
        <v>0</v>
      </c>
      <c r="S14" s="71">
        <f t="shared" si="7"/>
        <v>0</v>
      </c>
      <c r="T14" s="71">
        <f t="shared" si="7"/>
        <v>0</v>
      </c>
      <c r="U14" s="71">
        <f t="shared" si="7"/>
        <v>0</v>
      </c>
      <c r="V14" s="71">
        <f t="shared" si="7"/>
        <v>0</v>
      </c>
      <c r="W14" s="71">
        <f t="shared" si="7"/>
        <v>0</v>
      </c>
      <c r="X14" s="71">
        <f t="shared" si="7"/>
        <v>0</v>
      </c>
      <c r="Y14" s="71">
        <f t="shared" si="7"/>
        <v>0</v>
      </c>
    </row>
    <row r="15" spans="1:25" s="20" customFormat="1" x14ac:dyDescent="0.2">
      <c r="A15" s="173" t="s">
        <v>128</v>
      </c>
      <c r="B15" s="16">
        <f>B13+B14</f>
        <v>91364.759040000004</v>
      </c>
      <c r="C15" s="16">
        <f t="shared" ref="C15:N15" si="8">C13+C14</f>
        <v>79595.806479999999</v>
      </c>
      <c r="D15" s="16">
        <f t="shared" si="8"/>
        <v>89150.553039999999</v>
      </c>
      <c r="E15" s="16">
        <f t="shared" si="8"/>
        <v>88558.159879999992</v>
      </c>
      <c r="F15" s="16">
        <f t="shared" si="8"/>
        <v>68863.717999999993</v>
      </c>
      <c r="G15" s="16">
        <f t="shared" si="8"/>
        <v>104609.55384000001</v>
      </c>
      <c r="H15" s="16">
        <f t="shared" si="8"/>
        <v>106352.38847999999</v>
      </c>
      <c r="I15" s="16">
        <f t="shared" si="8"/>
        <v>71924.211439999999</v>
      </c>
      <c r="J15" s="16">
        <f t="shared" si="8"/>
        <v>24491.874800000001</v>
      </c>
      <c r="K15" s="16">
        <f t="shared" si="8"/>
        <v>107019.72864</v>
      </c>
      <c r="L15" s="16">
        <f t="shared" si="8"/>
        <v>101500.61144000001</v>
      </c>
      <c r="M15" s="16">
        <f t="shared" si="8"/>
        <v>90729.872439999992</v>
      </c>
      <c r="N15" s="16">
        <f t="shared" si="8"/>
        <v>64582.684999999998</v>
      </c>
      <c r="O15" s="16">
        <f t="shared" ref="O15:Y15" si="9">O13+O14</f>
        <v>90445.154320000001</v>
      </c>
      <c r="P15" s="16">
        <f t="shared" si="9"/>
        <v>0</v>
      </c>
      <c r="Q15" s="16">
        <f t="shared" si="9"/>
        <v>0</v>
      </c>
      <c r="R15" s="16">
        <f t="shared" si="9"/>
        <v>0</v>
      </c>
      <c r="S15" s="16">
        <f t="shared" si="9"/>
        <v>0</v>
      </c>
      <c r="T15" s="16">
        <f t="shared" si="9"/>
        <v>0</v>
      </c>
      <c r="U15" s="16">
        <f t="shared" si="9"/>
        <v>0</v>
      </c>
      <c r="V15" s="16">
        <f t="shared" si="9"/>
        <v>0</v>
      </c>
      <c r="W15" s="16">
        <f t="shared" si="9"/>
        <v>0</v>
      </c>
      <c r="X15" s="16">
        <f t="shared" si="9"/>
        <v>0</v>
      </c>
      <c r="Y15" s="16">
        <f t="shared" si="9"/>
        <v>0</v>
      </c>
    </row>
    <row r="16" spans="1:25" s="20" customFormat="1" ht="13.5" thickBot="1" x14ac:dyDescent="0.25">
      <c r="A16" s="171" t="s">
        <v>11</v>
      </c>
      <c r="B16" s="165">
        <f>B11+B15</f>
        <v>162216.29904000001</v>
      </c>
      <c r="C16" s="165">
        <f t="shared" ref="C16:N16" si="10">C11+C15</f>
        <v>149277.88647999999</v>
      </c>
      <c r="D16" s="165">
        <f t="shared" si="10"/>
        <v>177499.40304</v>
      </c>
      <c r="E16" s="165">
        <f t="shared" si="10"/>
        <v>171516.02987999999</v>
      </c>
      <c r="F16" s="165">
        <f t="shared" si="10"/>
        <v>171150.17799999999</v>
      </c>
      <c r="G16" s="165">
        <f t="shared" si="10"/>
        <v>176843.83384000001</v>
      </c>
      <c r="H16" s="165">
        <f t="shared" si="10"/>
        <v>195291.34847999999</v>
      </c>
      <c r="I16" s="165">
        <f t="shared" si="10"/>
        <v>168876.81143999999</v>
      </c>
      <c r="J16" s="165">
        <f t="shared" si="10"/>
        <v>51158.714800000002</v>
      </c>
      <c r="K16" s="165">
        <f t="shared" si="10"/>
        <v>187442.71864000001</v>
      </c>
      <c r="L16" s="165">
        <f t="shared" si="10"/>
        <v>197714.07144</v>
      </c>
      <c r="M16" s="165">
        <f t="shared" si="10"/>
        <v>158302.45243999999</v>
      </c>
      <c r="N16" s="165">
        <f t="shared" si="10"/>
        <v>100008.185</v>
      </c>
      <c r="O16" s="165">
        <f t="shared" ref="O16:Y16" si="11">O11+O15</f>
        <v>191250.91431999998</v>
      </c>
      <c r="P16" s="165">
        <f t="shared" si="11"/>
        <v>0</v>
      </c>
      <c r="Q16" s="165">
        <f t="shared" si="11"/>
        <v>0</v>
      </c>
      <c r="R16" s="165">
        <f t="shared" si="11"/>
        <v>0</v>
      </c>
      <c r="S16" s="165">
        <f t="shared" si="11"/>
        <v>0</v>
      </c>
      <c r="T16" s="165">
        <f t="shared" si="11"/>
        <v>0</v>
      </c>
      <c r="U16" s="165">
        <f t="shared" si="11"/>
        <v>0</v>
      </c>
      <c r="V16" s="165">
        <f t="shared" si="11"/>
        <v>0</v>
      </c>
      <c r="W16" s="165">
        <f t="shared" si="11"/>
        <v>0</v>
      </c>
      <c r="X16" s="165">
        <f t="shared" si="11"/>
        <v>0</v>
      </c>
      <c r="Y16" s="165">
        <f t="shared" si="11"/>
        <v>0</v>
      </c>
    </row>
    <row r="17" spans="1:25" s="44" customFormat="1" ht="13.5" thickTop="1" x14ac:dyDescent="0.2">
      <c r="A17" s="173" t="s">
        <v>60</v>
      </c>
      <c r="B17" s="16">
        <f>B16*0.005</f>
        <v>811.08149520000006</v>
      </c>
      <c r="C17" s="16">
        <f t="shared" ref="C17:N17" si="12">C16*0.005</f>
        <v>746.38943239999992</v>
      </c>
      <c r="D17" s="16">
        <f t="shared" si="12"/>
        <v>887.49701520000008</v>
      </c>
      <c r="E17" s="16">
        <f t="shared" si="12"/>
        <v>857.58014939999998</v>
      </c>
      <c r="F17" s="16">
        <f t="shared" si="12"/>
        <v>855.75088999999991</v>
      </c>
      <c r="G17" s="16">
        <f t="shared" si="12"/>
        <v>884.21916920000001</v>
      </c>
      <c r="H17" s="16">
        <f t="shared" si="12"/>
        <v>976.45674239999994</v>
      </c>
      <c r="I17" s="16">
        <f t="shared" si="12"/>
        <v>844.38405719999992</v>
      </c>
      <c r="J17" s="16">
        <f t="shared" si="12"/>
        <v>255.79357400000001</v>
      </c>
      <c r="K17" s="16">
        <f t="shared" si="12"/>
        <v>937.2135932000001</v>
      </c>
      <c r="L17" s="16">
        <f t="shared" si="12"/>
        <v>988.57035719999999</v>
      </c>
      <c r="M17" s="16">
        <f t="shared" si="12"/>
        <v>791.51226220000001</v>
      </c>
      <c r="N17" s="16">
        <f t="shared" si="12"/>
        <v>500.04092500000002</v>
      </c>
      <c r="O17" s="16">
        <f t="shared" ref="O17:Y17" si="13">O16*0.005</f>
        <v>956.25457159999996</v>
      </c>
      <c r="P17" s="16">
        <f t="shared" si="13"/>
        <v>0</v>
      </c>
      <c r="Q17" s="16">
        <f t="shared" si="13"/>
        <v>0</v>
      </c>
      <c r="R17" s="16">
        <f t="shared" si="13"/>
        <v>0</v>
      </c>
      <c r="S17" s="16">
        <f t="shared" si="13"/>
        <v>0</v>
      </c>
      <c r="T17" s="16">
        <f t="shared" si="13"/>
        <v>0</v>
      </c>
      <c r="U17" s="16">
        <f t="shared" si="13"/>
        <v>0</v>
      </c>
      <c r="V17" s="16">
        <f t="shared" si="13"/>
        <v>0</v>
      </c>
      <c r="W17" s="16">
        <f t="shared" si="13"/>
        <v>0</v>
      </c>
      <c r="X17" s="16">
        <f t="shared" si="13"/>
        <v>0</v>
      </c>
      <c r="Y17" s="16">
        <f t="shared" si="13"/>
        <v>0</v>
      </c>
    </row>
    <row r="18" spans="1:25" s="44" customFormat="1" ht="13.5" thickBot="1" x14ac:dyDescent="0.25">
      <c r="A18" s="171" t="s">
        <v>11</v>
      </c>
      <c r="B18" s="165">
        <f>B16+B17</f>
        <v>163027.38053520001</v>
      </c>
      <c r="C18" s="165">
        <f t="shared" ref="C18:Y18" si="14">C16+C17</f>
        <v>150024.27591239999</v>
      </c>
      <c r="D18" s="165">
        <f t="shared" si="14"/>
        <v>178386.90005520001</v>
      </c>
      <c r="E18" s="165">
        <f t="shared" si="14"/>
        <v>172373.61002939998</v>
      </c>
      <c r="F18" s="165">
        <f t="shared" si="14"/>
        <v>172005.92888999998</v>
      </c>
      <c r="G18" s="165">
        <f t="shared" si="14"/>
        <v>177728.0530092</v>
      </c>
      <c r="H18" s="165">
        <f t="shared" si="14"/>
        <v>196267.8052224</v>
      </c>
      <c r="I18" s="165">
        <f t="shared" si="14"/>
        <v>169721.19549719998</v>
      </c>
      <c r="J18" s="165">
        <f t="shared" si="14"/>
        <v>51414.508374000005</v>
      </c>
      <c r="K18" s="165">
        <f t="shared" si="14"/>
        <v>188379.9322332</v>
      </c>
      <c r="L18" s="165">
        <f t="shared" si="14"/>
        <v>198702.64179719999</v>
      </c>
      <c r="M18" s="165">
        <f t="shared" si="14"/>
        <v>159093.9647022</v>
      </c>
      <c r="N18" s="165">
        <f t="shared" si="14"/>
        <v>100508.22592499999</v>
      </c>
      <c r="O18" s="165">
        <f t="shared" si="14"/>
        <v>192207.16889159998</v>
      </c>
      <c r="P18" s="165">
        <f t="shared" si="14"/>
        <v>0</v>
      </c>
      <c r="Q18" s="165">
        <f t="shared" si="14"/>
        <v>0</v>
      </c>
      <c r="R18" s="165">
        <f t="shared" si="14"/>
        <v>0</v>
      </c>
      <c r="S18" s="165">
        <f t="shared" si="14"/>
        <v>0</v>
      </c>
      <c r="T18" s="165">
        <f t="shared" si="14"/>
        <v>0</v>
      </c>
      <c r="U18" s="165">
        <f t="shared" si="14"/>
        <v>0</v>
      </c>
      <c r="V18" s="165">
        <f t="shared" si="14"/>
        <v>0</v>
      </c>
      <c r="W18" s="165">
        <f t="shared" si="14"/>
        <v>0</v>
      </c>
      <c r="X18" s="165">
        <f t="shared" si="14"/>
        <v>0</v>
      </c>
      <c r="Y18" s="165">
        <f t="shared" si="14"/>
        <v>0</v>
      </c>
    </row>
    <row r="19" spans="1:25" ht="13.5" thickTop="1" x14ac:dyDescent="0.2">
      <c r="A19" s="173" t="s">
        <v>59</v>
      </c>
      <c r="B19" s="16">
        <f t="shared" ref="B19:N19" si="15">B18*0.05875</f>
        <v>9577.8586064430001</v>
      </c>
      <c r="C19" s="16">
        <f t="shared" si="15"/>
        <v>8813.9262098534982</v>
      </c>
      <c r="D19" s="16">
        <f t="shared" si="15"/>
        <v>10480.230378242999</v>
      </c>
      <c r="E19" s="16">
        <f t="shared" si="15"/>
        <v>10126.949589227248</v>
      </c>
      <c r="F19" s="16">
        <f t="shared" si="15"/>
        <v>10105.348322287498</v>
      </c>
      <c r="G19" s="16">
        <f t="shared" si="15"/>
        <v>10441.5231142905</v>
      </c>
      <c r="H19" s="16">
        <f t="shared" si="15"/>
        <v>11530.733556816</v>
      </c>
      <c r="I19" s="16">
        <f t="shared" si="15"/>
        <v>9971.1202354604975</v>
      </c>
      <c r="J19" s="16">
        <f t="shared" si="15"/>
        <v>3020.6023669725</v>
      </c>
      <c r="K19" s="16">
        <f t="shared" si="15"/>
        <v>11067.321018700499</v>
      </c>
      <c r="L19" s="16">
        <f t="shared" si="15"/>
        <v>11673.780205585499</v>
      </c>
      <c r="M19" s="16">
        <f t="shared" si="15"/>
        <v>9346.7704262542502</v>
      </c>
      <c r="N19" s="16">
        <f t="shared" si="15"/>
        <v>5904.8582730937487</v>
      </c>
      <c r="O19" s="16">
        <f>O18*0.06125</f>
        <v>11772.6890946105</v>
      </c>
      <c r="P19" s="16">
        <f t="shared" ref="P19:Y19" si="16">SUM(P16:P17)*0.05875</f>
        <v>0</v>
      </c>
      <c r="Q19" s="16">
        <f t="shared" si="16"/>
        <v>0</v>
      </c>
      <c r="R19" s="16">
        <f t="shared" si="16"/>
        <v>0</v>
      </c>
      <c r="S19" s="16">
        <f t="shared" si="16"/>
        <v>0</v>
      </c>
      <c r="T19" s="16">
        <f t="shared" si="16"/>
        <v>0</v>
      </c>
      <c r="U19" s="16">
        <f t="shared" si="16"/>
        <v>0</v>
      </c>
      <c r="V19" s="16">
        <f t="shared" si="16"/>
        <v>0</v>
      </c>
      <c r="W19" s="16">
        <f t="shared" si="16"/>
        <v>0</v>
      </c>
      <c r="X19" s="16">
        <f t="shared" si="16"/>
        <v>0</v>
      </c>
      <c r="Y19" s="16">
        <f t="shared" si="16"/>
        <v>0</v>
      </c>
    </row>
    <row r="20" spans="1:25" ht="13.5" thickBot="1" x14ac:dyDescent="0.25">
      <c r="A20" s="181" t="s">
        <v>61</v>
      </c>
      <c r="B20" s="197">
        <f t="shared" ref="B20:O20" si="17">SUM(B18:B19)</f>
        <v>172605.23914164302</v>
      </c>
      <c r="C20" s="197">
        <f t="shared" si="17"/>
        <v>158838.20212225348</v>
      </c>
      <c r="D20" s="197">
        <f t="shared" si="17"/>
        <v>188867.130433443</v>
      </c>
      <c r="E20" s="197">
        <f t="shared" si="17"/>
        <v>182500.55961862722</v>
      </c>
      <c r="F20" s="197">
        <f t="shared" si="17"/>
        <v>182111.27721228747</v>
      </c>
      <c r="G20" s="197">
        <f t="shared" si="17"/>
        <v>188169.57612349049</v>
      </c>
      <c r="H20" s="197">
        <f t="shared" si="17"/>
        <v>207798.538779216</v>
      </c>
      <c r="I20" s="197">
        <f t="shared" si="17"/>
        <v>179692.31573266047</v>
      </c>
      <c r="J20" s="197">
        <f t="shared" si="17"/>
        <v>54435.110740972508</v>
      </c>
      <c r="K20" s="197">
        <f t="shared" si="17"/>
        <v>199447.25325190049</v>
      </c>
      <c r="L20" s="197">
        <f t="shared" si="17"/>
        <v>210376.42200278549</v>
      </c>
      <c r="M20" s="197">
        <f t="shared" si="17"/>
        <v>168440.73512845425</v>
      </c>
      <c r="N20" s="197">
        <f t="shared" si="17"/>
        <v>106413.08419809374</v>
      </c>
      <c r="O20" s="197">
        <f t="shared" si="17"/>
        <v>203979.8579862105</v>
      </c>
      <c r="P20" s="197">
        <f t="shared" ref="P20:Y20" si="18">SUM(P16:P19)</f>
        <v>0</v>
      </c>
      <c r="Q20" s="197">
        <f t="shared" si="18"/>
        <v>0</v>
      </c>
      <c r="R20" s="197">
        <f t="shared" si="18"/>
        <v>0</v>
      </c>
      <c r="S20" s="197">
        <f t="shared" si="18"/>
        <v>0</v>
      </c>
      <c r="T20" s="197">
        <f t="shared" si="18"/>
        <v>0</v>
      </c>
      <c r="U20" s="197">
        <f t="shared" si="18"/>
        <v>0</v>
      </c>
      <c r="V20" s="197">
        <f t="shared" si="18"/>
        <v>0</v>
      </c>
      <c r="W20" s="197">
        <f t="shared" si="18"/>
        <v>0</v>
      </c>
      <c r="X20" s="197">
        <f t="shared" si="18"/>
        <v>0</v>
      </c>
      <c r="Y20" s="197">
        <f t="shared" si="18"/>
        <v>0</v>
      </c>
    </row>
    <row r="21" spans="1:25" s="43" customFormat="1" x14ac:dyDescent="0.2">
      <c r="A21" s="173" t="s">
        <v>129</v>
      </c>
      <c r="B21" s="196">
        <f t="shared" ref="B21:Y21" si="19">B20/B31</f>
        <v>3.8010469769962821E-2</v>
      </c>
      <c r="C21" s="196">
        <f t="shared" si="19"/>
        <v>4.0150665820601408E-2</v>
      </c>
      <c r="D21" s="196">
        <f t="shared" si="19"/>
        <v>4.2624600013595984E-2</v>
      </c>
      <c r="E21" s="196">
        <f t="shared" si="19"/>
        <v>4.1463274129706088E-2</v>
      </c>
      <c r="F21" s="196">
        <f t="shared" si="19"/>
        <v>5.32076832899325E-2</v>
      </c>
      <c r="G21" s="196">
        <f t="shared" si="19"/>
        <v>3.6191454151456005E-2</v>
      </c>
      <c r="H21" s="196">
        <f t="shared" si="19"/>
        <v>3.9311826090526046E-2</v>
      </c>
      <c r="I21" s="196">
        <f t="shared" si="19"/>
        <v>5.0266931262182062E-2</v>
      </c>
      <c r="J21" s="196">
        <f t="shared" si="19"/>
        <v>4.4718276450946372E-2</v>
      </c>
      <c r="K21" s="196">
        <f t="shared" si="19"/>
        <v>3.7496625962555215E-2</v>
      </c>
      <c r="L21" s="196">
        <f t="shared" si="19"/>
        <v>4.1701951846843416E-2</v>
      </c>
      <c r="M21" s="196">
        <f t="shared" si="19"/>
        <v>3.735294120495624E-2</v>
      </c>
      <c r="N21" s="196">
        <f t="shared" si="19"/>
        <v>3.3151784476994815E-2</v>
      </c>
      <c r="O21" s="196">
        <f>O20/O31</f>
        <v>4.5376391621403063E-2</v>
      </c>
      <c r="P21" s="196" t="e">
        <f t="shared" si="19"/>
        <v>#DIV/0!</v>
      </c>
      <c r="Q21" s="196" t="e">
        <f t="shared" si="19"/>
        <v>#DIV/0!</v>
      </c>
      <c r="R21" s="196" t="e">
        <f t="shared" si="19"/>
        <v>#DIV/0!</v>
      </c>
      <c r="S21" s="196" t="e">
        <f t="shared" si="19"/>
        <v>#DIV/0!</v>
      </c>
      <c r="T21" s="196" t="e">
        <f t="shared" si="19"/>
        <v>#DIV/0!</v>
      </c>
      <c r="U21" s="196" t="e">
        <f t="shared" si="19"/>
        <v>#DIV/0!</v>
      </c>
      <c r="V21" s="196" t="e">
        <f t="shared" si="19"/>
        <v>#DIV/0!</v>
      </c>
      <c r="W21" s="196" t="e">
        <f t="shared" si="19"/>
        <v>#DIV/0!</v>
      </c>
      <c r="X21" s="196" t="e">
        <f t="shared" si="19"/>
        <v>#DIV/0!</v>
      </c>
      <c r="Y21" s="196" t="e">
        <f t="shared" si="19"/>
        <v>#DIV/0!</v>
      </c>
    </row>
    <row r="22" spans="1:25" s="44" customFormat="1" x14ac:dyDescent="0.2">
      <c r="A22" s="171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x14ac:dyDescent="0.2">
      <c r="A23" s="167" t="s">
        <v>13</v>
      </c>
      <c r="B23" s="6" t="s">
        <v>0</v>
      </c>
      <c r="C23" s="6" t="s">
        <v>1</v>
      </c>
      <c r="D23" s="6" t="s">
        <v>2</v>
      </c>
      <c r="E23" s="6" t="s">
        <v>3</v>
      </c>
      <c r="F23" s="6" t="s">
        <v>4</v>
      </c>
      <c r="G23" s="6" t="s">
        <v>5</v>
      </c>
      <c r="H23" s="6" t="s">
        <v>6</v>
      </c>
      <c r="I23" s="6" t="s">
        <v>7</v>
      </c>
      <c r="J23" s="6" t="s">
        <v>8</v>
      </c>
      <c r="K23" s="6" t="s">
        <v>9</v>
      </c>
      <c r="L23" s="6" t="s">
        <v>10</v>
      </c>
      <c r="M23" s="6" t="s">
        <v>12</v>
      </c>
      <c r="N23" s="6" t="s">
        <v>0</v>
      </c>
      <c r="O23" s="6" t="s">
        <v>1</v>
      </c>
      <c r="P23" s="6" t="s">
        <v>2</v>
      </c>
      <c r="Q23" s="6" t="s">
        <v>3</v>
      </c>
      <c r="R23" s="6" t="s">
        <v>4</v>
      </c>
      <c r="S23" s="6" t="s">
        <v>5</v>
      </c>
      <c r="T23" s="6" t="s">
        <v>6</v>
      </c>
      <c r="U23" s="6" t="s">
        <v>7</v>
      </c>
      <c r="V23" s="6" t="s">
        <v>8</v>
      </c>
      <c r="W23" s="6" t="s">
        <v>9</v>
      </c>
      <c r="X23" s="6" t="s">
        <v>10</v>
      </c>
      <c r="Y23" s="6" t="s">
        <v>12</v>
      </c>
    </row>
    <row r="24" spans="1:25" x14ac:dyDescent="0.2">
      <c r="A24" s="168" t="s">
        <v>47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 spans="1:25" x14ac:dyDescent="0.2">
      <c r="A25" s="167" t="s">
        <v>52</v>
      </c>
      <c r="B25" s="24">
        <v>8.86</v>
      </c>
      <c r="C25" s="24">
        <v>8.86</v>
      </c>
      <c r="D25" s="24">
        <v>8.86</v>
      </c>
      <c r="E25" s="24">
        <v>8.86</v>
      </c>
      <c r="F25" s="24">
        <v>8.86</v>
      </c>
      <c r="G25" s="24">
        <v>8.86</v>
      </c>
      <c r="H25" s="24">
        <v>8.86</v>
      </c>
      <c r="I25" s="24">
        <v>8.86</v>
      </c>
      <c r="J25" s="24">
        <v>8.86</v>
      </c>
      <c r="K25" s="24">
        <v>8.86</v>
      </c>
      <c r="L25" s="24">
        <v>8.86</v>
      </c>
      <c r="M25" s="24">
        <v>8.86</v>
      </c>
      <c r="N25" s="24">
        <v>8.86</v>
      </c>
      <c r="O25" s="24">
        <v>8.86</v>
      </c>
      <c r="P25" s="24">
        <v>8.86</v>
      </c>
      <c r="Q25" s="24">
        <v>8.86</v>
      </c>
      <c r="R25" s="24">
        <v>8.86</v>
      </c>
      <c r="S25" s="24">
        <v>8.86</v>
      </c>
      <c r="T25" s="24">
        <v>8.86</v>
      </c>
      <c r="U25" s="24">
        <v>8.86</v>
      </c>
      <c r="V25" s="24">
        <v>8.86</v>
      </c>
      <c r="W25" s="24">
        <v>8.86</v>
      </c>
      <c r="X25" s="24">
        <v>8.86</v>
      </c>
      <c r="Y25" s="24">
        <v>8.86</v>
      </c>
    </row>
    <row r="26" spans="1:25" x14ac:dyDescent="0.2">
      <c r="A26" s="167" t="s">
        <v>53</v>
      </c>
      <c r="B26" s="12">
        <v>5434</v>
      </c>
      <c r="C26" s="12">
        <v>5088</v>
      </c>
      <c r="D26" s="12">
        <v>7075</v>
      </c>
      <c r="E26" s="12">
        <v>6797</v>
      </c>
      <c r="F26" s="12">
        <v>8256</v>
      </c>
      <c r="G26" s="12">
        <v>4973</v>
      </c>
      <c r="H26" s="12">
        <v>6931</v>
      </c>
      <c r="I26" s="12">
        <v>7930</v>
      </c>
      <c r="J26" s="12">
        <v>19</v>
      </c>
      <c r="K26" s="12">
        <v>5549</v>
      </c>
      <c r="L26" s="12">
        <v>7411</v>
      </c>
      <c r="M26" s="12">
        <v>5318</v>
      </c>
      <c r="N26" s="12">
        <v>1000</v>
      </c>
      <c r="O26" s="12">
        <v>8256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</row>
    <row r="27" spans="1:25" x14ac:dyDescent="0.2">
      <c r="A27" s="167" t="s">
        <v>57</v>
      </c>
      <c r="B27" s="24">
        <v>3.35</v>
      </c>
      <c r="C27" s="24">
        <v>3.35</v>
      </c>
      <c r="D27" s="24">
        <v>3.35</v>
      </c>
      <c r="E27" s="24">
        <v>3.35</v>
      </c>
      <c r="F27" s="24">
        <v>3.35</v>
      </c>
      <c r="G27" s="24">
        <v>3.35</v>
      </c>
      <c r="H27" s="24">
        <v>3.35</v>
      </c>
      <c r="I27" s="24">
        <v>3.35</v>
      </c>
      <c r="J27" s="24">
        <v>3.35</v>
      </c>
      <c r="K27" s="24">
        <v>3.35</v>
      </c>
      <c r="L27" s="24">
        <v>3.35</v>
      </c>
      <c r="M27" s="24">
        <v>3.35</v>
      </c>
      <c r="N27" s="24">
        <v>3.35</v>
      </c>
      <c r="O27" s="24">
        <v>3.35</v>
      </c>
      <c r="P27" s="24">
        <v>3.35</v>
      </c>
      <c r="Q27" s="24">
        <v>3.35</v>
      </c>
      <c r="R27" s="24">
        <v>3.35</v>
      </c>
      <c r="S27" s="24">
        <v>3.35</v>
      </c>
      <c r="T27" s="24">
        <v>3.35</v>
      </c>
      <c r="U27" s="24">
        <v>3.35</v>
      </c>
      <c r="V27" s="24">
        <v>3.35</v>
      </c>
      <c r="W27" s="24">
        <v>3.35</v>
      </c>
      <c r="X27" s="24">
        <v>3.35</v>
      </c>
      <c r="Y27" s="24">
        <v>3.35</v>
      </c>
    </row>
    <row r="28" spans="1:25" x14ac:dyDescent="0.2">
      <c r="A28" s="167" t="s">
        <v>58</v>
      </c>
      <c r="B28" s="12">
        <v>6778</v>
      </c>
      <c r="C28" s="12">
        <v>7344</v>
      </c>
      <c r="D28" s="12">
        <v>7661</v>
      </c>
      <c r="E28" s="12">
        <v>6787</v>
      </c>
      <c r="F28" s="12">
        <v>8698</v>
      </c>
      <c r="G28" s="12">
        <v>8410</v>
      </c>
      <c r="H28" s="12">
        <v>8218</v>
      </c>
      <c r="I28" s="12">
        <v>7968</v>
      </c>
      <c r="J28" s="12">
        <v>7910</v>
      </c>
      <c r="K28" s="12">
        <v>9331</v>
      </c>
      <c r="L28" s="12">
        <v>9120</v>
      </c>
      <c r="M28" s="12">
        <v>6106</v>
      </c>
      <c r="N28" s="12">
        <v>7930</v>
      </c>
      <c r="O28" s="12">
        <v>8256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</row>
    <row r="29" spans="1:25" x14ac:dyDescent="0.2">
      <c r="A29" s="168" t="s">
        <v>50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</row>
    <row r="30" spans="1:25" x14ac:dyDescent="0.2">
      <c r="A30" s="167" t="s">
        <v>52</v>
      </c>
      <c r="B30" s="30">
        <v>1.562E-2</v>
      </c>
      <c r="C30" s="30">
        <v>1.562E-2</v>
      </c>
      <c r="D30" s="30">
        <v>1.562E-2</v>
      </c>
      <c r="E30" s="30">
        <v>1.562E-2</v>
      </c>
      <c r="F30" s="30">
        <v>1.562E-2</v>
      </c>
      <c r="G30" s="30">
        <v>1.562E-2</v>
      </c>
      <c r="H30" s="30">
        <v>1.562E-2</v>
      </c>
      <c r="I30" s="30">
        <v>1.562E-2</v>
      </c>
      <c r="J30" s="30">
        <v>1.562E-2</v>
      </c>
      <c r="K30" s="30">
        <v>1.562E-2</v>
      </c>
      <c r="L30" s="30">
        <v>1.562E-2</v>
      </c>
      <c r="M30" s="30">
        <v>1.562E-2</v>
      </c>
      <c r="N30" s="30">
        <v>1.562E-2</v>
      </c>
      <c r="O30" s="30">
        <v>1.562E-2</v>
      </c>
      <c r="P30" s="30">
        <v>1.562E-2</v>
      </c>
      <c r="Q30" s="30">
        <v>1.562E-2</v>
      </c>
      <c r="R30" s="30">
        <v>1.562E-2</v>
      </c>
      <c r="S30" s="30">
        <v>1.562E-2</v>
      </c>
      <c r="T30" s="30">
        <v>1.562E-2</v>
      </c>
      <c r="U30" s="30">
        <v>1.562E-2</v>
      </c>
      <c r="V30" s="30">
        <v>1.562E-2</v>
      </c>
      <c r="W30" s="30">
        <v>1.562E-2</v>
      </c>
      <c r="X30" s="30">
        <v>1.562E-2</v>
      </c>
      <c r="Y30" s="30">
        <v>1.562E-2</v>
      </c>
    </row>
    <row r="31" spans="1:25" x14ac:dyDescent="0.2">
      <c r="A31" s="167" t="s">
        <v>54</v>
      </c>
      <c r="B31" s="12">
        <v>4540992</v>
      </c>
      <c r="C31" s="12">
        <v>3956054</v>
      </c>
      <c r="D31" s="12">
        <v>4430942</v>
      </c>
      <c r="E31" s="12">
        <v>4401499</v>
      </c>
      <c r="F31" s="12">
        <v>3422650</v>
      </c>
      <c r="G31" s="12">
        <v>5199282</v>
      </c>
      <c r="H31" s="12">
        <v>5285904</v>
      </c>
      <c r="I31" s="12">
        <v>3574762</v>
      </c>
      <c r="J31" s="12">
        <v>1217290</v>
      </c>
      <c r="K31" s="12">
        <v>5319072</v>
      </c>
      <c r="L31" s="12">
        <v>5044762</v>
      </c>
      <c r="M31" s="12">
        <v>4509437</v>
      </c>
      <c r="N31" s="12">
        <v>3209875</v>
      </c>
      <c r="O31" s="12">
        <v>4495286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</row>
    <row r="32" spans="1:25" x14ac:dyDescent="0.2">
      <c r="A32" s="167" t="s">
        <v>55</v>
      </c>
      <c r="B32" s="30">
        <v>4.4999999999999997E-3</v>
      </c>
      <c r="C32" s="30">
        <v>4.4999999999999997E-3</v>
      </c>
      <c r="D32" s="30">
        <v>4.4999999999999997E-3</v>
      </c>
      <c r="E32" s="30">
        <v>4.4999999999999997E-3</v>
      </c>
      <c r="F32" s="30">
        <v>4.4999999999999997E-3</v>
      </c>
      <c r="G32" s="30">
        <v>4.4999999999999997E-3</v>
      </c>
      <c r="H32" s="30">
        <v>4.4999999999999997E-3</v>
      </c>
      <c r="I32" s="30">
        <v>4.4999999999999997E-3</v>
      </c>
      <c r="J32" s="30">
        <v>4.4999999999999997E-3</v>
      </c>
      <c r="K32" s="30">
        <v>4.4999999999999997E-3</v>
      </c>
      <c r="L32" s="30">
        <v>4.4999999999999997E-3</v>
      </c>
      <c r="M32" s="30">
        <v>4.4999999999999997E-3</v>
      </c>
      <c r="N32" s="30">
        <v>4.4999999999999997E-3</v>
      </c>
      <c r="O32" s="30">
        <v>4.4999999999999997E-3</v>
      </c>
      <c r="P32" s="30">
        <v>4.4999999999999997E-3</v>
      </c>
      <c r="Q32" s="30">
        <v>4.4999999999999997E-3</v>
      </c>
      <c r="R32" s="30">
        <v>4.4999999999999997E-3</v>
      </c>
      <c r="S32" s="30">
        <v>4.4999999999999997E-3</v>
      </c>
      <c r="T32" s="30">
        <v>4.4999999999999997E-3</v>
      </c>
      <c r="U32" s="30">
        <v>4.4999999999999997E-3</v>
      </c>
      <c r="V32" s="30">
        <v>4.4999999999999997E-3</v>
      </c>
      <c r="W32" s="30">
        <v>4.4999999999999997E-3</v>
      </c>
      <c r="X32" s="30">
        <v>4.4999999999999997E-3</v>
      </c>
      <c r="Y32" s="30">
        <v>4.4999999999999997E-3</v>
      </c>
    </row>
    <row r="33" spans="1:25" x14ac:dyDescent="0.2">
      <c r="A33" s="167" t="s">
        <v>56</v>
      </c>
      <c r="B33" s="12">
        <f>B31</f>
        <v>4540992</v>
      </c>
      <c r="C33" s="12">
        <f t="shared" ref="C33:M33" si="20">C31</f>
        <v>3956054</v>
      </c>
      <c r="D33" s="12">
        <f t="shared" si="20"/>
        <v>4430942</v>
      </c>
      <c r="E33" s="12">
        <f t="shared" si="20"/>
        <v>4401499</v>
      </c>
      <c r="F33" s="12">
        <f t="shared" si="20"/>
        <v>3422650</v>
      </c>
      <c r="G33" s="12">
        <f t="shared" si="20"/>
        <v>5199282</v>
      </c>
      <c r="H33" s="12">
        <f t="shared" si="20"/>
        <v>5285904</v>
      </c>
      <c r="I33" s="12">
        <f t="shared" si="20"/>
        <v>3574762</v>
      </c>
      <c r="J33" s="12">
        <f t="shared" si="20"/>
        <v>1217290</v>
      </c>
      <c r="K33" s="12">
        <f t="shared" si="20"/>
        <v>5319072</v>
      </c>
      <c r="L33" s="12">
        <f t="shared" si="20"/>
        <v>5044762</v>
      </c>
      <c r="M33" s="12">
        <f t="shared" si="20"/>
        <v>4509437</v>
      </c>
      <c r="N33" s="12">
        <f t="shared" ref="N33:Y33" si="21">N31</f>
        <v>3209875</v>
      </c>
      <c r="O33" s="12">
        <f t="shared" si="21"/>
        <v>4495286</v>
      </c>
      <c r="P33" s="12">
        <f t="shared" si="21"/>
        <v>0</v>
      </c>
      <c r="Q33" s="12">
        <f t="shared" si="21"/>
        <v>0</v>
      </c>
      <c r="R33" s="12">
        <f t="shared" si="21"/>
        <v>0</v>
      </c>
      <c r="S33" s="12">
        <f t="shared" si="21"/>
        <v>0</v>
      </c>
      <c r="T33" s="12">
        <f t="shared" si="21"/>
        <v>0</v>
      </c>
      <c r="U33" s="12">
        <f t="shared" si="21"/>
        <v>0</v>
      </c>
      <c r="V33" s="12">
        <f t="shared" si="21"/>
        <v>0</v>
      </c>
      <c r="W33" s="12">
        <f t="shared" si="21"/>
        <v>0</v>
      </c>
      <c r="X33" s="12">
        <f t="shared" si="21"/>
        <v>0</v>
      </c>
      <c r="Y33" s="12">
        <f t="shared" si="21"/>
        <v>0</v>
      </c>
    </row>
  </sheetData>
  <mergeCells count="2">
    <mergeCell ref="B5:M5"/>
    <mergeCell ref="N5:Y5"/>
  </mergeCells>
  <phoneticPr fontId="0" type="noConversion"/>
  <pageMargins left="0.5" right="0.5" top="0.5" bottom="0.5" header="0.5" footer="0.5"/>
  <pageSetup scale="66" orientation="landscape" r:id="rId1"/>
  <headerFooter alignWithMargins="0"/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05"/>
  <sheetViews>
    <sheetView zoomScale="95" zoomScaleNormal="100" workbookViewId="0">
      <pane ySplit="2" topLeftCell="A51" activePane="bottomLeft" state="frozen"/>
      <selection pane="bottomLeft" activeCell="A4" sqref="A4"/>
    </sheetView>
  </sheetViews>
  <sheetFormatPr defaultRowHeight="12.75" x14ac:dyDescent="0.2"/>
  <cols>
    <col min="1" max="1" width="12.5703125" customWidth="1"/>
    <col min="2" max="2" width="10.42578125" customWidth="1"/>
    <col min="3" max="3" width="2.7109375" customWidth="1"/>
    <col min="4" max="5" width="12.7109375" customWidth="1"/>
    <col min="6" max="6" width="2.7109375" customWidth="1"/>
    <col min="7" max="7" width="8.7109375" customWidth="1"/>
    <col min="8" max="8" width="13.7109375" customWidth="1"/>
    <col min="9" max="10" width="2.7109375" customWidth="1"/>
    <col min="11" max="11" width="10.5703125" style="63" customWidth="1"/>
    <col min="12" max="12" width="13.7109375" style="64" customWidth="1"/>
  </cols>
  <sheetData>
    <row r="1" spans="1:12" x14ac:dyDescent="0.2">
      <c r="A1" s="254" t="s">
        <v>40</v>
      </c>
      <c r="B1" s="254"/>
      <c r="C1" s="77"/>
      <c r="D1" s="254" t="s">
        <v>41</v>
      </c>
      <c r="E1" s="254"/>
      <c r="F1" s="77"/>
      <c r="G1" s="254" t="s">
        <v>97</v>
      </c>
      <c r="H1" s="254"/>
      <c r="I1" s="53"/>
      <c r="J1" s="67"/>
      <c r="K1" s="251" t="s">
        <v>81</v>
      </c>
      <c r="L1" s="251"/>
    </row>
    <row r="2" spans="1:12" x14ac:dyDescent="0.2">
      <c r="A2" s="254" t="s">
        <v>75</v>
      </c>
      <c r="B2" s="254"/>
      <c r="C2" s="78"/>
      <c r="D2" s="254" t="s">
        <v>75</v>
      </c>
      <c r="E2" s="254"/>
      <c r="F2" s="79"/>
      <c r="G2" s="253" t="s">
        <v>76</v>
      </c>
      <c r="H2" s="253"/>
      <c r="I2" s="53"/>
      <c r="J2" s="67"/>
      <c r="K2" s="252" t="s">
        <v>76</v>
      </c>
      <c r="L2" s="252"/>
    </row>
    <row r="3" spans="1:12" x14ac:dyDescent="0.2">
      <c r="F3" s="44"/>
      <c r="J3" s="68"/>
      <c r="K3" s="107"/>
      <c r="L3" s="106"/>
    </row>
    <row r="4" spans="1:12" s="133" customFormat="1" ht="36" x14ac:dyDescent="0.2">
      <c r="A4" s="124" t="s">
        <v>77</v>
      </c>
      <c r="B4" s="125" t="s">
        <v>78</v>
      </c>
      <c r="C4" s="126"/>
      <c r="D4" s="124" t="s">
        <v>77</v>
      </c>
      <c r="E4" s="125" t="s">
        <v>78</v>
      </c>
      <c r="F4" s="127"/>
      <c r="G4" s="124" t="s">
        <v>77</v>
      </c>
      <c r="H4" s="128" t="s">
        <v>80</v>
      </c>
      <c r="I4" s="129"/>
      <c r="J4" s="130"/>
      <c r="K4" s="131" t="s">
        <v>77</v>
      </c>
      <c r="L4" s="132" t="s">
        <v>80</v>
      </c>
    </row>
    <row r="5" spans="1:12" s="5" customFormat="1" ht="12" x14ac:dyDescent="0.2">
      <c r="A5" s="54" t="s">
        <v>79</v>
      </c>
      <c r="B5" s="55">
        <v>4.7620000000000003E-2</v>
      </c>
      <c r="C5" s="62"/>
      <c r="D5" s="54" t="s">
        <v>79</v>
      </c>
      <c r="E5" s="55">
        <v>3.3329999999999999E-2</v>
      </c>
      <c r="G5" s="56">
        <v>0.01</v>
      </c>
      <c r="H5" s="57">
        <v>0.11992899999999999</v>
      </c>
      <c r="J5" s="69"/>
      <c r="K5" s="65">
        <v>0.01</v>
      </c>
      <c r="L5" s="66">
        <v>5.7079999999999999E-2</v>
      </c>
    </row>
    <row r="6" spans="1:12" s="5" customFormat="1" ht="12" x14ac:dyDescent="0.2">
      <c r="A6" s="54">
        <v>0.51</v>
      </c>
      <c r="B6" s="55">
        <v>4.6690000000000002E-2</v>
      </c>
      <c r="C6" s="62"/>
      <c r="D6" s="54">
        <v>0.51</v>
      </c>
      <c r="E6" s="55">
        <v>3.2680000000000001E-2</v>
      </c>
      <c r="G6" s="56">
        <f>G5+0.01</f>
        <v>0.02</v>
      </c>
      <c r="H6" s="57">
        <v>6.2820000000000001E-2</v>
      </c>
      <c r="J6" s="69"/>
      <c r="K6" s="65">
        <f>K5+0.01</f>
        <v>0.02</v>
      </c>
      <c r="L6" s="66">
        <v>3.092E-2</v>
      </c>
    </row>
    <row r="7" spans="1:12" s="5" customFormat="1" ht="12" x14ac:dyDescent="0.2">
      <c r="A7" s="54">
        <v>0.52</v>
      </c>
      <c r="B7" s="55">
        <v>4.5789999999999997E-2</v>
      </c>
      <c r="C7" s="62"/>
      <c r="D7" s="54">
        <v>0.52</v>
      </c>
      <c r="E7" s="55">
        <v>3.2050000000000002E-2</v>
      </c>
      <c r="G7" s="56">
        <f t="shared" ref="G7:G70" si="0">G6+0.01</f>
        <v>0.03</v>
      </c>
      <c r="H7" s="57">
        <v>4.3784000000000003E-2</v>
      </c>
      <c r="J7" s="69"/>
      <c r="K7" s="65">
        <f t="shared" ref="K7:K70" si="1">K6+0.01</f>
        <v>0.03</v>
      </c>
      <c r="L7" s="66">
        <v>2.2200000000000001E-2</v>
      </c>
    </row>
    <row r="8" spans="1:12" s="5" customFormat="1" ht="12" x14ac:dyDescent="0.2">
      <c r="A8" s="54">
        <v>0.53</v>
      </c>
      <c r="B8" s="55">
        <v>4.4920000000000002E-2</v>
      </c>
      <c r="C8" s="62"/>
      <c r="D8" s="54">
        <v>0.53</v>
      </c>
      <c r="E8" s="55">
        <v>3.1449999999999999E-2</v>
      </c>
      <c r="G8" s="56">
        <f t="shared" si="0"/>
        <v>0.04</v>
      </c>
      <c r="H8" s="57">
        <v>3.4264999999999997E-2</v>
      </c>
      <c r="J8" s="69"/>
      <c r="K8" s="65">
        <f t="shared" si="1"/>
        <v>0.04</v>
      </c>
      <c r="L8" s="66">
        <v>1.7840000000000002E-2</v>
      </c>
    </row>
    <row r="9" spans="1:12" s="5" customFormat="1" ht="12" x14ac:dyDescent="0.2">
      <c r="A9" s="54">
        <v>0.54</v>
      </c>
      <c r="B9" s="55">
        <v>4.4089999999999997E-2</v>
      </c>
      <c r="C9" s="62"/>
      <c r="D9" s="54">
        <v>0.54</v>
      </c>
      <c r="E9" s="55">
        <v>3.0859999999999999E-2</v>
      </c>
      <c r="G9" s="56">
        <f t="shared" si="0"/>
        <v>0.05</v>
      </c>
      <c r="H9" s="57">
        <v>2.8554E-2</v>
      </c>
      <c r="J9" s="69"/>
      <c r="K9" s="65">
        <f t="shared" si="1"/>
        <v>0.05</v>
      </c>
      <c r="L9" s="66">
        <v>1.5219999999999999E-2</v>
      </c>
    </row>
    <row r="10" spans="1:12" s="5" customFormat="1" ht="12" x14ac:dyDescent="0.2">
      <c r="A10" s="54">
        <v>0.55000000000000004</v>
      </c>
      <c r="B10" s="55">
        <v>4.3290000000000002E-2</v>
      </c>
      <c r="C10" s="62"/>
      <c r="D10" s="54">
        <v>0.55000000000000004</v>
      </c>
      <c r="E10" s="55">
        <v>3.0300000000000001E-2</v>
      </c>
      <c r="G10" s="56">
        <f t="shared" si="0"/>
        <v>6.0000000000000005E-2</v>
      </c>
      <c r="H10" s="57">
        <v>2.4747000000000002E-2</v>
      </c>
      <c r="J10" s="69"/>
      <c r="K10" s="65">
        <f t="shared" si="1"/>
        <v>6.0000000000000005E-2</v>
      </c>
      <c r="L10" s="66">
        <v>1.3480000000000001E-2</v>
      </c>
    </row>
    <row r="11" spans="1:12" s="5" customFormat="1" ht="12" x14ac:dyDescent="0.2">
      <c r="A11" s="54">
        <v>0.56000000000000005</v>
      </c>
      <c r="B11" s="55">
        <v>4.2520000000000002E-2</v>
      </c>
      <c r="C11" s="62"/>
      <c r="D11" s="54">
        <v>0.56000000000000005</v>
      </c>
      <c r="E11" s="55">
        <v>2.9760000000000002E-2</v>
      </c>
      <c r="G11" s="56">
        <f t="shared" si="0"/>
        <v>7.0000000000000007E-2</v>
      </c>
      <c r="H11" s="57">
        <v>2.2027999999999999E-2</v>
      </c>
      <c r="J11" s="69"/>
      <c r="K11" s="65">
        <f t="shared" si="1"/>
        <v>7.0000000000000007E-2</v>
      </c>
      <c r="L11" s="66">
        <v>1.223E-2</v>
      </c>
    </row>
    <row r="12" spans="1:12" s="5" customFormat="1" ht="12" x14ac:dyDescent="0.2">
      <c r="A12" s="54">
        <v>0.56999999999999995</v>
      </c>
      <c r="B12" s="55">
        <v>4.1770000000000002E-2</v>
      </c>
      <c r="C12" s="62"/>
      <c r="D12" s="54">
        <v>0.56999999999999995</v>
      </c>
      <c r="E12" s="55">
        <v>2.9239999999999999E-2</v>
      </c>
      <c r="G12" s="56">
        <f t="shared" si="0"/>
        <v>0.08</v>
      </c>
      <c r="H12" s="57">
        <v>1.9987999999999999E-2</v>
      </c>
      <c r="J12" s="69"/>
      <c r="K12" s="65">
        <f t="shared" si="1"/>
        <v>0.08</v>
      </c>
      <c r="L12" s="66">
        <v>1.1299999999999999E-2</v>
      </c>
    </row>
    <row r="13" spans="1:12" s="5" customFormat="1" ht="12" x14ac:dyDescent="0.2">
      <c r="A13" s="54">
        <v>0.57999999999999996</v>
      </c>
      <c r="B13" s="55">
        <v>4.1050000000000003E-2</v>
      </c>
      <c r="C13" s="62"/>
      <c r="D13" s="54">
        <v>0.57999999999999996</v>
      </c>
      <c r="E13" s="55">
        <v>2.8740000000000002E-2</v>
      </c>
      <c r="G13" s="56">
        <f t="shared" si="0"/>
        <v>0.09</v>
      </c>
      <c r="H13" s="57">
        <v>1.8402000000000002E-2</v>
      </c>
      <c r="J13" s="69"/>
      <c r="K13" s="65">
        <f t="shared" si="1"/>
        <v>0.09</v>
      </c>
      <c r="L13" s="66">
        <v>1.057E-2</v>
      </c>
    </row>
    <row r="14" spans="1:12" s="5" customFormat="1" ht="12" x14ac:dyDescent="0.2">
      <c r="A14" s="54">
        <v>0.59</v>
      </c>
      <c r="B14" s="55">
        <v>4.036E-2</v>
      </c>
      <c r="C14" s="62"/>
      <c r="D14" s="54">
        <v>0.59</v>
      </c>
      <c r="E14" s="55">
        <v>2.8250000000000001E-2</v>
      </c>
      <c r="G14" s="56">
        <f t="shared" si="0"/>
        <v>9.9999999999999992E-2</v>
      </c>
      <c r="H14" s="57">
        <v>1.7132999999999999E-2</v>
      </c>
      <c r="J14" s="69"/>
      <c r="K14" s="65">
        <f t="shared" si="1"/>
        <v>9.9999999999999992E-2</v>
      </c>
      <c r="L14" s="66">
        <v>9.9900000000000006E-3</v>
      </c>
    </row>
    <row r="15" spans="1:12" s="5" customFormat="1" ht="12" x14ac:dyDescent="0.2">
      <c r="A15" s="54">
        <v>0.6</v>
      </c>
      <c r="B15" s="55">
        <v>3.968E-2</v>
      </c>
      <c r="C15" s="62"/>
      <c r="D15" s="54">
        <v>0.6</v>
      </c>
      <c r="E15" s="55">
        <v>2.7779999999999999E-2</v>
      </c>
      <c r="G15" s="56">
        <f t="shared" si="0"/>
        <v>0.10999999999999999</v>
      </c>
      <c r="H15" s="57">
        <v>1.6094000000000001E-2</v>
      </c>
      <c r="J15" s="69"/>
      <c r="K15" s="65">
        <f t="shared" si="1"/>
        <v>0.10999999999999999</v>
      </c>
      <c r="L15" s="66">
        <v>9.5099999999999994E-3</v>
      </c>
    </row>
    <row r="16" spans="1:12" s="5" customFormat="1" ht="12" x14ac:dyDescent="0.2">
      <c r="A16" s="54">
        <v>0.61</v>
      </c>
      <c r="B16" s="55">
        <v>3.9030000000000002E-2</v>
      </c>
      <c r="C16" s="62"/>
      <c r="D16" s="54">
        <v>0.61</v>
      </c>
      <c r="E16" s="55">
        <v>2.7320000000000001E-2</v>
      </c>
      <c r="G16" s="56">
        <f t="shared" si="0"/>
        <v>0.11999999999999998</v>
      </c>
      <c r="H16" s="57">
        <v>1.5228999999999999E-2</v>
      </c>
      <c r="J16" s="69"/>
      <c r="K16" s="65">
        <f t="shared" si="1"/>
        <v>0.11999999999999998</v>
      </c>
      <c r="L16" s="66">
        <v>9.1199999999999996E-3</v>
      </c>
    </row>
    <row r="17" spans="1:12" s="5" customFormat="1" ht="12" x14ac:dyDescent="0.2">
      <c r="A17" s="54">
        <v>0.62</v>
      </c>
      <c r="B17" s="55">
        <v>3.8399999999999997E-2</v>
      </c>
      <c r="C17" s="62"/>
      <c r="D17" s="54">
        <v>0.62</v>
      </c>
      <c r="E17" s="55">
        <v>2.6880000000000001E-2</v>
      </c>
      <c r="G17" s="56">
        <f t="shared" si="0"/>
        <v>0.12999999999999998</v>
      </c>
      <c r="H17" s="57">
        <v>1.4496999999999999E-2</v>
      </c>
      <c r="J17" s="69"/>
      <c r="K17" s="65">
        <f t="shared" si="1"/>
        <v>0.12999999999999998</v>
      </c>
      <c r="L17" s="66">
        <v>8.7799999999999996E-3</v>
      </c>
    </row>
    <row r="18" spans="1:12" s="5" customFormat="1" ht="12" x14ac:dyDescent="0.2">
      <c r="A18" s="54">
        <v>0.63</v>
      </c>
      <c r="B18" s="55">
        <v>3.7789999999999997E-2</v>
      </c>
      <c r="C18" s="62"/>
      <c r="D18" s="54">
        <v>0.63</v>
      </c>
      <c r="E18" s="55">
        <v>2.6460000000000001E-2</v>
      </c>
      <c r="G18" s="56">
        <f t="shared" si="0"/>
        <v>0.13999999999999999</v>
      </c>
      <c r="H18" s="57">
        <v>1.3868999999999999E-2</v>
      </c>
      <c r="J18" s="69"/>
      <c r="K18" s="65">
        <f t="shared" si="1"/>
        <v>0.13999999999999999</v>
      </c>
      <c r="L18" s="66">
        <v>8.4899999999999993E-3</v>
      </c>
    </row>
    <row r="19" spans="1:12" s="5" customFormat="1" ht="12" x14ac:dyDescent="0.2">
      <c r="A19" s="54">
        <v>0.64</v>
      </c>
      <c r="B19" s="55">
        <v>3.7199999999999997E-2</v>
      </c>
      <c r="C19" s="62"/>
      <c r="D19" s="54">
        <v>0.64</v>
      </c>
      <c r="E19" s="55">
        <v>2.6040000000000001E-2</v>
      </c>
      <c r="G19" s="56">
        <f t="shared" si="0"/>
        <v>0.15</v>
      </c>
      <c r="H19" s="57">
        <v>1.3325E-2</v>
      </c>
      <c r="J19" s="69"/>
      <c r="K19" s="65">
        <f t="shared" si="1"/>
        <v>0.15</v>
      </c>
      <c r="L19" s="66">
        <v>8.2400000000000008E-3</v>
      </c>
    </row>
    <row r="20" spans="1:12" s="5" customFormat="1" ht="12" x14ac:dyDescent="0.2">
      <c r="A20" s="54">
        <v>0.65</v>
      </c>
      <c r="B20" s="55">
        <v>3.6630000000000003E-2</v>
      </c>
      <c r="C20" s="62"/>
      <c r="D20" s="54">
        <v>0.65</v>
      </c>
      <c r="E20" s="55">
        <v>2.564E-2</v>
      </c>
      <c r="G20" s="56">
        <f t="shared" si="0"/>
        <v>0.16</v>
      </c>
      <c r="H20" s="57">
        <v>1.285E-2</v>
      </c>
      <c r="J20" s="69"/>
      <c r="K20" s="65">
        <f t="shared" si="1"/>
        <v>0.16</v>
      </c>
      <c r="L20" s="66">
        <v>8.0300000000000007E-3</v>
      </c>
    </row>
    <row r="21" spans="1:12" s="5" customFormat="1" ht="12" x14ac:dyDescent="0.2">
      <c r="A21" s="54">
        <v>0.66</v>
      </c>
      <c r="B21" s="55">
        <v>3.6080000000000001E-2</v>
      </c>
      <c r="C21" s="62"/>
      <c r="D21" s="54">
        <v>0.66</v>
      </c>
      <c r="E21" s="55">
        <v>2.5250000000000002E-2</v>
      </c>
      <c r="G21" s="56">
        <f t="shared" si="0"/>
        <v>0.17</v>
      </c>
      <c r="H21" s="57">
        <v>1.243E-2</v>
      </c>
      <c r="J21" s="69"/>
      <c r="K21" s="65">
        <f t="shared" si="1"/>
        <v>0.17</v>
      </c>
      <c r="L21" s="66">
        <v>7.8300000000000002E-3</v>
      </c>
    </row>
    <row r="22" spans="1:12" s="5" customFormat="1" ht="12" x14ac:dyDescent="0.2">
      <c r="A22" s="54">
        <v>0.67</v>
      </c>
      <c r="B22" s="55">
        <v>3.5540000000000002E-2</v>
      </c>
      <c r="C22" s="62"/>
      <c r="D22" s="54">
        <v>0.67</v>
      </c>
      <c r="E22" s="55">
        <v>2.4879999999999999E-2</v>
      </c>
      <c r="G22" s="56">
        <f t="shared" si="0"/>
        <v>0.18000000000000002</v>
      </c>
      <c r="H22" s="57">
        <v>1.2056000000000001E-2</v>
      </c>
      <c r="J22" s="69"/>
      <c r="K22" s="65">
        <f t="shared" si="1"/>
        <v>0.18000000000000002</v>
      </c>
      <c r="L22" s="66">
        <v>7.6600000000000001E-3</v>
      </c>
    </row>
    <row r="23" spans="1:12" s="5" customFormat="1" ht="12" x14ac:dyDescent="0.2">
      <c r="A23" s="54">
        <v>0.68</v>
      </c>
      <c r="B23" s="55">
        <v>3.5009999999999999E-2</v>
      </c>
      <c r="C23" s="62"/>
      <c r="D23" s="54">
        <v>0.68</v>
      </c>
      <c r="E23" s="55">
        <v>2.4510000000000001E-2</v>
      </c>
      <c r="G23" s="56">
        <f t="shared" si="0"/>
        <v>0.19000000000000003</v>
      </c>
      <c r="H23" s="57">
        <v>1.1722E-2</v>
      </c>
      <c r="J23" s="69"/>
      <c r="K23" s="65">
        <f t="shared" si="1"/>
        <v>0.19000000000000003</v>
      </c>
      <c r="L23" s="66">
        <v>7.5100000000000002E-3</v>
      </c>
    </row>
    <row r="24" spans="1:12" s="5" customFormat="1" ht="12" x14ac:dyDescent="0.2">
      <c r="A24" s="54">
        <v>0.69</v>
      </c>
      <c r="B24" s="55">
        <v>3.4509999999999999E-2</v>
      </c>
      <c r="C24" s="62"/>
      <c r="D24" s="54">
        <v>0.69</v>
      </c>
      <c r="E24" s="55">
        <v>2.4150000000000001E-2</v>
      </c>
      <c r="G24" s="56">
        <f t="shared" si="0"/>
        <v>0.20000000000000004</v>
      </c>
      <c r="H24" s="57">
        <v>1.1422E-2</v>
      </c>
      <c r="J24" s="69"/>
      <c r="K24" s="65">
        <f t="shared" si="1"/>
        <v>0.20000000000000004</v>
      </c>
      <c r="L24" s="66">
        <v>7.3699999999999998E-3</v>
      </c>
    </row>
    <row r="25" spans="1:12" s="5" customFormat="1" ht="12" x14ac:dyDescent="0.2">
      <c r="A25" s="54">
        <v>0.7</v>
      </c>
      <c r="B25" s="55">
        <v>3.4009999999999999E-2</v>
      </c>
      <c r="C25" s="62"/>
      <c r="D25" s="54">
        <v>0.7</v>
      </c>
      <c r="E25" s="55">
        <v>2.3810000000000001E-2</v>
      </c>
      <c r="G25" s="56">
        <f t="shared" si="0"/>
        <v>0.21000000000000005</v>
      </c>
      <c r="H25" s="57">
        <v>1.115E-2</v>
      </c>
      <c r="J25" s="69"/>
      <c r="K25" s="65">
        <f t="shared" si="1"/>
        <v>0.21000000000000005</v>
      </c>
      <c r="L25" s="66">
        <v>7.2500000000000004E-3</v>
      </c>
    </row>
    <row r="26" spans="1:12" s="5" customFormat="1" ht="12" x14ac:dyDescent="0.2">
      <c r="A26" s="54">
        <v>0.71</v>
      </c>
      <c r="B26" s="55">
        <v>3.3529999999999997E-2</v>
      </c>
      <c r="C26" s="62"/>
      <c r="D26" s="54">
        <v>0.71</v>
      </c>
      <c r="E26" s="55">
        <v>2.3470000000000001E-2</v>
      </c>
      <c r="G26" s="56">
        <f t="shared" si="0"/>
        <v>0.22000000000000006</v>
      </c>
      <c r="H26" s="57">
        <v>1.0902999999999999E-2</v>
      </c>
      <c r="J26" s="69"/>
      <c r="K26" s="65">
        <f t="shared" si="1"/>
        <v>0.22000000000000006</v>
      </c>
      <c r="L26" s="66">
        <v>7.1300000000000001E-3</v>
      </c>
    </row>
    <row r="27" spans="1:12" s="5" customFormat="1" ht="12" x14ac:dyDescent="0.2">
      <c r="A27" s="54">
        <v>0.72</v>
      </c>
      <c r="B27" s="55">
        <v>3.3070000000000002E-2</v>
      </c>
      <c r="C27" s="62"/>
      <c r="D27" s="54">
        <v>0.72</v>
      </c>
      <c r="E27" s="55">
        <v>2.315E-2</v>
      </c>
      <c r="G27" s="56">
        <f t="shared" si="0"/>
        <v>0.23000000000000007</v>
      </c>
      <c r="H27" s="57">
        <v>1.0677000000000001E-2</v>
      </c>
      <c r="J27" s="69"/>
      <c r="K27" s="65">
        <f t="shared" si="1"/>
        <v>0.23000000000000007</v>
      </c>
      <c r="L27" s="66">
        <v>7.0299999999999998E-3</v>
      </c>
    </row>
    <row r="28" spans="1:12" s="5" customFormat="1" ht="12" x14ac:dyDescent="0.2">
      <c r="A28" s="54">
        <v>0.73</v>
      </c>
      <c r="B28" s="55">
        <v>3.2620000000000003E-2</v>
      </c>
      <c r="C28" s="62"/>
      <c r="D28" s="54">
        <v>0.73</v>
      </c>
      <c r="E28" s="55">
        <v>2.283E-2</v>
      </c>
      <c r="G28" s="56">
        <f t="shared" si="0"/>
        <v>0.24000000000000007</v>
      </c>
      <c r="H28" s="57">
        <v>1.047E-2</v>
      </c>
      <c r="J28" s="69"/>
      <c r="K28" s="65">
        <f t="shared" si="1"/>
        <v>0.24000000000000007</v>
      </c>
      <c r="L28" s="66">
        <v>6.94E-3</v>
      </c>
    </row>
    <row r="29" spans="1:12" s="5" customFormat="1" ht="12" x14ac:dyDescent="0.2">
      <c r="A29" s="54">
        <v>0.74</v>
      </c>
      <c r="B29" s="55">
        <v>3.218E-2</v>
      </c>
      <c r="C29" s="62"/>
      <c r="D29" s="54">
        <v>0.74</v>
      </c>
      <c r="E29" s="55">
        <v>2.2519999999999998E-2</v>
      </c>
      <c r="G29" s="56">
        <f t="shared" si="0"/>
        <v>0.25000000000000006</v>
      </c>
      <c r="H29" s="57">
        <v>1.0279999999999999E-2</v>
      </c>
      <c r="J29" s="69"/>
      <c r="K29" s="65">
        <f t="shared" si="1"/>
        <v>0.25000000000000006</v>
      </c>
      <c r="L29" s="66">
        <v>6.8500000000000002E-3</v>
      </c>
    </row>
    <row r="30" spans="1:12" s="5" customFormat="1" ht="12" x14ac:dyDescent="0.2">
      <c r="A30" s="54">
        <v>0.75</v>
      </c>
      <c r="B30" s="55">
        <v>3.175E-2</v>
      </c>
      <c r="C30" s="62"/>
      <c r="D30" s="54">
        <v>0.75</v>
      </c>
      <c r="E30" s="55">
        <v>2.222E-2</v>
      </c>
      <c r="G30" s="56">
        <f t="shared" si="0"/>
        <v>0.26000000000000006</v>
      </c>
      <c r="H30" s="57">
        <v>1.0104E-2</v>
      </c>
      <c r="J30" s="69"/>
      <c r="K30" s="65">
        <f t="shared" si="1"/>
        <v>0.26000000000000006</v>
      </c>
      <c r="L30" s="66">
        <v>6.5900000000000004E-3</v>
      </c>
    </row>
    <row r="31" spans="1:12" s="5" customFormat="1" ht="12" x14ac:dyDescent="0.2">
      <c r="A31" s="54">
        <v>0.76</v>
      </c>
      <c r="B31" s="55">
        <v>3.1329999999999997E-2</v>
      </c>
      <c r="C31" s="62"/>
      <c r="D31" s="54">
        <v>0.76</v>
      </c>
      <c r="E31" s="55">
        <v>2.1930000000000002E-2</v>
      </c>
      <c r="G31" s="56">
        <f t="shared" si="0"/>
        <v>0.27000000000000007</v>
      </c>
      <c r="H31" s="57">
        <v>9.9410000000000002E-3</v>
      </c>
      <c r="J31" s="69"/>
      <c r="K31" s="65">
        <f t="shared" si="1"/>
        <v>0.27000000000000007</v>
      </c>
      <c r="L31" s="66">
        <v>6.3400000000000001E-3</v>
      </c>
    </row>
    <row r="32" spans="1:12" s="5" customFormat="1" ht="12" x14ac:dyDescent="0.2">
      <c r="A32" s="54">
        <v>0.77</v>
      </c>
      <c r="B32" s="55">
        <v>3.092E-2</v>
      </c>
      <c r="C32" s="62"/>
      <c r="D32" s="54">
        <v>0.77</v>
      </c>
      <c r="E32" s="55">
        <v>2.1649999999999999E-2</v>
      </c>
      <c r="G32" s="56">
        <f t="shared" si="0"/>
        <v>0.28000000000000008</v>
      </c>
      <c r="H32" s="57">
        <v>9.7900000000000001E-3</v>
      </c>
      <c r="J32" s="69"/>
      <c r="K32" s="65">
        <f t="shared" si="1"/>
        <v>0.28000000000000008</v>
      </c>
      <c r="L32" s="66">
        <v>6.1199999999999996E-3</v>
      </c>
    </row>
    <row r="33" spans="1:12" s="5" customFormat="1" ht="12" x14ac:dyDescent="0.2">
      <c r="A33" s="54">
        <v>0.78</v>
      </c>
      <c r="B33" s="55">
        <v>3.0530000000000002E-2</v>
      </c>
      <c r="C33" s="62"/>
      <c r="D33" s="54">
        <v>0.78</v>
      </c>
      <c r="E33" s="55">
        <v>2.137E-2</v>
      </c>
      <c r="G33" s="56">
        <f t="shared" si="0"/>
        <v>0.29000000000000009</v>
      </c>
      <c r="H33" s="57">
        <v>9.6489999999999996E-3</v>
      </c>
      <c r="J33" s="69"/>
      <c r="K33" s="65">
        <f t="shared" si="1"/>
        <v>0.29000000000000009</v>
      </c>
      <c r="L33" s="66">
        <v>5.8999999999999999E-3</v>
      </c>
    </row>
    <row r="34" spans="1:12" s="5" customFormat="1" ht="12" x14ac:dyDescent="0.2">
      <c r="A34" s="54">
        <v>0.79</v>
      </c>
      <c r="B34" s="55">
        <v>3.014E-2</v>
      </c>
      <c r="C34" s="62"/>
      <c r="D34" s="54">
        <v>0.79</v>
      </c>
      <c r="E34" s="55">
        <v>2.1100000000000001E-2</v>
      </c>
      <c r="G34" s="56">
        <f t="shared" si="0"/>
        <v>0.3000000000000001</v>
      </c>
      <c r="H34" s="57">
        <v>9.5180000000000004E-3</v>
      </c>
      <c r="J34" s="69"/>
      <c r="K34" s="65">
        <f t="shared" si="1"/>
        <v>0.3000000000000001</v>
      </c>
      <c r="L34" s="66">
        <v>5.7099999999999998E-3</v>
      </c>
    </row>
    <row r="35" spans="1:12" s="5" customFormat="1" ht="12" x14ac:dyDescent="0.2">
      <c r="A35" s="54">
        <v>0.8</v>
      </c>
      <c r="B35" s="55">
        <v>2.9760000000000002E-2</v>
      </c>
      <c r="C35" s="62"/>
      <c r="D35" s="54">
        <v>0.8</v>
      </c>
      <c r="E35" s="55">
        <v>2.0830000000000001E-2</v>
      </c>
      <c r="G35" s="56">
        <f t="shared" si="0"/>
        <v>0.31000000000000011</v>
      </c>
      <c r="H35" s="57">
        <v>9.3950000000000006E-3</v>
      </c>
      <c r="J35" s="69"/>
      <c r="K35" s="65">
        <f t="shared" si="1"/>
        <v>0.31000000000000011</v>
      </c>
      <c r="L35" s="66">
        <v>5.5199999999999997E-3</v>
      </c>
    </row>
    <row r="36" spans="1:12" s="5" customFormat="1" ht="12" x14ac:dyDescent="0.2">
      <c r="A36" s="54">
        <v>0.81</v>
      </c>
      <c r="B36" s="55">
        <v>2.9389999999999999E-2</v>
      </c>
      <c r="C36" s="62"/>
      <c r="D36" s="54">
        <v>0.81</v>
      </c>
      <c r="E36" s="55">
        <v>2.0580000000000001E-2</v>
      </c>
      <c r="G36" s="56">
        <f t="shared" si="0"/>
        <v>0.32000000000000012</v>
      </c>
      <c r="H36" s="57">
        <v>9.2800000000000001E-3</v>
      </c>
      <c r="J36" s="69"/>
      <c r="K36" s="65">
        <f t="shared" si="1"/>
        <v>0.32000000000000012</v>
      </c>
      <c r="L36" s="66">
        <v>5.3499999999999997E-3</v>
      </c>
    </row>
    <row r="37" spans="1:12" s="5" customFormat="1" ht="12" x14ac:dyDescent="0.2">
      <c r="A37" s="54">
        <v>0.82</v>
      </c>
      <c r="B37" s="55">
        <v>2.904E-2</v>
      </c>
      <c r="C37" s="62"/>
      <c r="D37" s="54">
        <v>0.82</v>
      </c>
      <c r="E37" s="55">
        <v>2.0330000000000001E-2</v>
      </c>
      <c r="G37" s="56">
        <f t="shared" si="0"/>
        <v>0.33000000000000013</v>
      </c>
      <c r="H37" s="57">
        <v>9.1719999999999996E-3</v>
      </c>
      <c r="J37" s="69"/>
      <c r="K37" s="65">
        <f t="shared" si="1"/>
        <v>0.33000000000000013</v>
      </c>
      <c r="L37" s="66">
        <v>5.1900000000000002E-3</v>
      </c>
    </row>
    <row r="38" spans="1:12" s="5" customFormat="1" ht="12" x14ac:dyDescent="0.2">
      <c r="A38" s="54">
        <v>0.83</v>
      </c>
      <c r="B38" s="55">
        <v>2.869E-2</v>
      </c>
      <c r="C38" s="62"/>
      <c r="D38" s="54">
        <v>0.83</v>
      </c>
      <c r="E38" s="55">
        <v>2.0080000000000001E-2</v>
      </c>
      <c r="G38" s="56">
        <f t="shared" si="0"/>
        <v>0.34000000000000014</v>
      </c>
      <c r="H38" s="57">
        <v>9.0699999999999999E-3</v>
      </c>
      <c r="J38" s="69"/>
      <c r="K38" s="65">
        <f t="shared" si="1"/>
        <v>0.34000000000000014</v>
      </c>
      <c r="L38" s="66">
        <v>5.0400000000000002E-3</v>
      </c>
    </row>
    <row r="39" spans="1:12" s="5" customFormat="1" ht="12" x14ac:dyDescent="0.2">
      <c r="A39" s="54">
        <v>0.84</v>
      </c>
      <c r="B39" s="55">
        <v>2.8340000000000001E-2</v>
      </c>
      <c r="C39" s="62"/>
      <c r="D39" s="54">
        <v>0.84</v>
      </c>
      <c r="E39" s="55">
        <v>1.984E-2</v>
      </c>
      <c r="G39" s="56">
        <f t="shared" si="0"/>
        <v>0.35000000000000014</v>
      </c>
      <c r="H39" s="57">
        <v>8.9739999999999993E-3</v>
      </c>
      <c r="J39" s="69"/>
      <c r="K39" s="65">
        <f t="shared" si="1"/>
        <v>0.35000000000000014</v>
      </c>
      <c r="L39" s="66">
        <v>4.8900000000000002E-3</v>
      </c>
    </row>
    <row r="40" spans="1:12" s="5" customFormat="1" ht="12" x14ac:dyDescent="0.2">
      <c r="A40" s="54">
        <v>0.85</v>
      </c>
      <c r="B40" s="55">
        <v>2.801E-2</v>
      </c>
      <c r="C40" s="62"/>
      <c r="D40" s="54">
        <v>0.85</v>
      </c>
      <c r="E40" s="55">
        <v>1.9800000000000002E-2</v>
      </c>
      <c r="G40" s="56">
        <f t="shared" si="0"/>
        <v>0.36000000000000015</v>
      </c>
      <c r="H40" s="57">
        <v>8.8839999999999995E-3</v>
      </c>
      <c r="J40" s="69"/>
      <c r="K40" s="65">
        <f t="shared" si="1"/>
        <v>0.36000000000000015</v>
      </c>
      <c r="L40" s="66">
        <v>4.7600000000000003E-3</v>
      </c>
    </row>
    <row r="41" spans="1:12" s="5" customFormat="1" ht="12" x14ac:dyDescent="0.2">
      <c r="A41" s="54">
        <v>0.86</v>
      </c>
      <c r="B41" s="55">
        <v>2.7689999999999999E-2</v>
      </c>
      <c r="C41" s="62"/>
      <c r="D41" s="54">
        <v>0.86</v>
      </c>
      <c r="E41" s="55">
        <v>1.9800000000000002E-2</v>
      </c>
      <c r="G41" s="56">
        <f t="shared" si="0"/>
        <v>0.37000000000000016</v>
      </c>
      <c r="H41" s="57">
        <v>8.7980000000000003E-3</v>
      </c>
      <c r="J41" s="69"/>
      <c r="K41" s="65">
        <f t="shared" si="1"/>
        <v>0.37000000000000016</v>
      </c>
      <c r="L41" s="66">
        <v>4.6299999999999996E-3</v>
      </c>
    </row>
    <row r="42" spans="1:12" s="5" customFormat="1" ht="12" x14ac:dyDescent="0.2">
      <c r="A42" s="54">
        <v>0.87</v>
      </c>
      <c r="B42" s="55">
        <v>2.7369999999999998E-2</v>
      </c>
      <c r="C42" s="62"/>
      <c r="D42" s="54">
        <v>0.87</v>
      </c>
      <c r="E42" s="55">
        <v>1.9800000000000002E-2</v>
      </c>
      <c r="G42" s="56">
        <f t="shared" si="0"/>
        <v>0.38000000000000017</v>
      </c>
      <c r="H42" s="57">
        <v>8.7170000000000008E-3</v>
      </c>
      <c r="J42" s="69"/>
      <c r="K42" s="65">
        <f t="shared" si="1"/>
        <v>0.38000000000000017</v>
      </c>
      <c r="L42" s="66">
        <v>4.5100000000000001E-3</v>
      </c>
    </row>
    <row r="43" spans="1:12" s="5" customFormat="1" ht="12" x14ac:dyDescent="0.2">
      <c r="A43" s="54">
        <v>0.88</v>
      </c>
      <c r="B43" s="55">
        <v>2.7060000000000001E-2</v>
      </c>
      <c r="C43" s="62"/>
      <c r="D43" s="54">
        <v>0.88</v>
      </c>
      <c r="E43" s="55">
        <v>1.9800000000000002E-2</v>
      </c>
      <c r="G43" s="56">
        <f t="shared" si="0"/>
        <v>0.39000000000000018</v>
      </c>
      <c r="H43" s="57">
        <v>8.6400000000000001E-3</v>
      </c>
      <c r="J43" s="69"/>
      <c r="K43" s="65">
        <f t="shared" si="1"/>
        <v>0.39000000000000018</v>
      </c>
      <c r="L43" s="66">
        <v>4.3899999999999998E-3</v>
      </c>
    </row>
    <row r="44" spans="1:12" s="5" customFormat="1" ht="12" x14ac:dyDescent="0.2">
      <c r="A44" s="54">
        <v>0.89</v>
      </c>
      <c r="B44" s="55">
        <v>2.6749999999999999E-2</v>
      </c>
      <c r="C44" s="62"/>
      <c r="D44" s="54">
        <v>0.89</v>
      </c>
      <c r="E44" s="55">
        <v>1.9800000000000002E-2</v>
      </c>
      <c r="G44" s="56">
        <f t="shared" si="0"/>
        <v>0.40000000000000019</v>
      </c>
      <c r="H44" s="57">
        <v>8.5660000000000007E-3</v>
      </c>
      <c r="J44" s="69"/>
      <c r="K44" s="65">
        <f t="shared" si="1"/>
        <v>0.40000000000000019</v>
      </c>
      <c r="L44" s="66">
        <v>4.28E-3</v>
      </c>
    </row>
    <row r="45" spans="1:12" s="5" customFormat="1" ht="12" x14ac:dyDescent="0.2">
      <c r="A45" s="54">
        <v>0.9</v>
      </c>
      <c r="B45" s="55">
        <v>2.6460000000000001E-2</v>
      </c>
      <c r="C45" s="62"/>
      <c r="D45" s="54">
        <v>0.9</v>
      </c>
      <c r="E45" s="55">
        <v>1.9800000000000002E-2</v>
      </c>
      <c r="G45" s="56">
        <f t="shared" si="0"/>
        <v>0.4100000000000002</v>
      </c>
      <c r="H45" s="57">
        <v>8.4969999999999993E-3</v>
      </c>
      <c r="J45" s="69"/>
      <c r="K45" s="65">
        <f t="shared" si="1"/>
        <v>0.4100000000000002</v>
      </c>
      <c r="L45" s="66">
        <v>4.1799999999999997E-3</v>
      </c>
    </row>
    <row r="46" spans="1:12" s="5" customFormat="1" ht="12" x14ac:dyDescent="0.2">
      <c r="A46" s="54">
        <v>0.91</v>
      </c>
      <c r="B46" s="55">
        <v>2.6159999999999999E-2</v>
      </c>
      <c r="C46" s="62"/>
      <c r="D46" s="54">
        <v>0.91</v>
      </c>
      <c r="E46" s="55">
        <v>1.9800000000000002E-2</v>
      </c>
      <c r="G46" s="56">
        <f t="shared" si="0"/>
        <v>0.42000000000000021</v>
      </c>
      <c r="H46" s="57">
        <v>8.43E-3</v>
      </c>
      <c r="J46" s="69"/>
      <c r="K46" s="65">
        <f t="shared" si="1"/>
        <v>0.42000000000000021</v>
      </c>
      <c r="L46" s="66">
        <v>4.0800000000000003E-3</v>
      </c>
    </row>
    <row r="47" spans="1:12" s="5" customFormat="1" ht="12" x14ac:dyDescent="0.2">
      <c r="A47" s="54">
        <v>0.92</v>
      </c>
      <c r="B47" s="55">
        <v>2.588E-2</v>
      </c>
      <c r="C47" s="62"/>
      <c r="D47" s="54">
        <v>0.92</v>
      </c>
      <c r="E47" s="55">
        <v>1.9800000000000002E-2</v>
      </c>
      <c r="G47" s="56">
        <f t="shared" si="0"/>
        <v>0.43000000000000022</v>
      </c>
      <c r="H47" s="57">
        <v>8.3669999999999994E-3</v>
      </c>
      <c r="J47" s="69"/>
      <c r="K47" s="65">
        <f t="shared" si="1"/>
        <v>0.43000000000000022</v>
      </c>
      <c r="L47" s="66">
        <v>3.98E-3</v>
      </c>
    </row>
    <row r="48" spans="1:12" s="5" customFormat="1" ht="12" x14ac:dyDescent="0.2">
      <c r="A48" s="54">
        <v>0.93</v>
      </c>
      <c r="B48" s="55">
        <v>2.5600000000000001E-2</v>
      </c>
      <c r="C48" s="62"/>
      <c r="D48" s="54">
        <v>0.93</v>
      </c>
      <c r="E48" s="55">
        <v>1.9800000000000002E-2</v>
      </c>
      <c r="G48" s="56">
        <f t="shared" si="0"/>
        <v>0.44000000000000022</v>
      </c>
      <c r="H48" s="57">
        <v>8.3070000000000001E-3</v>
      </c>
      <c r="J48" s="69"/>
      <c r="K48" s="65">
        <f t="shared" si="1"/>
        <v>0.44000000000000022</v>
      </c>
      <c r="L48" s="66">
        <v>3.8899999999999998E-3</v>
      </c>
    </row>
    <row r="49" spans="1:12" s="5" customFormat="1" ht="12" x14ac:dyDescent="0.2">
      <c r="A49" s="54">
        <v>0.94</v>
      </c>
      <c r="B49" s="55">
        <v>2.5329999999999998E-2</v>
      </c>
      <c r="C49" s="62"/>
      <c r="D49" s="54">
        <v>0.94</v>
      </c>
      <c r="E49" s="55">
        <v>1.9800000000000002E-2</v>
      </c>
      <c r="G49" s="56">
        <f t="shared" si="0"/>
        <v>0.45000000000000023</v>
      </c>
      <c r="H49" s="57">
        <v>8.2489999999999994E-3</v>
      </c>
      <c r="J49" s="69"/>
      <c r="K49" s="65">
        <f t="shared" si="1"/>
        <v>0.45000000000000023</v>
      </c>
      <c r="L49" s="66">
        <v>3.81E-3</v>
      </c>
    </row>
    <row r="50" spans="1:12" s="5" customFormat="1" ht="12" x14ac:dyDescent="0.2">
      <c r="A50" s="54">
        <v>0.95</v>
      </c>
      <c r="B50" s="55">
        <v>2.5059999999999999E-2</v>
      </c>
      <c r="C50" s="62"/>
      <c r="D50" s="54">
        <v>0.95</v>
      </c>
      <c r="E50" s="55">
        <v>1.9800000000000002E-2</v>
      </c>
      <c r="G50" s="56">
        <f t="shared" si="0"/>
        <v>0.46000000000000024</v>
      </c>
      <c r="H50" s="57">
        <v>8.1939999999999999E-3</v>
      </c>
      <c r="J50" s="69"/>
      <c r="K50" s="65">
        <f t="shared" si="1"/>
        <v>0.46000000000000024</v>
      </c>
      <c r="L50" s="66">
        <v>3.7200000000000002E-3</v>
      </c>
    </row>
    <row r="51" spans="1:12" s="5" customFormat="1" ht="12" x14ac:dyDescent="0.2">
      <c r="A51" s="54">
        <v>0.96</v>
      </c>
      <c r="B51" s="55">
        <v>2.4799999999999999E-2</v>
      </c>
      <c r="C51" s="62"/>
      <c r="D51" s="54">
        <v>0.96</v>
      </c>
      <c r="E51" s="55">
        <v>1.9800000000000002E-2</v>
      </c>
      <c r="G51" s="56">
        <f t="shared" si="0"/>
        <v>0.47000000000000025</v>
      </c>
      <c r="H51" s="57">
        <v>8.1410000000000007E-3</v>
      </c>
      <c r="J51" s="69"/>
      <c r="K51" s="65">
        <f t="shared" si="1"/>
        <v>0.47000000000000025</v>
      </c>
      <c r="L51" s="66">
        <v>3.64E-3</v>
      </c>
    </row>
    <row r="52" spans="1:12" s="5" customFormat="1" ht="12" x14ac:dyDescent="0.2">
      <c r="A52" s="54">
        <v>0.97</v>
      </c>
      <c r="B52" s="55">
        <v>2.4549999999999999E-2</v>
      </c>
      <c r="C52" s="62"/>
      <c r="D52" s="54">
        <v>0.97</v>
      </c>
      <c r="E52" s="55">
        <v>1.9800000000000002E-2</v>
      </c>
      <c r="G52" s="56">
        <f t="shared" si="0"/>
        <v>0.48000000000000026</v>
      </c>
      <c r="H52" s="57">
        <v>8.09E-3</v>
      </c>
      <c r="J52" s="69"/>
      <c r="K52" s="65">
        <f t="shared" si="1"/>
        <v>0.48000000000000026</v>
      </c>
      <c r="L52" s="66">
        <v>3.5699999999999998E-3</v>
      </c>
    </row>
    <row r="53" spans="1:12" s="5" customFormat="1" ht="12" x14ac:dyDescent="0.2">
      <c r="A53" s="54">
        <v>0.98</v>
      </c>
      <c r="B53" s="55">
        <v>2.4299999999999999E-2</v>
      </c>
      <c r="C53" s="62"/>
      <c r="D53" s="54">
        <v>0.98</v>
      </c>
      <c r="E53" s="55">
        <v>1.9800000000000002E-2</v>
      </c>
      <c r="G53" s="56">
        <f t="shared" si="0"/>
        <v>0.49000000000000027</v>
      </c>
      <c r="H53" s="57">
        <v>8.0420000000000005E-3</v>
      </c>
      <c r="J53" s="69"/>
      <c r="K53" s="65">
        <f t="shared" si="1"/>
        <v>0.49000000000000027</v>
      </c>
      <c r="L53" s="66">
        <v>3.49E-3</v>
      </c>
    </row>
    <row r="54" spans="1:12" s="5" customFormat="1" ht="12" x14ac:dyDescent="0.2">
      <c r="A54" s="54">
        <v>0.99</v>
      </c>
      <c r="B54" s="55">
        <v>2.4049999999999998E-2</v>
      </c>
      <c r="C54" s="62"/>
      <c r="D54" s="54">
        <v>0.99</v>
      </c>
      <c r="E54" s="55">
        <v>1.9800000000000002E-2</v>
      </c>
      <c r="G54" s="56">
        <f t="shared" si="0"/>
        <v>0.50000000000000022</v>
      </c>
      <c r="H54" s="57">
        <v>7.9950000000000004E-3</v>
      </c>
      <c r="J54" s="69"/>
      <c r="K54" s="65">
        <f t="shared" si="1"/>
        <v>0.50000000000000022</v>
      </c>
      <c r="L54" s="66">
        <v>3.4199999999999999E-3</v>
      </c>
    </row>
    <row r="55" spans="1:12" s="5" customFormat="1" ht="12" x14ac:dyDescent="0.2">
      <c r="A55" s="54">
        <v>1</v>
      </c>
      <c r="B55" s="55">
        <v>2.3810000000000001E-2</v>
      </c>
      <c r="C55" s="62"/>
      <c r="D55" s="54">
        <v>1</v>
      </c>
      <c r="E55" s="55">
        <v>1.9800000000000002E-2</v>
      </c>
      <c r="G55" s="56">
        <f t="shared" si="0"/>
        <v>0.51000000000000023</v>
      </c>
      <c r="H55" s="57">
        <v>7.8379999999999995E-3</v>
      </c>
      <c r="I55" s="58"/>
      <c r="J55" s="70"/>
      <c r="K55" s="65">
        <f t="shared" si="1"/>
        <v>0.51000000000000023</v>
      </c>
      <c r="L55" s="66">
        <v>3.3600000000000001E-3</v>
      </c>
    </row>
    <row r="56" spans="1:12" s="5" customFormat="1" ht="12" x14ac:dyDescent="0.2">
      <c r="A56" s="59"/>
      <c r="B56" s="60"/>
      <c r="C56" s="62"/>
      <c r="D56" s="62"/>
      <c r="E56" s="62"/>
      <c r="G56" s="56">
        <f t="shared" si="0"/>
        <v>0.52000000000000024</v>
      </c>
      <c r="H56" s="57">
        <v>7.6880000000000004E-3</v>
      </c>
      <c r="J56" s="69"/>
      <c r="K56" s="65">
        <f t="shared" si="1"/>
        <v>0.52000000000000024</v>
      </c>
      <c r="L56" s="66">
        <v>3.29E-3</v>
      </c>
    </row>
    <row r="57" spans="1:12" s="5" customFormat="1" ht="12" x14ac:dyDescent="0.2">
      <c r="G57" s="56">
        <f t="shared" si="0"/>
        <v>0.53000000000000025</v>
      </c>
      <c r="H57" s="57">
        <v>7.5430000000000002E-3</v>
      </c>
      <c r="J57" s="69"/>
      <c r="K57" s="65">
        <f t="shared" si="1"/>
        <v>0.53000000000000025</v>
      </c>
      <c r="L57" s="66">
        <v>3.2299999999999998E-3</v>
      </c>
    </row>
    <row r="58" spans="1:12" s="5" customFormat="1" ht="12" x14ac:dyDescent="0.2">
      <c r="G58" s="56">
        <f t="shared" si="0"/>
        <v>0.54000000000000026</v>
      </c>
      <c r="H58" s="57">
        <v>7.4029999999999999E-3</v>
      </c>
      <c r="J58" s="69"/>
      <c r="K58" s="65">
        <f t="shared" si="1"/>
        <v>0.54000000000000026</v>
      </c>
      <c r="L58" s="66">
        <v>3.1700000000000001E-3</v>
      </c>
    </row>
    <row r="59" spans="1:12" s="5" customFormat="1" ht="12" x14ac:dyDescent="0.2">
      <c r="G59" s="56">
        <f t="shared" si="0"/>
        <v>0.55000000000000027</v>
      </c>
      <c r="H59" s="57">
        <v>7.2680000000000002E-3</v>
      </c>
      <c r="J59" s="69"/>
      <c r="K59" s="65">
        <f t="shared" si="1"/>
        <v>0.55000000000000027</v>
      </c>
      <c r="L59" s="66">
        <v>3.1099999999999999E-3</v>
      </c>
    </row>
    <row r="60" spans="1:12" s="5" customFormat="1" ht="12" x14ac:dyDescent="0.2">
      <c r="G60" s="56">
        <f t="shared" si="0"/>
        <v>0.56000000000000028</v>
      </c>
      <c r="H60" s="57">
        <v>7.1390000000000004E-3</v>
      </c>
      <c r="J60" s="69"/>
      <c r="K60" s="65">
        <f t="shared" si="1"/>
        <v>0.56000000000000028</v>
      </c>
      <c r="L60" s="66">
        <v>3.0599999999999998E-3</v>
      </c>
    </row>
    <row r="61" spans="1:12" s="5" customFormat="1" ht="12" x14ac:dyDescent="0.2">
      <c r="G61" s="56">
        <f t="shared" si="0"/>
        <v>0.57000000000000028</v>
      </c>
      <c r="H61" s="57">
        <v>7.0130000000000001E-3</v>
      </c>
      <c r="J61" s="69"/>
      <c r="K61" s="65">
        <f t="shared" si="1"/>
        <v>0.57000000000000028</v>
      </c>
      <c r="L61" s="66">
        <v>3.0000000000000001E-3</v>
      </c>
    </row>
    <row r="62" spans="1:12" s="5" customFormat="1" ht="12" x14ac:dyDescent="0.2">
      <c r="G62" s="56">
        <f t="shared" si="0"/>
        <v>0.58000000000000029</v>
      </c>
      <c r="H62" s="57">
        <v>6.8919999999999997E-3</v>
      </c>
      <c r="J62" s="69"/>
      <c r="K62" s="65">
        <f t="shared" si="1"/>
        <v>0.58000000000000029</v>
      </c>
      <c r="L62" s="66">
        <v>2.9499999999999999E-3</v>
      </c>
    </row>
    <row r="63" spans="1:12" s="5" customFormat="1" ht="12" x14ac:dyDescent="0.2">
      <c r="G63" s="56">
        <f t="shared" si="0"/>
        <v>0.5900000000000003</v>
      </c>
      <c r="H63" s="57">
        <v>6.7759999999999999E-3</v>
      </c>
      <c r="J63" s="69"/>
      <c r="K63" s="65">
        <f t="shared" si="1"/>
        <v>0.5900000000000003</v>
      </c>
      <c r="L63" s="66">
        <v>2.8999999999999998E-3</v>
      </c>
    </row>
    <row r="64" spans="1:12" s="5" customFormat="1" ht="12" x14ac:dyDescent="0.2">
      <c r="G64" s="56">
        <f t="shared" si="0"/>
        <v>0.60000000000000031</v>
      </c>
      <c r="H64" s="57">
        <v>6.6629999999999997E-3</v>
      </c>
      <c r="J64" s="69"/>
      <c r="K64" s="65">
        <f t="shared" si="1"/>
        <v>0.60000000000000031</v>
      </c>
      <c r="L64" s="66">
        <v>2.8500000000000001E-3</v>
      </c>
    </row>
    <row r="65" spans="7:12" s="5" customFormat="1" ht="12" x14ac:dyDescent="0.2">
      <c r="G65" s="56">
        <f t="shared" si="0"/>
        <v>0.61000000000000032</v>
      </c>
      <c r="H65" s="57">
        <v>6.5529999999999998E-3</v>
      </c>
      <c r="J65" s="69"/>
      <c r="K65" s="65">
        <f t="shared" si="1"/>
        <v>0.61000000000000032</v>
      </c>
      <c r="L65" s="66">
        <v>2.81E-3</v>
      </c>
    </row>
    <row r="66" spans="7:12" s="5" customFormat="1" ht="12" x14ac:dyDescent="0.2">
      <c r="G66" s="56">
        <f t="shared" si="0"/>
        <v>0.62000000000000033</v>
      </c>
      <c r="H66" s="57">
        <v>6.4479999999999997E-3</v>
      </c>
      <c r="J66" s="69"/>
      <c r="K66" s="65">
        <f t="shared" si="1"/>
        <v>0.62000000000000033</v>
      </c>
      <c r="L66" s="66">
        <v>2.7599999999999999E-3</v>
      </c>
    </row>
    <row r="67" spans="7:12" s="5" customFormat="1" ht="12" x14ac:dyDescent="0.2">
      <c r="G67" s="56">
        <f t="shared" si="0"/>
        <v>0.63000000000000034</v>
      </c>
      <c r="H67" s="57">
        <v>6.3449999999999999E-3</v>
      </c>
      <c r="J67" s="69"/>
      <c r="K67" s="65">
        <f t="shared" si="1"/>
        <v>0.63000000000000034</v>
      </c>
      <c r="L67" s="66">
        <v>2.7200000000000002E-3</v>
      </c>
    </row>
    <row r="68" spans="7:12" s="5" customFormat="1" ht="12" x14ac:dyDescent="0.2">
      <c r="G68" s="56">
        <f t="shared" si="0"/>
        <v>0.64000000000000035</v>
      </c>
      <c r="H68" s="57">
        <v>6.2459999999999998E-3</v>
      </c>
      <c r="J68" s="69"/>
      <c r="K68" s="65">
        <f t="shared" si="1"/>
        <v>0.64000000000000035</v>
      </c>
      <c r="L68" s="66">
        <v>2.6800000000000001E-3</v>
      </c>
    </row>
    <row r="69" spans="7:12" s="5" customFormat="1" ht="12" x14ac:dyDescent="0.2">
      <c r="G69" s="56">
        <f t="shared" si="0"/>
        <v>0.65000000000000036</v>
      </c>
      <c r="H69" s="57">
        <v>6.1500000000000001E-3</v>
      </c>
      <c r="J69" s="69"/>
      <c r="K69" s="65">
        <f t="shared" si="1"/>
        <v>0.65000000000000036</v>
      </c>
      <c r="L69" s="66">
        <v>2.63E-3</v>
      </c>
    </row>
    <row r="70" spans="7:12" s="5" customFormat="1" ht="12" x14ac:dyDescent="0.2">
      <c r="G70" s="56">
        <f t="shared" si="0"/>
        <v>0.66000000000000036</v>
      </c>
      <c r="H70" s="57">
        <v>6.0569999999999999E-3</v>
      </c>
      <c r="J70" s="69"/>
      <c r="K70" s="65">
        <f t="shared" si="1"/>
        <v>0.66000000000000036</v>
      </c>
      <c r="L70" s="66">
        <v>2.5899999999999999E-3</v>
      </c>
    </row>
    <row r="71" spans="7:12" s="5" customFormat="1" ht="12" x14ac:dyDescent="0.2">
      <c r="G71" s="56">
        <f t="shared" ref="G71:G104" si="2">G70+0.01</f>
        <v>0.67000000000000037</v>
      </c>
      <c r="H71" s="57">
        <v>5.9670000000000001E-3</v>
      </c>
      <c r="J71" s="69"/>
      <c r="K71" s="65">
        <f t="shared" ref="K71:K104" si="3">K70+0.01</f>
        <v>0.67000000000000037</v>
      </c>
      <c r="L71" s="66">
        <v>2.5600000000000002E-3</v>
      </c>
    </row>
    <row r="72" spans="7:12" s="5" customFormat="1" ht="12" x14ac:dyDescent="0.2">
      <c r="G72" s="56">
        <f t="shared" si="2"/>
        <v>0.68000000000000038</v>
      </c>
      <c r="H72" s="57">
        <v>5.8789999999999997E-3</v>
      </c>
      <c r="J72" s="69"/>
      <c r="K72" s="65">
        <f t="shared" si="3"/>
        <v>0.68000000000000038</v>
      </c>
      <c r="L72" s="66">
        <v>2.5200000000000001E-3</v>
      </c>
    </row>
    <row r="73" spans="7:12" s="5" customFormat="1" ht="12" x14ac:dyDescent="0.2">
      <c r="G73" s="56">
        <f t="shared" si="2"/>
        <v>0.69000000000000039</v>
      </c>
      <c r="H73" s="57">
        <v>5.7939999999999997E-3</v>
      </c>
      <c r="J73" s="69"/>
      <c r="K73" s="65">
        <f t="shared" si="3"/>
        <v>0.69000000000000039</v>
      </c>
      <c r="L73" s="66">
        <v>2.48E-3</v>
      </c>
    </row>
    <row r="74" spans="7:12" s="5" customFormat="1" ht="12" x14ac:dyDescent="0.2">
      <c r="G74" s="56">
        <f t="shared" si="2"/>
        <v>0.7000000000000004</v>
      </c>
      <c r="H74" s="57">
        <v>5.7109999999999999E-3</v>
      </c>
      <c r="J74" s="69"/>
      <c r="K74" s="65">
        <f t="shared" si="3"/>
        <v>0.7000000000000004</v>
      </c>
      <c r="L74" s="66">
        <v>2.4499999999999999E-3</v>
      </c>
    </row>
    <row r="75" spans="7:12" s="5" customFormat="1" ht="12" x14ac:dyDescent="0.2">
      <c r="G75" s="56">
        <f t="shared" si="2"/>
        <v>0.71000000000000041</v>
      </c>
      <c r="H75" s="57">
        <v>5.6299999999999996E-3</v>
      </c>
      <c r="J75" s="69"/>
      <c r="K75" s="65">
        <f t="shared" si="3"/>
        <v>0.71000000000000041</v>
      </c>
      <c r="L75" s="66">
        <v>2.4099999999999998E-3</v>
      </c>
    </row>
    <row r="76" spans="7:12" s="5" customFormat="1" ht="12" x14ac:dyDescent="0.2">
      <c r="G76" s="56">
        <f t="shared" si="2"/>
        <v>0.72000000000000042</v>
      </c>
      <c r="H76" s="57">
        <v>5.5519999999999996E-3</v>
      </c>
      <c r="J76" s="69"/>
      <c r="K76" s="65">
        <f t="shared" si="3"/>
        <v>0.72000000000000042</v>
      </c>
      <c r="L76" s="66">
        <v>2.3800000000000002E-3</v>
      </c>
    </row>
    <row r="77" spans="7:12" s="5" customFormat="1" ht="12" x14ac:dyDescent="0.2">
      <c r="G77" s="56">
        <f t="shared" si="2"/>
        <v>0.73000000000000043</v>
      </c>
      <c r="H77" s="57">
        <v>5.476E-3</v>
      </c>
      <c r="J77" s="69"/>
      <c r="K77" s="65">
        <f t="shared" si="3"/>
        <v>0.73000000000000043</v>
      </c>
      <c r="L77" s="66">
        <v>2.3500000000000001E-3</v>
      </c>
    </row>
    <row r="78" spans="7:12" s="5" customFormat="1" ht="12" x14ac:dyDescent="0.2">
      <c r="G78" s="56">
        <f t="shared" si="2"/>
        <v>0.74000000000000044</v>
      </c>
      <c r="H78" s="57">
        <v>5.4019999999999997E-3</v>
      </c>
      <c r="J78" s="69"/>
      <c r="K78" s="65">
        <f t="shared" si="3"/>
        <v>0.74000000000000044</v>
      </c>
      <c r="L78" s="66">
        <v>2.31E-3</v>
      </c>
    </row>
    <row r="79" spans="7:12" s="5" customFormat="1" ht="12" x14ac:dyDescent="0.2">
      <c r="G79" s="56">
        <f t="shared" si="2"/>
        <v>0.75000000000000044</v>
      </c>
      <c r="H79" s="57">
        <v>5.3299999999999997E-3</v>
      </c>
      <c r="J79" s="69"/>
      <c r="K79" s="65">
        <f t="shared" si="3"/>
        <v>0.75000000000000044</v>
      </c>
      <c r="L79" s="66">
        <v>2.2799999999999999E-3</v>
      </c>
    </row>
    <row r="80" spans="7:12" s="5" customFormat="1" ht="12" x14ac:dyDescent="0.2">
      <c r="G80" s="56">
        <f t="shared" si="2"/>
        <v>0.76000000000000045</v>
      </c>
      <c r="H80" s="57">
        <v>5.2599999999999999E-3</v>
      </c>
      <c r="J80" s="69"/>
      <c r="K80" s="65">
        <f t="shared" si="3"/>
        <v>0.76000000000000045</v>
      </c>
      <c r="L80" s="66">
        <v>2.2499999999999998E-3</v>
      </c>
    </row>
    <row r="81" spans="7:12" s="5" customFormat="1" ht="12" x14ac:dyDescent="0.2">
      <c r="G81" s="56">
        <f t="shared" si="2"/>
        <v>0.77000000000000046</v>
      </c>
      <c r="H81" s="57">
        <v>5.1919999999999996E-3</v>
      </c>
      <c r="J81" s="69"/>
      <c r="K81" s="65">
        <f t="shared" si="3"/>
        <v>0.77000000000000046</v>
      </c>
      <c r="L81" s="66">
        <v>2.2200000000000002E-3</v>
      </c>
    </row>
    <row r="82" spans="7:12" s="5" customFormat="1" ht="12" x14ac:dyDescent="0.2">
      <c r="G82" s="56">
        <f t="shared" si="2"/>
        <v>0.78000000000000047</v>
      </c>
      <c r="H82" s="57">
        <v>5.1250000000000002E-3</v>
      </c>
      <c r="J82" s="69"/>
      <c r="K82" s="65">
        <f t="shared" si="3"/>
        <v>0.78000000000000047</v>
      </c>
      <c r="L82" s="66">
        <v>2.2000000000000001E-3</v>
      </c>
    </row>
    <row r="83" spans="7:12" s="5" customFormat="1" ht="12" x14ac:dyDescent="0.2">
      <c r="G83" s="56">
        <f t="shared" si="2"/>
        <v>0.79000000000000048</v>
      </c>
      <c r="H83" s="57">
        <v>5.0600000000000003E-3</v>
      </c>
      <c r="J83" s="69"/>
      <c r="K83" s="65">
        <f t="shared" si="3"/>
        <v>0.79000000000000048</v>
      </c>
      <c r="L83" s="66">
        <v>2.1700000000000001E-3</v>
      </c>
    </row>
    <row r="84" spans="7:12" s="5" customFormat="1" ht="12" x14ac:dyDescent="0.2">
      <c r="G84" s="56">
        <f t="shared" si="2"/>
        <v>0.80000000000000049</v>
      </c>
      <c r="H84" s="57">
        <v>4.9969999999999997E-3</v>
      </c>
      <c r="J84" s="69"/>
      <c r="K84" s="65">
        <f t="shared" si="3"/>
        <v>0.80000000000000049</v>
      </c>
      <c r="L84" s="66">
        <v>2.14E-3</v>
      </c>
    </row>
    <row r="85" spans="7:12" s="5" customFormat="1" ht="12" x14ac:dyDescent="0.2">
      <c r="G85" s="56">
        <f t="shared" si="2"/>
        <v>0.8100000000000005</v>
      </c>
      <c r="H85" s="57">
        <v>4.9350000000000002E-3</v>
      </c>
      <c r="J85" s="69"/>
      <c r="K85" s="65">
        <f t="shared" si="3"/>
        <v>0.8100000000000005</v>
      </c>
      <c r="L85" s="66">
        <v>2.1099999999999999E-3</v>
      </c>
    </row>
    <row r="86" spans="7:12" s="5" customFormat="1" ht="12" x14ac:dyDescent="0.2">
      <c r="G86" s="56">
        <f t="shared" si="2"/>
        <v>0.82000000000000051</v>
      </c>
      <c r="H86" s="57">
        <v>4.875E-3</v>
      </c>
      <c r="J86" s="69"/>
      <c r="K86" s="65">
        <f t="shared" si="3"/>
        <v>0.82000000000000051</v>
      </c>
      <c r="L86" s="66">
        <v>2.0899999999999998E-3</v>
      </c>
    </row>
    <row r="87" spans="7:12" s="5" customFormat="1" ht="12" x14ac:dyDescent="0.2">
      <c r="G87" s="56">
        <f t="shared" si="2"/>
        <v>0.83000000000000052</v>
      </c>
      <c r="H87" s="57">
        <v>4.816E-3</v>
      </c>
      <c r="J87" s="69"/>
      <c r="K87" s="65">
        <f t="shared" si="3"/>
        <v>0.83000000000000052</v>
      </c>
      <c r="L87" s="66">
        <v>2.0600000000000002E-3</v>
      </c>
    </row>
    <row r="88" spans="7:12" s="5" customFormat="1" ht="12" x14ac:dyDescent="0.2">
      <c r="G88" s="56">
        <f t="shared" si="2"/>
        <v>0.84000000000000052</v>
      </c>
      <c r="H88" s="57">
        <v>4.7590000000000002E-3</v>
      </c>
      <c r="J88" s="69"/>
      <c r="K88" s="65">
        <f t="shared" si="3"/>
        <v>0.84000000000000052</v>
      </c>
      <c r="L88" s="66">
        <v>2.0400000000000001E-3</v>
      </c>
    </row>
    <row r="89" spans="7:12" s="5" customFormat="1" ht="12" x14ac:dyDescent="0.2">
      <c r="G89" s="56">
        <f t="shared" si="2"/>
        <v>0.85000000000000053</v>
      </c>
      <c r="H89" s="57">
        <v>4.7029999999999997E-3</v>
      </c>
      <c r="J89" s="69"/>
      <c r="K89" s="65">
        <f t="shared" si="3"/>
        <v>0.85000000000000053</v>
      </c>
      <c r="L89" s="66">
        <v>2.0100000000000001E-3</v>
      </c>
    </row>
    <row r="90" spans="7:12" s="5" customFormat="1" ht="12" x14ac:dyDescent="0.2">
      <c r="G90" s="56">
        <f t="shared" si="2"/>
        <v>0.86000000000000054</v>
      </c>
      <c r="H90" s="57">
        <v>4.6480000000000002E-3</v>
      </c>
      <c r="J90" s="69"/>
      <c r="K90" s="65">
        <f t="shared" si="3"/>
        <v>0.86000000000000054</v>
      </c>
      <c r="L90" s="66">
        <v>1.99E-3</v>
      </c>
    </row>
    <row r="91" spans="7:12" s="5" customFormat="1" ht="12" x14ac:dyDescent="0.2">
      <c r="G91" s="56">
        <f t="shared" si="2"/>
        <v>0.87000000000000055</v>
      </c>
      <c r="H91" s="57">
        <v>4.5950000000000001E-3</v>
      </c>
      <c r="J91" s="69"/>
      <c r="K91" s="65">
        <f t="shared" si="3"/>
        <v>0.87000000000000055</v>
      </c>
      <c r="L91" s="66">
        <v>1.97E-3</v>
      </c>
    </row>
    <row r="92" spans="7:12" s="5" customFormat="1" ht="12" x14ac:dyDescent="0.2">
      <c r="G92" s="56">
        <f t="shared" si="2"/>
        <v>0.88000000000000056</v>
      </c>
      <c r="H92" s="57">
        <v>4.5430000000000002E-3</v>
      </c>
      <c r="J92" s="69"/>
      <c r="K92" s="65">
        <f t="shared" si="3"/>
        <v>0.88000000000000056</v>
      </c>
      <c r="L92" s="66">
        <v>1.9499999999999999E-3</v>
      </c>
    </row>
    <row r="93" spans="7:12" s="5" customFormat="1" ht="12" x14ac:dyDescent="0.2">
      <c r="G93" s="56">
        <f t="shared" si="2"/>
        <v>0.89000000000000057</v>
      </c>
      <c r="H93" s="57">
        <v>4.4920000000000003E-3</v>
      </c>
      <c r="J93" s="69"/>
      <c r="K93" s="65">
        <f t="shared" si="3"/>
        <v>0.89000000000000057</v>
      </c>
      <c r="L93" s="66">
        <v>1.92E-3</v>
      </c>
    </row>
    <row r="94" spans="7:12" s="5" customFormat="1" ht="12" x14ac:dyDescent="0.2">
      <c r="G94" s="56">
        <f t="shared" si="2"/>
        <v>0.90000000000000058</v>
      </c>
      <c r="H94" s="57">
        <v>4.4419999999999998E-3</v>
      </c>
      <c r="J94" s="69"/>
      <c r="K94" s="65">
        <f t="shared" si="3"/>
        <v>0.90000000000000058</v>
      </c>
      <c r="L94" s="66">
        <v>1.9E-3</v>
      </c>
    </row>
    <row r="95" spans="7:12" s="5" customFormat="1" ht="12" x14ac:dyDescent="0.2">
      <c r="G95" s="56">
        <f t="shared" si="2"/>
        <v>0.91000000000000059</v>
      </c>
      <c r="H95" s="57">
        <v>4.3930000000000002E-3</v>
      </c>
      <c r="J95" s="69"/>
      <c r="K95" s="65">
        <f t="shared" si="3"/>
        <v>0.91000000000000059</v>
      </c>
      <c r="L95" s="66">
        <v>1.8799999999999999E-3</v>
      </c>
    </row>
    <row r="96" spans="7:12" s="5" customFormat="1" ht="12" x14ac:dyDescent="0.2">
      <c r="G96" s="56">
        <f t="shared" si="2"/>
        <v>0.9200000000000006</v>
      </c>
      <c r="H96" s="57">
        <v>4.3449999999999999E-3</v>
      </c>
      <c r="J96" s="69"/>
      <c r="K96" s="65">
        <f t="shared" si="3"/>
        <v>0.9200000000000006</v>
      </c>
      <c r="L96" s="66">
        <v>1.8600000000000001E-3</v>
      </c>
    </row>
    <row r="97" spans="7:12" s="5" customFormat="1" ht="12" x14ac:dyDescent="0.2">
      <c r="G97" s="56">
        <f t="shared" si="2"/>
        <v>0.9300000000000006</v>
      </c>
      <c r="H97" s="57">
        <v>4.2989999999999999E-3</v>
      </c>
      <c r="J97" s="69"/>
      <c r="K97" s="65">
        <f t="shared" si="3"/>
        <v>0.9300000000000006</v>
      </c>
      <c r="L97" s="66">
        <v>1.8400000000000001E-3</v>
      </c>
    </row>
    <row r="98" spans="7:12" s="5" customFormat="1" ht="12" x14ac:dyDescent="0.2">
      <c r="G98" s="56">
        <f t="shared" si="2"/>
        <v>0.94000000000000061</v>
      </c>
      <c r="H98" s="57">
        <v>4.2529999999999998E-3</v>
      </c>
      <c r="J98" s="69"/>
      <c r="K98" s="112">
        <f t="shared" si="3"/>
        <v>0.94000000000000061</v>
      </c>
      <c r="L98" s="113">
        <v>1.82E-3</v>
      </c>
    </row>
    <row r="99" spans="7:12" s="5" customFormat="1" ht="12" x14ac:dyDescent="0.2">
      <c r="G99" s="56">
        <f t="shared" si="2"/>
        <v>0.95000000000000062</v>
      </c>
      <c r="H99" s="57">
        <v>4.2079999999999999E-3</v>
      </c>
      <c r="J99" s="69"/>
      <c r="K99" s="65">
        <f t="shared" si="3"/>
        <v>0.95000000000000062</v>
      </c>
      <c r="L99" s="66">
        <v>1.8E-3</v>
      </c>
    </row>
    <row r="100" spans="7:12" s="5" customFormat="1" ht="12" x14ac:dyDescent="0.2">
      <c r="G100" s="56">
        <f t="shared" si="2"/>
        <v>0.96000000000000063</v>
      </c>
      <c r="H100" s="57">
        <v>4.1640000000000002E-3</v>
      </c>
      <c r="J100" s="69"/>
      <c r="K100" s="65">
        <f t="shared" si="3"/>
        <v>0.96000000000000063</v>
      </c>
      <c r="L100" s="66">
        <v>1.7799999999999999E-3</v>
      </c>
    </row>
    <row r="101" spans="7:12" s="5" customFormat="1" ht="12" x14ac:dyDescent="0.2">
      <c r="G101" s="56">
        <f t="shared" si="2"/>
        <v>0.97000000000000064</v>
      </c>
      <c r="H101" s="57">
        <v>4.1209999999999997E-3</v>
      </c>
      <c r="J101" s="69"/>
      <c r="K101" s="65">
        <f t="shared" si="3"/>
        <v>0.97000000000000064</v>
      </c>
      <c r="L101" s="66">
        <v>1.7700000000000001E-3</v>
      </c>
    </row>
    <row r="102" spans="7:12" s="5" customFormat="1" ht="12" x14ac:dyDescent="0.2">
      <c r="G102" s="56">
        <f t="shared" si="2"/>
        <v>0.98000000000000065</v>
      </c>
      <c r="H102" s="57">
        <v>4.0790000000000002E-3</v>
      </c>
      <c r="J102" s="69"/>
      <c r="K102" s="65">
        <f t="shared" si="3"/>
        <v>0.98000000000000065</v>
      </c>
      <c r="L102" s="66">
        <v>1.75E-3</v>
      </c>
    </row>
    <row r="103" spans="7:12" s="5" customFormat="1" ht="12" x14ac:dyDescent="0.2">
      <c r="G103" s="56">
        <f t="shared" si="2"/>
        <v>0.99000000000000066</v>
      </c>
      <c r="H103" s="57">
        <v>4.0379999999999999E-3</v>
      </c>
      <c r="J103" s="69"/>
      <c r="K103" s="65">
        <f t="shared" si="3"/>
        <v>0.99000000000000066</v>
      </c>
      <c r="L103" s="66">
        <v>1.73E-3</v>
      </c>
    </row>
    <row r="104" spans="7:12" s="5" customFormat="1" ht="12" x14ac:dyDescent="0.2">
      <c r="G104" s="56">
        <f t="shared" si="2"/>
        <v>1.0000000000000007</v>
      </c>
      <c r="H104" s="57">
        <v>3.9979999999999998E-3</v>
      </c>
      <c r="J104" s="69"/>
      <c r="K104" s="65">
        <f t="shared" si="3"/>
        <v>1.0000000000000007</v>
      </c>
      <c r="L104" s="66">
        <v>1.7099999999999999E-3</v>
      </c>
    </row>
    <row r="105" spans="7:12" x14ac:dyDescent="0.2">
      <c r="J105" s="68"/>
    </row>
  </sheetData>
  <mergeCells count="8">
    <mergeCell ref="K1:L1"/>
    <mergeCell ref="K2:L2"/>
    <mergeCell ref="G2:H2"/>
    <mergeCell ref="A2:B2"/>
    <mergeCell ref="G1:H1"/>
    <mergeCell ref="A1:B1"/>
    <mergeCell ref="D1:E1"/>
    <mergeCell ref="D2:E2"/>
  </mergeCells>
  <phoneticPr fontId="0" type="noConversion"/>
  <printOptions headings="1"/>
  <pageMargins left="0.5" right="0.5" top="0.5" bottom="0.5" header="0.5" footer="0.5"/>
  <pageSetup paperSize="5" scale="7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Z49"/>
  <sheetViews>
    <sheetView view="pageBreakPreview" topLeftCell="A16" zoomScale="75" zoomScaleNormal="90" zoomScaleSheetLayoutView="75" workbookViewId="0">
      <pane xSplit="1" topLeftCell="M1" activePane="topRight" state="frozen"/>
      <selection pane="topRight" activeCell="N57" sqref="N57"/>
    </sheetView>
  </sheetViews>
  <sheetFormatPr defaultRowHeight="12.75" x14ac:dyDescent="0.2"/>
  <cols>
    <col min="1" max="1" width="27.85546875" customWidth="1"/>
    <col min="2" max="2" width="16.7109375" bestFit="1" customWidth="1"/>
    <col min="3" max="3" width="16" bestFit="1" customWidth="1"/>
    <col min="4" max="4" width="15.7109375" bestFit="1" customWidth="1"/>
    <col min="5" max="5" width="16" bestFit="1" customWidth="1"/>
    <col min="6" max="6" width="15.28515625" style="5" bestFit="1" customWidth="1"/>
    <col min="7" max="7" width="15.7109375" style="5" bestFit="1" customWidth="1"/>
    <col min="8" max="8" width="16.42578125" bestFit="1" customWidth="1"/>
    <col min="9" max="9" width="16" bestFit="1" customWidth="1"/>
    <col min="10" max="10" width="15.85546875" bestFit="1" customWidth="1"/>
    <col min="11" max="13" width="16.140625" bestFit="1" customWidth="1"/>
    <col min="14" max="14" width="17.42578125" bestFit="1" customWidth="1"/>
    <col min="15" max="16" width="14.85546875" bestFit="1" customWidth="1"/>
    <col min="17" max="17" width="15.42578125" bestFit="1" customWidth="1"/>
    <col min="18" max="18" width="14.85546875" bestFit="1" customWidth="1"/>
    <col min="19" max="19" width="14.7109375" bestFit="1" customWidth="1"/>
    <col min="20" max="21" width="14.85546875" bestFit="1" customWidth="1"/>
    <col min="22" max="22" width="14.7109375" bestFit="1" customWidth="1"/>
    <col min="23" max="23" width="15.85546875" bestFit="1" customWidth="1"/>
    <col min="24" max="24" width="14.7109375" bestFit="1" customWidth="1"/>
    <col min="25" max="26" width="14.85546875" bestFit="1" customWidth="1"/>
  </cols>
  <sheetData>
    <row r="1" spans="1:26" x14ac:dyDescent="0.2">
      <c r="A1" s="1" t="s">
        <v>71</v>
      </c>
    </row>
    <row r="2" spans="1:26" x14ac:dyDescent="0.2">
      <c r="A2" s="1" t="s">
        <v>121</v>
      </c>
      <c r="F2" s="5">
        <f>0.005+0.05878</f>
        <v>6.3780000000000003E-2</v>
      </c>
      <c r="G2" s="5">
        <f>F2-0.0615</f>
        <v>2.2800000000000042E-3</v>
      </c>
    </row>
    <row r="3" spans="1:26" ht="13.5" thickBot="1" x14ac:dyDescent="0.25">
      <c r="A3" s="3">
        <f ca="1">TODAY()</f>
        <v>37340</v>
      </c>
      <c r="B3" s="2"/>
      <c r="C3" s="2"/>
      <c r="D3" s="2"/>
      <c r="E3" s="2"/>
      <c r="F3" s="52"/>
      <c r="G3" s="5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61"/>
      <c r="B4" s="83"/>
      <c r="C4" s="83"/>
      <c r="D4" s="83"/>
      <c r="E4" s="83"/>
      <c r="F4" s="49"/>
      <c r="G4" s="49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spans="1:26" s="5" customFormat="1" ht="12" x14ac:dyDescent="0.2">
      <c r="B5" s="248">
        <v>2001</v>
      </c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50"/>
      <c r="O5" s="248">
        <v>2002</v>
      </c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50"/>
    </row>
    <row r="6" spans="1:26" x14ac:dyDescent="0.2">
      <c r="A6" s="167" t="s">
        <v>96</v>
      </c>
      <c r="B6" s="6" t="s">
        <v>0</v>
      </c>
      <c r="C6" s="6" t="s">
        <v>1</v>
      </c>
      <c r="D6" s="6" t="s">
        <v>2</v>
      </c>
      <c r="E6" s="134" t="s">
        <v>3</v>
      </c>
      <c r="F6" s="6" t="s">
        <v>4</v>
      </c>
      <c r="G6" s="6" t="s">
        <v>5</v>
      </c>
      <c r="H6" s="134" t="s">
        <v>6</v>
      </c>
      <c r="I6" s="6" t="s">
        <v>7</v>
      </c>
      <c r="J6" s="6" t="s">
        <v>8</v>
      </c>
      <c r="K6" s="134" t="s">
        <v>9</v>
      </c>
      <c r="L6" s="6" t="s">
        <v>10</v>
      </c>
      <c r="M6" s="6" t="s">
        <v>12</v>
      </c>
      <c r="N6" s="152" t="s">
        <v>120</v>
      </c>
      <c r="O6" s="6" t="s">
        <v>0</v>
      </c>
      <c r="P6" s="6" t="s">
        <v>1</v>
      </c>
      <c r="Q6" s="6" t="s">
        <v>2</v>
      </c>
      <c r="R6" s="134" t="s">
        <v>3</v>
      </c>
      <c r="S6" s="6" t="s">
        <v>4</v>
      </c>
      <c r="T6" s="6" t="s">
        <v>5</v>
      </c>
      <c r="U6" s="134" t="s">
        <v>6</v>
      </c>
      <c r="V6" s="6" t="s">
        <v>7</v>
      </c>
      <c r="W6" s="6" t="s">
        <v>8</v>
      </c>
      <c r="X6" s="134" t="s">
        <v>9</v>
      </c>
      <c r="Y6" s="6" t="s">
        <v>10</v>
      </c>
      <c r="Z6" s="6" t="s">
        <v>12</v>
      </c>
    </row>
    <row r="7" spans="1:26" x14ac:dyDescent="0.2">
      <c r="A7" s="168" t="s">
        <v>47</v>
      </c>
      <c r="B7" s="47"/>
      <c r="C7" s="47"/>
      <c r="D7" s="138"/>
      <c r="E7" s="47"/>
      <c r="F7" s="47"/>
      <c r="G7" s="138"/>
      <c r="H7" s="47"/>
      <c r="I7" s="47"/>
      <c r="J7" s="138"/>
      <c r="K7" s="47"/>
      <c r="L7" s="47"/>
      <c r="M7" s="138"/>
      <c r="N7" s="153"/>
      <c r="O7" s="47"/>
      <c r="P7" s="47"/>
      <c r="Q7" s="138"/>
      <c r="R7" s="47"/>
      <c r="S7" s="47"/>
      <c r="T7" s="138"/>
      <c r="U7" s="47"/>
      <c r="V7" s="47"/>
      <c r="W7" s="138"/>
      <c r="X7" s="47"/>
      <c r="Y7" s="47"/>
      <c r="Z7" s="138"/>
    </row>
    <row r="8" spans="1:26" x14ac:dyDescent="0.2">
      <c r="A8" s="167" t="s">
        <v>52</v>
      </c>
      <c r="B8" s="24">
        <v>8.86</v>
      </c>
      <c r="C8" s="24">
        <v>8.86</v>
      </c>
      <c r="D8" s="139">
        <v>8.86</v>
      </c>
      <c r="E8" s="24">
        <v>8.86</v>
      </c>
      <c r="F8" s="24">
        <v>8.86</v>
      </c>
      <c r="G8" s="139">
        <v>8.86</v>
      </c>
      <c r="H8" s="24">
        <v>8.86</v>
      </c>
      <c r="I8" s="24">
        <v>8.86</v>
      </c>
      <c r="J8" s="139">
        <v>8.86</v>
      </c>
      <c r="K8" s="24">
        <v>8.86</v>
      </c>
      <c r="L8" s="24">
        <v>8.86</v>
      </c>
      <c r="M8" s="139">
        <v>8.86</v>
      </c>
      <c r="N8" s="154"/>
      <c r="O8" s="24">
        <v>8.86</v>
      </c>
      <c r="P8" s="24">
        <v>8.86</v>
      </c>
      <c r="Q8" s="139">
        <v>8.86</v>
      </c>
      <c r="R8" s="24">
        <v>8.86</v>
      </c>
      <c r="S8" s="24">
        <v>8.86</v>
      </c>
      <c r="T8" s="139">
        <v>8.86</v>
      </c>
      <c r="U8" s="24">
        <v>8.86</v>
      </c>
      <c r="V8" s="24">
        <v>8.86</v>
      </c>
      <c r="W8" s="139">
        <v>8.86</v>
      </c>
      <c r="X8" s="24">
        <v>8.86</v>
      </c>
      <c r="Y8" s="24">
        <v>8.86</v>
      </c>
      <c r="Z8" s="139">
        <v>8.86</v>
      </c>
    </row>
    <row r="9" spans="1:26" x14ac:dyDescent="0.2">
      <c r="A9" s="167" t="s">
        <v>53</v>
      </c>
      <c r="B9" s="12">
        <v>5434</v>
      </c>
      <c r="C9" s="12">
        <v>5088</v>
      </c>
      <c r="D9" s="140">
        <v>7075</v>
      </c>
      <c r="E9" s="12">
        <v>6797</v>
      </c>
      <c r="F9" s="12">
        <v>8256</v>
      </c>
      <c r="G9" s="140">
        <v>4973</v>
      </c>
      <c r="H9" s="12">
        <v>6931</v>
      </c>
      <c r="I9" s="12">
        <v>7930</v>
      </c>
      <c r="J9" s="140">
        <v>19</v>
      </c>
      <c r="K9" s="12">
        <v>5549</v>
      </c>
      <c r="L9" s="12">
        <v>7411</v>
      </c>
      <c r="M9" s="140">
        <v>5318</v>
      </c>
      <c r="N9" s="155">
        <f>SUM(B9:M9)</f>
        <v>70781</v>
      </c>
      <c r="O9" s="12">
        <v>5434</v>
      </c>
      <c r="P9" s="12">
        <v>5088</v>
      </c>
      <c r="Q9" s="140">
        <v>7075</v>
      </c>
      <c r="R9" s="12">
        <v>6797</v>
      </c>
      <c r="S9" s="12">
        <v>8256</v>
      </c>
      <c r="T9" s="140">
        <v>4973</v>
      </c>
      <c r="U9" s="12">
        <v>6931</v>
      </c>
      <c r="V9" s="12">
        <v>7930</v>
      </c>
      <c r="W9" s="140">
        <v>19</v>
      </c>
      <c r="X9" s="12">
        <v>5549</v>
      </c>
      <c r="Y9" s="12">
        <v>7411</v>
      </c>
      <c r="Z9" s="140">
        <v>5318</v>
      </c>
    </row>
    <row r="10" spans="1:26" x14ac:dyDescent="0.2">
      <c r="A10" s="167" t="s">
        <v>57</v>
      </c>
      <c r="B10" s="24">
        <v>3.35</v>
      </c>
      <c r="C10" s="24">
        <v>3.35</v>
      </c>
      <c r="D10" s="139">
        <v>3.35</v>
      </c>
      <c r="E10" s="24">
        <v>3.35</v>
      </c>
      <c r="F10" s="24">
        <v>3.35</v>
      </c>
      <c r="G10" s="139">
        <v>3.35</v>
      </c>
      <c r="H10" s="24">
        <v>3.35</v>
      </c>
      <c r="I10" s="24">
        <v>3.35</v>
      </c>
      <c r="J10" s="139">
        <v>3.35</v>
      </c>
      <c r="K10" s="24">
        <v>3.35</v>
      </c>
      <c r="L10" s="24">
        <v>3.35</v>
      </c>
      <c r="M10" s="139">
        <v>3.35</v>
      </c>
      <c r="N10" s="154"/>
      <c r="O10" s="24">
        <v>3.35</v>
      </c>
      <c r="P10" s="24">
        <v>3.35</v>
      </c>
      <c r="Q10" s="139">
        <v>3.35</v>
      </c>
      <c r="R10" s="24">
        <v>3.35</v>
      </c>
      <c r="S10" s="24">
        <v>3.35</v>
      </c>
      <c r="T10" s="139">
        <v>3.35</v>
      </c>
      <c r="U10" s="24">
        <v>3.35</v>
      </c>
      <c r="V10" s="24">
        <v>3.35</v>
      </c>
      <c r="W10" s="139">
        <v>3.35</v>
      </c>
      <c r="X10" s="24">
        <v>3.35</v>
      </c>
      <c r="Y10" s="24">
        <v>3.35</v>
      </c>
      <c r="Z10" s="139">
        <v>3.35</v>
      </c>
    </row>
    <row r="11" spans="1:26" x14ac:dyDescent="0.2">
      <c r="A11" s="167" t="s">
        <v>58</v>
      </c>
      <c r="B11" s="12">
        <v>6778</v>
      </c>
      <c r="C11" s="12">
        <v>7344</v>
      </c>
      <c r="D11" s="140">
        <v>7661</v>
      </c>
      <c r="E11" s="12">
        <v>6787</v>
      </c>
      <c r="F11" s="12">
        <v>8698</v>
      </c>
      <c r="G11" s="140">
        <v>8410</v>
      </c>
      <c r="H11" s="12">
        <v>8218</v>
      </c>
      <c r="I11" s="12">
        <v>7968</v>
      </c>
      <c r="J11" s="140">
        <v>7910</v>
      </c>
      <c r="K11" s="12">
        <v>9331</v>
      </c>
      <c r="L11" s="12">
        <v>9120</v>
      </c>
      <c r="M11" s="140">
        <v>6106</v>
      </c>
      <c r="N11" s="155">
        <f>SUM(B11:M11)</f>
        <v>94331</v>
      </c>
      <c r="O11" s="12">
        <v>6778</v>
      </c>
      <c r="P11" s="12">
        <v>7344</v>
      </c>
      <c r="Q11" s="140">
        <v>7661</v>
      </c>
      <c r="R11" s="12">
        <v>6787</v>
      </c>
      <c r="S11" s="12">
        <v>8698</v>
      </c>
      <c r="T11" s="140">
        <v>8410</v>
      </c>
      <c r="U11" s="12">
        <v>8218</v>
      </c>
      <c r="V11" s="12">
        <v>7968</v>
      </c>
      <c r="W11" s="140">
        <v>7910</v>
      </c>
      <c r="X11" s="12">
        <v>9331</v>
      </c>
      <c r="Y11" s="12">
        <v>9120</v>
      </c>
      <c r="Z11" s="140">
        <v>6106</v>
      </c>
    </row>
    <row r="12" spans="1:26" x14ac:dyDescent="0.2">
      <c r="A12" s="168" t="s">
        <v>50</v>
      </c>
      <c r="B12" s="47"/>
      <c r="C12" s="47"/>
      <c r="D12" s="138"/>
      <c r="E12" s="47"/>
      <c r="F12" s="47"/>
      <c r="G12" s="138"/>
      <c r="H12" s="47"/>
      <c r="I12" s="47"/>
      <c r="J12" s="138"/>
      <c r="K12" s="47"/>
      <c r="L12" s="47"/>
      <c r="M12" s="138"/>
      <c r="N12" s="153"/>
      <c r="O12" s="47"/>
      <c r="P12" s="47"/>
      <c r="Q12" s="138"/>
      <c r="R12" s="47"/>
      <c r="S12" s="47"/>
      <c r="T12" s="138"/>
      <c r="U12" s="47"/>
      <c r="V12" s="47"/>
      <c r="W12" s="138"/>
      <c r="X12" s="47"/>
      <c r="Y12" s="47"/>
      <c r="Z12" s="138"/>
    </row>
    <row r="13" spans="1:26" x14ac:dyDescent="0.2">
      <c r="A13" s="167" t="s">
        <v>52</v>
      </c>
      <c r="B13" s="30">
        <v>1.562E-2</v>
      </c>
      <c r="C13" s="30">
        <v>1.562E-2</v>
      </c>
      <c r="D13" s="141">
        <v>1.562E-2</v>
      </c>
      <c r="E13" s="30">
        <v>1.562E-2</v>
      </c>
      <c r="F13" s="30">
        <v>1.562E-2</v>
      </c>
      <c r="G13" s="141">
        <v>1.562E-2</v>
      </c>
      <c r="H13" s="30">
        <v>1.562E-2</v>
      </c>
      <c r="I13" s="30">
        <v>1.562E-2</v>
      </c>
      <c r="J13" s="141">
        <v>1.562E-2</v>
      </c>
      <c r="K13" s="30">
        <v>1.562E-2</v>
      </c>
      <c r="L13" s="30">
        <v>1.562E-2</v>
      </c>
      <c r="M13" s="141">
        <v>1.562E-2</v>
      </c>
      <c r="N13" s="156"/>
      <c r="O13" s="30">
        <v>1.562E-2</v>
      </c>
      <c r="P13" s="30">
        <v>1.562E-2</v>
      </c>
      <c r="Q13" s="141">
        <v>1.562E-2</v>
      </c>
      <c r="R13" s="30">
        <v>1.562E-2</v>
      </c>
      <c r="S13" s="30">
        <v>1.562E-2</v>
      </c>
      <c r="T13" s="141">
        <v>1.562E-2</v>
      </c>
      <c r="U13" s="30">
        <v>1.562E-2</v>
      </c>
      <c r="V13" s="30">
        <v>1.562E-2</v>
      </c>
      <c r="W13" s="141">
        <v>1.562E-2</v>
      </c>
      <c r="X13" s="30">
        <v>1.562E-2</v>
      </c>
      <c r="Y13" s="30">
        <v>1.562E-2</v>
      </c>
      <c r="Z13" s="141">
        <v>1.562E-2</v>
      </c>
    </row>
    <row r="14" spans="1:26" x14ac:dyDescent="0.2">
      <c r="A14" s="167" t="s">
        <v>54</v>
      </c>
      <c r="B14" s="12">
        <v>4540992</v>
      </c>
      <c r="C14" s="12">
        <v>3956054</v>
      </c>
      <c r="D14" s="140">
        <v>4430942</v>
      </c>
      <c r="E14" s="12">
        <v>4401499</v>
      </c>
      <c r="F14" s="12">
        <v>3422650</v>
      </c>
      <c r="G14" s="140">
        <v>5199282</v>
      </c>
      <c r="H14" s="12">
        <v>5285904</v>
      </c>
      <c r="I14" s="12">
        <v>3574762</v>
      </c>
      <c r="J14" s="140">
        <v>1217290</v>
      </c>
      <c r="K14" s="12">
        <v>5319072</v>
      </c>
      <c r="L14" s="12">
        <v>5044762</v>
      </c>
      <c r="M14" s="140">
        <v>4509437</v>
      </c>
      <c r="N14" s="155">
        <f>SUM(B14:M14)</f>
        <v>50902646</v>
      </c>
      <c r="O14" s="12">
        <v>4540992</v>
      </c>
      <c r="P14" s="12">
        <v>3956054</v>
      </c>
      <c r="Q14" s="140">
        <v>4430942</v>
      </c>
      <c r="R14" s="12">
        <v>4401499</v>
      </c>
      <c r="S14" s="12">
        <v>3422650</v>
      </c>
      <c r="T14" s="140">
        <v>5199282</v>
      </c>
      <c r="U14" s="12">
        <v>5285904</v>
      </c>
      <c r="V14" s="12">
        <v>3574762</v>
      </c>
      <c r="W14" s="140">
        <v>1217290</v>
      </c>
      <c r="X14" s="12">
        <v>5319072</v>
      </c>
      <c r="Y14" s="12">
        <v>5044762</v>
      </c>
      <c r="Z14" s="140">
        <v>4509437</v>
      </c>
    </row>
    <row r="15" spans="1:26" x14ac:dyDescent="0.2">
      <c r="A15" s="167" t="s">
        <v>55</v>
      </c>
      <c r="B15" s="30">
        <v>4.4999999999999997E-3</v>
      </c>
      <c r="C15" s="30">
        <v>4.4999999999999997E-3</v>
      </c>
      <c r="D15" s="141">
        <v>4.4999999999999997E-3</v>
      </c>
      <c r="E15" s="30">
        <v>4.4999999999999997E-3</v>
      </c>
      <c r="F15" s="30">
        <v>4.4999999999999997E-3</v>
      </c>
      <c r="G15" s="141">
        <v>4.4999999999999997E-3</v>
      </c>
      <c r="H15" s="30">
        <v>4.4999999999999997E-3</v>
      </c>
      <c r="I15" s="30">
        <v>4.4999999999999997E-3</v>
      </c>
      <c r="J15" s="141">
        <v>4.4999999999999997E-3</v>
      </c>
      <c r="K15" s="30">
        <v>4.4999999999999997E-3</v>
      </c>
      <c r="L15" s="30">
        <v>4.4999999999999997E-3</v>
      </c>
      <c r="M15" s="141">
        <v>4.4999999999999997E-3</v>
      </c>
      <c r="N15" s="156"/>
      <c r="O15" s="30">
        <v>4.4999999999999997E-3</v>
      </c>
      <c r="P15" s="30">
        <v>4.4999999999999997E-3</v>
      </c>
      <c r="Q15" s="141">
        <v>4.4999999999999997E-3</v>
      </c>
      <c r="R15" s="30">
        <v>4.4999999999999997E-3</v>
      </c>
      <c r="S15" s="30">
        <v>4.4999999999999997E-3</v>
      </c>
      <c r="T15" s="141">
        <v>4.4999999999999997E-3</v>
      </c>
      <c r="U15" s="30">
        <v>4.4999999999999997E-3</v>
      </c>
      <c r="V15" s="30">
        <v>4.4999999999999997E-3</v>
      </c>
      <c r="W15" s="141">
        <v>4.4999999999999997E-3</v>
      </c>
      <c r="X15" s="30">
        <v>4.4999999999999997E-3</v>
      </c>
      <c r="Y15" s="30">
        <v>4.4999999999999997E-3</v>
      </c>
      <c r="Z15" s="141">
        <v>4.4999999999999997E-3</v>
      </c>
    </row>
    <row r="16" spans="1:26" x14ac:dyDescent="0.2">
      <c r="A16" s="167" t="s">
        <v>56</v>
      </c>
      <c r="B16" s="12">
        <f>B14</f>
        <v>4540992</v>
      </c>
      <c r="C16" s="12">
        <f t="shared" ref="C16:M16" si="0">C14</f>
        <v>3956054</v>
      </c>
      <c r="D16" s="140">
        <f t="shared" si="0"/>
        <v>4430942</v>
      </c>
      <c r="E16" s="12">
        <f t="shared" si="0"/>
        <v>4401499</v>
      </c>
      <c r="F16" s="12">
        <f t="shared" si="0"/>
        <v>3422650</v>
      </c>
      <c r="G16" s="140">
        <f t="shared" si="0"/>
        <v>5199282</v>
      </c>
      <c r="H16" s="12">
        <f t="shared" si="0"/>
        <v>5285904</v>
      </c>
      <c r="I16" s="12">
        <f t="shared" si="0"/>
        <v>3574762</v>
      </c>
      <c r="J16" s="140">
        <f t="shared" si="0"/>
        <v>1217290</v>
      </c>
      <c r="K16" s="12">
        <f t="shared" si="0"/>
        <v>5319072</v>
      </c>
      <c r="L16" s="12">
        <f t="shared" si="0"/>
        <v>5044762</v>
      </c>
      <c r="M16" s="140">
        <f t="shared" si="0"/>
        <v>4509437</v>
      </c>
      <c r="N16" s="155">
        <f>SUM(B16:M16)</f>
        <v>50902646</v>
      </c>
      <c r="O16" s="12">
        <f>O14</f>
        <v>4540992</v>
      </c>
      <c r="P16" s="12">
        <f t="shared" ref="P16:Z16" si="1">P14</f>
        <v>3956054</v>
      </c>
      <c r="Q16" s="140">
        <f t="shared" si="1"/>
        <v>4430942</v>
      </c>
      <c r="R16" s="12">
        <f t="shared" si="1"/>
        <v>4401499</v>
      </c>
      <c r="S16" s="12">
        <f t="shared" si="1"/>
        <v>3422650</v>
      </c>
      <c r="T16" s="140">
        <f t="shared" si="1"/>
        <v>5199282</v>
      </c>
      <c r="U16" s="12">
        <f t="shared" si="1"/>
        <v>5285904</v>
      </c>
      <c r="V16" s="12">
        <f t="shared" si="1"/>
        <v>3574762</v>
      </c>
      <c r="W16" s="140">
        <f t="shared" si="1"/>
        <v>1217290</v>
      </c>
      <c r="X16" s="12">
        <f t="shared" si="1"/>
        <v>5319072</v>
      </c>
      <c r="Y16" s="12">
        <f t="shared" si="1"/>
        <v>5044762</v>
      </c>
      <c r="Z16" s="140">
        <f t="shared" si="1"/>
        <v>4509437</v>
      </c>
    </row>
    <row r="17" spans="1:26" s="5" customFormat="1" ht="12" x14ac:dyDescent="0.2">
      <c r="A17" s="169" t="s">
        <v>89</v>
      </c>
      <c r="B17" s="29">
        <f>B13+B15</f>
        <v>2.0119999999999999E-2</v>
      </c>
      <c r="C17" s="29">
        <f t="shared" ref="C17:M17" si="2">C13+C15</f>
        <v>2.0119999999999999E-2</v>
      </c>
      <c r="D17" s="29">
        <f t="shared" si="2"/>
        <v>2.0119999999999999E-2</v>
      </c>
      <c r="E17" s="137">
        <f t="shared" si="2"/>
        <v>2.0119999999999999E-2</v>
      </c>
      <c r="F17" s="29">
        <f t="shared" si="2"/>
        <v>2.0119999999999999E-2</v>
      </c>
      <c r="G17" s="29">
        <f t="shared" si="2"/>
        <v>2.0119999999999999E-2</v>
      </c>
      <c r="H17" s="137">
        <f t="shared" si="2"/>
        <v>2.0119999999999999E-2</v>
      </c>
      <c r="I17" s="29">
        <f t="shared" si="2"/>
        <v>2.0119999999999999E-2</v>
      </c>
      <c r="J17" s="29">
        <f t="shared" si="2"/>
        <v>2.0119999999999999E-2</v>
      </c>
      <c r="K17" s="137">
        <f t="shared" si="2"/>
        <v>2.0119999999999999E-2</v>
      </c>
      <c r="L17" s="29">
        <f t="shared" si="2"/>
        <v>2.0119999999999999E-2</v>
      </c>
      <c r="M17" s="29">
        <f t="shared" si="2"/>
        <v>2.0119999999999999E-2</v>
      </c>
      <c r="O17" s="29">
        <f>O13+O15</f>
        <v>2.0119999999999999E-2</v>
      </c>
      <c r="P17" s="29">
        <f t="shared" ref="P17:Z17" si="3">P13+P15</f>
        <v>2.0119999999999999E-2</v>
      </c>
      <c r="Q17" s="29">
        <f t="shared" si="3"/>
        <v>2.0119999999999999E-2</v>
      </c>
      <c r="R17" s="137">
        <f t="shared" si="3"/>
        <v>2.0119999999999999E-2</v>
      </c>
      <c r="S17" s="29">
        <f t="shared" si="3"/>
        <v>2.0119999999999999E-2</v>
      </c>
      <c r="T17" s="29">
        <f t="shared" si="3"/>
        <v>2.0119999999999999E-2</v>
      </c>
      <c r="U17" s="137">
        <f t="shared" si="3"/>
        <v>2.0119999999999999E-2</v>
      </c>
      <c r="V17" s="29">
        <f t="shared" si="3"/>
        <v>2.0119999999999999E-2</v>
      </c>
      <c r="W17" s="29">
        <f t="shared" si="3"/>
        <v>2.0119999999999999E-2</v>
      </c>
      <c r="X17" s="137">
        <f t="shared" si="3"/>
        <v>2.0119999999999999E-2</v>
      </c>
      <c r="Y17" s="29">
        <f t="shared" si="3"/>
        <v>2.0119999999999999E-2</v>
      </c>
      <c r="Z17" s="29">
        <f t="shared" si="3"/>
        <v>2.0119999999999999E-2</v>
      </c>
    </row>
    <row r="18" spans="1:26" s="74" customFormat="1" x14ac:dyDescent="0.2">
      <c r="A18" s="169" t="s">
        <v>90</v>
      </c>
      <c r="B18" s="29">
        <v>1.762E-2</v>
      </c>
      <c r="C18" s="29">
        <v>1.762E-2</v>
      </c>
      <c r="D18" s="29">
        <v>1.762E-2</v>
      </c>
      <c r="E18" s="137">
        <v>1.762E-2</v>
      </c>
      <c r="F18" s="29">
        <v>1.762E-2</v>
      </c>
      <c r="G18" s="29">
        <v>1.762E-2</v>
      </c>
      <c r="H18" s="137">
        <v>1.762E-2</v>
      </c>
      <c r="I18" s="29">
        <v>1.762E-2</v>
      </c>
      <c r="J18" s="29">
        <v>1.762E-2</v>
      </c>
      <c r="K18" s="137">
        <v>1.762E-2</v>
      </c>
      <c r="L18" s="29">
        <v>1.762E-2</v>
      </c>
      <c r="M18" s="29">
        <v>1.762E-2</v>
      </c>
      <c r="O18" s="29">
        <v>1.762E-2</v>
      </c>
      <c r="P18" s="29">
        <v>1.762E-2</v>
      </c>
      <c r="Q18" s="29">
        <v>1.762E-2</v>
      </c>
      <c r="R18" s="137">
        <v>1.762E-2</v>
      </c>
      <c r="S18" s="29">
        <v>1.762E-2</v>
      </c>
      <c r="T18" s="29">
        <v>1.762E-2</v>
      </c>
      <c r="U18" s="137">
        <v>1.762E-2</v>
      </c>
      <c r="V18" s="29">
        <v>1.762E-2</v>
      </c>
      <c r="W18" s="29">
        <v>1.762E-2</v>
      </c>
      <c r="X18" s="137">
        <v>1.762E-2</v>
      </c>
      <c r="Y18" s="29">
        <v>1.762E-2</v>
      </c>
      <c r="Z18" s="29">
        <v>1.762E-2</v>
      </c>
    </row>
    <row r="19" spans="1:26" x14ac:dyDescent="0.2">
      <c r="A19" s="170"/>
      <c r="B19" s="51"/>
      <c r="C19" s="51"/>
      <c r="D19" s="136"/>
      <c r="E19" s="51"/>
      <c r="F19" s="51"/>
      <c r="G19" s="136"/>
      <c r="H19" s="51"/>
      <c r="I19" s="51"/>
      <c r="J19" s="136"/>
      <c r="K19" s="51"/>
      <c r="L19" s="51"/>
      <c r="M19" s="136"/>
      <c r="N19" s="135"/>
      <c r="O19" s="114"/>
      <c r="P19" s="114"/>
      <c r="Q19" s="115"/>
      <c r="R19" s="114"/>
      <c r="S19" s="114"/>
      <c r="T19" s="115"/>
      <c r="U19" s="114"/>
      <c r="V19" s="114"/>
      <c r="W19" s="115"/>
      <c r="X19" s="114"/>
      <c r="Y19" s="114"/>
      <c r="Z19" s="115"/>
    </row>
    <row r="20" spans="1:26" x14ac:dyDescent="0.2">
      <c r="A20" s="170" t="s">
        <v>13</v>
      </c>
      <c r="B20" s="6" t="s">
        <v>0</v>
      </c>
      <c r="C20" s="6" t="s">
        <v>1</v>
      </c>
      <c r="D20" s="6" t="s">
        <v>2</v>
      </c>
      <c r="E20" s="134" t="s">
        <v>3</v>
      </c>
      <c r="F20" s="6" t="s">
        <v>4</v>
      </c>
      <c r="G20" s="6" t="s">
        <v>5</v>
      </c>
      <c r="H20" s="134" t="s">
        <v>6</v>
      </c>
      <c r="I20" s="6" t="s">
        <v>7</v>
      </c>
      <c r="J20" s="6" t="s">
        <v>8</v>
      </c>
      <c r="K20" s="134" t="s">
        <v>9</v>
      </c>
      <c r="L20" s="6" t="s">
        <v>10</v>
      </c>
      <c r="M20" s="6" t="s">
        <v>12</v>
      </c>
      <c r="N20" s="152" t="s">
        <v>120</v>
      </c>
      <c r="O20" s="6" t="s">
        <v>0</v>
      </c>
      <c r="P20" s="6" t="s">
        <v>1</v>
      </c>
      <c r="Q20" s="6" t="s">
        <v>2</v>
      </c>
      <c r="R20" s="134" t="s">
        <v>3</v>
      </c>
      <c r="S20" s="6" t="s">
        <v>4</v>
      </c>
      <c r="T20" s="6" t="s">
        <v>5</v>
      </c>
      <c r="U20" s="134" t="s">
        <v>6</v>
      </c>
      <c r="V20" s="6" t="s">
        <v>7</v>
      </c>
      <c r="W20" s="6" t="s">
        <v>8</v>
      </c>
      <c r="X20" s="134" t="s">
        <v>9</v>
      </c>
      <c r="Y20" s="6" t="s">
        <v>10</v>
      </c>
      <c r="Z20" s="6" t="s">
        <v>12</v>
      </c>
    </row>
    <row r="21" spans="1:26" x14ac:dyDescent="0.2">
      <c r="A21" s="171" t="s">
        <v>86</v>
      </c>
      <c r="B21" s="16">
        <v>130721</v>
      </c>
      <c r="C21" s="16">
        <v>130721</v>
      </c>
      <c r="D21" s="142">
        <v>130721</v>
      </c>
      <c r="E21" s="16">
        <v>130721</v>
      </c>
      <c r="F21" s="16">
        <v>130721</v>
      </c>
      <c r="G21" s="142">
        <v>130721</v>
      </c>
      <c r="H21" s="16">
        <v>130721</v>
      </c>
      <c r="I21" s="16">
        <v>130721</v>
      </c>
      <c r="J21" s="142">
        <v>130721</v>
      </c>
      <c r="K21" s="16">
        <v>130721</v>
      </c>
      <c r="L21" s="16">
        <v>130721</v>
      </c>
      <c r="M21" s="142">
        <v>130721</v>
      </c>
      <c r="N21" s="157"/>
      <c r="O21" s="16">
        <v>130721</v>
      </c>
      <c r="P21" s="16">
        <v>130721</v>
      </c>
      <c r="Q21" s="142">
        <v>130721</v>
      </c>
      <c r="R21" s="16">
        <v>130721</v>
      </c>
      <c r="S21" s="16">
        <v>130721</v>
      </c>
      <c r="T21" s="142">
        <v>130721</v>
      </c>
      <c r="U21" s="16">
        <v>130721</v>
      </c>
      <c r="V21" s="16">
        <v>130721</v>
      </c>
      <c r="W21" s="142">
        <v>130721</v>
      </c>
      <c r="X21" s="16">
        <v>130721</v>
      </c>
      <c r="Y21" s="16">
        <v>130721</v>
      </c>
      <c r="Z21" s="142">
        <v>130721</v>
      </c>
    </row>
    <row r="22" spans="1:26" x14ac:dyDescent="0.2">
      <c r="A22" s="170"/>
      <c r="B22" s="14"/>
      <c r="C22" s="5"/>
      <c r="D22" s="143"/>
      <c r="E22" s="5"/>
      <c r="G22" s="143"/>
      <c r="H22" s="5"/>
      <c r="I22" s="5"/>
      <c r="J22" s="143"/>
      <c r="K22" s="5"/>
      <c r="L22" s="5"/>
      <c r="M22" s="143"/>
      <c r="N22" s="4"/>
      <c r="O22" s="14"/>
      <c r="P22" s="5"/>
      <c r="Q22" s="143"/>
      <c r="R22" s="5"/>
      <c r="S22" s="5"/>
      <c r="T22" s="143"/>
      <c r="U22" s="5"/>
      <c r="V22" s="5"/>
      <c r="W22" s="143"/>
      <c r="X22" s="5"/>
      <c r="Y22" s="5"/>
      <c r="Z22" s="143"/>
    </row>
    <row r="23" spans="1:26" x14ac:dyDescent="0.2">
      <c r="A23" s="172" t="s">
        <v>85</v>
      </c>
      <c r="B23" s="45"/>
      <c r="C23" s="45"/>
      <c r="D23" s="144"/>
      <c r="E23" s="45"/>
      <c r="F23" s="45"/>
      <c r="G23" s="144"/>
      <c r="H23" s="45"/>
      <c r="I23" s="45"/>
      <c r="J23" s="144"/>
      <c r="K23" s="45"/>
      <c r="L23" s="45"/>
      <c r="M23" s="144"/>
      <c r="N23" s="158"/>
      <c r="O23" s="45"/>
      <c r="P23" s="45"/>
      <c r="Q23" s="144"/>
      <c r="R23" s="45"/>
      <c r="S23" s="45"/>
      <c r="T23" s="144"/>
      <c r="U23" s="45"/>
      <c r="V23" s="45"/>
      <c r="W23" s="144"/>
      <c r="X23" s="45"/>
      <c r="Y23" s="45"/>
      <c r="Z23" s="144"/>
    </row>
    <row r="24" spans="1:26" x14ac:dyDescent="0.2">
      <c r="A24" s="167" t="s">
        <v>51</v>
      </c>
      <c r="B24" s="24">
        <f t="shared" ref="B24:M24" si="4">B8*B9</f>
        <v>48145.24</v>
      </c>
      <c r="C24" s="24">
        <f t="shared" si="4"/>
        <v>45079.68</v>
      </c>
      <c r="D24" s="139">
        <f t="shared" si="4"/>
        <v>62684.499999999993</v>
      </c>
      <c r="E24" s="24">
        <f t="shared" si="4"/>
        <v>60221.42</v>
      </c>
      <c r="F24" s="24">
        <f t="shared" si="4"/>
        <v>73148.159999999989</v>
      </c>
      <c r="G24" s="139">
        <f t="shared" si="4"/>
        <v>44060.78</v>
      </c>
      <c r="H24" s="24">
        <f t="shared" si="4"/>
        <v>61408.659999999996</v>
      </c>
      <c r="I24" s="24">
        <f t="shared" si="4"/>
        <v>70259.799999999988</v>
      </c>
      <c r="J24" s="139">
        <f t="shared" si="4"/>
        <v>168.33999999999997</v>
      </c>
      <c r="K24" s="24">
        <f t="shared" si="4"/>
        <v>49164.14</v>
      </c>
      <c r="L24" s="24">
        <f t="shared" si="4"/>
        <v>65661.459999999992</v>
      </c>
      <c r="M24" s="139">
        <f t="shared" si="4"/>
        <v>47117.479999999996</v>
      </c>
      <c r="N24" s="157">
        <f>SUM(B24:M24)</f>
        <v>627119.65999999992</v>
      </c>
      <c r="O24" s="24">
        <f t="shared" ref="O24:Z24" si="5">O8*O9</f>
        <v>48145.24</v>
      </c>
      <c r="P24" s="24">
        <f t="shared" si="5"/>
        <v>45079.68</v>
      </c>
      <c r="Q24" s="139">
        <f t="shared" si="5"/>
        <v>62684.499999999993</v>
      </c>
      <c r="R24" s="24">
        <f t="shared" si="5"/>
        <v>60221.42</v>
      </c>
      <c r="S24" s="24">
        <f t="shared" si="5"/>
        <v>73148.159999999989</v>
      </c>
      <c r="T24" s="139">
        <f t="shared" si="5"/>
        <v>44060.78</v>
      </c>
      <c r="U24" s="24">
        <f t="shared" si="5"/>
        <v>61408.659999999996</v>
      </c>
      <c r="V24" s="24">
        <f t="shared" si="5"/>
        <v>70259.799999999988</v>
      </c>
      <c r="W24" s="139">
        <f t="shared" si="5"/>
        <v>168.33999999999997</v>
      </c>
      <c r="X24" s="24">
        <f t="shared" si="5"/>
        <v>49164.14</v>
      </c>
      <c r="Y24" s="24">
        <f t="shared" si="5"/>
        <v>65661.459999999992</v>
      </c>
      <c r="Z24" s="139">
        <f t="shared" si="5"/>
        <v>47117.479999999996</v>
      </c>
    </row>
    <row r="25" spans="1:26" x14ac:dyDescent="0.2">
      <c r="A25" s="167" t="s">
        <v>48</v>
      </c>
      <c r="B25" s="71">
        <f t="shared" ref="B25:M25" si="6">B10*B11</f>
        <v>22706.3</v>
      </c>
      <c r="C25" s="71">
        <f t="shared" si="6"/>
        <v>24602.400000000001</v>
      </c>
      <c r="D25" s="145">
        <f t="shared" si="6"/>
        <v>25664.350000000002</v>
      </c>
      <c r="E25" s="71">
        <f t="shared" si="6"/>
        <v>22736.45</v>
      </c>
      <c r="F25" s="71">
        <f t="shared" si="6"/>
        <v>29138.3</v>
      </c>
      <c r="G25" s="145">
        <f t="shared" si="6"/>
        <v>28173.5</v>
      </c>
      <c r="H25" s="71">
        <f t="shared" si="6"/>
        <v>27530.3</v>
      </c>
      <c r="I25" s="71">
        <f t="shared" si="6"/>
        <v>26692.799999999999</v>
      </c>
      <c r="J25" s="145">
        <f t="shared" si="6"/>
        <v>26498.5</v>
      </c>
      <c r="K25" s="71">
        <f t="shared" si="6"/>
        <v>31258.850000000002</v>
      </c>
      <c r="L25" s="71">
        <f t="shared" si="6"/>
        <v>30552</v>
      </c>
      <c r="M25" s="145">
        <f t="shared" si="6"/>
        <v>20455.100000000002</v>
      </c>
      <c r="N25" s="157">
        <f>SUM(B25:M25)</f>
        <v>316008.84999999992</v>
      </c>
      <c r="O25" s="71">
        <f t="shared" ref="O25:Z25" si="7">O10*O11</f>
        <v>22706.3</v>
      </c>
      <c r="P25" s="71">
        <f t="shared" si="7"/>
        <v>24602.400000000001</v>
      </c>
      <c r="Q25" s="145">
        <f t="shared" si="7"/>
        <v>25664.350000000002</v>
      </c>
      <c r="R25" s="71">
        <f t="shared" si="7"/>
        <v>22736.45</v>
      </c>
      <c r="S25" s="71">
        <f t="shared" si="7"/>
        <v>29138.3</v>
      </c>
      <c r="T25" s="145">
        <f t="shared" si="7"/>
        <v>28173.5</v>
      </c>
      <c r="U25" s="71">
        <f t="shared" si="7"/>
        <v>27530.3</v>
      </c>
      <c r="V25" s="71">
        <f t="shared" si="7"/>
        <v>26692.799999999999</v>
      </c>
      <c r="W25" s="145">
        <f t="shared" si="7"/>
        <v>26498.5</v>
      </c>
      <c r="X25" s="71">
        <f t="shared" si="7"/>
        <v>31258.850000000002</v>
      </c>
      <c r="Y25" s="71">
        <f t="shared" si="7"/>
        <v>30552</v>
      </c>
      <c r="Z25" s="145">
        <f t="shared" si="7"/>
        <v>20455.100000000002</v>
      </c>
    </row>
    <row r="26" spans="1:26" s="43" customFormat="1" x14ac:dyDescent="0.2">
      <c r="A26" s="173" t="s">
        <v>82</v>
      </c>
      <c r="B26" s="16">
        <f>B24+B25</f>
        <v>70851.539999999994</v>
      </c>
      <c r="C26" s="16">
        <f t="shared" ref="C26:M26" si="8">C24+C25</f>
        <v>69682.080000000002</v>
      </c>
      <c r="D26" s="142">
        <f t="shared" si="8"/>
        <v>88348.849999999991</v>
      </c>
      <c r="E26" s="16">
        <f t="shared" si="8"/>
        <v>82957.87</v>
      </c>
      <c r="F26" s="16">
        <f t="shared" si="8"/>
        <v>102286.45999999999</v>
      </c>
      <c r="G26" s="142">
        <f t="shared" si="8"/>
        <v>72234.28</v>
      </c>
      <c r="H26" s="16">
        <f t="shared" si="8"/>
        <v>88938.959999999992</v>
      </c>
      <c r="I26" s="16">
        <f t="shared" si="8"/>
        <v>96952.599999999991</v>
      </c>
      <c r="J26" s="142">
        <f t="shared" si="8"/>
        <v>26666.84</v>
      </c>
      <c r="K26" s="16">
        <f t="shared" si="8"/>
        <v>80422.990000000005</v>
      </c>
      <c r="L26" s="16">
        <f t="shared" si="8"/>
        <v>96213.459999999992</v>
      </c>
      <c r="M26" s="142">
        <f t="shared" si="8"/>
        <v>67572.58</v>
      </c>
      <c r="N26" s="159"/>
      <c r="O26" s="16">
        <f t="shared" ref="O26:Z26" si="9">O24+O25</f>
        <v>70851.539999999994</v>
      </c>
      <c r="P26" s="16">
        <f t="shared" si="9"/>
        <v>69682.080000000002</v>
      </c>
      <c r="Q26" s="142">
        <f t="shared" si="9"/>
        <v>88348.849999999991</v>
      </c>
      <c r="R26" s="16">
        <f t="shared" si="9"/>
        <v>82957.87</v>
      </c>
      <c r="S26" s="16">
        <f t="shared" si="9"/>
        <v>102286.45999999999</v>
      </c>
      <c r="T26" s="142">
        <f t="shared" si="9"/>
        <v>72234.28</v>
      </c>
      <c r="U26" s="16">
        <f t="shared" si="9"/>
        <v>88938.959999999992</v>
      </c>
      <c r="V26" s="16">
        <f t="shared" si="9"/>
        <v>96952.599999999991</v>
      </c>
      <c r="W26" s="142">
        <f t="shared" si="9"/>
        <v>26666.84</v>
      </c>
      <c r="X26" s="16">
        <f t="shared" si="9"/>
        <v>80422.990000000005</v>
      </c>
      <c r="Y26" s="16">
        <f t="shared" si="9"/>
        <v>96213.459999999992</v>
      </c>
      <c r="Z26" s="142">
        <f t="shared" si="9"/>
        <v>67572.58</v>
      </c>
    </row>
    <row r="27" spans="1:26" s="43" customFormat="1" x14ac:dyDescent="0.2">
      <c r="A27" s="173" t="s">
        <v>60</v>
      </c>
      <c r="B27" s="16">
        <f>B26*0.005</f>
        <v>354.2577</v>
      </c>
      <c r="C27" s="16">
        <f t="shared" ref="C27:M27" si="10">C26*0.005</f>
        <v>348.41040000000004</v>
      </c>
      <c r="D27" s="142">
        <f t="shared" si="10"/>
        <v>441.74424999999997</v>
      </c>
      <c r="E27" s="16">
        <f t="shared" si="10"/>
        <v>414.78935000000001</v>
      </c>
      <c r="F27" s="16">
        <f t="shared" si="10"/>
        <v>511.4323</v>
      </c>
      <c r="G27" s="142">
        <f t="shared" si="10"/>
        <v>361.17140000000001</v>
      </c>
      <c r="H27" s="16">
        <f t="shared" si="10"/>
        <v>444.69479999999999</v>
      </c>
      <c r="I27" s="16">
        <f t="shared" si="10"/>
        <v>484.76299999999998</v>
      </c>
      <c r="J27" s="142">
        <f t="shared" si="10"/>
        <v>133.33420000000001</v>
      </c>
      <c r="K27" s="16">
        <f t="shared" si="10"/>
        <v>402.11495000000002</v>
      </c>
      <c r="L27" s="16">
        <f t="shared" si="10"/>
        <v>481.06729999999999</v>
      </c>
      <c r="M27" s="142">
        <f t="shared" si="10"/>
        <v>337.86290000000002</v>
      </c>
      <c r="N27" s="159">
        <f>SUM(B27:M27)</f>
        <v>4715.6425500000005</v>
      </c>
      <c r="O27" s="16">
        <f t="shared" ref="O27:Z27" si="11">O26*0.005</f>
        <v>354.2577</v>
      </c>
      <c r="P27" s="16">
        <f t="shared" si="11"/>
        <v>348.41040000000004</v>
      </c>
      <c r="Q27" s="142">
        <f t="shared" si="11"/>
        <v>441.74424999999997</v>
      </c>
      <c r="R27" s="16">
        <f t="shared" si="11"/>
        <v>414.78935000000001</v>
      </c>
      <c r="S27" s="16">
        <f t="shared" si="11"/>
        <v>511.4323</v>
      </c>
      <c r="T27" s="142">
        <f t="shared" si="11"/>
        <v>361.17140000000001</v>
      </c>
      <c r="U27" s="16">
        <f t="shared" si="11"/>
        <v>444.69479999999999</v>
      </c>
      <c r="V27" s="16">
        <f t="shared" si="11"/>
        <v>484.76299999999998</v>
      </c>
      <c r="W27" s="142">
        <f t="shared" si="11"/>
        <v>133.33420000000001</v>
      </c>
      <c r="X27" s="16">
        <f t="shared" si="11"/>
        <v>402.11495000000002</v>
      </c>
      <c r="Y27" s="16">
        <f t="shared" si="11"/>
        <v>481.06729999999999</v>
      </c>
      <c r="Z27" s="142">
        <f t="shared" si="11"/>
        <v>337.86290000000002</v>
      </c>
    </row>
    <row r="28" spans="1:26" x14ac:dyDescent="0.2">
      <c r="A28" s="173" t="s">
        <v>59</v>
      </c>
      <c r="B28" s="16">
        <f>(B26+B27)*0.05875</f>
        <v>4183.3406148749991</v>
      </c>
      <c r="C28" s="16">
        <f t="shared" ref="C28:M28" si="12">(C26+C27)*0.05875</f>
        <v>4114.291310999999</v>
      </c>
      <c r="D28" s="142">
        <f t="shared" si="12"/>
        <v>5216.4474121874991</v>
      </c>
      <c r="E28" s="16">
        <f t="shared" si="12"/>
        <v>4898.1437368124998</v>
      </c>
      <c r="F28" s="16">
        <f t="shared" si="12"/>
        <v>6039.3761726249995</v>
      </c>
      <c r="G28" s="142">
        <f t="shared" si="12"/>
        <v>4264.9827697500004</v>
      </c>
      <c r="H28" s="16">
        <f t="shared" si="12"/>
        <v>5251.2897194999987</v>
      </c>
      <c r="I28" s="16">
        <f t="shared" si="12"/>
        <v>5724.4450762499991</v>
      </c>
      <c r="J28" s="142">
        <f t="shared" si="12"/>
        <v>1574.5102342499999</v>
      </c>
      <c r="K28" s="16">
        <f t="shared" si="12"/>
        <v>4748.4749158125005</v>
      </c>
      <c r="L28" s="16">
        <f t="shared" si="12"/>
        <v>5680.8034788749992</v>
      </c>
      <c r="M28" s="142">
        <f t="shared" si="12"/>
        <v>3989.7385203749996</v>
      </c>
      <c r="N28" s="157">
        <f>SUM(B28:M28)</f>
        <v>55685.843962312494</v>
      </c>
      <c r="O28" s="16">
        <f t="shared" ref="O28:Z28" si="13">(O26+O27)*0.05875</f>
        <v>4183.3406148749991</v>
      </c>
      <c r="P28" s="16">
        <f t="shared" si="13"/>
        <v>4114.291310999999</v>
      </c>
      <c r="Q28" s="142">
        <f t="shared" si="13"/>
        <v>5216.4474121874991</v>
      </c>
      <c r="R28" s="16">
        <f t="shared" si="13"/>
        <v>4898.1437368124998</v>
      </c>
      <c r="S28" s="16">
        <f t="shared" si="13"/>
        <v>6039.3761726249995</v>
      </c>
      <c r="T28" s="142">
        <f t="shared" si="13"/>
        <v>4264.9827697500004</v>
      </c>
      <c r="U28" s="16">
        <f t="shared" si="13"/>
        <v>5251.2897194999987</v>
      </c>
      <c r="V28" s="16">
        <f t="shared" si="13"/>
        <v>5724.4450762499991</v>
      </c>
      <c r="W28" s="142">
        <f t="shared" si="13"/>
        <v>1574.5102342499999</v>
      </c>
      <c r="X28" s="16">
        <f t="shared" si="13"/>
        <v>4748.4749158125005</v>
      </c>
      <c r="Y28" s="16">
        <f t="shared" si="13"/>
        <v>5680.8034788749992</v>
      </c>
      <c r="Z28" s="142">
        <f t="shared" si="13"/>
        <v>3989.7385203749996</v>
      </c>
    </row>
    <row r="29" spans="1:26" x14ac:dyDescent="0.2">
      <c r="A29" s="171" t="s">
        <v>83</v>
      </c>
      <c r="B29" s="16">
        <f>SUM(B26:B28)</f>
        <v>75389.138314874988</v>
      </c>
      <c r="C29" s="16">
        <f t="shared" ref="C29:M29" si="14">SUM(C26:C28)</f>
        <v>74144.781710999989</v>
      </c>
      <c r="D29" s="142">
        <f t="shared" si="14"/>
        <v>94007.04166218749</v>
      </c>
      <c r="E29" s="16">
        <f t="shared" si="14"/>
        <v>88270.803086812506</v>
      </c>
      <c r="F29" s="16">
        <f t="shared" si="14"/>
        <v>108837.26847262499</v>
      </c>
      <c r="G29" s="142">
        <f t="shared" si="14"/>
        <v>76860.434169750006</v>
      </c>
      <c r="H29" s="16">
        <f t="shared" si="14"/>
        <v>94634.944519499986</v>
      </c>
      <c r="I29" s="16">
        <f t="shared" si="14"/>
        <v>103161.80807625</v>
      </c>
      <c r="J29" s="142">
        <f t="shared" si="14"/>
        <v>28374.684434250001</v>
      </c>
      <c r="K29" s="16">
        <f t="shared" si="14"/>
        <v>85573.579865812513</v>
      </c>
      <c r="L29" s="16">
        <f t="shared" si="14"/>
        <v>102375.33077887498</v>
      </c>
      <c r="M29" s="142">
        <f t="shared" si="14"/>
        <v>71900.181420374996</v>
      </c>
      <c r="N29" s="157"/>
      <c r="O29" s="16">
        <f t="shared" ref="O29:Z29" si="15">SUM(O26:O28)</f>
        <v>75389.138314874988</v>
      </c>
      <c r="P29" s="16">
        <f t="shared" si="15"/>
        <v>74144.781710999989</v>
      </c>
      <c r="Q29" s="142">
        <f t="shared" si="15"/>
        <v>94007.04166218749</v>
      </c>
      <c r="R29" s="16">
        <f t="shared" si="15"/>
        <v>88270.803086812506</v>
      </c>
      <c r="S29" s="16">
        <f t="shared" si="15"/>
        <v>108837.26847262499</v>
      </c>
      <c r="T29" s="142">
        <f t="shared" si="15"/>
        <v>76860.434169750006</v>
      </c>
      <c r="U29" s="16">
        <f t="shared" si="15"/>
        <v>94634.944519499986</v>
      </c>
      <c r="V29" s="16">
        <f t="shared" si="15"/>
        <v>103161.80807625</v>
      </c>
      <c r="W29" s="142">
        <f t="shared" si="15"/>
        <v>28374.684434250001</v>
      </c>
      <c r="X29" s="16">
        <f t="shared" si="15"/>
        <v>85573.579865812513</v>
      </c>
      <c r="Y29" s="16">
        <f t="shared" si="15"/>
        <v>102375.33077887498</v>
      </c>
      <c r="Z29" s="142">
        <f t="shared" si="15"/>
        <v>71900.181420374996</v>
      </c>
    </row>
    <row r="30" spans="1:26" x14ac:dyDescent="0.2">
      <c r="A30" s="174"/>
      <c r="D30" s="146"/>
      <c r="G30" s="143"/>
      <c r="J30" s="146"/>
      <c r="M30" s="146"/>
      <c r="Q30" s="146"/>
      <c r="T30" s="146"/>
      <c r="W30" s="146"/>
      <c r="Z30" s="146"/>
    </row>
    <row r="31" spans="1:26" s="1" customFormat="1" x14ac:dyDescent="0.2">
      <c r="A31" s="171" t="s">
        <v>84</v>
      </c>
      <c r="B31" s="18">
        <f>B21-B29</f>
        <v>55331.861685125012</v>
      </c>
      <c r="C31" s="18">
        <f t="shared" ref="C31:M31" si="16">C21-C29</f>
        <v>56576.218289000011</v>
      </c>
      <c r="D31" s="147">
        <f t="shared" si="16"/>
        <v>36713.95833781251</v>
      </c>
      <c r="E31" s="18">
        <f t="shared" si="16"/>
        <v>42450.196913187494</v>
      </c>
      <c r="F31" s="18">
        <f t="shared" si="16"/>
        <v>21883.731527375014</v>
      </c>
      <c r="G31" s="147">
        <f t="shared" si="16"/>
        <v>53860.565830249994</v>
      </c>
      <c r="H31" s="18">
        <f t="shared" si="16"/>
        <v>36086.055480500014</v>
      </c>
      <c r="I31" s="18">
        <f t="shared" si="16"/>
        <v>27559.191923749997</v>
      </c>
      <c r="J31" s="147">
        <f t="shared" si="16"/>
        <v>102346.31556575</v>
      </c>
      <c r="K31" s="18">
        <f t="shared" si="16"/>
        <v>45147.420134187487</v>
      </c>
      <c r="L31" s="18">
        <f t="shared" si="16"/>
        <v>28345.669221125019</v>
      </c>
      <c r="M31" s="147">
        <f t="shared" si="16"/>
        <v>58820.818579625004</v>
      </c>
      <c r="N31" s="157"/>
      <c r="O31" s="18">
        <f>O21-O29</f>
        <v>55331.861685125012</v>
      </c>
      <c r="P31" s="18">
        <f t="shared" ref="P31:Z31" si="17">P21-P29</f>
        <v>56576.218289000011</v>
      </c>
      <c r="Q31" s="147">
        <f t="shared" si="17"/>
        <v>36713.95833781251</v>
      </c>
      <c r="R31" s="18">
        <f t="shared" si="17"/>
        <v>42450.196913187494</v>
      </c>
      <c r="S31" s="18">
        <f t="shared" si="17"/>
        <v>21883.731527375014</v>
      </c>
      <c r="T31" s="147">
        <f t="shared" si="17"/>
        <v>53860.565830249994</v>
      </c>
      <c r="U31" s="18">
        <f t="shared" si="17"/>
        <v>36086.055480500014</v>
      </c>
      <c r="V31" s="18">
        <f t="shared" si="17"/>
        <v>27559.191923749997</v>
      </c>
      <c r="W31" s="147">
        <f t="shared" si="17"/>
        <v>102346.31556575</v>
      </c>
      <c r="X31" s="18">
        <f t="shared" si="17"/>
        <v>45147.420134187487</v>
      </c>
      <c r="Y31" s="18">
        <f t="shared" si="17"/>
        <v>28345.669221125019</v>
      </c>
      <c r="Z31" s="147">
        <f t="shared" si="17"/>
        <v>58820.818579625004</v>
      </c>
    </row>
    <row r="32" spans="1:26" x14ac:dyDescent="0.2">
      <c r="A32" s="171"/>
      <c r="B32" s="16"/>
      <c r="C32" s="16"/>
      <c r="D32" s="142"/>
      <c r="E32" s="16"/>
      <c r="F32" s="16"/>
      <c r="G32" s="142"/>
      <c r="H32" s="16"/>
      <c r="I32" s="16"/>
      <c r="J32" s="142"/>
      <c r="K32" s="16"/>
      <c r="L32" s="16"/>
      <c r="M32" s="142"/>
      <c r="N32" s="75"/>
      <c r="O32" s="16"/>
      <c r="P32" s="16"/>
      <c r="Q32" s="142"/>
      <c r="R32" s="16"/>
      <c r="S32" s="16"/>
      <c r="T32" s="142"/>
      <c r="U32" s="16"/>
      <c r="V32" s="16"/>
      <c r="W32" s="142"/>
      <c r="X32" s="16"/>
      <c r="Y32" s="16"/>
      <c r="Z32" s="142"/>
    </row>
    <row r="33" spans="1:26" x14ac:dyDescent="0.2">
      <c r="A33" s="172" t="s">
        <v>92</v>
      </c>
      <c r="B33" s="46"/>
      <c r="C33" s="46"/>
      <c r="D33" s="148"/>
      <c r="E33" s="46"/>
      <c r="F33" s="46"/>
      <c r="G33" s="148"/>
      <c r="H33" s="46"/>
      <c r="I33" s="46"/>
      <c r="J33" s="148"/>
      <c r="K33" s="46"/>
      <c r="L33" s="46"/>
      <c r="M33" s="148"/>
      <c r="N33" s="76"/>
      <c r="O33" s="46"/>
      <c r="P33" s="46"/>
      <c r="Q33" s="148"/>
      <c r="R33" s="46"/>
      <c r="S33" s="46"/>
      <c r="T33" s="148"/>
      <c r="U33" s="46"/>
      <c r="V33" s="46"/>
      <c r="W33" s="148"/>
      <c r="X33" s="46"/>
      <c r="Y33" s="46"/>
      <c r="Z33" s="148"/>
    </row>
    <row r="34" spans="1:26" x14ac:dyDescent="0.2">
      <c r="A34" s="168" t="s">
        <v>50</v>
      </c>
      <c r="B34" s="41"/>
      <c r="C34" s="41"/>
      <c r="D34" s="149"/>
      <c r="E34" s="41"/>
      <c r="F34" s="41"/>
      <c r="G34" s="149"/>
      <c r="H34" s="41"/>
      <c r="I34" s="41"/>
      <c r="J34" s="149"/>
      <c r="K34" s="41"/>
      <c r="L34" s="41"/>
      <c r="M34" s="149"/>
      <c r="N34" s="160"/>
      <c r="O34" s="41"/>
      <c r="P34" s="41"/>
      <c r="Q34" s="149"/>
      <c r="R34" s="41"/>
      <c r="S34" s="41"/>
      <c r="T34" s="149"/>
      <c r="U34" s="41"/>
      <c r="V34" s="41"/>
      <c r="W34" s="149"/>
      <c r="X34" s="41"/>
      <c r="Y34" s="41"/>
      <c r="Z34" s="149"/>
    </row>
    <row r="35" spans="1:26" x14ac:dyDescent="0.2">
      <c r="A35" s="167" t="s">
        <v>51</v>
      </c>
      <c r="B35" s="24">
        <f>B13*B14</f>
        <v>70930.295039999997</v>
      </c>
      <c r="C35" s="24">
        <v>61793.563480000004</v>
      </c>
      <c r="D35" s="139">
        <v>69211.314039999997</v>
      </c>
      <c r="E35" s="24">
        <v>68751.414380000002</v>
      </c>
      <c r="F35" s="24">
        <v>53461.792999999998</v>
      </c>
      <c r="G35" s="139">
        <v>81212.784840000008</v>
      </c>
      <c r="H35" s="24">
        <v>82565.820479999995</v>
      </c>
      <c r="I35" s="24">
        <v>55837.782440000003</v>
      </c>
      <c r="J35" s="139">
        <v>19014.069800000001</v>
      </c>
      <c r="K35" s="24">
        <v>83083.904640000008</v>
      </c>
      <c r="L35" s="24">
        <v>78799.182440000004</v>
      </c>
      <c r="M35" s="139">
        <v>70437.405939999997</v>
      </c>
      <c r="N35" s="157">
        <f>SUM(B35:M35)</f>
        <v>795099.33051999996</v>
      </c>
      <c r="O35" s="24">
        <f>O13*O14</f>
        <v>70930.295039999997</v>
      </c>
      <c r="P35" s="24">
        <v>61793.563480000004</v>
      </c>
      <c r="Q35" s="139">
        <v>69211.314039999997</v>
      </c>
      <c r="R35" s="24">
        <v>68751.414380000002</v>
      </c>
      <c r="S35" s="24">
        <v>53461.792999999998</v>
      </c>
      <c r="T35" s="139">
        <v>81212.784840000008</v>
      </c>
      <c r="U35" s="24">
        <v>82565.820479999995</v>
      </c>
      <c r="V35" s="24">
        <v>55837.782440000003</v>
      </c>
      <c r="W35" s="139">
        <v>19014.069800000001</v>
      </c>
      <c r="X35" s="24">
        <v>83083.904640000008</v>
      </c>
      <c r="Y35" s="24">
        <v>78799.182440000004</v>
      </c>
      <c r="Z35" s="139">
        <v>70437.405939999997</v>
      </c>
    </row>
    <row r="36" spans="1:26" x14ac:dyDescent="0.2">
      <c r="A36" s="167" t="s">
        <v>49</v>
      </c>
      <c r="B36" s="71">
        <f>B15*B16</f>
        <v>20434.464</v>
      </c>
      <c r="C36" s="71">
        <v>17802.242999999999</v>
      </c>
      <c r="D36" s="145">
        <v>19939.238999999998</v>
      </c>
      <c r="E36" s="71">
        <v>19806.745499999997</v>
      </c>
      <c r="F36" s="71">
        <v>15401.924999999999</v>
      </c>
      <c r="G36" s="145">
        <v>23396.768999999997</v>
      </c>
      <c r="H36" s="71">
        <v>23786.567999999999</v>
      </c>
      <c r="I36" s="71">
        <v>16086.428999999998</v>
      </c>
      <c r="J36" s="145">
        <v>5477.8049999999994</v>
      </c>
      <c r="K36" s="71">
        <v>23935.823999999997</v>
      </c>
      <c r="L36" s="71">
        <v>22701.429</v>
      </c>
      <c r="M36" s="145">
        <v>20292.466499999999</v>
      </c>
      <c r="N36" s="161">
        <f>SUM(B36:M36)</f>
        <v>229061.90700000001</v>
      </c>
      <c r="O36" s="71">
        <f>O15*O16</f>
        <v>20434.464</v>
      </c>
      <c r="P36" s="71">
        <v>17802.242999999999</v>
      </c>
      <c r="Q36" s="145">
        <v>19939.238999999998</v>
      </c>
      <c r="R36" s="71">
        <v>19806.745499999997</v>
      </c>
      <c r="S36" s="71">
        <v>15401.924999999999</v>
      </c>
      <c r="T36" s="145">
        <v>23396.768999999997</v>
      </c>
      <c r="U36" s="71">
        <v>23786.567999999999</v>
      </c>
      <c r="V36" s="71">
        <v>16086.428999999998</v>
      </c>
      <c r="W36" s="145">
        <v>5477.8049999999994</v>
      </c>
      <c r="X36" s="71">
        <v>23935.823999999997</v>
      </c>
      <c r="Y36" s="71">
        <v>22701.429</v>
      </c>
      <c r="Z36" s="145">
        <v>20292.466499999999</v>
      </c>
    </row>
    <row r="37" spans="1:26" s="73" customFormat="1" x14ac:dyDescent="0.2">
      <c r="A37" s="173" t="s">
        <v>87</v>
      </c>
      <c r="B37" s="16">
        <f>B35+B36</f>
        <v>91364.759040000004</v>
      </c>
      <c r="C37" s="16">
        <f t="shared" ref="C37:M37" si="18">C35+C36</f>
        <v>79595.806479999999</v>
      </c>
      <c r="D37" s="142">
        <f t="shared" si="18"/>
        <v>89150.553039999999</v>
      </c>
      <c r="E37" s="16">
        <f t="shared" si="18"/>
        <v>88558.159879999992</v>
      </c>
      <c r="F37" s="16">
        <f t="shared" si="18"/>
        <v>68863.717999999993</v>
      </c>
      <c r="G37" s="142">
        <f t="shared" si="18"/>
        <v>104609.55384000001</v>
      </c>
      <c r="H37" s="16">
        <f t="shared" si="18"/>
        <v>106352.38847999999</v>
      </c>
      <c r="I37" s="16">
        <f t="shared" si="18"/>
        <v>71924.211439999999</v>
      </c>
      <c r="J37" s="142">
        <f t="shared" si="18"/>
        <v>24491.874800000001</v>
      </c>
      <c r="K37" s="16">
        <f t="shared" si="18"/>
        <v>107019.72864</v>
      </c>
      <c r="L37" s="16">
        <f t="shared" si="18"/>
        <v>101500.61144000001</v>
      </c>
      <c r="M37" s="142">
        <f t="shared" si="18"/>
        <v>90729.872439999992</v>
      </c>
      <c r="N37" s="72">
        <f>SUM(B37:M37)</f>
        <v>1024161.23752</v>
      </c>
      <c r="O37" s="16">
        <f t="shared" ref="O37:Z37" si="19">O35+O36</f>
        <v>91364.759040000004</v>
      </c>
      <c r="P37" s="16">
        <f t="shared" si="19"/>
        <v>79595.806479999999</v>
      </c>
      <c r="Q37" s="142">
        <f t="shared" si="19"/>
        <v>89150.553039999999</v>
      </c>
      <c r="R37" s="16">
        <f t="shared" si="19"/>
        <v>88558.159879999992</v>
      </c>
      <c r="S37" s="16">
        <f t="shared" si="19"/>
        <v>68863.717999999993</v>
      </c>
      <c r="T37" s="142">
        <f t="shared" si="19"/>
        <v>104609.55384000001</v>
      </c>
      <c r="U37" s="16">
        <f t="shared" si="19"/>
        <v>106352.38847999999</v>
      </c>
      <c r="V37" s="16">
        <f t="shared" si="19"/>
        <v>71924.211439999999</v>
      </c>
      <c r="W37" s="142">
        <f t="shared" si="19"/>
        <v>24491.874800000001</v>
      </c>
      <c r="X37" s="16">
        <f t="shared" si="19"/>
        <v>107019.72864</v>
      </c>
      <c r="Y37" s="16">
        <f t="shared" si="19"/>
        <v>101500.61144000001</v>
      </c>
      <c r="Z37" s="142">
        <f t="shared" si="19"/>
        <v>90729.872439999992</v>
      </c>
    </row>
    <row r="38" spans="1:26" s="20" customFormat="1" x14ac:dyDescent="0.2">
      <c r="A38" s="173" t="s">
        <v>88</v>
      </c>
      <c r="B38" s="16">
        <f>((B14+B16)/2)*B18</f>
        <v>80012.279039999994</v>
      </c>
      <c r="C38" s="16">
        <f t="shared" ref="C38:M38" si="20">((C14+C16)/2)*C18</f>
        <v>69705.671480000005</v>
      </c>
      <c r="D38" s="142">
        <f t="shared" si="20"/>
        <v>78073.198040000003</v>
      </c>
      <c r="E38" s="16">
        <f t="shared" si="20"/>
        <v>77554.412379999994</v>
      </c>
      <c r="F38" s="16">
        <f t="shared" si="20"/>
        <v>60307.093000000001</v>
      </c>
      <c r="G38" s="142">
        <f t="shared" si="20"/>
        <v>91611.348840000006</v>
      </c>
      <c r="H38" s="16">
        <f t="shared" si="20"/>
        <v>93137.628479999999</v>
      </c>
      <c r="I38" s="16">
        <f t="shared" si="20"/>
        <v>62987.30644</v>
      </c>
      <c r="J38" s="142">
        <f t="shared" si="20"/>
        <v>21448.649799999999</v>
      </c>
      <c r="K38" s="16">
        <f t="shared" si="20"/>
        <v>93722.048640000008</v>
      </c>
      <c r="L38" s="16">
        <f t="shared" si="20"/>
        <v>88888.706439999994</v>
      </c>
      <c r="M38" s="142">
        <f t="shared" si="20"/>
        <v>79456.279940000008</v>
      </c>
      <c r="N38" s="162"/>
      <c r="O38" s="16">
        <f>((O14+O16)/2)*O18</f>
        <v>80012.279039999994</v>
      </c>
      <c r="P38" s="16">
        <f t="shared" ref="P38:Z38" si="21">((P14+P16)/2)*P18</f>
        <v>69705.671480000005</v>
      </c>
      <c r="Q38" s="142">
        <f t="shared" si="21"/>
        <v>78073.198040000003</v>
      </c>
      <c r="R38" s="16">
        <f t="shared" si="21"/>
        <v>77554.412379999994</v>
      </c>
      <c r="S38" s="16">
        <f t="shared" si="21"/>
        <v>60307.093000000001</v>
      </c>
      <c r="T38" s="142">
        <f t="shared" si="21"/>
        <v>91611.348840000006</v>
      </c>
      <c r="U38" s="16">
        <f t="shared" si="21"/>
        <v>93137.628479999999</v>
      </c>
      <c r="V38" s="16">
        <f t="shared" si="21"/>
        <v>62987.30644</v>
      </c>
      <c r="W38" s="142">
        <f t="shared" si="21"/>
        <v>21448.649799999999</v>
      </c>
      <c r="X38" s="16">
        <f t="shared" si="21"/>
        <v>93722.048640000008</v>
      </c>
      <c r="Y38" s="16">
        <f t="shared" si="21"/>
        <v>88888.706439999994</v>
      </c>
      <c r="Z38" s="142">
        <f t="shared" si="21"/>
        <v>79456.279940000008</v>
      </c>
    </row>
    <row r="39" spans="1:26" s="5" customFormat="1" thickBot="1" x14ac:dyDescent="0.25">
      <c r="A39" s="173" t="s">
        <v>91</v>
      </c>
      <c r="B39" s="19">
        <f>B37-B38</f>
        <v>11352.48000000001</v>
      </c>
      <c r="C39" s="19">
        <f t="shared" ref="C39:M39" si="22">C37-C38</f>
        <v>9890.1349999999948</v>
      </c>
      <c r="D39" s="150">
        <f t="shared" si="22"/>
        <v>11077.354999999996</v>
      </c>
      <c r="E39" s="19">
        <f t="shared" si="22"/>
        <v>11003.747499999998</v>
      </c>
      <c r="F39" s="19">
        <f t="shared" si="22"/>
        <v>8556.6249999999927</v>
      </c>
      <c r="G39" s="150">
        <f t="shared" si="22"/>
        <v>12998.205000000002</v>
      </c>
      <c r="H39" s="19">
        <f t="shared" si="22"/>
        <v>13214.759999999995</v>
      </c>
      <c r="I39" s="19">
        <f t="shared" si="22"/>
        <v>8936.9049999999988</v>
      </c>
      <c r="J39" s="150">
        <f t="shared" si="22"/>
        <v>3043.2250000000022</v>
      </c>
      <c r="K39" s="19">
        <f t="shared" si="22"/>
        <v>13297.679999999993</v>
      </c>
      <c r="L39" s="19">
        <f t="shared" si="22"/>
        <v>12611.905000000013</v>
      </c>
      <c r="M39" s="150">
        <f t="shared" si="22"/>
        <v>11273.592499999984</v>
      </c>
      <c r="O39" s="19">
        <f t="shared" ref="O39:Z39" si="23">O37-O38</f>
        <v>11352.48000000001</v>
      </c>
      <c r="P39" s="19">
        <f t="shared" si="23"/>
        <v>9890.1349999999948</v>
      </c>
      <c r="Q39" s="150">
        <f t="shared" si="23"/>
        <v>11077.354999999996</v>
      </c>
      <c r="R39" s="19">
        <f t="shared" si="23"/>
        <v>11003.747499999998</v>
      </c>
      <c r="S39" s="19">
        <f t="shared" si="23"/>
        <v>8556.6249999999927</v>
      </c>
      <c r="T39" s="150">
        <f t="shared" si="23"/>
        <v>12998.205000000002</v>
      </c>
      <c r="U39" s="19">
        <f t="shared" si="23"/>
        <v>13214.759999999995</v>
      </c>
      <c r="V39" s="19">
        <f t="shared" si="23"/>
        <v>8936.9049999999988</v>
      </c>
      <c r="W39" s="150">
        <f t="shared" si="23"/>
        <v>3043.2250000000022</v>
      </c>
      <c r="X39" s="19">
        <f t="shared" si="23"/>
        <v>13297.679999999993</v>
      </c>
      <c r="Y39" s="19">
        <f t="shared" si="23"/>
        <v>12611.905000000013</v>
      </c>
      <c r="Z39" s="150">
        <f t="shared" si="23"/>
        <v>11273.592499999984</v>
      </c>
    </row>
    <row r="40" spans="1:26" s="5" customFormat="1" thickTop="1" x14ac:dyDescent="0.2">
      <c r="A40" s="173" t="s">
        <v>60</v>
      </c>
      <c r="B40" s="9">
        <f>B39*0.005</f>
        <v>56.762400000000056</v>
      </c>
      <c r="C40" s="9">
        <f t="shared" ref="C40:M40" si="24">C39*0.005</f>
        <v>49.450674999999976</v>
      </c>
      <c r="D40" s="139">
        <f t="shared" si="24"/>
        <v>55.386774999999979</v>
      </c>
      <c r="E40" s="9">
        <f t="shared" si="24"/>
        <v>55.018737499999986</v>
      </c>
      <c r="F40" s="9">
        <f t="shared" si="24"/>
        <v>42.783124999999963</v>
      </c>
      <c r="G40" s="139">
        <f t="shared" si="24"/>
        <v>64.991025000000008</v>
      </c>
      <c r="H40" s="9">
        <f t="shared" si="24"/>
        <v>66.073799999999977</v>
      </c>
      <c r="I40" s="9">
        <f t="shared" si="24"/>
        <v>44.684524999999994</v>
      </c>
      <c r="J40" s="139">
        <f t="shared" si="24"/>
        <v>15.216125000000011</v>
      </c>
      <c r="K40" s="9">
        <f t="shared" si="24"/>
        <v>66.48839999999997</v>
      </c>
      <c r="L40" s="9">
        <f t="shared" si="24"/>
        <v>63.059525000000072</v>
      </c>
      <c r="M40" s="139">
        <f t="shared" si="24"/>
        <v>56.367962499999919</v>
      </c>
      <c r="O40" s="9">
        <f t="shared" ref="O40:Z40" si="25">O39*0.005</f>
        <v>56.762400000000056</v>
      </c>
      <c r="P40" s="9">
        <f t="shared" si="25"/>
        <v>49.450674999999976</v>
      </c>
      <c r="Q40" s="139">
        <f t="shared" si="25"/>
        <v>55.386774999999979</v>
      </c>
      <c r="R40" s="9">
        <f t="shared" si="25"/>
        <v>55.018737499999986</v>
      </c>
      <c r="S40" s="9">
        <f t="shared" si="25"/>
        <v>42.783124999999963</v>
      </c>
      <c r="T40" s="139">
        <f t="shared" si="25"/>
        <v>64.991025000000008</v>
      </c>
      <c r="U40" s="9">
        <f t="shared" si="25"/>
        <v>66.073799999999977</v>
      </c>
      <c r="V40" s="9">
        <f t="shared" si="25"/>
        <v>44.684524999999994</v>
      </c>
      <c r="W40" s="139">
        <f t="shared" si="25"/>
        <v>15.216125000000011</v>
      </c>
      <c r="X40" s="9">
        <f t="shared" si="25"/>
        <v>66.48839999999997</v>
      </c>
      <c r="Y40" s="9">
        <f t="shared" si="25"/>
        <v>63.059525000000072</v>
      </c>
      <c r="Z40" s="139">
        <f t="shared" si="25"/>
        <v>56.367962499999919</v>
      </c>
    </row>
    <row r="41" spans="1:26" s="5" customFormat="1" ht="12" x14ac:dyDescent="0.2">
      <c r="A41" s="173" t="s">
        <v>59</v>
      </c>
      <c r="B41" s="9">
        <f>(B39+B40)*0.05875</f>
        <v>670.2929910000006</v>
      </c>
      <c r="C41" s="9">
        <f t="shared" ref="C41:M41" si="26">(C39+C40)*0.05875</f>
        <v>583.95065840624966</v>
      </c>
      <c r="D41" s="139">
        <f t="shared" si="26"/>
        <v>654.04857928124977</v>
      </c>
      <c r="E41" s="9">
        <f t="shared" si="26"/>
        <v>649.70251645312487</v>
      </c>
      <c r="F41" s="9">
        <f t="shared" si="26"/>
        <v>505.21522734374952</v>
      </c>
      <c r="G41" s="139">
        <f t="shared" si="26"/>
        <v>767.46276646875003</v>
      </c>
      <c r="H41" s="9">
        <f t="shared" si="26"/>
        <v>780.24898574999963</v>
      </c>
      <c r="I41" s="9">
        <f t="shared" si="26"/>
        <v>527.66838459374992</v>
      </c>
      <c r="J41" s="139">
        <f t="shared" si="26"/>
        <v>179.68341609375011</v>
      </c>
      <c r="K41" s="9">
        <f t="shared" si="26"/>
        <v>785.14489349999951</v>
      </c>
      <c r="L41" s="9">
        <f t="shared" si="26"/>
        <v>744.65416584375077</v>
      </c>
      <c r="M41" s="139">
        <f t="shared" si="26"/>
        <v>665.63517717187403</v>
      </c>
      <c r="O41" s="9">
        <f t="shared" ref="O41:Z41" si="27">(O39+O40)*0.05875</f>
        <v>670.2929910000006</v>
      </c>
      <c r="P41" s="9">
        <f t="shared" si="27"/>
        <v>583.95065840624966</v>
      </c>
      <c r="Q41" s="139">
        <f t="shared" si="27"/>
        <v>654.04857928124977</v>
      </c>
      <c r="R41" s="9">
        <f t="shared" si="27"/>
        <v>649.70251645312487</v>
      </c>
      <c r="S41" s="9">
        <f t="shared" si="27"/>
        <v>505.21522734374952</v>
      </c>
      <c r="T41" s="139">
        <f t="shared" si="27"/>
        <v>767.46276646875003</v>
      </c>
      <c r="U41" s="9">
        <f t="shared" si="27"/>
        <v>780.24898574999963</v>
      </c>
      <c r="V41" s="9">
        <f t="shared" si="27"/>
        <v>527.66838459374992</v>
      </c>
      <c r="W41" s="139">
        <f t="shared" si="27"/>
        <v>179.68341609375011</v>
      </c>
      <c r="X41" s="9">
        <f t="shared" si="27"/>
        <v>785.14489349999951</v>
      </c>
      <c r="Y41" s="9">
        <f t="shared" si="27"/>
        <v>744.65416584375077</v>
      </c>
      <c r="Z41" s="139">
        <f t="shared" si="27"/>
        <v>665.63517717187403</v>
      </c>
    </row>
    <row r="42" spans="1:26" s="4" customFormat="1" ht="12" x14ac:dyDescent="0.2">
      <c r="A42" s="175" t="s">
        <v>93</v>
      </c>
      <c r="B42" s="37">
        <f>SUM(B39:B41)</f>
        <v>12079.53539100001</v>
      </c>
      <c r="C42" s="37">
        <f t="shared" ref="C42:M42" si="28">SUM(C39:C41)</f>
        <v>10523.536333406244</v>
      </c>
      <c r="D42" s="151">
        <f t="shared" si="28"/>
        <v>11786.790354281247</v>
      </c>
      <c r="E42" s="37">
        <f t="shared" si="28"/>
        <v>11708.468753953122</v>
      </c>
      <c r="F42" s="37">
        <f t="shared" si="28"/>
        <v>9104.6233523437422</v>
      </c>
      <c r="G42" s="151">
        <f t="shared" si="28"/>
        <v>13830.658791468752</v>
      </c>
      <c r="H42" s="37">
        <f t="shared" si="28"/>
        <v>14061.082785749995</v>
      </c>
      <c r="I42" s="37">
        <f t="shared" si="28"/>
        <v>9509.257909593749</v>
      </c>
      <c r="J42" s="151">
        <f t="shared" si="28"/>
        <v>3238.1245410937522</v>
      </c>
      <c r="K42" s="37">
        <f t="shared" si="28"/>
        <v>14149.313293499992</v>
      </c>
      <c r="L42" s="37">
        <f t="shared" si="28"/>
        <v>13419.618690843765</v>
      </c>
      <c r="M42" s="151">
        <f t="shared" si="28"/>
        <v>11995.595639671859</v>
      </c>
      <c r="O42" s="37">
        <f t="shared" ref="O42:Z42" si="29">SUM(O39:O41)</f>
        <v>12079.53539100001</v>
      </c>
      <c r="P42" s="37">
        <f t="shared" si="29"/>
        <v>10523.536333406244</v>
      </c>
      <c r="Q42" s="151">
        <f t="shared" si="29"/>
        <v>11786.790354281247</v>
      </c>
      <c r="R42" s="37">
        <f t="shared" si="29"/>
        <v>11708.468753953122</v>
      </c>
      <c r="S42" s="37">
        <f t="shared" si="29"/>
        <v>9104.6233523437422</v>
      </c>
      <c r="T42" s="151">
        <f t="shared" si="29"/>
        <v>13830.658791468752</v>
      </c>
      <c r="U42" s="37">
        <f t="shared" si="29"/>
        <v>14061.082785749995</v>
      </c>
      <c r="V42" s="37">
        <f t="shared" si="29"/>
        <v>9509.257909593749</v>
      </c>
      <c r="W42" s="151">
        <f t="shared" si="29"/>
        <v>3238.1245410937522</v>
      </c>
      <c r="X42" s="37">
        <f t="shared" si="29"/>
        <v>14149.313293499992</v>
      </c>
      <c r="Y42" s="37">
        <f t="shared" si="29"/>
        <v>13419.618690843765</v>
      </c>
      <c r="Z42" s="151">
        <f t="shared" si="29"/>
        <v>11995.595639671859</v>
      </c>
    </row>
    <row r="43" spans="1:26" s="5" customFormat="1" ht="12" x14ac:dyDescent="0.2">
      <c r="A43" s="170"/>
      <c r="D43" s="143"/>
      <c r="G43" s="143"/>
      <c r="J43" s="143"/>
      <c r="M43" s="143"/>
      <c r="Q43" s="143"/>
      <c r="T43" s="143"/>
      <c r="W43" s="143"/>
      <c r="Z43" s="143"/>
    </row>
    <row r="44" spans="1:26" s="4" customFormat="1" ht="12" x14ac:dyDescent="0.2">
      <c r="A44" s="176" t="s">
        <v>94</v>
      </c>
      <c r="B44" s="37">
        <f>B31-B42</f>
        <v>43252.326294125</v>
      </c>
      <c r="C44" s="37">
        <f t="shared" ref="C44:M44" si="30">C31-C42</f>
        <v>46052.681955593769</v>
      </c>
      <c r="D44" s="151">
        <f t="shared" si="30"/>
        <v>24927.167983531261</v>
      </c>
      <c r="E44" s="37">
        <f t="shared" si="30"/>
        <v>30741.728159234372</v>
      </c>
      <c r="F44" s="37">
        <f t="shared" si="30"/>
        <v>12779.108175031271</v>
      </c>
      <c r="G44" s="151">
        <f t="shared" si="30"/>
        <v>40029.907038781239</v>
      </c>
      <c r="H44" s="37">
        <f t="shared" si="30"/>
        <v>22024.972694750017</v>
      </c>
      <c r="I44" s="37">
        <f t="shared" si="30"/>
        <v>18049.93401415625</v>
      </c>
      <c r="J44" s="151">
        <f t="shared" si="30"/>
        <v>99108.191024656247</v>
      </c>
      <c r="K44" s="37">
        <f t="shared" si="30"/>
        <v>30998.106840687495</v>
      </c>
      <c r="L44" s="37">
        <f t="shared" si="30"/>
        <v>14926.050530281254</v>
      </c>
      <c r="M44" s="151">
        <f t="shared" si="30"/>
        <v>46825.222939953142</v>
      </c>
      <c r="N44" s="72">
        <f>SUM(B44:M44)</f>
        <v>429715.39765078138</v>
      </c>
      <c r="O44" s="37">
        <f>O31-O42</f>
        <v>43252.326294125</v>
      </c>
      <c r="P44" s="37">
        <f t="shared" ref="P44:Z44" si="31">P31-P42</f>
        <v>46052.681955593769</v>
      </c>
      <c r="Q44" s="151">
        <f t="shared" si="31"/>
        <v>24927.167983531261</v>
      </c>
      <c r="R44" s="37">
        <f t="shared" si="31"/>
        <v>30741.728159234372</v>
      </c>
      <c r="S44" s="37">
        <f t="shared" si="31"/>
        <v>12779.108175031271</v>
      </c>
      <c r="T44" s="151">
        <f t="shared" si="31"/>
        <v>40029.907038781239</v>
      </c>
      <c r="U44" s="37">
        <f t="shared" si="31"/>
        <v>22024.972694750017</v>
      </c>
      <c r="V44" s="37">
        <f t="shared" si="31"/>
        <v>18049.93401415625</v>
      </c>
      <c r="W44" s="151">
        <f t="shared" si="31"/>
        <v>99108.191024656247</v>
      </c>
      <c r="X44" s="37">
        <f t="shared" si="31"/>
        <v>30998.106840687495</v>
      </c>
      <c r="Y44" s="37">
        <f t="shared" si="31"/>
        <v>14926.050530281254</v>
      </c>
      <c r="Z44" s="151">
        <f t="shared" si="31"/>
        <v>46825.222939953142</v>
      </c>
    </row>
    <row r="45" spans="1:26" s="5" customFormat="1" ht="12" x14ac:dyDescent="0.2">
      <c r="A45" s="176" t="s">
        <v>95</v>
      </c>
      <c r="D45" s="36">
        <f>SUM(B44:D44)</f>
        <v>114232.17623325004</v>
      </c>
      <c r="G45" s="36">
        <f>SUM(E44:G44)</f>
        <v>83550.743373046891</v>
      </c>
      <c r="J45" s="36">
        <f>SUM(H44:J44)</f>
        <v>139183.09773356252</v>
      </c>
      <c r="M45" s="36">
        <f>SUM(K44:M44)</f>
        <v>92749.380310921901</v>
      </c>
      <c r="N45" s="72"/>
      <c r="Q45" s="36">
        <f>SUM(O44:Q44)</f>
        <v>114232.17623325004</v>
      </c>
      <c r="T45" s="36">
        <f>SUM(R44:T44)</f>
        <v>83550.743373046891</v>
      </c>
      <c r="W45" s="36">
        <f>SUM(U44:W44)</f>
        <v>139183.09773356252</v>
      </c>
      <c r="Z45" s="36">
        <f>SUM(X44:Z44)</f>
        <v>92749.380310921901</v>
      </c>
    </row>
    <row r="46" spans="1:26" s="5" customFormat="1" ht="12" x14ac:dyDescent="0.2"/>
    <row r="47" spans="1:26" s="5" customFormat="1" ht="12" x14ac:dyDescent="0.2"/>
    <row r="48" spans="1:26" s="5" customFormat="1" ht="12" x14ac:dyDescent="0.2"/>
    <row r="49" s="5" customFormat="1" ht="12" x14ac:dyDescent="0.2"/>
  </sheetData>
  <mergeCells count="2">
    <mergeCell ref="B5:M5"/>
    <mergeCell ref="O5:Z5"/>
  </mergeCells>
  <phoneticPr fontId="0" type="noConversion"/>
  <pageMargins left="0.5" right="0.5" top="0.5" bottom="0.5" header="0.5" footer="0.5"/>
  <pageSetup scale="63" orientation="landscape" r:id="rId1"/>
  <headerFooter alignWithMargins="0"/>
  <colBreaks count="2" manualBreakCount="2">
    <brk id="12" max="44" man="1"/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TW Nom</vt:lpstr>
      <vt:lpstr>Gallup Nom</vt:lpstr>
      <vt:lpstr>Bisti</vt:lpstr>
      <vt:lpstr>Bloomfield</vt:lpstr>
      <vt:lpstr>Gallup</vt:lpstr>
      <vt:lpstr>Load &amp; Conversion Factors</vt:lpstr>
      <vt:lpstr>Gallup Rebate (Orig)</vt:lpstr>
      <vt:lpstr>Bisti!Print_Area</vt:lpstr>
      <vt:lpstr>'Gallup Nom'!Print_Area</vt:lpstr>
      <vt:lpstr>'TW Nom'!Print_Area</vt:lpstr>
      <vt:lpstr>Bisti!Print_Titles</vt:lpstr>
      <vt:lpstr>Bloomfield!Print_Titles</vt:lpstr>
      <vt:lpstr>Gallup!Print_Titles</vt:lpstr>
      <vt:lpstr>'Gallup Nom'!Print_Titles</vt:lpstr>
      <vt:lpstr>'Gallup Rebate (Orig)'!Print_Titles</vt:lpstr>
      <vt:lpstr>'TW Nom'!Print_Titles</vt:lpstr>
    </vt:vector>
  </TitlesOfParts>
  <Company>Enron North America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Jan Havlíček</cp:lastModifiedBy>
  <cp:lastPrinted>2002-03-25T14:54:13Z</cp:lastPrinted>
  <dcterms:created xsi:type="dcterms:W3CDTF">2002-01-10T20:25:15Z</dcterms:created>
  <dcterms:modified xsi:type="dcterms:W3CDTF">2023-09-17T01:28:59Z</dcterms:modified>
</cp:coreProperties>
</file>