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885717-B46B-4910-AD44-2B2DE8BE1212}" xr6:coauthVersionLast="47" xr6:coauthVersionMax="47" xr10:uidLastSave="{00000000-0000-0000-0000-000000000000}"/>
  <bookViews>
    <workbookView xWindow="-120" yWindow="-120" windowWidth="38640" windowHeight="15720" tabRatio="839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NOV_SWAP" sheetId="8" r:id="rId8"/>
    <sheet name="DEC_SWAP" sheetId="9" r:id="rId9"/>
    <sheet name="JAN_SWAP" sheetId="10" r:id="rId10"/>
    <sheet name="FEB_SWAP" sheetId="11" r:id="rId11"/>
    <sheet name="X-H_SWAP" sheetId="12" r:id="rId12"/>
    <sheet name="J-V_SWAP" sheetId="15" r:id="rId13"/>
    <sheet name="KATY_aug" sheetId="14" r:id="rId14"/>
    <sheet name="hsc_aug" sheetId="16" r:id="rId15"/>
    <sheet name="FOM" sheetId="3" r:id="rId16"/>
    <sheet name="POSTION (2)" sheetId="17" r:id="rId1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8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J28" i="2"/>
  <c r="J29" i="2"/>
  <c r="L29" i="2"/>
  <c r="E30" i="2"/>
  <c r="F30" i="2"/>
  <c r="G30" i="2"/>
  <c r="J30" i="2"/>
  <c r="B31" i="2"/>
  <c r="E31" i="2"/>
  <c r="J31" i="2"/>
  <c r="M31" i="2"/>
  <c r="E32" i="2"/>
  <c r="J32" i="2"/>
  <c r="E33" i="2"/>
  <c r="J33" i="2"/>
  <c r="E34" i="2"/>
  <c r="F34" i="2"/>
  <c r="G34" i="2"/>
  <c r="J34" i="2"/>
  <c r="L34" i="2"/>
  <c r="E35" i="2"/>
  <c r="J35" i="2"/>
  <c r="E36" i="2"/>
  <c r="J36" i="2"/>
  <c r="E37" i="2"/>
  <c r="J37" i="2"/>
  <c r="E38" i="2"/>
  <c r="J38" i="2"/>
  <c r="E39" i="2"/>
  <c r="J39" i="2"/>
  <c r="E40" i="2"/>
  <c r="F40" i="2"/>
  <c r="G40" i="2"/>
  <c r="J40" i="2"/>
  <c r="E41" i="2"/>
  <c r="J41" i="2"/>
  <c r="E42" i="2"/>
  <c r="F42" i="2"/>
  <c r="G42" i="2"/>
  <c r="J42" i="2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<sst xmlns="http://schemas.openxmlformats.org/spreadsheetml/2006/main" count="303" uniqueCount="56">
  <si>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</si>
  <si>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</si>
  <si>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</si>
  <si>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</si>
  <si>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</si>
  <si>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</si>
  <si>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</si>
  <si>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</si>
  <si>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</si>
  <si>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</si>
  <si>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X-H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</si>
  <si>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</si>
  <si>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</si>
  <si>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</si>
  <si>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</si>
  <si>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</si>
  <si>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</si>
  <si>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</si>
  <si>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</si>
  <si>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</si>
  <si>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</si>
  <si>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</si>
  <si>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</si>
  <si>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</si>
  <si>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</si>
  <si>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</si>
  <si>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</si>
  <si>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</si>
  <si>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</si>
  <si>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</si>
  <si>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</si>
  <si>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</si>
  <si>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</si>
  <si>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</si>
  <si>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</si>
  <si>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</si>
  <si>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</si>
  <si>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</si>
  <si>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</si>
  <si>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</si>
  <si>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</si>
  <si>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</si>
  <si>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</si>
  <si>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</si>
  <si>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</si>
  <si>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</si>
  <si>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</si>
  <si>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NOV</t>
  </si>
  <si>
    <t>DEC</t>
  </si>
  <si>
    <t>KA</t>
  </si>
  <si>
    <t>JAN</t>
  </si>
  <si>
    <t>basis</t>
  </si>
  <si>
    <t>J-V</t>
  </si>
  <si>
    <t>CAL2</t>
  </si>
  <si>
    <t>,30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</si>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</sst>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3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5"/>
  <sheetViews>
    <sheetView tabSelected="1" zoomScale="80" workbookViewId="0">
      <selection activeCell="C2" sqref="C2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16</v>
      </c>
      <c r="D3" s="56" t="s">
        <v>11</v>
      </c>
      <c r="E3" s="46" t="s">
        <v>23</v>
      </c>
      <c r="F3" s="45" t="s">
        <v>20</v>
      </c>
      <c r="G3" s="45" t="s">
        <v>16</v>
      </c>
      <c r="H3" s="45" t="s">
        <v>25</v>
      </c>
      <c r="J3" s="47" t="s">
        <v>17</v>
      </c>
      <c r="L3" s="45" t="s">
        <v>28</v>
      </c>
      <c r="M3" s="67" t="s">
        <v>30</v>
      </c>
      <c r="N3" s="45" t="s">
        <v>31</v>
      </c>
    </row>
    <row r="4" spans="1:15" x14ac:dyDescent="0.2">
      <c r="B4" s="88">
        <v>2.681</v>
      </c>
      <c r="C4" s="51" t="s">
        <v>47</v>
      </c>
      <c r="D4" s="57">
        <f>NOV_SWAP!J11</f>
        <v>-24</v>
      </c>
      <c r="F4" s="50">
        <f>NOV_SWAP!J4</f>
        <v>20475.000000000444</v>
      </c>
      <c r="G4" s="50">
        <f>NOV_SWAP!J2</f>
        <v>-310049.99999999977</v>
      </c>
      <c r="H4" s="50">
        <f>F4+G4</f>
        <v>-289574.9999999993</v>
      </c>
      <c r="K4">
        <v>2.4860000000000002</v>
      </c>
      <c r="L4" s="62">
        <f t="shared" ref="L4:L16" si="0">B4-K4</f>
        <v>0.19499999999999984</v>
      </c>
      <c r="M4" s="57">
        <v>-46.5</v>
      </c>
      <c r="N4" s="43">
        <f t="shared" ref="N4:N19" si="1">D4-M4</f>
        <v>22.5</v>
      </c>
      <c r="O4" s="48">
        <v>37043</v>
      </c>
    </row>
    <row r="5" spans="1:15" x14ac:dyDescent="0.2">
      <c r="B5" s="80">
        <f>B4+0.309</f>
        <v>2.99</v>
      </c>
      <c r="C5" s="51" t="s">
        <v>48</v>
      </c>
      <c r="D5" s="57">
        <f>DEC_SWAP!J11</f>
        <v>52.7</v>
      </c>
      <c r="F5" s="50">
        <f>DEC_SWAP!J4</f>
        <v>80212.500000000073</v>
      </c>
      <c r="G5" s="50">
        <f>DEC_SWAP!J2</f>
        <v>-17670.000000000036</v>
      </c>
      <c r="H5" s="50">
        <f t="shared" ref="H5:H16" si="2">F5+G5</f>
        <v>62542.500000000036</v>
      </c>
      <c r="K5">
        <v>2.8</v>
      </c>
      <c r="L5" s="62">
        <f t="shared" si="0"/>
        <v>0.19000000000000039</v>
      </c>
      <c r="M5" s="57">
        <v>-9.3000000000000007</v>
      </c>
      <c r="N5" s="43">
        <f t="shared" si="1"/>
        <v>62</v>
      </c>
      <c r="O5" s="48">
        <v>37044</v>
      </c>
    </row>
    <row r="6" spans="1:15" x14ac:dyDescent="0.2">
      <c r="B6" s="80">
        <f>B5+0.181</f>
        <v>3.1710000000000003</v>
      </c>
      <c r="C6" s="51" t="s">
        <v>50</v>
      </c>
      <c r="D6" s="57">
        <f>JAN_SWAP!J11</f>
        <v>0</v>
      </c>
      <c r="F6" s="50">
        <f>JAN_SWAP!J4</f>
        <v>0</v>
      </c>
      <c r="G6" s="50">
        <f>JAN_SWAP!J2</f>
        <v>0</v>
      </c>
      <c r="H6" s="50">
        <f t="shared" si="2"/>
        <v>0</v>
      </c>
      <c r="K6">
        <v>2.99</v>
      </c>
      <c r="L6" s="62">
        <f t="shared" si="0"/>
        <v>0.18100000000000005</v>
      </c>
      <c r="M6" s="57">
        <v>-3.1</v>
      </c>
      <c r="N6" s="43">
        <f t="shared" si="1"/>
        <v>3.1</v>
      </c>
      <c r="O6" s="48">
        <v>37045</v>
      </c>
    </row>
    <row r="7" spans="1:15" x14ac:dyDescent="0.2">
      <c r="B7" s="80">
        <f>B6+0.002</f>
        <v>3.173</v>
      </c>
      <c r="C7" s="51" t="s">
        <v>55</v>
      </c>
      <c r="D7" s="57">
        <f>FEB_SWAP!J11</f>
        <v>0</v>
      </c>
      <c r="F7" s="50">
        <f>FEB_SWAP!J4</f>
        <v>0</v>
      </c>
      <c r="G7" s="50">
        <f>FEB_SWAP!J2</f>
        <v>0</v>
      </c>
      <c r="H7" s="50">
        <f t="shared" si="2"/>
        <v>0</v>
      </c>
      <c r="K7">
        <v>2.9970000000000003</v>
      </c>
      <c r="L7" s="62">
        <f t="shared" si="0"/>
        <v>0.17599999999999971</v>
      </c>
      <c r="M7" s="57">
        <v>0</v>
      </c>
      <c r="N7" s="43">
        <f t="shared" si="1"/>
        <v>0</v>
      </c>
      <c r="O7" s="48">
        <v>37046</v>
      </c>
    </row>
    <row r="8" spans="1:15" x14ac:dyDescent="0.2">
      <c r="B8" s="51">
        <f>B4+0.3472</f>
        <v>3.0282</v>
      </c>
      <c r="C8" s="51" t="s">
        <v>10</v>
      </c>
      <c r="D8" s="57">
        <f>'X-H_SWAP'!J11</f>
        <v>-37.75</v>
      </c>
      <c r="F8" s="50">
        <f>'X-H_SWAP'!J4</f>
        <v>32238.499999999964</v>
      </c>
      <c r="G8" s="50">
        <f>'X-H_SWAP'!J2</f>
        <v>131520.99999999994</v>
      </c>
      <c r="H8" s="50">
        <f t="shared" si="2"/>
        <v>163759.49999999991</v>
      </c>
      <c r="K8">
        <v>2.8540000000000001</v>
      </c>
      <c r="L8" s="62">
        <f t="shared" si="0"/>
        <v>0.17419999999999991</v>
      </c>
      <c r="M8" s="57">
        <v>0</v>
      </c>
      <c r="N8" s="43">
        <f t="shared" si="1"/>
        <v>-37.75</v>
      </c>
      <c r="O8" s="48">
        <v>37047</v>
      </c>
    </row>
    <row r="9" spans="1:15" x14ac:dyDescent="0.2">
      <c r="B9" s="51">
        <f>B8+0.107</f>
        <v>3.1352000000000002</v>
      </c>
      <c r="C9" s="51" t="s">
        <v>52</v>
      </c>
      <c r="D9" s="57">
        <f>'J-V_SWAP'!J11</f>
        <v>0</v>
      </c>
      <c r="F9" s="50">
        <f>'X-H_SWAP'!J5</f>
        <v>0</v>
      </c>
      <c r="G9" s="50">
        <f>'J-V_SWAP'!J6</f>
        <v>0</v>
      </c>
      <c r="H9" s="50">
        <f>F9+G9</f>
        <v>0</v>
      </c>
      <c r="K9">
        <v>3.004</v>
      </c>
      <c r="L9" s="62">
        <f>B9-K9</f>
        <v>0.13120000000000021</v>
      </c>
      <c r="M9" s="57">
        <v>1</v>
      </c>
      <c r="N9" s="43">
        <f>D9-M9</f>
        <v>-1</v>
      </c>
      <c r="O9" s="48"/>
    </row>
    <row r="10" spans="1:15" x14ac:dyDescent="0.2">
      <c r="B10" s="51">
        <f>B8+0.17</f>
        <v>3.1981999999999999</v>
      </c>
      <c r="C10" s="51" t="s">
        <v>53</v>
      </c>
      <c r="D10" s="57">
        <f>'X-H_SWAP'!J13</f>
        <v>0</v>
      </c>
      <c r="F10" s="50"/>
      <c r="G10" s="50"/>
      <c r="H10" s="50">
        <f>F10+G10</f>
        <v>0</v>
      </c>
      <c r="K10">
        <v>3.004</v>
      </c>
      <c r="L10" s="62">
        <f>B10-K10</f>
        <v>0.19419999999999993</v>
      </c>
      <c r="M10" s="57">
        <v>2</v>
      </c>
      <c r="N10" s="43">
        <f>D10-M10</f>
        <v>-2</v>
      </c>
      <c r="O10" s="48"/>
    </row>
    <row r="11" spans="1:15" x14ac:dyDescent="0.2">
      <c r="B11" s="85">
        <f>B4-0.101</f>
        <v>2.58</v>
      </c>
      <c r="C11" s="86" t="s">
        <v>5</v>
      </c>
      <c r="D11" s="57">
        <f>HH_SWAP!J9</f>
        <v>45</v>
      </c>
      <c r="E11" s="44">
        <f>HH_SWAP!J10</f>
        <v>3.75</v>
      </c>
      <c r="F11" s="50">
        <f>HH_SWAP!J4</f>
        <v>0</v>
      </c>
      <c r="G11" s="50">
        <f>HH_SWAP!J2+HH_SWAP!J3</f>
        <v>0</v>
      </c>
      <c r="H11" s="50">
        <f t="shared" si="2"/>
        <v>0</v>
      </c>
      <c r="I11">
        <f t="shared" ref="I11:I16" si="3">IF(J11&lt;1,B11,J11)</f>
        <v>2.58</v>
      </c>
      <c r="J11" s="52"/>
      <c r="K11">
        <v>2.39</v>
      </c>
      <c r="L11" s="62">
        <f t="shared" si="0"/>
        <v>0.18999999999999995</v>
      </c>
      <c r="M11" s="57">
        <v>-69.7</v>
      </c>
      <c r="N11" s="43">
        <f t="shared" si="1"/>
        <v>114.7</v>
      </c>
      <c r="O11" s="48">
        <v>37048</v>
      </c>
    </row>
    <row r="12" spans="1:15" x14ac:dyDescent="0.2">
      <c r="B12" s="87">
        <f>B11-0.02</f>
        <v>2.56</v>
      </c>
      <c r="C12" s="86" t="s">
        <v>6</v>
      </c>
      <c r="D12" s="57">
        <f>HSC_SWAP!J9</f>
        <v>-167.57000000000005</v>
      </c>
      <c r="E12" s="44">
        <f>HSC_SWAP!J10</f>
        <v>-13.964166666666671</v>
      </c>
      <c r="F12" s="50">
        <f>HSC_SWAP!J4</f>
        <v>-318536.25999999914</v>
      </c>
      <c r="G12" s="50">
        <f>HSC_SWAP!J2+HSC_SWAP!J3</f>
        <v>61396.416666666686</v>
      </c>
      <c r="H12" s="50">
        <f>F12</f>
        <v>-318536.25999999914</v>
      </c>
      <c r="I12">
        <f t="shared" si="3"/>
        <v>2.35</v>
      </c>
      <c r="J12" s="52">
        <v>2.35</v>
      </c>
      <c r="K12">
        <v>2.36</v>
      </c>
      <c r="L12" s="62">
        <f t="shared" si="0"/>
        <v>0.20000000000000018</v>
      </c>
      <c r="M12" s="57">
        <v>0</v>
      </c>
      <c r="N12" s="43">
        <f t="shared" si="1"/>
        <v>-167.57000000000005</v>
      </c>
      <c r="O12" s="48">
        <v>37049</v>
      </c>
    </row>
    <row r="13" spans="1:15" x14ac:dyDescent="0.2">
      <c r="B13" s="87">
        <f>B12-0.05</f>
        <v>2.5100000000000002</v>
      </c>
      <c r="C13" s="86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2.5100000000000002</v>
      </c>
      <c r="J13" s="52"/>
      <c r="K13">
        <v>2.31</v>
      </c>
      <c r="L13" s="62">
        <f t="shared" si="0"/>
        <v>0.20000000000000018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7">
        <f>B12-0.175</f>
        <v>2.3850000000000002</v>
      </c>
      <c r="C14" s="86" t="s">
        <v>8</v>
      </c>
      <c r="D14" s="57">
        <f>WAHA_SWAP!J9</f>
        <v>139.5</v>
      </c>
      <c r="E14" s="44">
        <f>WAHA_SWAP!J10</f>
        <v>11.625</v>
      </c>
      <c r="F14" s="50">
        <f>WAHA_SWAP!J4</f>
        <v>-92400.000000000335</v>
      </c>
      <c r="G14" s="50">
        <f>WAHA_SWAP!J2+WAHA_SWAP!J3</f>
        <v>345656.25000000012</v>
      </c>
      <c r="H14" s="50">
        <f>F14</f>
        <v>-92400.000000000335</v>
      </c>
      <c r="I14">
        <f t="shared" si="3"/>
        <v>2.085</v>
      </c>
      <c r="J14" s="52">
        <v>2.085</v>
      </c>
      <c r="K14">
        <v>2.1800000000000002</v>
      </c>
      <c r="L14" s="62">
        <f t="shared" si="0"/>
        <v>0.20500000000000007</v>
      </c>
      <c r="M14" s="57">
        <v>0</v>
      </c>
      <c r="N14" s="43">
        <f t="shared" si="1"/>
        <v>139.5</v>
      </c>
      <c r="O14" s="48">
        <v>37051</v>
      </c>
    </row>
    <row r="15" spans="1:15" x14ac:dyDescent="0.2">
      <c r="B15" s="85">
        <f>B11-0.22</f>
        <v>2.36</v>
      </c>
      <c r="C15" s="86" t="s">
        <v>9</v>
      </c>
      <c r="D15" s="57">
        <f>PERM_SWAP!J9</f>
        <v>-49.5</v>
      </c>
      <c r="E15" s="44">
        <f>PERM_SWAP!J10</f>
        <v>-4.125</v>
      </c>
      <c r="F15" s="50">
        <f>PERM_SWAP!J4</f>
        <v>59399.999999999978</v>
      </c>
      <c r="G15" s="50">
        <f>PERM_SWAP!J2+PERM_SWAP!J3</f>
        <v>-118387.49999999997</v>
      </c>
      <c r="H15" s="50">
        <f>F15</f>
        <v>59399.999999999978</v>
      </c>
      <c r="I15">
        <f t="shared" si="3"/>
        <v>2</v>
      </c>
      <c r="J15" s="52">
        <v>2</v>
      </c>
      <c r="K15">
        <v>2.17</v>
      </c>
      <c r="L15" s="62">
        <f t="shared" si="0"/>
        <v>0.18999999999999995</v>
      </c>
      <c r="M15" s="57">
        <v>0</v>
      </c>
      <c r="N15" s="43">
        <f t="shared" si="1"/>
        <v>-49.5</v>
      </c>
      <c r="O15" s="48">
        <v>37052</v>
      </c>
    </row>
    <row r="16" spans="1:15" x14ac:dyDescent="0.2">
      <c r="A16" s="43">
        <f>SUM(D11:D16)</f>
        <v>-32.57000000000005</v>
      </c>
      <c r="B16" s="87">
        <f>B12-0.05</f>
        <v>2.5100000000000002</v>
      </c>
      <c r="C16" s="86" t="s">
        <v>27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2.5100000000000002</v>
      </c>
      <c r="J16" s="52"/>
      <c r="K16">
        <v>2.31</v>
      </c>
      <c r="L16" s="62">
        <f t="shared" si="0"/>
        <v>0.20000000000000018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32</v>
      </c>
      <c r="D17" s="77">
        <f>SUM(D4:D16)</f>
        <v>-41.620000000000061</v>
      </c>
      <c r="E17" s="44">
        <f>SUM(E11:E16)</f>
        <v>-2.7141666666666708</v>
      </c>
      <c r="F17" s="70">
        <f>SUM(F4:F16)</f>
        <v>-218610.25999999899</v>
      </c>
      <c r="G17" s="70">
        <f>SUM(G4:G16)</f>
        <v>92466.166666666948</v>
      </c>
      <c r="H17" s="59">
        <f>SUM(H4:H16)</f>
        <v>-414809.25999999885</v>
      </c>
      <c r="M17" s="69">
        <v>-54.2</v>
      </c>
      <c r="N17" s="68">
        <f t="shared" si="1"/>
        <v>12.579999999999941</v>
      </c>
      <c r="O17" s="48">
        <v>37054</v>
      </c>
    </row>
    <row r="18" spans="1:16" x14ac:dyDescent="0.2">
      <c r="B18" s="78">
        <f>KATY_aug!C31</f>
        <v>2.714</v>
      </c>
      <c r="C18" s="78" t="s">
        <v>44</v>
      </c>
      <c r="D18" s="79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8">
        <f>B4-0.015</f>
        <v>2.6659999999999999</v>
      </c>
      <c r="C19" s="78" t="s">
        <v>45</v>
      </c>
      <c r="D19" s="79" t="s">
        <v>49</v>
      </c>
      <c r="F19" s="59"/>
      <c r="G19" s="94">
        <f>F17+G17</f>
        <v>-126144.09333333204</v>
      </c>
      <c r="H19" s="94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8">
        <f>hsc_aug!C31</f>
        <v>2.706</v>
      </c>
      <c r="C20" s="78" t="s">
        <v>46</v>
      </c>
      <c r="D20" s="79">
        <f>hsc_aug!J11</f>
        <v>0</v>
      </c>
      <c r="F20" t="s">
        <v>51</v>
      </c>
      <c r="G20" s="82"/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32</v>
      </c>
      <c r="D22" s="72">
        <f>SUM(D17:D20)</f>
        <v>-41.620000000000061</v>
      </c>
      <c r="G22" s="82">
        <f>G21+G20+G19:G19</f>
        <v>-126144.09333333204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19</v>
      </c>
      <c r="E24">
        <v>12</v>
      </c>
      <c r="F24">
        <v>1</v>
      </c>
      <c r="G24" s="52">
        <f>F24*E24</f>
        <v>12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-32.57000000000005</v>
      </c>
      <c r="F25">
        <f>E25/E24</f>
        <v>-2.7141666666666708</v>
      </c>
      <c r="G25">
        <f>F25*3</f>
        <v>-8.1425000000000125</v>
      </c>
      <c r="O25" s="48">
        <v>37062</v>
      </c>
      <c r="P25">
        <v>25000</v>
      </c>
    </row>
    <row r="26" spans="1:16" x14ac:dyDescent="0.2">
      <c r="I26" t="s">
        <v>26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f t="shared" ref="J27:J42" si="4">D27-I27</f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37165</v>
      </c>
      <c r="E28" s="58"/>
      <c r="H28">
        <v>2.552</v>
      </c>
      <c r="I28">
        <v>2.3690000000000002</v>
      </c>
      <c r="J28">
        <f t="shared" si="4"/>
        <v>-2.3690000000000002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37196</v>
      </c>
      <c r="D29">
        <v>2.681</v>
      </c>
      <c r="E29" s="58"/>
      <c r="H29">
        <v>2.9020000000000001</v>
      </c>
      <c r="I29">
        <v>2.7530000000000001</v>
      </c>
      <c r="J29">
        <f t="shared" si="4"/>
        <v>-7.2000000000000064E-2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37226</v>
      </c>
      <c r="D30">
        <v>2.99</v>
      </c>
      <c r="E30" s="58">
        <f t="shared" ref="E30:E42" si="5">D30-D29</f>
        <v>0.30900000000000016</v>
      </c>
      <c r="F30" s="52">
        <f>AVERAGE(D28:D29)</f>
        <v>2.681</v>
      </c>
      <c r="G30">
        <f>F30-D28</f>
        <v>2.681</v>
      </c>
      <c r="H30">
        <v>3.2519999999999998</v>
      </c>
      <c r="I30">
        <v>3.125</v>
      </c>
      <c r="J30">
        <f t="shared" si="4"/>
        <v>-0.13499999999999979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37257</v>
      </c>
      <c r="D31">
        <v>3.1709999999999998</v>
      </c>
      <c r="E31" s="58">
        <f t="shared" si="5"/>
        <v>0.18099999999999961</v>
      </c>
      <c r="H31">
        <v>3.4220000000000002</v>
      </c>
      <c r="I31">
        <v>3.3029999999999999</v>
      </c>
      <c r="J31">
        <f t="shared" si="4"/>
        <v>-0.13200000000000012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37288</v>
      </c>
      <c r="D32">
        <v>3.173</v>
      </c>
      <c r="E32" s="58">
        <f t="shared" si="5"/>
        <v>2.0000000000002238E-3</v>
      </c>
      <c r="H32">
        <v>3.3940000000000001</v>
      </c>
      <c r="I32">
        <v>3.28</v>
      </c>
      <c r="J32">
        <f t="shared" si="4"/>
        <v>-0.10699999999999976</v>
      </c>
      <c r="O32" s="48">
        <v>37069</v>
      </c>
      <c r="P32">
        <v>25000</v>
      </c>
    </row>
    <row r="33" spans="3:16" x14ac:dyDescent="0.2">
      <c r="C33" s="49">
        <v>37316</v>
      </c>
      <c r="D33">
        <v>3.1259999999999999</v>
      </c>
      <c r="E33" s="58">
        <f t="shared" si="5"/>
        <v>-4.7000000000000153E-2</v>
      </c>
      <c r="H33">
        <v>3.3250000000000002</v>
      </c>
      <c r="I33">
        <v>3.2149999999999999</v>
      </c>
      <c r="J33">
        <f t="shared" si="4"/>
        <v>-8.8999999999999968E-2</v>
      </c>
      <c r="O33" s="48">
        <v>37070</v>
      </c>
      <c r="P33">
        <v>25000</v>
      </c>
    </row>
    <row r="34" spans="3:16" x14ac:dyDescent="0.2">
      <c r="C34" s="49">
        <v>37347</v>
      </c>
      <c r="D34">
        <v>3.0310000000000001</v>
      </c>
      <c r="E34" s="58">
        <f t="shared" si="5"/>
        <v>-9.4999999999999751E-2</v>
      </c>
      <c r="F34" s="52">
        <f>AVERAGE(D29:D33)</f>
        <v>3.0282</v>
      </c>
      <c r="G34">
        <f>F34-D29</f>
        <v>0.34719999999999995</v>
      </c>
      <c r="H34">
        <v>3.2320000000000002</v>
      </c>
      <c r="I34">
        <v>3.125</v>
      </c>
      <c r="J34">
        <f t="shared" si="4"/>
        <v>-9.3999999999999861E-2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37377</v>
      </c>
      <c r="D35">
        <v>3.0590000000000002</v>
      </c>
      <c r="E35" s="58">
        <f t="shared" si="5"/>
        <v>2.8000000000000025E-2</v>
      </c>
      <c r="H35">
        <v>3.2519999999999998</v>
      </c>
      <c r="I35">
        <v>3.15</v>
      </c>
      <c r="J35">
        <f t="shared" si="4"/>
        <v>-9.0999999999999748E-2</v>
      </c>
      <c r="O35" s="48">
        <v>37072</v>
      </c>
      <c r="P35">
        <v>25000</v>
      </c>
    </row>
    <row r="36" spans="3:16" x14ac:dyDescent="0.2">
      <c r="C36" s="49">
        <v>37408</v>
      </c>
      <c r="D36">
        <v>3.109</v>
      </c>
      <c r="E36" s="58">
        <f t="shared" si="5"/>
        <v>4.9999999999999822E-2</v>
      </c>
      <c r="H36">
        <v>3.2850000000000001</v>
      </c>
      <c r="I36">
        <v>3.1850000000000001</v>
      </c>
      <c r="J36">
        <f t="shared" si="4"/>
        <v>-7.6000000000000068E-2</v>
      </c>
      <c r="L36" t="s">
        <v>54</v>
      </c>
      <c r="P36">
        <v>25000</v>
      </c>
    </row>
    <row r="37" spans="3:16" x14ac:dyDescent="0.2">
      <c r="C37" s="49">
        <v>37438</v>
      </c>
      <c r="D37">
        <v>3.1509999999999998</v>
      </c>
      <c r="E37" s="58">
        <f t="shared" si="5"/>
        <v>4.1999999999999815E-2</v>
      </c>
      <c r="H37">
        <v>3.3250000000000002</v>
      </c>
      <c r="I37">
        <v>3.2250000000000001</v>
      </c>
      <c r="J37">
        <f t="shared" si="4"/>
        <v>-7.4000000000000288E-2</v>
      </c>
    </row>
    <row r="38" spans="3:16" x14ac:dyDescent="0.2">
      <c r="C38" s="49">
        <v>37469</v>
      </c>
      <c r="D38">
        <v>3.1909999999999998</v>
      </c>
      <c r="E38" s="58">
        <f t="shared" si="5"/>
        <v>4.0000000000000036E-2</v>
      </c>
      <c r="H38">
        <v>3.3620000000000001</v>
      </c>
      <c r="I38">
        <v>3.262</v>
      </c>
      <c r="J38">
        <f t="shared" si="4"/>
        <v>-7.1000000000000174E-2</v>
      </c>
    </row>
    <row r="39" spans="3:16" x14ac:dyDescent="0.2">
      <c r="C39" s="49">
        <v>37500</v>
      </c>
      <c r="D39">
        <v>3.1909999999999998</v>
      </c>
      <c r="E39" s="58">
        <f t="shared" si="5"/>
        <v>0</v>
      </c>
      <c r="H39">
        <v>3.36</v>
      </c>
      <c r="I39">
        <v>3.26</v>
      </c>
      <c r="J39">
        <f t="shared" si="4"/>
        <v>-6.899999999999995E-2</v>
      </c>
    </row>
    <row r="40" spans="3:16" x14ac:dyDescent="0.2">
      <c r="C40" s="49">
        <v>37530</v>
      </c>
      <c r="D40">
        <v>3.214</v>
      </c>
      <c r="E40" s="58">
        <f t="shared" si="5"/>
        <v>2.3000000000000131E-2</v>
      </c>
      <c r="F40" s="84">
        <f>AVERAGE(D34:D40)</f>
        <v>3.1351428571428568</v>
      </c>
      <c r="G40" s="62">
        <f>F40-F34</f>
        <v>0.10694285714285678</v>
      </c>
      <c r="H40">
        <v>3.3719999999999999</v>
      </c>
      <c r="I40">
        <v>3.2719999999999998</v>
      </c>
      <c r="J40">
        <f t="shared" si="4"/>
        <v>-5.7999999999999829E-2</v>
      </c>
    </row>
    <row r="41" spans="3:16" x14ac:dyDescent="0.2">
      <c r="C41" s="49">
        <v>37561</v>
      </c>
      <c r="D41">
        <v>3.3940000000000001</v>
      </c>
      <c r="E41" s="58">
        <f t="shared" si="5"/>
        <v>0.18000000000000016</v>
      </c>
      <c r="H41">
        <v>3.532</v>
      </c>
      <c r="I41">
        <v>3.4319999999999999</v>
      </c>
      <c r="J41">
        <f t="shared" si="4"/>
        <v>-3.7999999999999812E-2</v>
      </c>
    </row>
    <row r="42" spans="3:16" x14ac:dyDescent="0.2">
      <c r="C42" s="49">
        <v>37591</v>
      </c>
      <c r="D42">
        <v>3.6059999999999999</v>
      </c>
      <c r="E42" s="58">
        <f t="shared" si="5"/>
        <v>0.21199999999999974</v>
      </c>
      <c r="F42" s="83">
        <f>AVERAGE(D31:D42)</f>
        <v>3.2013333333333329</v>
      </c>
      <c r="G42" s="44">
        <f>F42-F34</f>
        <v>0.17313333333333292</v>
      </c>
      <c r="H42">
        <v>3.6949999999999998</v>
      </c>
      <c r="I42">
        <v>3.5950000000000002</v>
      </c>
      <c r="J42">
        <f t="shared" si="4"/>
        <v>1.0999999999999677E-2</v>
      </c>
    </row>
    <row r="43" spans="3:16" x14ac:dyDescent="0.2">
      <c r="C43" s="49"/>
    </row>
    <row r="44" spans="3:16" x14ac:dyDescent="0.2">
      <c r="C44" s="49"/>
    </row>
    <row r="45" spans="3:16" x14ac:dyDescent="0.2">
      <c r="C45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3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3.1710000000000003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3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9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9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9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9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9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9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9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3.173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7" sqref="C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13</v>
      </c>
      <c r="F1" s="20" t="s">
        <v>12</v>
      </c>
    </row>
    <row r="2" spans="1:15" x14ac:dyDescent="0.2">
      <c r="A2" s="6" t="s">
        <v>4</v>
      </c>
      <c r="B2" s="33"/>
      <c r="C2" s="27"/>
      <c r="D2" s="32"/>
      <c r="E2" s="5"/>
      <c r="F2" s="33">
        <v>75.5</v>
      </c>
      <c r="G2" s="27">
        <v>2.8540000000000001</v>
      </c>
      <c r="H2" s="34"/>
      <c r="J2" s="35">
        <f>IF(F2&lt;1,(C2-C31)*(B2*10000),(C31-G2)*(F2*10000))</f>
        <v>131520.99999999994</v>
      </c>
      <c r="L2" s="7" t="s">
        <v>16</v>
      </c>
    </row>
    <row r="3" spans="1:15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>
        <v>75.5</v>
      </c>
      <c r="G3" s="3">
        <v>2.875</v>
      </c>
      <c r="H3" s="10">
        <f t="shared" ref="H3:H25" si="1">F3*G3*10000</f>
        <v>2170625</v>
      </c>
      <c r="J3" s="36"/>
      <c r="L3" s="12" t="s">
        <v>18</v>
      </c>
    </row>
    <row r="4" spans="1:15" x14ac:dyDescent="0.2">
      <c r="B4" s="8">
        <v>37.75</v>
      </c>
      <c r="C4" s="3">
        <v>2.86</v>
      </c>
      <c r="D4" s="4">
        <f t="shared" si="0"/>
        <v>1079650</v>
      </c>
      <c r="E4" s="5"/>
      <c r="F4" s="9"/>
      <c r="G4" s="3"/>
      <c r="H4" s="10">
        <f t="shared" si="1"/>
        <v>0</v>
      </c>
      <c r="J4" s="23">
        <f>F37</f>
        <v>32238.499999999964</v>
      </c>
      <c r="K4" s="11"/>
      <c r="L4" s="5" t="s">
        <v>21</v>
      </c>
    </row>
    <row r="5" spans="1:15" x14ac:dyDescent="0.2">
      <c r="B5" s="8">
        <v>75.5</v>
      </c>
      <c r="C5" s="3">
        <v>3.02</v>
      </c>
      <c r="D5" s="4">
        <f t="shared" si="0"/>
        <v>2280100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>
        <v>75.5</v>
      </c>
      <c r="C6" s="3">
        <v>3.01</v>
      </c>
      <c r="D6" s="4">
        <f t="shared" si="0"/>
        <v>2272550</v>
      </c>
      <c r="E6" s="5"/>
      <c r="F6" s="9"/>
      <c r="G6" s="3"/>
      <c r="H6" s="10">
        <f t="shared" si="1"/>
        <v>0</v>
      </c>
      <c r="J6" s="42">
        <f>J2+J3+J4</f>
        <v>163759.49999999991</v>
      </c>
      <c r="K6" s="14"/>
      <c r="L6" s="5" t="s">
        <v>22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-37.75</v>
      </c>
      <c r="L9" s="6" t="s">
        <v>11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-37.75</v>
      </c>
      <c r="L11" s="6" t="s">
        <v>24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75.5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7.75</v>
      </c>
      <c r="M17" s="6">
        <f>151/4</f>
        <v>37.75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7.75</v>
      </c>
      <c r="M18" s="6">
        <f>M17*3</f>
        <v>113.25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188.75</v>
      </c>
      <c r="C27" s="18">
        <f>IF(B27=0, 0, D27/B27/10000)</f>
        <v>2.984</v>
      </c>
      <c r="D27" s="4">
        <f>SUM(D2:D26)</f>
        <v>5632300</v>
      </c>
      <c r="F27" s="9">
        <f>SUM(F3:F26)</f>
        <v>75.5</v>
      </c>
      <c r="G27" s="3">
        <f>IF(F27=0, 0, H27/F27/10000)</f>
        <v>2.875</v>
      </c>
      <c r="H27" s="10">
        <f>SUM(H2:H26)</f>
        <v>2170625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-113.25</v>
      </c>
      <c r="G29" s="6">
        <f>IF(F29&lt;0,C27,G27)</f>
        <v>2.984</v>
      </c>
      <c r="H29" s="21">
        <f>IF(F29&lt;0, (G29-C31)*ABS(F29)*10000, -1*(G29-C31)*ABS(F29)*10000)</f>
        <v>-50056.500000000022</v>
      </c>
      <c r="J29" s="28"/>
      <c r="K29" s="29"/>
      <c r="L29" s="29"/>
      <c r="M29" s="5"/>
      <c r="N29" s="5"/>
    </row>
    <row r="30" spans="2:14" x14ac:dyDescent="0.2">
      <c r="F30" s="22">
        <f>-B27+F27</f>
        <v>-113.25</v>
      </c>
      <c r="G30" s="6">
        <f>IF(F30&lt;0, (C27+(J26/(ABS(F30)*10000))), IF(F30 = 0, 0, (G27-(J26/(ABS(F30)*10000)))))</f>
        <v>2.984</v>
      </c>
      <c r="H30" s="21">
        <f>IF(F30&lt;0, (G30-C31)*ABS(F30)*10000, IF(F30 = 0, 0, -1*(G30-C31)*ABS(F30)*10000))</f>
        <v>-50056.500000000022</v>
      </c>
      <c r="J30" s="28"/>
      <c r="K30" s="29"/>
      <c r="L30" s="29"/>
      <c r="M30" s="5"/>
      <c r="N30" s="5"/>
    </row>
    <row r="31" spans="2:14" x14ac:dyDescent="0.2">
      <c r="C31" s="6">
        <f>POSTION!B8</f>
        <v>3.0282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82294.999999999985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-50056.500000000022</v>
      </c>
      <c r="G34" s="1"/>
      <c r="H34" s="1" t="s">
        <v>1</v>
      </c>
    </row>
    <row r="35" spans="1:8" x14ac:dyDescent="0.2">
      <c r="A35" s="7"/>
      <c r="B35" s="26"/>
      <c r="F35" s="23">
        <f>$H$30</f>
        <v>-50056.500000000022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32238.499999999964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4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3.1352000000000002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2.714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2.706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33</v>
      </c>
      <c r="B1" s="74" t="s">
        <v>41</v>
      </c>
      <c r="C1" s="74" t="s">
        <v>34</v>
      </c>
      <c r="D1" s="74" t="s">
        <v>40</v>
      </c>
      <c r="E1" s="74" t="s">
        <v>42</v>
      </c>
      <c r="F1" s="74" t="s">
        <v>35</v>
      </c>
      <c r="G1" s="74" t="s">
        <v>36</v>
      </c>
      <c r="H1" s="74" t="s">
        <v>37</v>
      </c>
      <c r="I1" s="74" t="s">
        <v>38</v>
      </c>
      <c r="J1" s="74" t="s">
        <v>39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0</v>
      </c>
      <c r="F2" s="43">
        <f>POSTION!D4</f>
        <v>-24</v>
      </c>
      <c r="G2" s="43">
        <f>POSTION!D5</f>
        <v>52.7</v>
      </c>
      <c r="H2" s="43">
        <f>POSTION!D6</f>
        <v>0</v>
      </c>
      <c r="I2" s="43">
        <f>POSTION!D7</f>
        <v>0</v>
      </c>
      <c r="J2" s="43">
        <f>POSTION!D8</f>
        <v>-37.75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0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0</v>
      </c>
      <c r="E8" s="43">
        <f>E7</f>
        <v>0</v>
      </c>
      <c r="F8" s="43">
        <f>SUM(F2:F7)</f>
        <v>-24</v>
      </c>
      <c r="G8" s="43">
        <f>SUM(G2:G7)</f>
        <v>52.7</v>
      </c>
      <c r="H8" s="43">
        <f>SUM(H2:H7)</f>
        <v>0</v>
      </c>
      <c r="I8" s="43">
        <f>SUM(I2:I7)</f>
        <v>-53.75</v>
      </c>
      <c r="J8" s="43">
        <f>SUM(J2:J7)</f>
        <v>-37.75</v>
      </c>
    </row>
    <row r="10" spans="1:10" x14ac:dyDescent="0.2">
      <c r="B10" s="75">
        <f>SUM(A8:E8)+SUM(G8:J8)</f>
        <v>190.60000000000002</v>
      </c>
    </row>
    <row r="12" spans="1:10" x14ac:dyDescent="0.2">
      <c r="A12">
        <v>75000</v>
      </c>
      <c r="B12" t="s">
        <v>43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5"/>
  <sheetViews>
    <sheetView zoomScale="80" workbookViewId="0">
      <selection activeCell="B5" sqref="B5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16</v>
      </c>
      <c r="D3" s="56" t="s">
        <v>11</v>
      </c>
      <c r="E3" s="46" t="s">
        <v>23</v>
      </c>
      <c r="F3" s="45" t="s">
        <v>20</v>
      </c>
      <c r="G3" s="45" t="s">
        <v>16</v>
      </c>
      <c r="H3" s="45" t="s">
        <v>25</v>
      </c>
      <c r="J3" s="47" t="s">
        <v>17</v>
      </c>
      <c r="L3" s="45" t="s">
        <v>28</v>
      </c>
      <c r="M3" s="67" t="s">
        <v>30</v>
      </c>
      <c r="N3" s="45" t="s">
        <v>31</v>
      </c>
    </row>
    <row r="4" spans="1:15" x14ac:dyDescent="0.2">
      <c r="B4" s="88">
        <v>2.5249999999999999</v>
      </c>
      <c r="C4" s="51" t="s">
        <v>47</v>
      </c>
      <c r="D4" s="57">
        <v>-159</v>
      </c>
      <c r="F4" s="50">
        <v>-81750.00000000032</v>
      </c>
      <c r="G4" s="50">
        <v>-11279.999999999931</v>
      </c>
      <c r="H4" s="50">
        <v>-93030.000000000247</v>
      </c>
      <c r="K4">
        <v>2.3780000000000001</v>
      </c>
      <c r="L4" s="62">
        <v>8.6999999999999744E-2</v>
      </c>
      <c r="M4" s="57">
        <v>-46.5</v>
      </c>
      <c r="N4" s="43">
        <v>-112.5</v>
      </c>
      <c r="O4" s="48">
        <v>37043</v>
      </c>
    </row>
    <row r="5" spans="1:15" x14ac:dyDescent="0.2">
      <c r="B5" s="80">
        <v>2.7789999999999999</v>
      </c>
      <c r="C5" s="51" t="s">
        <v>48</v>
      </c>
      <c r="D5" s="57">
        <v>-9.3000000000000007</v>
      </c>
      <c r="F5" s="50">
        <v>-40997.49999999992</v>
      </c>
      <c r="G5" s="50">
        <v>-1178</v>
      </c>
      <c r="H5" s="50">
        <v>-42175.49999999992</v>
      </c>
      <c r="K5">
        <v>2.66</v>
      </c>
      <c r="L5" s="62">
        <v>0.11899999999999977</v>
      </c>
      <c r="M5" s="57">
        <v>-9.3000000000000007</v>
      </c>
      <c r="N5" s="43">
        <v>0</v>
      </c>
      <c r="O5" s="48">
        <v>37044</v>
      </c>
    </row>
    <row r="6" spans="1:15" x14ac:dyDescent="0.2">
      <c r="B6" s="80">
        <v>2.9689999999999999</v>
      </c>
      <c r="C6" s="51" t="s">
        <v>50</v>
      </c>
      <c r="D6" s="57">
        <v>0</v>
      </c>
      <c r="F6" s="50">
        <v>0</v>
      </c>
      <c r="G6" s="50">
        <v>0</v>
      </c>
      <c r="H6" s="50">
        <v>0</v>
      </c>
      <c r="K6">
        <v>2.8520000000000003</v>
      </c>
      <c r="L6" s="62">
        <v>0.11699999999999955</v>
      </c>
      <c r="M6" s="57">
        <v>-3.1</v>
      </c>
      <c r="N6" s="43">
        <v>3.1</v>
      </c>
      <c r="O6" s="48">
        <v>37045</v>
      </c>
    </row>
    <row r="7" spans="1:15" x14ac:dyDescent="0.2">
      <c r="B7" s="80">
        <v>2.976</v>
      </c>
      <c r="C7" s="51" t="s">
        <v>55</v>
      </c>
      <c r="D7" s="57">
        <v>0</v>
      </c>
      <c r="F7" s="50">
        <v>0</v>
      </c>
      <c r="G7" s="50">
        <v>0</v>
      </c>
      <c r="H7" s="50">
        <v>0</v>
      </c>
      <c r="K7">
        <v>2.85</v>
      </c>
      <c r="L7" s="62">
        <v>0.12599999999999989</v>
      </c>
      <c r="M7" s="57">
        <v>0</v>
      </c>
      <c r="N7" s="43">
        <v>0</v>
      </c>
      <c r="O7" s="48">
        <v>37046</v>
      </c>
    </row>
    <row r="8" spans="1:15" x14ac:dyDescent="0.2">
      <c r="B8" s="51">
        <v>2.8329999999999997</v>
      </c>
      <c r="C8" s="51" t="s">
        <v>10</v>
      </c>
      <c r="D8" s="57">
        <v>75.5</v>
      </c>
      <c r="F8" s="50">
        <v>-65685.000000000815</v>
      </c>
      <c r="G8" s="50">
        <v>0</v>
      </c>
      <c r="H8" s="50">
        <v>-65685.000000000815</v>
      </c>
      <c r="K8">
        <v>2.71</v>
      </c>
      <c r="L8" s="62">
        <v>0.12299999999999978</v>
      </c>
      <c r="M8" s="57">
        <v>0</v>
      </c>
      <c r="N8" s="43">
        <v>75.5</v>
      </c>
      <c r="O8" s="48">
        <v>37047</v>
      </c>
    </row>
    <row r="9" spans="1:15" x14ac:dyDescent="0.2">
      <c r="B9" s="51">
        <v>2.9829999999999997</v>
      </c>
      <c r="C9" s="51" t="s">
        <v>52</v>
      </c>
      <c r="D9" s="57">
        <v>0</v>
      </c>
      <c r="F9" s="50">
        <v>0</v>
      </c>
      <c r="G9" s="50">
        <v>0</v>
      </c>
      <c r="H9" s="50">
        <v>0</v>
      </c>
      <c r="K9">
        <v>2.8340000000000001</v>
      </c>
      <c r="L9" s="62">
        <v>0.14899999999999958</v>
      </c>
      <c r="M9" s="57">
        <v>1</v>
      </c>
      <c r="N9" s="43">
        <v>-1</v>
      </c>
      <c r="O9" s="48"/>
    </row>
    <row r="10" spans="1:15" x14ac:dyDescent="0.2">
      <c r="B10" s="51">
        <v>2.9829999999999997</v>
      </c>
      <c r="C10" s="51" t="s">
        <v>53</v>
      </c>
      <c r="D10" s="57">
        <v>0</v>
      </c>
      <c r="F10" s="50"/>
      <c r="G10" s="50"/>
      <c r="H10" s="50">
        <v>0</v>
      </c>
      <c r="K10">
        <v>2.9</v>
      </c>
      <c r="L10" s="62">
        <v>8.2999999999999741E-2</v>
      </c>
      <c r="M10" s="57">
        <v>2</v>
      </c>
      <c r="N10" s="43">
        <v>-2</v>
      </c>
      <c r="O10" s="48"/>
    </row>
    <row r="11" spans="1:15" x14ac:dyDescent="0.2">
      <c r="B11" s="85">
        <v>2.3689999999999998</v>
      </c>
      <c r="C11" s="86" t="s">
        <v>5</v>
      </c>
      <c r="D11" s="57">
        <v>0</v>
      </c>
      <c r="E11" s="44">
        <v>0</v>
      </c>
      <c r="F11" s="50">
        <v>10400</v>
      </c>
      <c r="G11" s="50">
        <v>0</v>
      </c>
      <c r="H11" s="50">
        <v>10400</v>
      </c>
      <c r="I11">
        <v>2.3689999999999998</v>
      </c>
      <c r="J11" s="52"/>
      <c r="K11">
        <v>2.2799999999999998</v>
      </c>
      <c r="L11" s="62">
        <v>8.8999999999999968E-2</v>
      </c>
      <c r="M11" s="57">
        <v>-69.7</v>
      </c>
      <c r="N11" s="43">
        <v>69.7</v>
      </c>
      <c r="O11" s="48">
        <v>37048</v>
      </c>
    </row>
    <row r="12" spans="1:15" x14ac:dyDescent="0.2">
      <c r="B12" s="87">
        <v>2.339</v>
      </c>
      <c r="C12" s="86" t="s">
        <v>6</v>
      </c>
      <c r="D12" s="57">
        <v>30</v>
      </c>
      <c r="E12" s="44">
        <v>2.5</v>
      </c>
      <c r="F12" s="50">
        <v>-16474.999999999862</v>
      </c>
      <c r="G12" s="50">
        <v>60500</v>
      </c>
      <c r="H12" s="50">
        <v>-16474.999999999862</v>
      </c>
      <c r="I12">
        <v>2.42</v>
      </c>
      <c r="J12" s="52">
        <v>2.42</v>
      </c>
      <c r="K12">
        <v>2.23</v>
      </c>
      <c r="L12" s="62">
        <v>0.10899999999999999</v>
      </c>
      <c r="M12" s="57">
        <v>0</v>
      </c>
      <c r="N12" s="43">
        <v>30</v>
      </c>
      <c r="O12" s="48">
        <v>37049</v>
      </c>
    </row>
    <row r="13" spans="1:15" x14ac:dyDescent="0.2">
      <c r="B13" s="87">
        <v>2.2890000000000001</v>
      </c>
      <c r="C13" s="86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2.2890000000000001</v>
      </c>
      <c r="J13" s="52"/>
      <c r="K13">
        <v>2.1800000000000002</v>
      </c>
      <c r="L13" s="62">
        <v>0.10899999999999999</v>
      </c>
      <c r="M13" s="57">
        <v>15.5</v>
      </c>
      <c r="N13" s="43">
        <v>-15.5</v>
      </c>
      <c r="O13" s="48">
        <v>37050</v>
      </c>
    </row>
    <row r="14" spans="1:15" x14ac:dyDescent="0.2">
      <c r="B14" s="87">
        <v>2.1589999999999998</v>
      </c>
      <c r="C14" s="86" t="s">
        <v>8</v>
      </c>
      <c r="D14" s="57">
        <v>174</v>
      </c>
      <c r="E14" s="44">
        <v>14.5</v>
      </c>
      <c r="F14" s="50">
        <v>8510.0000000001055</v>
      </c>
      <c r="G14" s="50">
        <v>321900</v>
      </c>
      <c r="H14" s="50">
        <v>8510.0000000001055</v>
      </c>
      <c r="I14">
        <v>2.2200000000000002</v>
      </c>
      <c r="J14" s="52">
        <v>2.2200000000000002</v>
      </c>
      <c r="K14">
        <v>2.02</v>
      </c>
      <c r="L14" s="62">
        <v>0.13899999999999979</v>
      </c>
      <c r="M14" s="57">
        <v>0</v>
      </c>
      <c r="N14" s="43">
        <v>174</v>
      </c>
      <c r="O14" s="48">
        <v>37051</v>
      </c>
    </row>
    <row r="15" spans="1:15" x14ac:dyDescent="0.2">
      <c r="B15" s="85">
        <v>2.1489999999999996</v>
      </c>
      <c r="C15" s="86" t="s">
        <v>9</v>
      </c>
      <c r="D15" s="57">
        <v>-69</v>
      </c>
      <c r="E15" s="44">
        <v>-5.75</v>
      </c>
      <c r="F15" s="50">
        <v>-9859.9999999996598</v>
      </c>
      <c r="G15" s="50">
        <v>-123567.5</v>
      </c>
      <c r="H15" s="50">
        <v>-9859.9999999996598</v>
      </c>
      <c r="I15">
        <v>2.1489999999999996</v>
      </c>
      <c r="J15" s="52"/>
      <c r="K15">
        <v>2.0299999999999998</v>
      </c>
      <c r="L15" s="62">
        <v>0.11899999999999977</v>
      </c>
      <c r="M15" s="57">
        <v>0</v>
      </c>
      <c r="N15" s="43">
        <v>-69</v>
      </c>
      <c r="O15" s="48">
        <v>37052</v>
      </c>
    </row>
    <row r="16" spans="1:15" x14ac:dyDescent="0.2">
      <c r="A16" s="43">
        <v>135</v>
      </c>
      <c r="B16" s="87">
        <v>2.2890000000000001</v>
      </c>
      <c r="C16" s="86" t="s">
        <v>27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2.2890000000000001</v>
      </c>
      <c r="J16" s="52"/>
      <c r="K16">
        <v>2.1800000000000002</v>
      </c>
      <c r="L16" s="62">
        <v>0.10899999999999999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32</v>
      </c>
      <c r="D17" s="77">
        <v>42.2</v>
      </c>
      <c r="E17" s="44">
        <v>11.25</v>
      </c>
      <c r="F17" s="70">
        <v>-195857.5</v>
      </c>
      <c r="G17" s="70">
        <v>246374.5</v>
      </c>
      <c r="H17" s="59">
        <v>-208315.5</v>
      </c>
      <c r="M17" s="69">
        <v>-54.2</v>
      </c>
      <c r="N17" s="68">
        <v>96.4</v>
      </c>
      <c r="O17" s="48">
        <v>37054</v>
      </c>
    </row>
    <row r="18" spans="1:16" x14ac:dyDescent="0.2">
      <c r="B18" s="78">
        <v>2.4979999999999998</v>
      </c>
      <c r="C18" s="78" t="s">
        <v>44</v>
      </c>
      <c r="D18" s="79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8">
        <v>2.4500000000000002</v>
      </c>
      <c r="C19" s="78" t="s">
        <v>45</v>
      </c>
      <c r="D19" s="79" t="s">
        <v>49</v>
      </c>
      <c r="F19" s="59"/>
      <c r="G19" s="94">
        <v>50516.999999999651</v>
      </c>
      <c r="H19" s="94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8">
        <v>2.4900000000000002</v>
      </c>
      <c r="C20" s="78" t="s">
        <v>46</v>
      </c>
      <c r="D20" s="79">
        <v>0</v>
      </c>
      <c r="F20" t="s">
        <v>51</v>
      </c>
      <c r="G20" s="82"/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32</v>
      </c>
      <c r="D22" s="72">
        <v>42.2</v>
      </c>
      <c r="G22" s="82">
        <v>50516.999999999651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19</v>
      </c>
      <c r="E24">
        <v>12</v>
      </c>
      <c r="F24">
        <v>1</v>
      </c>
      <c r="G24" s="52">
        <v>12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O25" s="48">
        <v>37062</v>
      </c>
      <c r="P25">
        <v>25000</v>
      </c>
    </row>
    <row r="26" spans="1:16" x14ac:dyDescent="0.2">
      <c r="I26" t="s">
        <v>26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37165</v>
      </c>
      <c r="E28" s="58"/>
      <c r="H28">
        <v>2.552</v>
      </c>
      <c r="I28">
        <v>2.3690000000000002</v>
      </c>
      <c r="J28">
        <v>-2.3690000000000002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37196</v>
      </c>
      <c r="D29">
        <v>2.4860000000000002</v>
      </c>
      <c r="E29" s="58"/>
      <c r="H29">
        <v>2.9020000000000001</v>
      </c>
      <c r="I29">
        <v>2.7530000000000001</v>
      </c>
      <c r="J29">
        <v>-0.2669999999999999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37226</v>
      </c>
      <c r="D30">
        <v>2.8</v>
      </c>
      <c r="E30" s="58">
        <v>0.31399999999999961</v>
      </c>
      <c r="F30" s="52">
        <v>2.4860000000000002</v>
      </c>
      <c r="G30">
        <v>2.4860000000000002</v>
      </c>
      <c r="H30">
        <v>3.2519999999999998</v>
      </c>
      <c r="I30">
        <v>3.125</v>
      </c>
      <c r="J30">
        <v>-0.32500000000000001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37257</v>
      </c>
      <c r="D31">
        <v>2.99</v>
      </c>
      <c r="E31" s="58">
        <v>0.19</v>
      </c>
      <c r="H31">
        <v>3.4220000000000002</v>
      </c>
      <c r="I31">
        <v>3.3029999999999999</v>
      </c>
      <c r="J31">
        <v>-0.31299999999999972</v>
      </c>
      <c r="M31">
        <v>105000</v>
      </c>
      <c r="O31" s="48">
        <v>37068</v>
      </c>
      <c r="P31">
        <v>25000</v>
      </c>
    </row>
    <row r="32" spans="1:16" x14ac:dyDescent="0.2">
      <c r="C32" s="49">
        <v>37288</v>
      </c>
      <c r="D32">
        <v>2.9969999999999999</v>
      </c>
      <c r="E32" s="58">
        <v>6.9999999999996732E-3</v>
      </c>
      <c r="H32">
        <v>3.3940000000000001</v>
      </c>
      <c r="I32">
        <v>3.28</v>
      </c>
      <c r="J32">
        <v>-0.28299999999999992</v>
      </c>
      <c r="O32" s="48">
        <v>37069</v>
      </c>
      <c r="P32">
        <v>25000</v>
      </c>
    </row>
    <row r="33" spans="3:16" x14ac:dyDescent="0.2">
      <c r="C33" s="49">
        <v>37316</v>
      </c>
      <c r="D33">
        <v>2.9649999999999999</v>
      </c>
      <c r="E33" s="58">
        <v>-3.2000000000000028E-2</v>
      </c>
      <c r="H33">
        <v>3.3250000000000002</v>
      </c>
      <c r="I33">
        <v>3.2149999999999999</v>
      </c>
      <c r="J33">
        <v>-0.25</v>
      </c>
      <c r="O33" s="48">
        <v>37070</v>
      </c>
      <c r="P33">
        <v>25000</v>
      </c>
    </row>
    <row r="34" spans="3:16" x14ac:dyDescent="0.2">
      <c r="C34" s="49">
        <v>37347</v>
      </c>
      <c r="D34">
        <v>2.883</v>
      </c>
      <c r="E34" s="58">
        <v>-8.1999999999999851E-2</v>
      </c>
      <c r="F34" s="52">
        <v>2.8475999999999999</v>
      </c>
      <c r="G34">
        <v>0.3615999999999997</v>
      </c>
      <c r="H34">
        <v>3.2320000000000002</v>
      </c>
      <c r="I34">
        <v>3.125</v>
      </c>
      <c r="J34">
        <v>-0.24199999999999999</v>
      </c>
      <c r="L34">
        <v>122</v>
      </c>
      <c r="O34" s="48">
        <v>37071</v>
      </c>
      <c r="P34">
        <v>25000</v>
      </c>
    </row>
    <row r="35" spans="3:16" x14ac:dyDescent="0.2">
      <c r="C35" s="49">
        <v>37377</v>
      </c>
      <c r="D35">
        <v>2.9180000000000001</v>
      </c>
      <c r="E35" s="58">
        <v>3.5000000000000142E-2</v>
      </c>
      <c r="H35">
        <v>3.2519999999999998</v>
      </c>
      <c r="I35">
        <v>3.15</v>
      </c>
      <c r="J35">
        <v>-0.23199999999999976</v>
      </c>
      <c r="O35" s="48">
        <v>37072</v>
      </c>
      <c r="P35">
        <v>25000</v>
      </c>
    </row>
    <row r="36" spans="3:16" x14ac:dyDescent="0.2">
      <c r="C36" s="49">
        <v>37408</v>
      </c>
      <c r="D36">
        <v>2.968</v>
      </c>
      <c r="E36" s="58">
        <v>4.9999999999999822E-2</v>
      </c>
      <c r="H36">
        <v>3.2850000000000001</v>
      </c>
      <c r="I36">
        <v>3.1850000000000001</v>
      </c>
      <c r="J36">
        <v>-0.21700000000000008</v>
      </c>
      <c r="L36" t="s">
        <v>54</v>
      </c>
      <c r="P36">
        <v>25000</v>
      </c>
    </row>
    <row r="37" spans="3:16" x14ac:dyDescent="0.2">
      <c r="C37" s="49">
        <v>37438</v>
      </c>
      <c r="D37">
        <v>3.0129999999999999</v>
      </c>
      <c r="E37" s="58">
        <v>4.4999999999999929E-2</v>
      </c>
      <c r="H37">
        <v>3.3250000000000002</v>
      </c>
      <c r="I37">
        <v>3.2250000000000001</v>
      </c>
      <c r="J37">
        <v>-0.21200000000000019</v>
      </c>
    </row>
    <row r="38" spans="3:16" x14ac:dyDescent="0.2">
      <c r="C38" s="49">
        <v>37469</v>
      </c>
      <c r="D38">
        <v>3.0579999999999998</v>
      </c>
      <c r="E38" s="58">
        <v>4.4999999999999929E-2</v>
      </c>
      <c r="H38">
        <v>3.3620000000000001</v>
      </c>
      <c r="I38">
        <v>3.262</v>
      </c>
      <c r="J38">
        <v>-0.20400000000000018</v>
      </c>
    </row>
    <row r="39" spans="3:16" x14ac:dyDescent="0.2">
      <c r="C39" s="49">
        <v>37500</v>
      </c>
      <c r="D39">
        <v>3.0579999999999998</v>
      </c>
      <c r="E39" s="58">
        <v>0</v>
      </c>
      <c r="H39">
        <v>3.36</v>
      </c>
      <c r="I39">
        <v>3.26</v>
      </c>
      <c r="J39">
        <v>-0.20199999999999996</v>
      </c>
    </row>
    <row r="40" spans="3:16" x14ac:dyDescent="0.2">
      <c r="C40" s="49">
        <v>37530</v>
      </c>
      <c r="D40">
        <v>3.0830000000000002</v>
      </c>
      <c r="E40" s="58">
        <v>2.5000000000000355E-2</v>
      </c>
      <c r="F40" s="84">
        <v>2.9972857142857143</v>
      </c>
      <c r="G40" s="62">
        <v>0.14968571428571442</v>
      </c>
      <c r="H40">
        <v>3.3719999999999999</v>
      </c>
      <c r="I40">
        <v>3.2719999999999998</v>
      </c>
      <c r="J40">
        <v>-0.18899999999999961</v>
      </c>
    </row>
    <row r="41" spans="3:16" x14ac:dyDescent="0.2">
      <c r="C41" s="49">
        <v>37561</v>
      </c>
      <c r="D41">
        <v>3.2629999999999999</v>
      </c>
      <c r="E41" s="58">
        <v>0.18</v>
      </c>
      <c r="H41">
        <v>3.532</v>
      </c>
      <c r="I41">
        <v>3.4319999999999999</v>
      </c>
      <c r="J41">
        <v>-0.16900000000000004</v>
      </c>
    </row>
    <row r="42" spans="3:16" x14ac:dyDescent="0.2">
      <c r="C42" s="49">
        <v>37591</v>
      </c>
      <c r="D42">
        <v>3.4750000000000001</v>
      </c>
      <c r="E42" s="58">
        <v>0.21200000000000019</v>
      </c>
      <c r="F42" s="83">
        <v>3.0559166666666666</v>
      </c>
      <c r="G42" s="44">
        <v>0.20831666666666671</v>
      </c>
      <c r="H42">
        <v>3.6949999999999998</v>
      </c>
      <c r="I42">
        <v>3.5950000000000002</v>
      </c>
      <c r="J42">
        <v>-0.12</v>
      </c>
    </row>
    <row r="43" spans="3:16" x14ac:dyDescent="0.2">
      <c r="C43" s="49"/>
    </row>
    <row r="44" spans="3:16" x14ac:dyDescent="0.2">
      <c r="C44" s="49"/>
    </row>
    <row r="45" spans="3:16" x14ac:dyDescent="0.2">
      <c r="C45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2.5100000000000002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G5" sqref="G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13</v>
      </c>
      <c r="F1" s="20" t="s">
        <v>12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22.5</v>
      </c>
      <c r="G2" s="27">
        <v>2.58</v>
      </c>
      <c r="H2" s="34"/>
      <c r="J2" s="35">
        <f>IF(F2&lt;1,(C2-C31)*(B2*10000),(C31-G2)*(F2*10000))</f>
        <v>0</v>
      </c>
      <c r="L2" s="7" t="s">
        <v>16</v>
      </c>
    </row>
    <row r="3" spans="1:18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18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>
        <v>22.5</v>
      </c>
      <c r="G4" s="3">
        <v>2.58</v>
      </c>
      <c r="H4" s="10">
        <f t="shared" si="1"/>
        <v>580500</v>
      </c>
      <c r="J4" s="23">
        <f>F37</f>
        <v>0</v>
      </c>
      <c r="K4" s="11"/>
      <c r="L4" s="5" t="s">
        <v>21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45</v>
      </c>
      <c r="L9" s="6" t="s">
        <v>11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3.75</v>
      </c>
      <c r="L10" s="6" t="s">
        <v>23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45</v>
      </c>
      <c r="L11" s="6" t="s">
        <v>24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11.25</v>
      </c>
      <c r="L13" s="6" t="s">
        <v>29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22.5</v>
      </c>
      <c r="G27" s="3">
        <f>IF(F27=0, 0, H27/F27/10000)</f>
        <v>2.58</v>
      </c>
      <c r="H27" s="10">
        <f>SUM(H2:H26)</f>
        <v>580500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22.5</v>
      </c>
      <c r="G29" s="6">
        <f>IF(F29&lt;0,C27,G27)</f>
        <v>2.58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2.58</v>
      </c>
      <c r="D30" s="16" t="s">
        <v>15</v>
      </c>
      <c r="F30" s="22">
        <f>-B27+F27</f>
        <v>22.5</v>
      </c>
      <c r="G30" s="6">
        <f>IF(F30&lt;0, (C27+(J26/(ABS(F30)*10000))), IF(F30 = 0, 0, (G27-(J26/(ABS(F30)*10000)))))</f>
        <v>2.58</v>
      </c>
      <c r="H30" s="21">
        <f>IF(F30&lt;0, (G30-C31)*ABS(F30)*10000, IF(F30 = 0, 0, -1*(G30-C31)*ABS(F30)*10000))</f>
        <v>0</v>
      </c>
      <c r="J30" s="28"/>
      <c r="K30" s="29"/>
      <c r="L30" s="81">
        <f>POSTION!D22</f>
        <v>-41.620000000000061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2.58</v>
      </c>
      <c r="D31" s="16" t="s">
        <v>14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F11" sqref="F11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>
        <v>30</v>
      </c>
      <c r="G2" s="27">
        <v>2.36</v>
      </c>
      <c r="H2" s="34"/>
      <c r="J2" s="35">
        <f>IF(F2&lt;1,(C2-C37)*(B2*10000),(C37-G2)*(F2*10000))</f>
        <v>60000.000000000051</v>
      </c>
      <c r="L2" s="7" t="s">
        <v>16</v>
      </c>
    </row>
    <row r="3" spans="1:13" x14ac:dyDescent="0.2">
      <c r="A3" s="6">
        <f>POSTION!$E$24</f>
        <v>12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1396.4166666666374</v>
      </c>
      <c r="L3" s="12" t="s">
        <v>18</v>
      </c>
    </row>
    <row r="4" spans="1:13" x14ac:dyDescent="0.2">
      <c r="B4" s="92">
        <v>24</v>
      </c>
      <c r="C4" s="3">
        <v>2.34</v>
      </c>
      <c r="D4" s="4">
        <f t="shared" si="0"/>
        <v>561600</v>
      </c>
      <c r="E4" s="5"/>
      <c r="F4" s="9"/>
      <c r="G4" s="3"/>
      <c r="H4" s="10">
        <f t="shared" si="1"/>
        <v>0</v>
      </c>
      <c r="J4" s="23">
        <f>F43</f>
        <v>-318536.25999999914</v>
      </c>
      <c r="K4" s="11"/>
      <c r="L4" s="5" t="s">
        <v>21</v>
      </c>
    </row>
    <row r="5" spans="1:13" x14ac:dyDescent="0.2">
      <c r="B5" s="92">
        <v>24</v>
      </c>
      <c r="C5" s="3">
        <v>2.35</v>
      </c>
      <c r="D5" s="4">
        <f t="shared" si="0"/>
        <v>564000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-258536.25999999908</v>
      </c>
      <c r="K6" s="14"/>
      <c r="L6" s="5" t="s">
        <v>22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F36-B2+F2</f>
        <v>-167.57000000000005</v>
      </c>
      <c r="L9" s="6" t="s">
        <v>11</v>
      </c>
    </row>
    <row r="10" spans="1:13" x14ac:dyDescent="0.2">
      <c r="B10" s="9">
        <v>440.1</v>
      </c>
      <c r="C10" s="3">
        <v>2.3670399999999998</v>
      </c>
      <c r="D10" s="4">
        <f t="shared" si="0"/>
        <v>10417343.040000001</v>
      </c>
      <c r="E10" s="5"/>
      <c r="F10" s="9">
        <v>276</v>
      </c>
      <c r="G10" s="3">
        <v>2.3639100000000002</v>
      </c>
      <c r="H10" s="10">
        <f t="shared" si="1"/>
        <v>6524391.6000000006</v>
      </c>
      <c r="J10" s="40">
        <f>IF($F$2&lt;1,($J$9/$A$3),$J$9/$A$3)</f>
        <v>-13.964166666666671</v>
      </c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>
        <v>45.53</v>
      </c>
      <c r="G11" s="3">
        <v>2.35</v>
      </c>
      <c r="H11" s="10">
        <f t="shared" si="1"/>
        <v>1069955</v>
      </c>
      <c r="J11" s="41">
        <f>J9</f>
        <v>-167.57000000000005</v>
      </c>
      <c r="L11" s="6" t="s">
        <v>24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-41.892500000000013</v>
      </c>
      <c r="L13" s="6" t="s">
        <v>29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>
        <v>58</v>
      </c>
      <c r="C17" s="3">
        <v>2.5626899999999999</v>
      </c>
      <c r="D17" s="4">
        <f t="shared" si="0"/>
        <v>1486360.2</v>
      </c>
      <c r="E17" s="5"/>
      <c r="F17" s="9">
        <v>27</v>
      </c>
      <c r="G17" s="3">
        <v>2.57667</v>
      </c>
      <c r="H17" s="10">
        <f t="shared" si="1"/>
        <v>695700.89999999991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90"/>
      <c r="C21" s="91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3">
        <f>POSTION!D22</f>
        <v>-41.620000000000061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-197.57000000000005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-149.57000000000005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/>
      <c r="M32" s="5"/>
      <c r="N32" s="5"/>
    </row>
    <row r="33" spans="1:14" x14ac:dyDescent="0.2">
      <c r="B33" s="9">
        <f>SUM(B3:B32)</f>
        <v>546.1</v>
      </c>
      <c r="C33" s="18">
        <f>IF(B33=0, 0, D33/B33/10000)</f>
        <v>2.3858822999450653</v>
      </c>
      <c r="D33" s="4">
        <f>SUM(D2:D32)</f>
        <v>13029303.24</v>
      </c>
      <c r="F33" s="9">
        <f>SUM(F3:F32)</f>
        <v>348.53</v>
      </c>
      <c r="G33" s="3">
        <f>IF(F33=0, 0, H33/F33/10000)</f>
        <v>2.3785750150632659</v>
      </c>
      <c r="H33" s="10">
        <f>SUM(H2:H32)</f>
        <v>8290047.5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-197.57000000000005</v>
      </c>
      <c r="G35" s="6">
        <f>IF(F35&lt;0,C33,G33)</f>
        <v>2.3858822999450653</v>
      </c>
      <c r="H35" s="21">
        <f>IF(F35&lt;0, (G35-C37)*ABS(F35)*10000, -1*(G35-C37)*ABS(F35)*10000)</f>
        <v>-344004.33999853471</v>
      </c>
      <c r="M35" s="5"/>
      <c r="N35" s="5"/>
    </row>
    <row r="36" spans="1:14" x14ac:dyDescent="0.2">
      <c r="C36" s="6">
        <f>POSTION!I12</f>
        <v>2.35</v>
      </c>
      <c r="D36" s="16" t="s">
        <v>15</v>
      </c>
      <c r="F36" s="22">
        <f>-B33+F33</f>
        <v>-197.57000000000005</v>
      </c>
      <c r="G36" s="6">
        <f>IF(F36&lt;0, (C33+(J29/(ABS(F36)*10000))), IF(F36 = 0, 0, (G33-(J29/(ABS(F36)*10000)))))</f>
        <v>2.3858822999450653</v>
      </c>
      <c r="H36" s="21">
        <f>IF(F36&lt;0, (G36-C37)*ABS(F36)*10000, IF(F36 = 0, 0, -1*(G36-C37)*ABS(F36)*10000))</f>
        <v>-344004.33999853471</v>
      </c>
    </row>
    <row r="37" spans="1:14" x14ac:dyDescent="0.2">
      <c r="C37" s="6">
        <f>POSTION!B12</f>
        <v>2.56</v>
      </c>
      <c r="D37" s="16" t="s">
        <v>14</v>
      </c>
    </row>
    <row r="38" spans="1:14" x14ac:dyDescent="0.2">
      <c r="A38" s="7"/>
      <c r="F38" s="19">
        <f>MIN($B$33,$F$33)*($C$33-$G$33)*10000</f>
        <v>25468.07999853557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-344004.33999853471</v>
      </c>
      <c r="G40" s="1"/>
      <c r="H40" s="1" t="s">
        <v>1</v>
      </c>
    </row>
    <row r="41" spans="1:14" x14ac:dyDescent="0.2">
      <c r="B41" s="26"/>
      <c r="F41" s="23">
        <f>$H$36</f>
        <v>-344004.33999853471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-318536.25999999914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2.5100000000000002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>
        <v>174</v>
      </c>
      <c r="G2" s="27">
        <v>2.1800000000000002</v>
      </c>
      <c r="H2" s="34"/>
      <c r="J2" s="35">
        <f>IF(F2&lt;1,(C2-C31)*(B2*10000),(C31-G2)*(F2*10000))</f>
        <v>356700.00000000012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-11043.750000000022</v>
      </c>
      <c r="L3" s="12" t="s">
        <v>18</v>
      </c>
    </row>
    <row r="4" spans="1:12" x14ac:dyDescent="0.2">
      <c r="B4" s="8">
        <v>12</v>
      </c>
      <c r="C4" s="3">
        <v>2.21</v>
      </c>
      <c r="D4" s="4">
        <f t="shared" si="0"/>
        <v>265200</v>
      </c>
      <c r="E4" s="5"/>
      <c r="F4" s="9">
        <v>24</v>
      </c>
      <c r="G4" s="3">
        <v>2.13</v>
      </c>
      <c r="H4" s="10">
        <f t="shared" si="1"/>
        <v>511200</v>
      </c>
      <c r="J4" s="23">
        <f>F37</f>
        <v>-92400.000000000335</v>
      </c>
      <c r="K4" s="11"/>
      <c r="L4" s="5" t="s">
        <v>21</v>
      </c>
    </row>
    <row r="5" spans="1:12" x14ac:dyDescent="0.2">
      <c r="B5" s="8">
        <v>24</v>
      </c>
      <c r="C5" s="3">
        <v>2.2599999999999998</v>
      </c>
      <c r="D5" s="4">
        <f t="shared" si="0"/>
        <v>542400</v>
      </c>
      <c r="E5" s="5"/>
      <c r="F5" s="9">
        <v>6</v>
      </c>
      <c r="G5" s="3">
        <v>2.16</v>
      </c>
      <c r="H5" s="10">
        <f t="shared" si="1"/>
        <v>129600.00000000001</v>
      </c>
      <c r="J5" s="11"/>
      <c r="K5" s="14"/>
      <c r="L5" s="5"/>
    </row>
    <row r="6" spans="1:12" ht="12" thickBot="1" x14ac:dyDescent="0.25">
      <c r="B6" s="8">
        <v>6</v>
      </c>
      <c r="C6" s="3">
        <v>2.27</v>
      </c>
      <c r="D6" s="4">
        <f t="shared" si="0"/>
        <v>136200</v>
      </c>
      <c r="E6" s="5"/>
      <c r="F6" s="9">
        <v>12</v>
      </c>
      <c r="G6" s="3">
        <v>2.2149999999999999</v>
      </c>
      <c r="H6" s="10">
        <f t="shared" si="1"/>
        <v>265800</v>
      </c>
      <c r="J6" s="42">
        <f>J2+J4</f>
        <v>264299.99999999977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>
        <v>4.5</v>
      </c>
      <c r="G8" s="3">
        <v>2.38</v>
      </c>
      <c r="H8" s="10">
        <f>F8*G8*10000</f>
        <v>107099.99999999999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>
        <v>9</v>
      </c>
      <c r="G9" s="3">
        <v>2.38</v>
      </c>
      <c r="H9" s="10">
        <f t="shared" si="1"/>
        <v>214199.99999999997</v>
      </c>
      <c r="J9" s="39">
        <f>F30-B2+F2</f>
        <v>139.5</v>
      </c>
      <c r="L9" s="6" t="s">
        <v>11</v>
      </c>
    </row>
    <row r="10" spans="1:12" x14ac:dyDescent="0.2">
      <c r="B10" s="9">
        <v>4.5</v>
      </c>
      <c r="C10" s="3">
        <v>2.38</v>
      </c>
      <c r="D10" s="4">
        <f t="shared" si="0"/>
        <v>107099.99999999999</v>
      </c>
      <c r="E10" s="5"/>
      <c r="F10" s="9">
        <v>9</v>
      </c>
      <c r="G10" s="3">
        <v>2.3849999999999998</v>
      </c>
      <c r="H10" s="10">
        <f t="shared" si="1"/>
        <v>214649.99999999997</v>
      </c>
      <c r="J10" s="40">
        <f>IF($F$2&lt;1,($J$9/$A$3),$J$9/$A$3)</f>
        <v>11.625</v>
      </c>
      <c r="L10" s="6" t="s">
        <v>23</v>
      </c>
    </row>
    <row r="11" spans="1:12" x14ac:dyDescent="0.2">
      <c r="B11" s="9">
        <v>4.5</v>
      </c>
      <c r="C11" s="3">
        <v>2.37</v>
      </c>
      <c r="D11" s="4">
        <f t="shared" si="0"/>
        <v>106650.00000000001</v>
      </c>
      <c r="E11" s="5"/>
      <c r="F11" s="9">
        <v>9</v>
      </c>
      <c r="G11" s="3">
        <v>2.38</v>
      </c>
      <c r="H11" s="10">
        <f t="shared" si="1"/>
        <v>214199.99999999997</v>
      </c>
      <c r="J11" s="41">
        <f>J9</f>
        <v>139.5</v>
      </c>
      <c r="L11" s="6" t="s">
        <v>24</v>
      </c>
    </row>
    <row r="12" spans="1:12" x14ac:dyDescent="0.2">
      <c r="B12" s="9">
        <v>43.5</v>
      </c>
      <c r="C12" s="3">
        <v>2.085</v>
      </c>
      <c r="D12" s="4">
        <f t="shared" si="0"/>
        <v>906975</v>
      </c>
      <c r="E12" s="5"/>
      <c r="F12" s="9">
        <v>4.5</v>
      </c>
      <c r="G12" s="3">
        <v>2.36</v>
      </c>
      <c r="H12" s="10">
        <f t="shared" si="1"/>
        <v>106199.99999999999</v>
      </c>
      <c r="J12" s="37"/>
    </row>
    <row r="13" spans="1:12" x14ac:dyDescent="0.2">
      <c r="B13" s="9">
        <v>9</v>
      </c>
      <c r="C13" s="3">
        <v>2.3849999999999998</v>
      </c>
      <c r="D13" s="4">
        <f t="shared" si="0"/>
        <v>214649.99999999997</v>
      </c>
      <c r="E13" s="5"/>
      <c r="F13" s="9"/>
      <c r="G13" s="3"/>
      <c r="H13" s="10">
        <f t="shared" si="1"/>
        <v>0</v>
      </c>
      <c r="J13" s="37">
        <f>J10*3</f>
        <v>34.875</v>
      </c>
      <c r="L13" s="6" t="s">
        <v>29</v>
      </c>
    </row>
    <row r="14" spans="1:12" x14ac:dyDescent="0.2">
      <c r="B14" s="9">
        <v>9</v>
      </c>
      <c r="C14" s="3">
        <v>2.38</v>
      </c>
      <c r="D14" s="4">
        <f t="shared" si="0"/>
        <v>214199.99999999997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112.5</v>
      </c>
      <c r="C27" s="18">
        <f>IF(B27=0, 0, D27/B27/10000)</f>
        <v>2.216333333333333</v>
      </c>
      <c r="D27" s="4">
        <f>SUM(D2:D26)</f>
        <v>2493375</v>
      </c>
      <c r="F27" s="9">
        <f>SUM(F3:F26)</f>
        <v>78</v>
      </c>
      <c r="G27" s="3">
        <f>IF(F27=0, 0, H27/F27/10000)</f>
        <v>2.2601923076923076</v>
      </c>
      <c r="H27" s="10">
        <f>SUM(H2:H26)</f>
        <v>1762950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1">
        <f>POSTION!D22</f>
        <v>-41.620000000000061</v>
      </c>
      <c r="M28" s="5"/>
      <c r="N28" s="5"/>
    </row>
    <row r="29" spans="2:14" x14ac:dyDescent="0.2">
      <c r="F29" s="20">
        <f>-B27+F27</f>
        <v>-34.5</v>
      </c>
      <c r="G29" s="6">
        <f>IF(F29&lt;0,C27,G27)</f>
        <v>2.216333333333333</v>
      </c>
      <c r="H29" s="21">
        <f>IF(F29&lt;0, (G29-C31)*ABS(F29)*10000, -1*(G29-C31)*ABS(F29)*10000)</f>
        <v>-58190.000000000175</v>
      </c>
      <c r="J29" s="28"/>
      <c r="K29" s="29"/>
      <c r="L29" s="29"/>
      <c r="M29" s="5"/>
      <c r="N29" s="5"/>
    </row>
    <row r="30" spans="2:14" x14ac:dyDescent="0.2">
      <c r="C30" s="6">
        <f>POSTION!I14</f>
        <v>2.085</v>
      </c>
      <c r="D30" s="16" t="s">
        <v>15</v>
      </c>
      <c r="F30" s="22">
        <f>-B27+F27</f>
        <v>-34.5</v>
      </c>
      <c r="G30" s="6">
        <f>IF(F30&lt;0, (C27+(J26/(ABS(F30)*10000))), IF(F30 = 0, 0, (G27-(J26/(ABS(F30)*10000)))))</f>
        <v>2.216333333333333</v>
      </c>
      <c r="H30" s="21">
        <f>IF(F30&lt;0, (G30-C31)*ABS(F30)*10000, IF(F30 = 0, 0, -1*(G30-C31)*ABS(F30)*10000))</f>
        <v>-58190.000000000175</v>
      </c>
      <c r="J30" s="28"/>
      <c r="K30" s="29"/>
      <c r="L30" s="29"/>
      <c r="M30" s="5"/>
      <c r="N30" s="5"/>
    </row>
    <row r="31" spans="2:14" x14ac:dyDescent="0.2">
      <c r="C31" s="6">
        <f>POSTION!B14</f>
        <v>2.3850000000000002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-34210.00000000016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-58190.000000000175</v>
      </c>
      <c r="G34" s="1"/>
      <c r="H34" s="1" t="s">
        <v>1</v>
      </c>
    </row>
    <row r="35" spans="1:8" x14ac:dyDescent="0.2">
      <c r="A35" s="7"/>
      <c r="B35" s="26"/>
      <c r="F35" s="23">
        <f>$H$30</f>
        <v>-58190.000000000175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-92400.000000000335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7" sqref="G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>
        <v>66</v>
      </c>
      <c r="C2" s="27">
        <v>2.17</v>
      </c>
      <c r="D2" s="32"/>
      <c r="E2" s="5"/>
      <c r="F2" s="33"/>
      <c r="G2" s="27"/>
      <c r="H2" s="34"/>
      <c r="J2" s="35">
        <f>IF(F2&lt;1,(C2-C31)*(B2*10000),(C31-G2)*(F2*10000))</f>
        <v>-125399.99999999997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7012.4999999999973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59399.999999999978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>
        <v>16.5</v>
      </c>
      <c r="G6" s="3">
        <v>2</v>
      </c>
      <c r="H6" s="10">
        <f t="shared" si="1"/>
        <v>330000</v>
      </c>
      <c r="J6" s="42">
        <f>J2+J4</f>
        <v>-66000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-49.5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-4.125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-49.5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-12.375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16.5</v>
      </c>
      <c r="G27" s="3">
        <f>IF(F27=0, 0, H27/F27/10000)</f>
        <v>2</v>
      </c>
      <c r="H27" s="10">
        <f>SUM(H2:H26)</f>
        <v>330000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16.5</v>
      </c>
      <c r="G29" s="6">
        <f>IF(F29&lt;0,C27,G27)</f>
        <v>2</v>
      </c>
      <c r="H29" s="21">
        <f>IF(F29&lt;0, (G29-C31)*ABS(F29)*10000, -1*(G29-C31)*ABS(F29)*10000)</f>
        <v>59399.999999999978</v>
      </c>
      <c r="J29" s="28"/>
      <c r="K29" s="29"/>
      <c r="L29" s="29"/>
      <c r="M29" s="5"/>
      <c r="N29" s="5"/>
    </row>
    <row r="30" spans="2:14" x14ac:dyDescent="0.2">
      <c r="C30" s="6">
        <f>POSTION!I15</f>
        <v>2</v>
      </c>
      <c r="D30" s="16" t="s">
        <v>15</v>
      </c>
      <c r="F30" s="22">
        <f>-B27+F27</f>
        <v>16.5</v>
      </c>
      <c r="G30" s="6">
        <f>IF(F30&lt;0, (C27+(J26/(ABS(F30)*10000))), IF(F30 = 0, 0, (G27-(J26/(ABS(F30)*10000)))))</f>
        <v>2</v>
      </c>
      <c r="H30" s="21">
        <f>IF(F30&lt;0, (G30-C31)*ABS(F30)*10000, IF(F30 = 0, 0, -1*(G30-C31)*ABS(F30)*10000))</f>
        <v>59399.999999999978</v>
      </c>
      <c r="J30" s="28"/>
      <c r="K30" s="29"/>
      <c r="L30" s="29"/>
      <c r="M30" s="5"/>
      <c r="N30" s="5"/>
    </row>
    <row r="31" spans="2:14" x14ac:dyDescent="0.2">
      <c r="C31" s="6">
        <f>POSTION!B15</f>
        <v>2.36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59399.999999999978</v>
      </c>
      <c r="G34" s="1"/>
      <c r="H34" s="1" t="s">
        <v>1</v>
      </c>
    </row>
    <row r="35" spans="1:8" x14ac:dyDescent="0.2">
      <c r="A35" s="7"/>
      <c r="B35" s="26"/>
      <c r="F35" s="23">
        <f>$H$30</f>
        <v>59399.999999999978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59399.999999999978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9" sqref="G9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>
        <v>159</v>
      </c>
      <c r="C2" s="27">
        <v>2.4860000000000002</v>
      </c>
      <c r="D2" s="32"/>
      <c r="E2" s="5"/>
      <c r="F2" s="33"/>
      <c r="G2" s="27"/>
      <c r="H2" s="34"/>
      <c r="J2" s="35">
        <f>IF(F2&lt;1,(C2-C31)*(B2*10000),(C31-G2)*(F2*10000))</f>
        <v>-310049.99999999977</v>
      </c>
      <c r="L2" s="7" t="s">
        <v>16</v>
      </c>
    </row>
    <row r="3" spans="1:14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>
        <v>30</v>
      </c>
      <c r="G3" s="3">
        <v>2.6549999999999998</v>
      </c>
      <c r="H3" s="10">
        <f t="shared" ref="H3:H25" si="1">F3*G3*10000</f>
        <v>796499.99999999988</v>
      </c>
      <c r="J3" s="36"/>
      <c r="L3" s="12" t="s">
        <v>18</v>
      </c>
    </row>
    <row r="4" spans="1:14" x14ac:dyDescent="0.2">
      <c r="B4" s="8"/>
      <c r="C4" s="3"/>
      <c r="D4" s="4">
        <f t="shared" si="0"/>
        <v>0</v>
      </c>
      <c r="E4" s="5"/>
      <c r="F4" s="9">
        <v>15</v>
      </c>
      <c r="G4" s="3">
        <v>2.6549999999999998</v>
      </c>
      <c r="H4" s="10">
        <f t="shared" si="1"/>
        <v>398249.99999999994</v>
      </c>
      <c r="J4" s="23">
        <f>F37</f>
        <v>20475.000000000444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>
        <v>22.5</v>
      </c>
      <c r="G5" s="3">
        <v>2.645</v>
      </c>
      <c r="H5" s="10">
        <f t="shared" si="1"/>
        <v>595125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>
        <v>15</v>
      </c>
      <c r="G6" s="3">
        <v>2.6749999999999998</v>
      </c>
      <c r="H6" s="10">
        <f t="shared" si="1"/>
        <v>401250</v>
      </c>
      <c r="J6" s="42">
        <f>J2+J3+J4</f>
        <v>-289574.9999999993</v>
      </c>
      <c r="K6" s="14"/>
      <c r="L6" s="5" t="s">
        <v>22</v>
      </c>
    </row>
    <row r="7" spans="1:14" ht="12" thickTop="1" x14ac:dyDescent="0.2">
      <c r="B7" s="8"/>
      <c r="C7" s="3"/>
      <c r="D7" s="4">
        <f t="shared" si="0"/>
        <v>0</v>
      </c>
      <c r="E7" s="5"/>
      <c r="F7" s="9">
        <v>22.5</v>
      </c>
      <c r="G7" s="3">
        <v>2.69</v>
      </c>
      <c r="H7" s="10">
        <f t="shared" si="1"/>
        <v>605250</v>
      </c>
      <c r="J7" s="11"/>
    </row>
    <row r="8" spans="1:14" x14ac:dyDescent="0.2">
      <c r="B8" s="9"/>
      <c r="C8" s="3"/>
      <c r="D8" s="4">
        <f t="shared" si="0"/>
        <v>0</v>
      </c>
      <c r="E8" s="5"/>
      <c r="F8" s="9">
        <v>30</v>
      </c>
      <c r="G8" s="3">
        <v>2.6749999999999998</v>
      </c>
      <c r="H8" s="10">
        <f>F8*G8*10000</f>
        <v>802500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-24</v>
      </c>
      <c r="L9" s="6" t="s">
        <v>11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-24</v>
      </c>
      <c r="L11" s="6" t="s">
        <v>24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135</v>
      </c>
      <c r="G27" s="3">
        <f>IF(F27=0, 0, H27/F27/10000)</f>
        <v>2.6658333333333331</v>
      </c>
      <c r="H27" s="10">
        <f>SUM(H2:H26)</f>
        <v>3598875</v>
      </c>
      <c r="J27" s="28"/>
      <c r="K27" s="29"/>
      <c r="L27" s="29"/>
      <c r="M27" s="5"/>
      <c r="N27" s="5"/>
    </row>
    <row r="28" spans="2:14" x14ac:dyDescent="0.2">
      <c r="C28" s="73">
        <f>C27-0.0175</f>
        <v>-1.7500000000000002E-2</v>
      </c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135</v>
      </c>
      <c r="G29" s="6">
        <f>IF(F29&lt;0,C27,G27)</f>
        <v>2.6658333333333331</v>
      </c>
      <c r="H29" s="21">
        <f>IF(F29&lt;0, (G29-C31)*ABS(F29)*10000, -1*(G29-C31)*ABS(F29)*10000)</f>
        <v>20475.000000000444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135</v>
      </c>
      <c r="G30" s="6">
        <f>IF(F30&lt;0, (C27+(J26/(ABS(F30)*10000))), IF(F30 = 0, 0, (G27-(J26/(ABS(F30)*10000)))))</f>
        <v>2.6658333333333331</v>
      </c>
      <c r="H30" s="21">
        <f>IF(F30&lt;0, (G30-C31)*ABS(F30)*10000, IF(F30 = 0, 0, -1*(G30-C31)*ABS(F30)*10000))</f>
        <v>20475.000000000444</v>
      </c>
      <c r="J30" s="28"/>
      <c r="K30" s="29"/>
      <c r="L30" s="29"/>
      <c r="M30" s="5"/>
      <c r="N30" s="5"/>
    </row>
    <row r="31" spans="2:14" x14ac:dyDescent="0.2">
      <c r="C31" s="73">
        <f>POSTION!B4</f>
        <v>2.681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20475.000000000444</v>
      </c>
      <c r="G34" s="1"/>
      <c r="H34" s="1" t="s">
        <v>1</v>
      </c>
    </row>
    <row r="35" spans="1:13" x14ac:dyDescent="0.2">
      <c r="A35" s="7"/>
      <c r="B35" s="26"/>
      <c r="F35" s="23">
        <f>$H$30</f>
        <v>20475.000000000444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20475.000000000444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7" sqref="G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>
        <v>9.3000000000000007</v>
      </c>
      <c r="C2" s="27">
        <v>2.8</v>
      </c>
      <c r="D2" s="32"/>
      <c r="E2" s="5"/>
      <c r="F2" s="33"/>
      <c r="G2" s="27"/>
      <c r="H2" s="34"/>
      <c r="J2" s="35">
        <f>IF(F2&lt;1,(C2-C31)*(B2*10000),(C31-G2)*(F2*10000))</f>
        <v>-17670.000000000036</v>
      </c>
      <c r="L2" s="7" t="s">
        <v>16</v>
      </c>
    </row>
    <row r="3" spans="1:14" x14ac:dyDescent="0.2">
      <c r="A3" s="6">
        <f>POSTION!$E$24</f>
        <v>12</v>
      </c>
      <c r="B3" s="8">
        <v>15.5</v>
      </c>
      <c r="C3" s="3">
        <v>2.87</v>
      </c>
      <c r="D3" s="4">
        <f t="shared" ref="D3:D25" si="0">B3*C3*10000</f>
        <v>444850</v>
      </c>
      <c r="E3" s="5"/>
      <c r="F3" s="9">
        <v>31</v>
      </c>
      <c r="G3" s="3">
        <v>2.8149999999999999</v>
      </c>
      <c r="H3" s="10">
        <f t="shared" ref="H3:H25" si="1">F3*G3*10000</f>
        <v>872650</v>
      </c>
      <c r="J3" s="36"/>
      <c r="L3" s="12" t="s">
        <v>18</v>
      </c>
    </row>
    <row r="4" spans="1:14" x14ac:dyDescent="0.2">
      <c r="B4" s="8">
        <v>38.75</v>
      </c>
      <c r="C4" s="3">
        <v>2.9075000000000002</v>
      </c>
      <c r="D4" s="4">
        <f t="shared" si="0"/>
        <v>1126656.25</v>
      </c>
      <c r="E4" s="5"/>
      <c r="F4" s="9">
        <v>54.25</v>
      </c>
      <c r="G4" s="3">
        <v>2.85</v>
      </c>
      <c r="H4" s="10">
        <f t="shared" si="1"/>
        <v>1546125</v>
      </c>
      <c r="J4" s="23">
        <f>F37</f>
        <v>80212.500000000073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>
        <v>23.25</v>
      </c>
      <c r="G5" s="3">
        <v>2.98</v>
      </c>
      <c r="H5" s="10">
        <f t="shared" si="1"/>
        <v>692850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>
        <v>7.75</v>
      </c>
      <c r="G6" s="3">
        <v>3.0125000000000002</v>
      </c>
      <c r="H6" s="10">
        <f t="shared" si="1"/>
        <v>233468.75</v>
      </c>
      <c r="J6" s="42">
        <f>J2+J3+J4</f>
        <v>62542.500000000036</v>
      </c>
      <c r="K6" s="14"/>
      <c r="L6" s="5" t="s">
        <v>22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52.7</v>
      </c>
      <c r="L9" s="6" t="s">
        <v>11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52.7</v>
      </c>
      <c r="L11" s="6" t="s">
        <v>24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54.25</v>
      </c>
      <c r="C27" s="18">
        <f>IF(B27=0, 0, D27/B27/10000)</f>
        <v>2.8967857142857141</v>
      </c>
      <c r="D27" s="4">
        <f>SUM(D2:D26)</f>
        <v>1571506.25</v>
      </c>
      <c r="F27" s="9">
        <f>SUM(F3:F26)</f>
        <v>116.25</v>
      </c>
      <c r="G27" s="3">
        <f>IF(F27=0, 0, H27/F27/10000)</f>
        <v>2.8774999999999999</v>
      </c>
      <c r="H27" s="10">
        <f>SUM(H2:H26)</f>
        <v>3345093.75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62</v>
      </c>
      <c r="G29" s="6">
        <f>IF(F29&lt;0,C27,G27)</f>
        <v>2.8774999999999999</v>
      </c>
      <c r="H29" s="21">
        <f>IF(F29&lt;0, (G29-C31)*ABS(F29)*10000, -1*(G29-C31)*ABS(F29)*10000)</f>
        <v>69750.00000000016</v>
      </c>
      <c r="J29" s="28"/>
      <c r="K29" s="29"/>
      <c r="L29" s="29"/>
      <c r="M29" s="5"/>
      <c r="N29" s="5"/>
    </row>
    <row r="30" spans="2:14" x14ac:dyDescent="0.2">
      <c r="F30" s="22">
        <f>-B27+F27</f>
        <v>62</v>
      </c>
      <c r="G30" s="6">
        <f>IF(F30&lt;0, (C27+(J26/(ABS(F30)*10000))), IF(F30 = 0, 0, (G27-(J26/(ABS(F30)*10000)))))</f>
        <v>2.8774999999999999</v>
      </c>
      <c r="H30" s="21">
        <f>IF(F30&lt;0, (G30-C31)*ABS(F30)*10000, IF(F30 = 0, 0, -1*(G30-C31)*ABS(F30)*10000))</f>
        <v>69750.00000000016</v>
      </c>
      <c r="J30" s="28"/>
      <c r="K30" s="29"/>
      <c r="L30" s="29"/>
      <c r="M30" s="5"/>
      <c r="N30" s="5"/>
    </row>
    <row r="31" spans="2:14" x14ac:dyDescent="0.2">
      <c r="C31" s="6">
        <f>POSTION!B5</f>
        <v>2.99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10462.499999999915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69750.00000000016</v>
      </c>
      <c r="G34" s="1"/>
      <c r="H34" s="1" t="s">
        <v>1</v>
      </c>
    </row>
    <row r="35" spans="1:8" x14ac:dyDescent="0.2">
      <c r="A35" s="7"/>
      <c r="B35" s="26"/>
      <c r="F35" s="23">
        <f>$H$30</f>
        <v>69750.00000000016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80212.500000000073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NOV_SWAP</vt:lpstr>
      <vt:lpstr>DEC_SWAP</vt:lpstr>
      <vt:lpstr>JAN_SWAP</vt:lpstr>
      <vt:lpstr>FEB_SWAP</vt:lpstr>
      <vt:lpstr>X-H_SWAP</vt:lpstr>
      <vt:lpstr>J-V_SWAP</vt:lpstr>
      <vt:lpstr>KATY_aug</vt:lpstr>
      <vt:lpstr>hsc_aug</vt:lpstr>
      <vt:lpstr>FOM</vt:lpstr>
      <vt:lpstr>POSTION (2)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cp:lastPrinted>2001-07-24T16:55:32Z</cp:lastPrinted>
  <dcterms:created xsi:type="dcterms:W3CDTF">2001-06-05T02:27:59Z</dcterms:created>
  <dcterms:modified xsi:type="dcterms:W3CDTF">2023-09-17T01:36:43Z</dcterms:modified>
</cp:coreProperties>
</file>