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8D863A-FCA7-4EAB-9FFA-B24C9C28E762}" xr6:coauthVersionLast="47" xr6:coauthVersionMax="47" xr10:uidLastSave="{00000000-0000-0000-0000-000000000000}"/>
  <bookViews>
    <workbookView xWindow="-120" yWindow="-120" windowWidth="38640" windowHeight="15720" tabRatio="768" firstSheet="8"/>
  </bookViews>
  <sheets>
    <sheet name="Sheet1" sheetId="27" r:id="rId1"/>
    <sheet name="Summary" sheetId="1" r:id="rId2"/>
    <sheet name="KATHY_PHYS" sheetId="12" r:id="rId3"/>
    <sheet name="WAHA_swap" sheetId="13" r:id="rId4"/>
    <sheet name="KATY_SWAP" sheetId="14" r:id="rId5"/>
    <sheet name="HH_SWAP" sheetId="2" r:id="rId6"/>
    <sheet name="HSC_SWAP" sheetId="17" r:id="rId7"/>
    <sheet name="PERMIAN" sheetId="26" r:id="rId8"/>
    <sheet name="NYMEX_juL1" sheetId="18" r:id="rId9"/>
    <sheet name="NYMEX_juL2" sheetId="21" r:id="rId10"/>
    <sheet name="JUL Swap" sheetId="19" r:id="rId11"/>
    <sheet name="NYMEX_AUG" sheetId="16" r:id="rId12"/>
    <sheet name="GasDaily" sheetId="15" r:id="rId13"/>
    <sheet name="NYMEX_SEP" sheetId="20" r:id="rId14"/>
    <sheet name="basis" sheetId="9" r:id="rId15"/>
    <sheet name="X_H" sheetId="22" r:id="rId16"/>
    <sheet name="N_V" sheetId="23" r:id="rId17"/>
    <sheet name="SCALE" sheetId="24" r:id="rId18"/>
    <sheet name="JUN_PHY" sheetId="25" r:id="rId19"/>
  </sheets>
  <externalReferences>
    <externalReference r:id="rId20"/>
  </externalReferences>
  <definedNames>
    <definedName name="_xlnm.Print_Area" localSheetId="12">GasDaily!$A$1:$AM$42</definedName>
    <definedName name="_xlnm.Print_Area" localSheetId="1">Summary!$1:$1048576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9"/>
  <c r="D4" i="9"/>
  <c r="H4" i="9"/>
  <c r="B5" i="9"/>
  <c r="D5" i="9"/>
  <c r="H5" i="9"/>
  <c r="B6" i="9"/>
  <c r="D6" i="9"/>
  <c r="D7" i="9"/>
  <c r="I14" i="9"/>
  <c r="B17" i="9"/>
  <c r="C17" i="9"/>
  <c r="D17" i="9"/>
  <c r="E17" i="9"/>
  <c r="B19" i="9"/>
  <c r="D19" i="9"/>
  <c r="D22" i="9"/>
  <c r="D23" i="9"/>
  <c r="E3" i="15"/>
  <c r="G3" i="15"/>
  <c r="I3" i="15"/>
  <c r="K3" i="15"/>
  <c r="M3" i="15"/>
  <c r="O3" i="15"/>
  <c r="Q3" i="15"/>
  <c r="R3" i="15"/>
  <c r="S3" i="15"/>
  <c r="U3" i="15"/>
  <c r="V3" i="15"/>
  <c r="W3" i="15"/>
  <c r="Y3" i="15"/>
  <c r="AA3" i="15"/>
  <c r="AC3" i="15"/>
  <c r="AE3" i="15"/>
  <c r="AF3" i="15"/>
  <c r="AG3" i="15"/>
  <c r="AI3" i="15"/>
  <c r="AK3" i="15"/>
  <c r="AM3" i="15"/>
  <c r="AO3" i="15"/>
  <c r="AQ3" i="15"/>
  <c r="AS3" i="15"/>
  <c r="AU3" i="15"/>
  <c r="E4" i="15"/>
  <c r="G4" i="15"/>
  <c r="I4" i="15"/>
  <c r="K4" i="15"/>
  <c r="M4" i="15"/>
  <c r="O4" i="15"/>
  <c r="Q4" i="15"/>
  <c r="S4" i="15"/>
  <c r="U4" i="15"/>
  <c r="W4" i="15"/>
  <c r="Y4" i="15"/>
  <c r="AA4" i="15"/>
  <c r="AC4" i="15"/>
  <c r="AE4" i="15"/>
  <c r="AG4" i="15"/>
  <c r="AI4" i="15"/>
  <c r="AK4" i="15"/>
  <c r="AM4" i="15"/>
  <c r="AO4" i="15"/>
  <c r="AQ4" i="15"/>
  <c r="AS4" i="15"/>
  <c r="AU4" i="15"/>
  <c r="E5" i="15"/>
  <c r="G5" i="15"/>
  <c r="I5" i="15"/>
  <c r="K5" i="15"/>
  <c r="M5" i="15"/>
  <c r="O5" i="15"/>
  <c r="Q5" i="15"/>
  <c r="S5" i="15"/>
  <c r="U5" i="15"/>
  <c r="W5" i="15"/>
  <c r="Y5" i="15"/>
  <c r="AA5" i="15"/>
  <c r="AC5" i="15"/>
  <c r="AE5" i="15"/>
  <c r="AG5" i="15"/>
  <c r="AI5" i="15"/>
  <c r="AK5" i="15"/>
  <c r="AM5" i="15"/>
  <c r="AO5" i="15"/>
  <c r="AQ5" i="15"/>
  <c r="AS5" i="15"/>
  <c r="AU5" i="15"/>
  <c r="E6" i="15"/>
  <c r="G6" i="15"/>
  <c r="I6" i="15"/>
  <c r="K6" i="15"/>
  <c r="M6" i="15"/>
  <c r="O6" i="15"/>
  <c r="Q6" i="15"/>
  <c r="S6" i="15"/>
  <c r="U6" i="15"/>
  <c r="W6" i="15"/>
  <c r="Y6" i="15"/>
  <c r="AA6" i="15"/>
  <c r="AC6" i="15"/>
  <c r="AE6" i="15"/>
  <c r="AG6" i="15"/>
  <c r="AI6" i="15"/>
  <c r="AK6" i="15"/>
  <c r="AM6" i="15"/>
  <c r="AO6" i="15"/>
  <c r="AQ6" i="15"/>
  <c r="AS6" i="15"/>
  <c r="AU6" i="15"/>
  <c r="E7" i="15"/>
  <c r="G7" i="15"/>
  <c r="I7" i="15"/>
  <c r="K7" i="15"/>
  <c r="M7" i="15"/>
  <c r="O7" i="15"/>
  <c r="Q7" i="15"/>
  <c r="S7" i="15"/>
  <c r="U7" i="15"/>
  <c r="W7" i="15"/>
  <c r="Y7" i="15"/>
  <c r="AA7" i="15"/>
  <c r="AC7" i="15"/>
  <c r="AE7" i="15"/>
  <c r="AG7" i="15"/>
  <c r="AI7" i="15"/>
  <c r="AK7" i="15"/>
  <c r="AM7" i="15"/>
  <c r="AO7" i="15"/>
  <c r="AQ7" i="15"/>
  <c r="AS7" i="15"/>
  <c r="AU7" i="15"/>
  <c r="E8" i="15"/>
  <c r="G8" i="15"/>
  <c r="I8" i="15"/>
  <c r="K8" i="15"/>
  <c r="M8" i="15"/>
  <c r="O8" i="15"/>
  <c r="Q8" i="15"/>
  <c r="S8" i="15"/>
  <c r="U8" i="15"/>
  <c r="W8" i="15"/>
  <c r="Y8" i="15"/>
  <c r="AA8" i="15"/>
  <c r="AC8" i="15"/>
  <c r="AE8" i="15"/>
  <c r="AG8" i="15"/>
  <c r="AI8" i="15"/>
  <c r="AK8" i="15"/>
  <c r="AM8" i="15"/>
  <c r="AO8" i="15"/>
  <c r="AQ8" i="15"/>
  <c r="AS8" i="15"/>
  <c r="AU8" i="15"/>
  <c r="E9" i="15"/>
  <c r="G9" i="15"/>
  <c r="I9" i="15"/>
  <c r="K9" i="15"/>
  <c r="M9" i="15"/>
  <c r="O9" i="15"/>
  <c r="Q9" i="15"/>
  <c r="S9" i="15"/>
  <c r="U9" i="15"/>
  <c r="W9" i="15"/>
  <c r="Y9" i="15"/>
  <c r="AA9" i="15"/>
  <c r="AC9" i="15"/>
  <c r="AE9" i="15"/>
  <c r="AG9" i="15"/>
  <c r="AI9" i="15"/>
  <c r="AK9" i="15"/>
  <c r="AM9" i="15"/>
  <c r="AO9" i="15"/>
  <c r="AQ9" i="15"/>
  <c r="AS9" i="15"/>
  <c r="AU9" i="15"/>
  <c r="E10" i="15"/>
  <c r="G10" i="15"/>
  <c r="I10" i="15"/>
  <c r="K10" i="15"/>
  <c r="M10" i="15"/>
  <c r="O10" i="15"/>
  <c r="Q10" i="15"/>
  <c r="S10" i="15"/>
  <c r="U10" i="15"/>
  <c r="W10" i="15"/>
  <c r="Y10" i="15"/>
  <c r="AA10" i="15"/>
  <c r="AC10" i="15"/>
  <c r="AE10" i="15"/>
  <c r="AG10" i="15"/>
  <c r="AI10" i="15"/>
  <c r="AK10" i="15"/>
  <c r="AM10" i="15"/>
  <c r="AO10" i="15"/>
  <c r="AQ10" i="15"/>
  <c r="AS10" i="15"/>
  <c r="AU10" i="15"/>
  <c r="E11" i="15"/>
  <c r="G11" i="15"/>
  <c r="I11" i="15"/>
  <c r="K11" i="15"/>
  <c r="M11" i="15"/>
  <c r="O11" i="15"/>
  <c r="Q11" i="15"/>
  <c r="S11" i="15"/>
  <c r="U11" i="15"/>
  <c r="W11" i="15"/>
  <c r="Y11" i="15"/>
  <c r="AA11" i="15"/>
  <c r="AC11" i="15"/>
  <c r="AE11" i="15"/>
  <c r="AG11" i="15"/>
  <c r="AI11" i="15"/>
  <c r="AK11" i="15"/>
  <c r="AM11" i="15"/>
  <c r="AO11" i="15"/>
  <c r="AQ11" i="15"/>
  <c r="AS11" i="15"/>
  <c r="AU11" i="15"/>
  <c r="E12" i="15"/>
  <c r="G12" i="15"/>
  <c r="I12" i="15"/>
  <c r="K12" i="15"/>
  <c r="M12" i="15"/>
  <c r="O12" i="15"/>
  <c r="Q12" i="15"/>
  <c r="S12" i="15"/>
  <c r="U12" i="15"/>
  <c r="W12" i="15"/>
  <c r="Y12" i="15"/>
  <c r="AA12" i="15"/>
  <c r="AC12" i="15"/>
  <c r="AE12" i="15"/>
  <c r="AG12" i="15"/>
  <c r="AI12" i="15"/>
  <c r="AK12" i="15"/>
  <c r="AM12" i="15"/>
  <c r="AO12" i="15"/>
  <c r="AQ12" i="15"/>
  <c r="AS12" i="15"/>
  <c r="AU12" i="15"/>
  <c r="E13" i="15"/>
  <c r="G13" i="15"/>
  <c r="I13" i="15"/>
  <c r="K13" i="15"/>
  <c r="M13" i="15"/>
  <c r="O13" i="15"/>
  <c r="Q13" i="15"/>
  <c r="S13" i="15"/>
  <c r="U13" i="15"/>
  <c r="W13" i="15"/>
  <c r="Y13" i="15"/>
  <c r="AA13" i="15"/>
  <c r="AC13" i="15"/>
  <c r="AE13" i="15"/>
  <c r="AG13" i="15"/>
  <c r="AI13" i="15"/>
  <c r="AK13" i="15"/>
  <c r="AM13" i="15"/>
  <c r="AO13" i="15"/>
  <c r="AQ13" i="15"/>
  <c r="AS13" i="15"/>
  <c r="AU13" i="15"/>
  <c r="E14" i="15"/>
  <c r="G14" i="15"/>
  <c r="I14" i="15"/>
  <c r="K14" i="15"/>
  <c r="M14" i="15"/>
  <c r="O14" i="15"/>
  <c r="Q14" i="15"/>
  <c r="S14" i="15"/>
  <c r="U14" i="15"/>
  <c r="W14" i="15"/>
  <c r="Y14" i="15"/>
  <c r="AA14" i="15"/>
  <c r="AC14" i="15"/>
  <c r="AE14" i="15"/>
  <c r="AG14" i="15"/>
  <c r="AI14" i="15"/>
  <c r="AK14" i="15"/>
  <c r="AM14" i="15"/>
  <c r="AO14" i="15"/>
  <c r="AQ14" i="15"/>
  <c r="AS14" i="15"/>
  <c r="AU14" i="15"/>
  <c r="C15" i="15"/>
  <c r="E15" i="15"/>
  <c r="G15" i="15"/>
  <c r="I15" i="15"/>
  <c r="K15" i="15"/>
  <c r="M15" i="15"/>
  <c r="O15" i="15"/>
  <c r="Q15" i="15"/>
  <c r="R15" i="15"/>
  <c r="S15" i="15"/>
  <c r="U15" i="15"/>
  <c r="V15" i="15"/>
  <c r="W15" i="15"/>
  <c r="X15" i="15"/>
  <c r="Y15" i="15"/>
  <c r="AA15" i="15"/>
  <c r="AC15" i="15"/>
  <c r="AE15" i="15"/>
  <c r="AF15" i="15"/>
  <c r="AG15" i="15"/>
  <c r="AI15" i="15"/>
  <c r="AK15" i="15"/>
  <c r="AM15" i="15"/>
  <c r="AO15" i="15"/>
  <c r="AQ15" i="15"/>
  <c r="AS15" i="15"/>
  <c r="AU15" i="15"/>
  <c r="C16" i="15"/>
  <c r="E16" i="15"/>
  <c r="G16" i="15"/>
  <c r="I16" i="15"/>
  <c r="K16" i="15"/>
  <c r="M16" i="15"/>
  <c r="O16" i="15"/>
  <c r="Q16" i="15"/>
  <c r="R16" i="15"/>
  <c r="S16" i="15"/>
  <c r="U16" i="15"/>
  <c r="V16" i="15"/>
  <c r="W16" i="15"/>
  <c r="X16" i="15"/>
  <c r="Y16" i="15"/>
  <c r="AA16" i="15"/>
  <c r="AC16" i="15"/>
  <c r="AE16" i="15"/>
  <c r="AF16" i="15"/>
  <c r="AG16" i="15"/>
  <c r="AI16" i="15"/>
  <c r="AK16" i="15"/>
  <c r="AM16" i="15"/>
  <c r="AO16" i="15"/>
  <c r="AQ16" i="15"/>
  <c r="AS16" i="15"/>
  <c r="AU16" i="15"/>
  <c r="C17" i="15"/>
  <c r="E17" i="15"/>
  <c r="G17" i="15"/>
  <c r="I17" i="15"/>
  <c r="K17" i="15"/>
  <c r="M17" i="15"/>
  <c r="O17" i="15"/>
  <c r="Q17" i="15"/>
  <c r="R17" i="15"/>
  <c r="S17" i="15"/>
  <c r="U17" i="15"/>
  <c r="V17" i="15"/>
  <c r="W17" i="15"/>
  <c r="X17" i="15"/>
  <c r="Y17" i="15"/>
  <c r="AA17" i="15"/>
  <c r="AC17" i="15"/>
  <c r="AE17" i="15"/>
  <c r="AF17" i="15"/>
  <c r="AG17" i="15"/>
  <c r="AI17" i="15"/>
  <c r="AK17" i="15"/>
  <c r="AM17" i="15"/>
  <c r="AO17" i="15"/>
  <c r="AQ17" i="15"/>
  <c r="AS17" i="15"/>
  <c r="AU17" i="15"/>
  <c r="C18" i="15"/>
  <c r="E18" i="15"/>
  <c r="G18" i="15"/>
  <c r="I18" i="15"/>
  <c r="K18" i="15"/>
  <c r="M18" i="15"/>
  <c r="O18" i="15"/>
  <c r="Q18" i="15"/>
  <c r="R18" i="15"/>
  <c r="S18" i="15"/>
  <c r="U18" i="15"/>
  <c r="V18" i="15"/>
  <c r="W18" i="15"/>
  <c r="X18" i="15"/>
  <c r="Y18" i="15"/>
  <c r="AA18" i="15"/>
  <c r="AC18" i="15"/>
  <c r="AE18" i="15"/>
  <c r="AF18" i="15"/>
  <c r="AG18" i="15"/>
  <c r="AI18" i="15"/>
  <c r="AK18" i="15"/>
  <c r="AM18" i="15"/>
  <c r="AO18" i="15"/>
  <c r="AQ18" i="15"/>
  <c r="AS18" i="15"/>
  <c r="AU18" i="15"/>
  <c r="C19" i="15"/>
  <c r="E19" i="15"/>
  <c r="G19" i="15"/>
  <c r="I19" i="15"/>
  <c r="K19" i="15"/>
  <c r="M19" i="15"/>
  <c r="O19" i="15"/>
  <c r="Q19" i="15"/>
  <c r="R19" i="15"/>
  <c r="S19" i="15"/>
  <c r="U19" i="15"/>
  <c r="V19" i="15"/>
  <c r="W19" i="15"/>
  <c r="X19" i="15"/>
  <c r="Y19" i="15"/>
  <c r="AA19" i="15"/>
  <c r="AC19" i="15"/>
  <c r="AE19" i="15"/>
  <c r="AF19" i="15"/>
  <c r="AG19" i="15"/>
  <c r="AI19" i="15"/>
  <c r="AK19" i="15"/>
  <c r="AM19" i="15"/>
  <c r="AO19" i="15"/>
  <c r="AQ19" i="15"/>
  <c r="AS19" i="15"/>
  <c r="AU19" i="15"/>
  <c r="C20" i="15"/>
  <c r="E20" i="15"/>
  <c r="G20" i="15"/>
  <c r="I20" i="15"/>
  <c r="K20" i="15"/>
  <c r="M20" i="15"/>
  <c r="O20" i="15"/>
  <c r="Q20" i="15"/>
  <c r="R20" i="15"/>
  <c r="S20" i="15"/>
  <c r="U20" i="15"/>
  <c r="V20" i="15"/>
  <c r="W20" i="15"/>
  <c r="X20" i="15"/>
  <c r="Y20" i="15"/>
  <c r="AA20" i="15"/>
  <c r="AC20" i="15"/>
  <c r="AE20" i="15"/>
  <c r="AF20" i="15"/>
  <c r="AG20" i="15"/>
  <c r="AI20" i="15"/>
  <c r="AK20" i="15"/>
  <c r="AM20" i="15"/>
  <c r="AO20" i="15"/>
  <c r="AQ20" i="15"/>
  <c r="AS20" i="15"/>
  <c r="AU20" i="15"/>
  <c r="C21" i="15"/>
  <c r="E21" i="15"/>
  <c r="G21" i="15"/>
  <c r="I21" i="15"/>
  <c r="K21" i="15"/>
  <c r="M21" i="15"/>
  <c r="O21" i="15"/>
  <c r="Q21" i="15"/>
  <c r="R21" i="15"/>
  <c r="S21" i="15"/>
  <c r="U21" i="15"/>
  <c r="V21" i="15"/>
  <c r="W21" i="15"/>
  <c r="X21" i="15"/>
  <c r="Y21" i="15"/>
  <c r="AA21" i="15"/>
  <c r="AC21" i="15"/>
  <c r="AE21" i="15"/>
  <c r="AF21" i="15"/>
  <c r="AG21" i="15"/>
  <c r="AI21" i="15"/>
  <c r="AK21" i="15"/>
  <c r="AM21" i="15"/>
  <c r="AO21" i="15"/>
  <c r="AQ21" i="15"/>
  <c r="AS21" i="15"/>
  <c r="AU21" i="15"/>
  <c r="C22" i="15"/>
  <c r="E22" i="15"/>
  <c r="G22" i="15"/>
  <c r="I22" i="15"/>
  <c r="K22" i="15"/>
  <c r="M22" i="15"/>
  <c r="O22" i="15"/>
  <c r="Q22" i="15"/>
  <c r="R22" i="15"/>
  <c r="S22" i="15"/>
  <c r="U22" i="15"/>
  <c r="V22" i="15"/>
  <c r="W22" i="15"/>
  <c r="X22" i="15"/>
  <c r="Y22" i="15"/>
  <c r="AA22" i="15"/>
  <c r="AC22" i="15"/>
  <c r="AE22" i="15"/>
  <c r="AF22" i="15"/>
  <c r="AG22" i="15"/>
  <c r="AI22" i="15"/>
  <c r="AK22" i="15"/>
  <c r="AM22" i="15"/>
  <c r="AO22" i="15"/>
  <c r="AQ22" i="15"/>
  <c r="AS22" i="15"/>
  <c r="AU22" i="15"/>
  <c r="C23" i="15"/>
  <c r="E23" i="15"/>
  <c r="G23" i="15"/>
  <c r="I23" i="15"/>
  <c r="K23" i="15"/>
  <c r="M23" i="15"/>
  <c r="O23" i="15"/>
  <c r="Q23" i="15"/>
  <c r="R23" i="15"/>
  <c r="S23" i="15"/>
  <c r="U23" i="15"/>
  <c r="V23" i="15"/>
  <c r="W23" i="15"/>
  <c r="X23" i="15"/>
  <c r="Y23" i="15"/>
  <c r="AA23" i="15"/>
  <c r="AC23" i="15"/>
  <c r="AE23" i="15"/>
  <c r="AF23" i="15"/>
  <c r="AG23" i="15"/>
  <c r="AI23" i="15"/>
  <c r="AK23" i="15"/>
  <c r="AM23" i="15"/>
  <c r="AO23" i="15"/>
  <c r="AQ23" i="15"/>
  <c r="AS23" i="15"/>
  <c r="AU23" i="15"/>
  <c r="C24" i="15"/>
  <c r="E24" i="15"/>
  <c r="G24" i="15"/>
  <c r="I24" i="15"/>
  <c r="K24" i="15"/>
  <c r="M24" i="15"/>
  <c r="O24" i="15"/>
  <c r="Q24" i="15"/>
  <c r="R24" i="15"/>
  <c r="S24" i="15"/>
  <c r="U24" i="15"/>
  <c r="V24" i="15"/>
  <c r="W24" i="15"/>
  <c r="X24" i="15"/>
  <c r="Y24" i="15"/>
  <c r="AA24" i="15"/>
  <c r="AC24" i="15"/>
  <c r="AE24" i="15"/>
  <c r="AF24" i="15"/>
  <c r="AG24" i="15"/>
  <c r="AI24" i="15"/>
  <c r="AK24" i="15"/>
  <c r="AM24" i="15"/>
  <c r="AO24" i="15"/>
  <c r="AQ24" i="15"/>
  <c r="AS24" i="15"/>
  <c r="AU24" i="15"/>
  <c r="C25" i="15"/>
  <c r="E25" i="15"/>
  <c r="G25" i="15"/>
  <c r="I25" i="15"/>
  <c r="K25" i="15"/>
  <c r="M25" i="15"/>
  <c r="O25" i="15"/>
  <c r="Q25" i="15"/>
  <c r="R25" i="15"/>
  <c r="S25" i="15"/>
  <c r="U25" i="15"/>
  <c r="V25" i="15"/>
  <c r="W25" i="15"/>
  <c r="X25" i="15"/>
  <c r="Y25" i="15"/>
  <c r="AA25" i="15"/>
  <c r="AC25" i="15"/>
  <c r="AE25" i="15"/>
  <c r="AF25" i="15"/>
  <c r="AG25" i="15"/>
  <c r="AI25" i="15"/>
  <c r="AK25" i="15"/>
  <c r="AM25" i="15"/>
  <c r="AO25" i="15"/>
  <c r="AQ25" i="15"/>
  <c r="AS25" i="15"/>
  <c r="AU25" i="15"/>
  <c r="C26" i="15"/>
  <c r="E26" i="15"/>
  <c r="G26" i="15"/>
  <c r="I26" i="15"/>
  <c r="K26" i="15"/>
  <c r="M26" i="15"/>
  <c r="O26" i="15"/>
  <c r="Q26" i="15"/>
  <c r="R26" i="15"/>
  <c r="S26" i="15"/>
  <c r="U26" i="15"/>
  <c r="V26" i="15"/>
  <c r="W26" i="15"/>
  <c r="X26" i="15"/>
  <c r="Y26" i="15"/>
  <c r="AA26" i="15"/>
  <c r="AC26" i="15"/>
  <c r="AE26" i="15"/>
  <c r="AF26" i="15"/>
  <c r="AG26" i="15"/>
  <c r="AI26" i="15"/>
  <c r="AK26" i="15"/>
  <c r="AM26" i="15"/>
  <c r="AO26" i="15"/>
  <c r="AQ26" i="15"/>
  <c r="AS26" i="15"/>
  <c r="AU26" i="15"/>
  <c r="C27" i="15"/>
  <c r="E27" i="15"/>
  <c r="G27" i="15"/>
  <c r="I27" i="15"/>
  <c r="K27" i="15"/>
  <c r="M27" i="15"/>
  <c r="O27" i="15"/>
  <c r="Q27" i="15"/>
  <c r="R27" i="15"/>
  <c r="S27" i="15"/>
  <c r="U27" i="15"/>
  <c r="V27" i="15"/>
  <c r="W27" i="15"/>
  <c r="X27" i="15"/>
  <c r="Y27" i="15"/>
  <c r="AA27" i="15"/>
  <c r="AC27" i="15"/>
  <c r="AE27" i="15"/>
  <c r="AF27" i="15"/>
  <c r="AG27" i="15"/>
  <c r="AI27" i="15"/>
  <c r="AK27" i="15"/>
  <c r="AM27" i="15"/>
  <c r="AO27" i="15"/>
  <c r="AQ27" i="15"/>
  <c r="AS27" i="15"/>
  <c r="AU27" i="15"/>
  <c r="C28" i="15"/>
  <c r="E28" i="15"/>
  <c r="G28" i="15"/>
  <c r="I28" i="15"/>
  <c r="K28" i="15"/>
  <c r="M28" i="15"/>
  <c r="O28" i="15"/>
  <c r="Q28" i="15"/>
  <c r="R28" i="15"/>
  <c r="S28" i="15"/>
  <c r="U28" i="15"/>
  <c r="V28" i="15"/>
  <c r="W28" i="15"/>
  <c r="X28" i="15"/>
  <c r="Y28" i="15"/>
  <c r="AA28" i="15"/>
  <c r="AC28" i="15"/>
  <c r="AE28" i="15"/>
  <c r="AF28" i="15"/>
  <c r="AG28" i="15"/>
  <c r="AI28" i="15"/>
  <c r="AK28" i="15"/>
  <c r="AM28" i="15"/>
  <c r="AO28" i="15"/>
  <c r="AQ28" i="15"/>
  <c r="AS28" i="15"/>
  <c r="AU28" i="15"/>
  <c r="C29" i="15"/>
  <c r="E29" i="15"/>
  <c r="G29" i="15"/>
  <c r="I29" i="15"/>
  <c r="K29" i="15"/>
  <c r="M29" i="15"/>
  <c r="O29" i="15"/>
  <c r="Q29" i="15"/>
  <c r="R29" i="15"/>
  <c r="S29" i="15"/>
  <c r="U29" i="15"/>
  <c r="V29" i="15"/>
  <c r="W29" i="15"/>
  <c r="X29" i="15"/>
  <c r="Y29" i="15"/>
  <c r="AA29" i="15"/>
  <c r="AC29" i="15"/>
  <c r="AE29" i="15"/>
  <c r="AF29" i="15"/>
  <c r="AG29" i="15"/>
  <c r="AI29" i="15"/>
  <c r="AK29" i="15"/>
  <c r="AM29" i="15"/>
  <c r="AO29" i="15"/>
  <c r="AQ29" i="15"/>
  <c r="AS29" i="15"/>
  <c r="AU29" i="15"/>
  <c r="C30" i="15"/>
  <c r="E30" i="15"/>
  <c r="G30" i="15"/>
  <c r="I30" i="15"/>
  <c r="K30" i="15"/>
  <c r="M30" i="15"/>
  <c r="O30" i="15"/>
  <c r="Q30" i="15"/>
  <c r="R30" i="15"/>
  <c r="S30" i="15"/>
  <c r="U30" i="15"/>
  <c r="V30" i="15"/>
  <c r="W30" i="15"/>
  <c r="X30" i="15"/>
  <c r="Y30" i="15"/>
  <c r="AA30" i="15"/>
  <c r="AC30" i="15"/>
  <c r="AE30" i="15"/>
  <c r="AF30" i="15"/>
  <c r="AG30" i="15"/>
  <c r="AI30" i="15"/>
  <c r="AK30" i="15"/>
  <c r="AM30" i="15"/>
  <c r="AO30" i="15"/>
  <c r="AQ30" i="15"/>
  <c r="AS30" i="15"/>
  <c r="AU30" i="15"/>
  <c r="C31" i="15"/>
  <c r="E31" i="15"/>
  <c r="G31" i="15"/>
  <c r="I31" i="15"/>
  <c r="K31" i="15"/>
  <c r="M31" i="15"/>
  <c r="O31" i="15"/>
  <c r="Q31" i="15"/>
  <c r="R31" i="15"/>
  <c r="S31" i="15"/>
  <c r="U31" i="15"/>
  <c r="V31" i="15"/>
  <c r="W31" i="15"/>
  <c r="X31" i="15"/>
  <c r="Y31" i="15"/>
  <c r="AA31" i="15"/>
  <c r="AC31" i="15"/>
  <c r="AE31" i="15"/>
  <c r="AF31" i="15"/>
  <c r="AG31" i="15"/>
  <c r="AI31" i="15"/>
  <c r="AK31" i="15"/>
  <c r="AM31" i="15"/>
  <c r="AO31" i="15"/>
  <c r="AQ31" i="15"/>
  <c r="AS31" i="15"/>
  <c r="AU31" i="15"/>
  <c r="C32" i="15"/>
  <c r="E32" i="15"/>
  <c r="G32" i="15"/>
  <c r="I32" i="15"/>
  <c r="K32" i="15"/>
  <c r="M32" i="15"/>
  <c r="O32" i="15"/>
  <c r="Q32" i="15"/>
  <c r="R32" i="15"/>
  <c r="S32" i="15"/>
  <c r="U32" i="15"/>
  <c r="V32" i="15"/>
  <c r="W32" i="15"/>
  <c r="X32" i="15"/>
  <c r="Y32" i="15"/>
  <c r="AA32" i="15"/>
  <c r="AC32" i="15"/>
  <c r="AE32" i="15"/>
  <c r="AF32" i="15"/>
  <c r="AG32" i="15"/>
  <c r="AI32" i="15"/>
  <c r="AK32" i="15"/>
  <c r="AM32" i="15"/>
  <c r="AO32" i="15"/>
  <c r="AQ32" i="15"/>
  <c r="AS32" i="15"/>
  <c r="AU32" i="15"/>
  <c r="C33" i="15"/>
  <c r="E33" i="15"/>
  <c r="G33" i="15"/>
  <c r="I33" i="15"/>
  <c r="K33" i="15"/>
  <c r="M33" i="15"/>
  <c r="N33" i="15"/>
  <c r="O33" i="15"/>
  <c r="Q33" i="15"/>
  <c r="R33" i="15"/>
  <c r="S33" i="15"/>
  <c r="U33" i="15"/>
  <c r="V33" i="15"/>
  <c r="W33" i="15"/>
  <c r="X33" i="15"/>
  <c r="Y33" i="15"/>
  <c r="AA33" i="15"/>
  <c r="AC33" i="15"/>
  <c r="AE33" i="15"/>
  <c r="AF33" i="15"/>
  <c r="AG33" i="15"/>
  <c r="AI33" i="15"/>
  <c r="AK33" i="15"/>
  <c r="AM33" i="15"/>
  <c r="AO33" i="15"/>
  <c r="AQ33" i="15"/>
  <c r="AS33" i="15"/>
  <c r="AU33" i="15"/>
  <c r="E34" i="15"/>
  <c r="G34" i="15"/>
  <c r="I34" i="15"/>
  <c r="J34" i="15"/>
  <c r="K34" i="15"/>
  <c r="M34" i="15"/>
  <c r="N34" i="15"/>
  <c r="O34" i="15"/>
  <c r="Q34" i="15"/>
  <c r="R34" i="15"/>
  <c r="S34" i="15"/>
  <c r="U34" i="15"/>
  <c r="V34" i="15"/>
  <c r="W34" i="15"/>
  <c r="X34" i="15"/>
  <c r="Y34" i="15"/>
  <c r="AA34" i="15"/>
  <c r="AC34" i="15"/>
  <c r="AE34" i="15"/>
  <c r="AF34" i="15"/>
  <c r="AG34" i="15"/>
  <c r="AI34" i="15"/>
  <c r="AK34" i="15"/>
  <c r="AM34" i="15"/>
  <c r="AO34" i="15"/>
  <c r="AQ34" i="15"/>
  <c r="AS34" i="15"/>
  <c r="AU34" i="15"/>
  <c r="C36" i="15"/>
  <c r="D36" i="15"/>
  <c r="F36" i="15"/>
  <c r="H36" i="15"/>
  <c r="J36" i="15"/>
  <c r="L36" i="15"/>
  <c r="N36" i="15"/>
  <c r="P36" i="15"/>
  <c r="R36" i="15"/>
  <c r="T36" i="15"/>
  <c r="V36" i="15"/>
  <c r="X36" i="15"/>
  <c r="Z36" i="15"/>
  <c r="AB36" i="15"/>
  <c r="AD36" i="15"/>
  <c r="AF36" i="15"/>
  <c r="AH36" i="15"/>
  <c r="AJ36" i="15"/>
  <c r="AL36" i="15"/>
  <c r="AN36" i="15"/>
  <c r="AP36" i="15"/>
  <c r="AR36" i="15"/>
  <c r="AT36" i="15"/>
  <c r="C37" i="15"/>
  <c r="D37" i="15"/>
  <c r="F37" i="15"/>
  <c r="H37" i="15"/>
  <c r="J37" i="15"/>
  <c r="L37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C38" i="15"/>
  <c r="D38" i="15"/>
  <c r="F38" i="15"/>
  <c r="H38" i="15"/>
  <c r="J38" i="15"/>
  <c r="L38" i="15"/>
  <c r="N38" i="15"/>
  <c r="P38" i="15"/>
  <c r="R38" i="15"/>
  <c r="T38" i="15"/>
  <c r="V38" i="15"/>
  <c r="X38" i="15"/>
  <c r="Z38" i="15"/>
  <c r="AB38" i="15"/>
  <c r="AD38" i="15"/>
  <c r="AF38" i="15"/>
  <c r="AH38" i="15"/>
  <c r="AJ38" i="15"/>
  <c r="AL38" i="15"/>
  <c r="AN38" i="15"/>
  <c r="AP38" i="15"/>
  <c r="AR38" i="15"/>
  <c r="AT38" i="15"/>
  <c r="C39" i="15"/>
  <c r="D39" i="15"/>
  <c r="F39" i="15"/>
  <c r="H39" i="15"/>
  <c r="J39" i="15"/>
  <c r="L39" i="15"/>
  <c r="N39" i="15"/>
  <c r="P39" i="15"/>
  <c r="R39" i="15"/>
  <c r="T39" i="15"/>
  <c r="V39" i="15"/>
  <c r="X39" i="15"/>
  <c r="Z39" i="15"/>
  <c r="AB39" i="15"/>
  <c r="AD39" i="15"/>
  <c r="AF39" i="15"/>
  <c r="AH39" i="15"/>
  <c r="AJ39" i="15"/>
  <c r="AL39" i="15"/>
  <c r="AN39" i="15"/>
  <c r="AP39" i="15"/>
  <c r="AR39" i="15"/>
  <c r="AT39" i="15"/>
  <c r="C40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R40" i="15"/>
  <c r="AT40" i="15"/>
  <c r="C41" i="15"/>
  <c r="D41" i="15"/>
  <c r="F41" i="15"/>
  <c r="H41" i="15"/>
  <c r="J41" i="15"/>
  <c r="L41" i="15"/>
  <c r="N41" i="15"/>
  <c r="P41" i="15"/>
  <c r="R41" i="15"/>
  <c r="T41" i="15"/>
  <c r="V41" i="15"/>
  <c r="X41" i="15"/>
  <c r="Z41" i="15"/>
  <c r="AB41" i="15"/>
  <c r="AD41" i="15"/>
  <c r="AF41" i="15"/>
  <c r="AH41" i="15"/>
  <c r="AJ41" i="15"/>
  <c r="AL41" i="15"/>
  <c r="AN41" i="15"/>
  <c r="AP41" i="15"/>
  <c r="AR41" i="15"/>
  <c r="AT41" i="15"/>
  <c r="C42" i="15"/>
  <c r="D42" i="15"/>
  <c r="F42" i="15"/>
  <c r="H42" i="15"/>
  <c r="J42" i="15"/>
  <c r="L42" i="15"/>
  <c r="N42" i="15"/>
  <c r="P42" i="15"/>
  <c r="R42" i="15"/>
  <c r="T42" i="15"/>
  <c r="V42" i="15"/>
  <c r="X42" i="15"/>
  <c r="Z42" i="15"/>
  <c r="AB42" i="15"/>
  <c r="AD42" i="15"/>
  <c r="AF42" i="15"/>
  <c r="AH42" i="15"/>
  <c r="AJ42" i="15"/>
  <c r="AL42" i="15"/>
  <c r="AN42" i="15"/>
  <c r="AP42" i="15"/>
  <c r="AR42" i="15"/>
  <c r="AT42" i="15"/>
  <c r="C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R4" i="2"/>
  <c r="B5" i="2"/>
  <c r="C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R5" i="2"/>
  <c r="B6" i="2"/>
  <c r="C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R6" i="2"/>
  <c r="B7" i="2"/>
  <c r="C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R7" i="2"/>
  <c r="B8" i="2"/>
  <c r="C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R8" i="2"/>
  <c r="B9" i="2"/>
  <c r="C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R9" i="2"/>
  <c r="B10" i="2"/>
  <c r="C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R10" i="2"/>
  <c r="B11" i="2"/>
  <c r="C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R11" i="2"/>
  <c r="B12" i="2"/>
  <c r="C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R12" i="2"/>
  <c r="B13" i="2"/>
  <c r="C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R13" i="2"/>
  <c r="B14" i="2"/>
  <c r="C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R14" i="2"/>
  <c r="B15" i="2"/>
  <c r="C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R15" i="2"/>
  <c r="B16" i="2"/>
  <c r="C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R16" i="2"/>
  <c r="B17" i="2"/>
  <c r="C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R17" i="2"/>
  <c r="B18" i="2"/>
  <c r="C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R18" i="2"/>
  <c r="B19" i="2"/>
  <c r="C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R19" i="2"/>
  <c r="B20" i="2"/>
  <c r="C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R20" i="2"/>
  <c r="B21" i="2"/>
  <c r="C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R21" i="2"/>
  <c r="B22" i="2"/>
  <c r="C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R22" i="2"/>
  <c r="B23" i="2"/>
  <c r="C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R23" i="2"/>
  <c r="B24" i="2"/>
  <c r="C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R24" i="2"/>
  <c r="B25" i="2"/>
  <c r="C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R25" i="2"/>
  <c r="B26" i="2"/>
  <c r="C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R26" i="2"/>
  <c r="B27" i="2"/>
  <c r="C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R27" i="2"/>
  <c r="B28" i="2"/>
  <c r="C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R28" i="2"/>
  <c r="B29" i="2"/>
  <c r="C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R29" i="2"/>
  <c r="B30" i="2"/>
  <c r="C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R30" i="2"/>
  <c r="B31" i="2"/>
  <c r="C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R31" i="2"/>
  <c r="B32" i="2"/>
  <c r="C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R32" i="2"/>
  <c r="B33" i="2"/>
  <c r="C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R33" i="2"/>
  <c r="B34" i="2"/>
  <c r="C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R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J36" i="2"/>
  <c r="BR36" i="2"/>
  <c r="BU36" i="2"/>
  <c r="A37" i="2"/>
  <c r="B4" i="17"/>
  <c r="C4" i="17"/>
  <c r="P4" i="17"/>
  <c r="R4" i="17"/>
  <c r="S4" i="17"/>
  <c r="T4" i="17"/>
  <c r="U4" i="17"/>
  <c r="V4" i="17"/>
  <c r="AE4" i="17"/>
  <c r="B5" i="17"/>
  <c r="C5" i="17"/>
  <c r="P5" i="17"/>
  <c r="R5" i="17"/>
  <c r="S5" i="17"/>
  <c r="T5" i="17"/>
  <c r="U5" i="17"/>
  <c r="V5" i="17"/>
  <c r="W5" i="17"/>
  <c r="X5" i="17"/>
  <c r="Y5" i="17"/>
  <c r="Z5" i="17"/>
  <c r="AA5" i="17"/>
  <c r="AB5" i="17"/>
  <c r="AE5" i="17"/>
  <c r="B6" i="17"/>
  <c r="C6" i="17"/>
  <c r="P6" i="17"/>
  <c r="R6" i="17"/>
  <c r="S6" i="17"/>
  <c r="T6" i="17"/>
  <c r="U6" i="17"/>
  <c r="V6" i="17"/>
  <c r="W6" i="17"/>
  <c r="X6" i="17"/>
  <c r="Y6" i="17"/>
  <c r="Z6" i="17"/>
  <c r="AA6" i="17"/>
  <c r="AB6" i="17"/>
  <c r="AE6" i="17"/>
  <c r="B7" i="17"/>
  <c r="C7" i="17"/>
  <c r="P7" i="17"/>
  <c r="R7" i="17"/>
  <c r="S7" i="17"/>
  <c r="T7" i="17"/>
  <c r="U7" i="17"/>
  <c r="V7" i="17"/>
  <c r="W7" i="17"/>
  <c r="X7" i="17"/>
  <c r="Y7" i="17"/>
  <c r="Z7" i="17"/>
  <c r="AA7" i="17"/>
  <c r="AB7" i="17"/>
  <c r="AE7" i="17"/>
  <c r="B8" i="17"/>
  <c r="C8" i="17"/>
  <c r="P8" i="17"/>
  <c r="R8" i="17"/>
  <c r="S8" i="17"/>
  <c r="T8" i="17"/>
  <c r="U8" i="17"/>
  <c r="V8" i="17"/>
  <c r="W8" i="17"/>
  <c r="X8" i="17"/>
  <c r="Y8" i="17"/>
  <c r="Z8" i="17"/>
  <c r="AA8" i="17"/>
  <c r="AB8" i="17"/>
  <c r="AE8" i="17"/>
  <c r="B9" i="17"/>
  <c r="C9" i="17"/>
  <c r="P9" i="17"/>
  <c r="R9" i="17"/>
  <c r="S9" i="17"/>
  <c r="T9" i="17"/>
  <c r="U9" i="17"/>
  <c r="V9" i="17"/>
  <c r="W9" i="17"/>
  <c r="X9" i="17"/>
  <c r="Y9" i="17"/>
  <c r="Z9" i="17"/>
  <c r="AA9" i="17"/>
  <c r="AB9" i="17"/>
  <c r="AE9" i="17"/>
  <c r="B10" i="17"/>
  <c r="C10" i="17"/>
  <c r="P10" i="17"/>
  <c r="R10" i="17"/>
  <c r="S10" i="17"/>
  <c r="T10" i="17"/>
  <c r="U10" i="17"/>
  <c r="V10" i="17"/>
  <c r="W10" i="17"/>
  <c r="X10" i="17"/>
  <c r="Y10" i="17"/>
  <c r="Z10" i="17"/>
  <c r="AA10" i="17"/>
  <c r="AB10" i="17"/>
  <c r="AE10" i="17"/>
  <c r="B11" i="17"/>
  <c r="C11" i="17"/>
  <c r="P11" i="17"/>
  <c r="R11" i="17"/>
  <c r="S11" i="17"/>
  <c r="T11" i="17"/>
  <c r="U11" i="17"/>
  <c r="V11" i="17"/>
  <c r="W11" i="17"/>
  <c r="X11" i="17"/>
  <c r="Y11" i="17"/>
  <c r="Z11" i="17"/>
  <c r="AA11" i="17"/>
  <c r="AB11" i="17"/>
  <c r="AE11" i="17"/>
  <c r="B12" i="17"/>
  <c r="C12" i="17"/>
  <c r="P12" i="17"/>
  <c r="R12" i="17"/>
  <c r="S12" i="17"/>
  <c r="T12" i="17"/>
  <c r="U12" i="17"/>
  <c r="V12" i="17"/>
  <c r="W12" i="17"/>
  <c r="X12" i="17"/>
  <c r="Y12" i="17"/>
  <c r="Z12" i="17"/>
  <c r="AA12" i="17"/>
  <c r="AB12" i="17"/>
  <c r="AE12" i="17"/>
  <c r="B13" i="17"/>
  <c r="C13" i="17"/>
  <c r="P13" i="17"/>
  <c r="R13" i="17"/>
  <c r="S13" i="17"/>
  <c r="T13" i="17"/>
  <c r="U13" i="17"/>
  <c r="V13" i="17"/>
  <c r="W13" i="17"/>
  <c r="X13" i="17"/>
  <c r="Y13" i="17"/>
  <c r="Z13" i="17"/>
  <c r="AA13" i="17"/>
  <c r="AB13" i="17"/>
  <c r="AE13" i="17"/>
  <c r="B14" i="17"/>
  <c r="C14" i="17"/>
  <c r="P14" i="17"/>
  <c r="R14" i="17"/>
  <c r="S14" i="17"/>
  <c r="T14" i="17"/>
  <c r="U14" i="17"/>
  <c r="V14" i="17"/>
  <c r="W14" i="17"/>
  <c r="X14" i="17"/>
  <c r="Y14" i="17"/>
  <c r="Z14" i="17"/>
  <c r="AA14" i="17"/>
  <c r="AB14" i="17"/>
  <c r="AE14" i="17"/>
  <c r="B15" i="17"/>
  <c r="C15" i="17"/>
  <c r="P15" i="17"/>
  <c r="R15" i="17"/>
  <c r="S15" i="17"/>
  <c r="T15" i="17"/>
  <c r="U15" i="17"/>
  <c r="V15" i="17"/>
  <c r="W15" i="17"/>
  <c r="X15" i="17"/>
  <c r="Y15" i="17"/>
  <c r="Z15" i="17"/>
  <c r="AA15" i="17"/>
  <c r="AB15" i="17"/>
  <c r="AE15" i="17"/>
  <c r="B16" i="17"/>
  <c r="C16" i="17"/>
  <c r="P16" i="17"/>
  <c r="R16" i="17"/>
  <c r="S16" i="17"/>
  <c r="T16" i="17"/>
  <c r="U16" i="17"/>
  <c r="V16" i="17"/>
  <c r="W16" i="17"/>
  <c r="X16" i="17"/>
  <c r="Y16" i="17"/>
  <c r="Z16" i="17"/>
  <c r="AA16" i="17"/>
  <c r="AB16" i="17"/>
  <c r="AE16" i="17"/>
  <c r="B17" i="17"/>
  <c r="C17" i="17"/>
  <c r="P17" i="17"/>
  <c r="R17" i="17"/>
  <c r="S17" i="17"/>
  <c r="T17" i="17"/>
  <c r="U17" i="17"/>
  <c r="V17" i="17"/>
  <c r="W17" i="17"/>
  <c r="X17" i="17"/>
  <c r="Y17" i="17"/>
  <c r="Z17" i="17"/>
  <c r="AA17" i="17"/>
  <c r="AB17" i="17"/>
  <c r="AE17" i="17"/>
  <c r="B18" i="17"/>
  <c r="C18" i="17"/>
  <c r="P18" i="17"/>
  <c r="R18" i="17"/>
  <c r="S18" i="17"/>
  <c r="T18" i="17"/>
  <c r="U18" i="17"/>
  <c r="V18" i="17"/>
  <c r="W18" i="17"/>
  <c r="X18" i="17"/>
  <c r="Y18" i="17"/>
  <c r="Z18" i="17"/>
  <c r="AA18" i="17"/>
  <c r="AB18" i="17"/>
  <c r="AE18" i="17"/>
  <c r="B19" i="17"/>
  <c r="C19" i="17"/>
  <c r="P19" i="17"/>
  <c r="R19" i="17"/>
  <c r="S19" i="17"/>
  <c r="T19" i="17"/>
  <c r="U19" i="17"/>
  <c r="V19" i="17"/>
  <c r="W19" i="17"/>
  <c r="X19" i="17"/>
  <c r="Y19" i="17"/>
  <c r="Z19" i="17"/>
  <c r="AA19" i="17"/>
  <c r="AB19" i="17"/>
  <c r="AE19" i="17"/>
  <c r="B20" i="17"/>
  <c r="C20" i="17"/>
  <c r="P20" i="17"/>
  <c r="R20" i="17"/>
  <c r="S20" i="17"/>
  <c r="T20" i="17"/>
  <c r="U20" i="17"/>
  <c r="V20" i="17"/>
  <c r="W20" i="17"/>
  <c r="X20" i="17"/>
  <c r="Y20" i="17"/>
  <c r="Z20" i="17"/>
  <c r="AA20" i="17"/>
  <c r="AB20" i="17"/>
  <c r="AE20" i="17"/>
  <c r="B21" i="17"/>
  <c r="C21" i="17"/>
  <c r="P21" i="17"/>
  <c r="R21" i="17"/>
  <c r="S21" i="17"/>
  <c r="T21" i="17"/>
  <c r="U21" i="17"/>
  <c r="V21" i="17"/>
  <c r="W21" i="17"/>
  <c r="X21" i="17"/>
  <c r="Y21" i="17"/>
  <c r="Z21" i="17"/>
  <c r="AA21" i="17"/>
  <c r="AB21" i="17"/>
  <c r="AE21" i="17"/>
  <c r="B22" i="17"/>
  <c r="C22" i="17"/>
  <c r="P22" i="17"/>
  <c r="R22" i="17"/>
  <c r="S22" i="17"/>
  <c r="T22" i="17"/>
  <c r="U22" i="17"/>
  <c r="V22" i="17"/>
  <c r="W22" i="17"/>
  <c r="X22" i="17"/>
  <c r="Y22" i="17"/>
  <c r="Z22" i="17"/>
  <c r="AA22" i="17"/>
  <c r="AB22" i="17"/>
  <c r="AE22" i="17"/>
  <c r="B23" i="17"/>
  <c r="C23" i="17"/>
  <c r="P23" i="17"/>
  <c r="R23" i="17"/>
  <c r="S23" i="17"/>
  <c r="T23" i="17"/>
  <c r="U23" i="17"/>
  <c r="V23" i="17"/>
  <c r="W23" i="17"/>
  <c r="X23" i="17"/>
  <c r="Y23" i="17"/>
  <c r="Z23" i="17"/>
  <c r="AA23" i="17"/>
  <c r="AB23" i="17"/>
  <c r="AE23" i="17"/>
  <c r="B24" i="17"/>
  <c r="C24" i="17"/>
  <c r="P24" i="17"/>
  <c r="R24" i="17"/>
  <c r="S24" i="17"/>
  <c r="T24" i="17"/>
  <c r="U24" i="17"/>
  <c r="V24" i="17"/>
  <c r="W24" i="17"/>
  <c r="X24" i="17"/>
  <c r="Y24" i="17"/>
  <c r="Z24" i="17"/>
  <c r="AA24" i="17"/>
  <c r="AB24" i="17"/>
  <c r="AE24" i="17"/>
  <c r="B25" i="17"/>
  <c r="C25" i="17"/>
  <c r="P25" i="17"/>
  <c r="R25" i="17"/>
  <c r="S25" i="17"/>
  <c r="T25" i="17"/>
  <c r="U25" i="17"/>
  <c r="V25" i="17"/>
  <c r="W25" i="17"/>
  <c r="X25" i="17"/>
  <c r="Y25" i="17"/>
  <c r="Z25" i="17"/>
  <c r="AA25" i="17"/>
  <c r="AB25" i="17"/>
  <c r="AE25" i="17"/>
  <c r="B26" i="17"/>
  <c r="C26" i="17"/>
  <c r="P26" i="17"/>
  <c r="R26" i="17"/>
  <c r="S26" i="17"/>
  <c r="T26" i="17"/>
  <c r="U26" i="17"/>
  <c r="V26" i="17"/>
  <c r="W26" i="17"/>
  <c r="X26" i="17"/>
  <c r="Y26" i="17"/>
  <c r="Z26" i="17"/>
  <c r="AA26" i="17"/>
  <c r="AB26" i="17"/>
  <c r="AE26" i="17"/>
  <c r="B27" i="17"/>
  <c r="C27" i="17"/>
  <c r="P27" i="17"/>
  <c r="R27" i="17"/>
  <c r="S27" i="17"/>
  <c r="T27" i="17"/>
  <c r="U27" i="17"/>
  <c r="V27" i="17"/>
  <c r="W27" i="17"/>
  <c r="X27" i="17"/>
  <c r="Y27" i="17"/>
  <c r="Z27" i="17"/>
  <c r="AA27" i="17"/>
  <c r="AB27" i="17"/>
  <c r="AE27" i="17"/>
  <c r="B28" i="17"/>
  <c r="C28" i="17"/>
  <c r="P28" i="17"/>
  <c r="R28" i="17"/>
  <c r="S28" i="17"/>
  <c r="T28" i="17"/>
  <c r="U28" i="17"/>
  <c r="V28" i="17"/>
  <c r="W28" i="17"/>
  <c r="X28" i="17"/>
  <c r="Y28" i="17"/>
  <c r="Z28" i="17"/>
  <c r="AA28" i="17"/>
  <c r="AB28" i="17"/>
  <c r="AE28" i="17"/>
  <c r="B29" i="17"/>
  <c r="C29" i="17"/>
  <c r="P29" i="17"/>
  <c r="R29" i="17"/>
  <c r="S29" i="17"/>
  <c r="T29" i="17"/>
  <c r="U29" i="17"/>
  <c r="V29" i="17"/>
  <c r="W29" i="17"/>
  <c r="X29" i="17"/>
  <c r="Y29" i="17"/>
  <c r="Z29" i="17"/>
  <c r="AA29" i="17"/>
  <c r="AB29" i="17"/>
  <c r="AE29" i="17"/>
  <c r="B30" i="17"/>
  <c r="C30" i="17"/>
  <c r="P30" i="17"/>
  <c r="R30" i="17"/>
  <c r="S30" i="17"/>
  <c r="T30" i="17"/>
  <c r="U30" i="17"/>
  <c r="V30" i="17"/>
  <c r="W30" i="17"/>
  <c r="X30" i="17"/>
  <c r="Y30" i="17"/>
  <c r="Z30" i="17"/>
  <c r="AA30" i="17"/>
  <c r="AB30" i="17"/>
  <c r="AE30" i="17"/>
  <c r="B31" i="17"/>
  <c r="C31" i="17"/>
  <c r="P31" i="17"/>
  <c r="R31" i="17"/>
  <c r="S31" i="17"/>
  <c r="T31" i="17"/>
  <c r="U31" i="17"/>
  <c r="V31" i="17"/>
  <c r="W31" i="17"/>
  <c r="X31" i="17"/>
  <c r="Y31" i="17"/>
  <c r="Z31" i="17"/>
  <c r="AA31" i="17"/>
  <c r="AB31" i="17"/>
  <c r="AE31" i="17"/>
  <c r="B32" i="17"/>
  <c r="C32" i="17"/>
  <c r="P32" i="17"/>
  <c r="R32" i="17"/>
  <c r="S32" i="17"/>
  <c r="T32" i="17"/>
  <c r="U32" i="17"/>
  <c r="V32" i="17"/>
  <c r="W32" i="17"/>
  <c r="X32" i="17"/>
  <c r="Y32" i="17"/>
  <c r="Z32" i="17"/>
  <c r="AA32" i="17"/>
  <c r="AB32" i="17"/>
  <c r="AE32" i="17"/>
  <c r="B33" i="17"/>
  <c r="C33" i="17"/>
  <c r="P33" i="17"/>
  <c r="R33" i="17"/>
  <c r="S33" i="17"/>
  <c r="T33" i="17"/>
  <c r="U33" i="17"/>
  <c r="V33" i="17"/>
  <c r="W33" i="17"/>
  <c r="X33" i="17"/>
  <c r="Y33" i="17"/>
  <c r="Z33" i="17"/>
  <c r="AA33" i="17"/>
  <c r="AB33" i="17"/>
  <c r="AE33" i="17"/>
  <c r="B34" i="17"/>
  <c r="C34" i="17"/>
  <c r="P34" i="17"/>
  <c r="R34" i="17"/>
  <c r="S34" i="17"/>
  <c r="T34" i="17"/>
  <c r="U34" i="17"/>
  <c r="V34" i="17"/>
  <c r="W34" i="17"/>
  <c r="X34" i="17"/>
  <c r="Y34" i="17"/>
  <c r="Z34" i="17"/>
  <c r="AA34" i="17"/>
  <c r="AB34" i="17"/>
  <c r="AE34" i="17"/>
  <c r="P36" i="17"/>
  <c r="AE36" i="17"/>
  <c r="A37" i="17"/>
  <c r="C2" i="19"/>
  <c r="G2" i="19"/>
  <c r="C3" i="19"/>
  <c r="G3" i="19"/>
  <c r="C4" i="19"/>
  <c r="G4" i="19"/>
  <c r="K4" i="19"/>
  <c r="C5" i="19"/>
  <c r="G5" i="19"/>
  <c r="K5" i="19"/>
  <c r="C6" i="19"/>
  <c r="G6" i="19"/>
  <c r="C7" i="19"/>
  <c r="G7" i="19"/>
  <c r="C8" i="19"/>
  <c r="G8" i="19"/>
  <c r="C9" i="19"/>
  <c r="G9" i="19"/>
  <c r="C10" i="19"/>
  <c r="G10" i="19"/>
  <c r="C11" i="19"/>
  <c r="G11" i="19"/>
  <c r="C12" i="19"/>
  <c r="G12" i="19"/>
  <c r="C13" i="19"/>
  <c r="G13" i="19"/>
  <c r="C14" i="19"/>
  <c r="G14" i="19"/>
  <c r="C15" i="19"/>
  <c r="G15" i="19"/>
  <c r="C16" i="19"/>
  <c r="G16" i="19"/>
  <c r="C17" i="19"/>
  <c r="G17" i="19"/>
  <c r="C18" i="19"/>
  <c r="G18" i="19"/>
  <c r="C19" i="19"/>
  <c r="G19" i="19"/>
  <c r="C20" i="19"/>
  <c r="G20" i="19"/>
  <c r="C21" i="19"/>
  <c r="G21" i="19"/>
  <c r="C22" i="19"/>
  <c r="G22" i="19"/>
  <c r="C23" i="19"/>
  <c r="G23" i="19"/>
  <c r="C24" i="19"/>
  <c r="G24" i="19"/>
  <c r="C25" i="19"/>
  <c r="G25" i="19"/>
  <c r="C26" i="19"/>
  <c r="G26" i="19"/>
  <c r="C27" i="19"/>
  <c r="G27" i="19"/>
  <c r="C28" i="19"/>
  <c r="G28" i="19"/>
  <c r="C29" i="19"/>
  <c r="G29" i="19"/>
  <c r="C30" i="19"/>
  <c r="G30" i="19"/>
  <c r="C31" i="19"/>
  <c r="G31" i="19"/>
  <c r="A33" i="19"/>
  <c r="B33" i="19"/>
  <c r="C33" i="19"/>
  <c r="E33" i="19"/>
  <c r="F33" i="19"/>
  <c r="G33" i="19"/>
  <c r="I33" i="19"/>
  <c r="E35" i="19"/>
  <c r="F35" i="19"/>
  <c r="G35" i="19"/>
  <c r="I35" i="19"/>
  <c r="E37" i="19"/>
  <c r="F37" i="19"/>
  <c r="G37" i="19"/>
  <c r="I37" i="19"/>
  <c r="B38" i="19"/>
  <c r="B39" i="19"/>
  <c r="I39" i="19"/>
  <c r="E1" i="25"/>
  <c r="J1" i="25"/>
  <c r="N1" i="25"/>
  <c r="E3" i="25"/>
  <c r="J3" i="25"/>
  <c r="N3" i="25"/>
  <c r="E4" i="25"/>
  <c r="J4" i="25"/>
  <c r="N4" i="25"/>
  <c r="E5" i="25"/>
  <c r="J5" i="25"/>
  <c r="N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C22" i="25"/>
  <c r="E22" i="25"/>
  <c r="H22" i="25"/>
  <c r="J22" i="25"/>
  <c r="L22" i="25"/>
  <c r="N22" i="25"/>
  <c r="F26" i="25"/>
  <c r="G26" i="25"/>
  <c r="B4" i="12"/>
  <c r="C4" i="12"/>
  <c r="P4" i="12"/>
  <c r="R4" i="12"/>
  <c r="S4" i="12"/>
  <c r="T4" i="12"/>
  <c r="U4" i="12"/>
  <c r="V4" i="12"/>
  <c r="W4" i="12"/>
  <c r="X4" i="12"/>
  <c r="Y4" i="12"/>
  <c r="Z4" i="12"/>
  <c r="AA4" i="12"/>
  <c r="AB4" i="12"/>
  <c r="AF4" i="12"/>
  <c r="B5" i="12"/>
  <c r="C5" i="12"/>
  <c r="P5" i="12"/>
  <c r="R5" i="12"/>
  <c r="S5" i="12"/>
  <c r="T5" i="12"/>
  <c r="U5" i="12"/>
  <c r="V5" i="12"/>
  <c r="W5" i="12"/>
  <c r="X5" i="12"/>
  <c r="Y5" i="12"/>
  <c r="Z5" i="12"/>
  <c r="AA5" i="12"/>
  <c r="AB5" i="12"/>
  <c r="AF5" i="12"/>
  <c r="B6" i="12"/>
  <c r="C6" i="12"/>
  <c r="P6" i="12"/>
  <c r="R6" i="12"/>
  <c r="S6" i="12"/>
  <c r="T6" i="12"/>
  <c r="U6" i="12"/>
  <c r="V6" i="12"/>
  <c r="W6" i="12"/>
  <c r="X6" i="12"/>
  <c r="Y6" i="12"/>
  <c r="Z6" i="12"/>
  <c r="AA6" i="12"/>
  <c r="AB6" i="12"/>
  <c r="AF6" i="12"/>
  <c r="B7" i="12"/>
  <c r="C7" i="12"/>
  <c r="P7" i="12"/>
  <c r="R7" i="12"/>
  <c r="S7" i="12"/>
  <c r="T7" i="12"/>
  <c r="U7" i="12"/>
  <c r="V7" i="12"/>
  <c r="W7" i="12"/>
  <c r="X7" i="12"/>
  <c r="Y7" i="12"/>
  <c r="Z7" i="12"/>
  <c r="AA7" i="12"/>
  <c r="AB7" i="12"/>
  <c r="AF7" i="12"/>
  <c r="B8" i="12"/>
  <c r="C8" i="12"/>
  <c r="P8" i="12"/>
  <c r="R8" i="12"/>
  <c r="S8" i="12"/>
  <c r="T8" i="12"/>
  <c r="U8" i="12"/>
  <c r="V8" i="12"/>
  <c r="W8" i="12"/>
  <c r="X8" i="12"/>
  <c r="Y8" i="12"/>
  <c r="Z8" i="12"/>
  <c r="AA8" i="12"/>
  <c r="AB8" i="12"/>
  <c r="AF8" i="12"/>
  <c r="B9" i="12"/>
  <c r="C9" i="12"/>
  <c r="P9" i="12"/>
  <c r="R9" i="12"/>
  <c r="S9" i="12"/>
  <c r="T9" i="12"/>
  <c r="U9" i="12"/>
  <c r="V9" i="12"/>
  <c r="W9" i="12"/>
  <c r="X9" i="12"/>
  <c r="Y9" i="12"/>
  <c r="Z9" i="12"/>
  <c r="AA9" i="12"/>
  <c r="AB9" i="12"/>
  <c r="AF9" i="12"/>
  <c r="B10" i="12"/>
  <c r="C10" i="12"/>
  <c r="P10" i="12"/>
  <c r="R10" i="12"/>
  <c r="S10" i="12"/>
  <c r="T10" i="12"/>
  <c r="U10" i="12"/>
  <c r="V10" i="12"/>
  <c r="W10" i="12"/>
  <c r="X10" i="12"/>
  <c r="Y10" i="12"/>
  <c r="Z10" i="12"/>
  <c r="AA10" i="12"/>
  <c r="AB10" i="12"/>
  <c r="AF10" i="12"/>
  <c r="B11" i="12"/>
  <c r="C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F11" i="12"/>
  <c r="B12" i="12"/>
  <c r="C12" i="12"/>
  <c r="P12" i="12"/>
  <c r="R12" i="12"/>
  <c r="S12" i="12"/>
  <c r="T12" i="12"/>
  <c r="U12" i="12"/>
  <c r="V12" i="12"/>
  <c r="W12" i="12"/>
  <c r="X12" i="12"/>
  <c r="Y12" i="12"/>
  <c r="Z12" i="12"/>
  <c r="AA12" i="12"/>
  <c r="AB12" i="12"/>
  <c r="AF12" i="12"/>
  <c r="B13" i="12"/>
  <c r="C13" i="12"/>
  <c r="P13" i="12"/>
  <c r="R13" i="12"/>
  <c r="S13" i="12"/>
  <c r="T13" i="12"/>
  <c r="U13" i="12"/>
  <c r="V13" i="12"/>
  <c r="W13" i="12"/>
  <c r="X13" i="12"/>
  <c r="Y13" i="12"/>
  <c r="Z13" i="12"/>
  <c r="AA13" i="12"/>
  <c r="AB13" i="12"/>
  <c r="AF13" i="12"/>
  <c r="B14" i="12"/>
  <c r="C14" i="12"/>
  <c r="P14" i="12"/>
  <c r="R14" i="12"/>
  <c r="S14" i="12"/>
  <c r="T14" i="12"/>
  <c r="U14" i="12"/>
  <c r="V14" i="12"/>
  <c r="W14" i="12"/>
  <c r="X14" i="12"/>
  <c r="Y14" i="12"/>
  <c r="Z14" i="12"/>
  <c r="AA14" i="12"/>
  <c r="AB14" i="12"/>
  <c r="AF14" i="12"/>
  <c r="B15" i="12"/>
  <c r="C15" i="12"/>
  <c r="P15" i="12"/>
  <c r="R15" i="12"/>
  <c r="S15" i="12"/>
  <c r="T15" i="12"/>
  <c r="U15" i="12"/>
  <c r="V15" i="12"/>
  <c r="W15" i="12"/>
  <c r="X15" i="12"/>
  <c r="Y15" i="12"/>
  <c r="Z15" i="12"/>
  <c r="AA15" i="12"/>
  <c r="AB15" i="12"/>
  <c r="AF15" i="12"/>
  <c r="B16" i="12"/>
  <c r="C16" i="12"/>
  <c r="P16" i="12"/>
  <c r="R16" i="12"/>
  <c r="S16" i="12"/>
  <c r="T16" i="12"/>
  <c r="U16" i="12"/>
  <c r="V16" i="12"/>
  <c r="W16" i="12"/>
  <c r="X16" i="12"/>
  <c r="Y16" i="12"/>
  <c r="Z16" i="12"/>
  <c r="AA16" i="12"/>
  <c r="AB16" i="12"/>
  <c r="AF16" i="12"/>
  <c r="B17" i="12"/>
  <c r="C17" i="12"/>
  <c r="P17" i="12"/>
  <c r="R17" i="12"/>
  <c r="S17" i="12"/>
  <c r="T17" i="12"/>
  <c r="U17" i="12"/>
  <c r="V17" i="12"/>
  <c r="W17" i="12"/>
  <c r="X17" i="12"/>
  <c r="Y17" i="12"/>
  <c r="Z17" i="12"/>
  <c r="AA17" i="12"/>
  <c r="AB17" i="12"/>
  <c r="AF17" i="12"/>
  <c r="B18" i="12"/>
  <c r="C18" i="12"/>
  <c r="P18" i="12"/>
  <c r="R18" i="12"/>
  <c r="S18" i="12"/>
  <c r="T18" i="12"/>
  <c r="U18" i="12"/>
  <c r="V18" i="12"/>
  <c r="W18" i="12"/>
  <c r="X18" i="12"/>
  <c r="Y18" i="12"/>
  <c r="Z18" i="12"/>
  <c r="AA18" i="12"/>
  <c r="AB18" i="12"/>
  <c r="AF18" i="12"/>
  <c r="B19" i="12"/>
  <c r="C19" i="12"/>
  <c r="P19" i="12"/>
  <c r="R19" i="12"/>
  <c r="S19" i="12"/>
  <c r="T19" i="12"/>
  <c r="U19" i="12"/>
  <c r="V19" i="12"/>
  <c r="W19" i="12"/>
  <c r="X19" i="12"/>
  <c r="Y19" i="12"/>
  <c r="Z19" i="12"/>
  <c r="AA19" i="12"/>
  <c r="AB19" i="12"/>
  <c r="AF19" i="12"/>
  <c r="B20" i="12"/>
  <c r="C20" i="12"/>
  <c r="P20" i="12"/>
  <c r="R20" i="12"/>
  <c r="S20" i="12"/>
  <c r="T20" i="12"/>
  <c r="U20" i="12"/>
  <c r="V20" i="12"/>
  <c r="W20" i="12"/>
  <c r="X20" i="12"/>
  <c r="Y20" i="12"/>
  <c r="Z20" i="12"/>
  <c r="AA20" i="12"/>
  <c r="AB20" i="12"/>
  <c r="AF20" i="12"/>
  <c r="B21" i="12"/>
  <c r="C21" i="12"/>
  <c r="P21" i="12"/>
  <c r="R21" i="12"/>
  <c r="S21" i="12"/>
  <c r="T21" i="12"/>
  <c r="U21" i="12"/>
  <c r="V21" i="12"/>
  <c r="W21" i="12"/>
  <c r="X21" i="12"/>
  <c r="Y21" i="12"/>
  <c r="Z21" i="12"/>
  <c r="AA21" i="12"/>
  <c r="AB21" i="12"/>
  <c r="AF21" i="12"/>
  <c r="B22" i="12"/>
  <c r="C22" i="12"/>
  <c r="P22" i="12"/>
  <c r="R22" i="12"/>
  <c r="S22" i="12"/>
  <c r="T22" i="12"/>
  <c r="U22" i="12"/>
  <c r="V22" i="12"/>
  <c r="W22" i="12"/>
  <c r="X22" i="12"/>
  <c r="Y22" i="12"/>
  <c r="Z22" i="12"/>
  <c r="AA22" i="12"/>
  <c r="AB22" i="12"/>
  <c r="AF22" i="12"/>
  <c r="B23" i="12"/>
  <c r="C23" i="12"/>
  <c r="P23" i="12"/>
  <c r="R23" i="12"/>
  <c r="S23" i="12"/>
  <c r="T23" i="12"/>
  <c r="U23" i="12"/>
  <c r="V23" i="12"/>
  <c r="W23" i="12"/>
  <c r="X23" i="12"/>
  <c r="Y23" i="12"/>
  <c r="Z23" i="12"/>
  <c r="AA23" i="12"/>
  <c r="AB23" i="12"/>
  <c r="AF23" i="12"/>
  <c r="B24" i="12"/>
  <c r="C24" i="12"/>
  <c r="P24" i="12"/>
  <c r="R24" i="12"/>
  <c r="S24" i="12"/>
  <c r="T24" i="12"/>
  <c r="U24" i="12"/>
  <c r="V24" i="12"/>
  <c r="W24" i="12"/>
  <c r="X24" i="12"/>
  <c r="Y24" i="12"/>
  <c r="Z24" i="12"/>
  <c r="AA24" i="12"/>
  <c r="AB24" i="12"/>
  <c r="AF24" i="12"/>
  <c r="B25" i="12"/>
  <c r="C25" i="12"/>
  <c r="P25" i="12"/>
  <c r="R25" i="12"/>
  <c r="S25" i="12"/>
  <c r="T25" i="12"/>
  <c r="U25" i="12"/>
  <c r="V25" i="12"/>
  <c r="W25" i="12"/>
  <c r="X25" i="12"/>
  <c r="Y25" i="12"/>
  <c r="Z25" i="12"/>
  <c r="AA25" i="12"/>
  <c r="AB25" i="12"/>
  <c r="AF25" i="12"/>
  <c r="B26" i="12"/>
  <c r="C26" i="12"/>
  <c r="P26" i="12"/>
  <c r="R26" i="12"/>
  <c r="S26" i="12"/>
  <c r="T26" i="12"/>
  <c r="U26" i="12"/>
  <c r="V26" i="12"/>
  <c r="W26" i="12"/>
  <c r="X26" i="12"/>
  <c r="Y26" i="12"/>
  <c r="Z26" i="12"/>
  <c r="AA26" i="12"/>
  <c r="AB26" i="12"/>
  <c r="AF26" i="12"/>
  <c r="B27" i="12"/>
  <c r="C27" i="12"/>
  <c r="P27" i="12"/>
  <c r="R27" i="12"/>
  <c r="S27" i="12"/>
  <c r="T27" i="12"/>
  <c r="U27" i="12"/>
  <c r="V27" i="12"/>
  <c r="W27" i="12"/>
  <c r="X27" i="12"/>
  <c r="Y27" i="12"/>
  <c r="Z27" i="12"/>
  <c r="AA27" i="12"/>
  <c r="AB27" i="12"/>
  <c r="AF27" i="12"/>
  <c r="B28" i="12"/>
  <c r="C28" i="12"/>
  <c r="P28" i="12"/>
  <c r="R28" i="12"/>
  <c r="S28" i="12"/>
  <c r="T28" i="12"/>
  <c r="U28" i="12"/>
  <c r="V28" i="12"/>
  <c r="W28" i="12"/>
  <c r="X28" i="12"/>
  <c r="Y28" i="12"/>
  <c r="Z28" i="12"/>
  <c r="AA28" i="12"/>
  <c r="AB28" i="12"/>
  <c r="AF28" i="12"/>
  <c r="B29" i="12"/>
  <c r="C29" i="12"/>
  <c r="P29" i="12"/>
  <c r="R29" i="12"/>
  <c r="S29" i="12"/>
  <c r="T29" i="12"/>
  <c r="U29" i="12"/>
  <c r="V29" i="12"/>
  <c r="W29" i="12"/>
  <c r="X29" i="12"/>
  <c r="Y29" i="12"/>
  <c r="Z29" i="12"/>
  <c r="AA29" i="12"/>
  <c r="AB29" i="12"/>
  <c r="AF29" i="12"/>
  <c r="B30" i="12"/>
  <c r="C30" i="12"/>
  <c r="P30" i="12"/>
  <c r="R30" i="12"/>
  <c r="S30" i="12"/>
  <c r="T30" i="12"/>
  <c r="U30" i="12"/>
  <c r="V30" i="12"/>
  <c r="W30" i="12"/>
  <c r="X30" i="12"/>
  <c r="Y30" i="12"/>
  <c r="Z30" i="12"/>
  <c r="AA30" i="12"/>
  <c r="AB30" i="12"/>
  <c r="AF30" i="12"/>
  <c r="B31" i="12"/>
  <c r="C31" i="12"/>
  <c r="P31" i="12"/>
  <c r="R31" i="12"/>
  <c r="S31" i="12"/>
  <c r="T31" i="12"/>
  <c r="U31" i="12"/>
  <c r="V31" i="12"/>
  <c r="W31" i="12"/>
  <c r="X31" i="12"/>
  <c r="Y31" i="12"/>
  <c r="Z31" i="12"/>
  <c r="AA31" i="12"/>
  <c r="AB31" i="12"/>
  <c r="AF31" i="12"/>
  <c r="B32" i="12"/>
  <c r="C32" i="12"/>
  <c r="P32" i="12"/>
  <c r="R32" i="12"/>
  <c r="S32" i="12"/>
  <c r="T32" i="12"/>
  <c r="U32" i="12"/>
  <c r="V32" i="12"/>
  <c r="W32" i="12"/>
  <c r="X32" i="12"/>
  <c r="Y32" i="12"/>
  <c r="Z32" i="12"/>
  <c r="AA32" i="12"/>
  <c r="AB32" i="12"/>
  <c r="AF32" i="12"/>
  <c r="B33" i="12"/>
  <c r="C33" i="12"/>
  <c r="P33" i="12"/>
  <c r="R33" i="12"/>
  <c r="S33" i="12"/>
  <c r="T33" i="12"/>
  <c r="U33" i="12"/>
  <c r="V33" i="12"/>
  <c r="W33" i="12"/>
  <c r="X33" i="12"/>
  <c r="Y33" i="12"/>
  <c r="Z33" i="12"/>
  <c r="AA33" i="12"/>
  <c r="AB33" i="12"/>
  <c r="AF33" i="12"/>
  <c r="B34" i="12"/>
  <c r="C34" i="12"/>
  <c r="P34" i="12"/>
  <c r="R34" i="12"/>
  <c r="S34" i="12"/>
  <c r="T34" i="12"/>
  <c r="U34" i="12"/>
  <c r="V34" i="12"/>
  <c r="W34" i="12"/>
  <c r="X34" i="12"/>
  <c r="Y34" i="12"/>
  <c r="Z34" i="12"/>
  <c r="AA34" i="12"/>
  <c r="AB34" i="12"/>
  <c r="AF34" i="12"/>
  <c r="P36" i="12"/>
  <c r="AF36" i="12"/>
  <c r="A37" i="12"/>
  <c r="B4" i="14"/>
  <c r="C4" i="14"/>
  <c r="W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T4" i="14"/>
  <c r="B5" i="14"/>
  <c r="C5" i="14"/>
  <c r="W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T5" i="14"/>
  <c r="B6" i="14"/>
  <c r="C6" i="14"/>
  <c r="W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T6" i="14"/>
  <c r="B7" i="14"/>
  <c r="C7" i="14"/>
  <c r="W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T7" i="14"/>
  <c r="B8" i="14"/>
  <c r="C8" i="14"/>
  <c r="W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T8" i="14"/>
  <c r="B9" i="14"/>
  <c r="C9" i="14"/>
  <c r="W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T9" i="14"/>
  <c r="B10" i="14"/>
  <c r="C10" i="14"/>
  <c r="W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T10" i="14"/>
  <c r="B11" i="14"/>
  <c r="C11" i="14"/>
  <c r="W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T11" i="14"/>
  <c r="B12" i="14"/>
  <c r="C12" i="14"/>
  <c r="W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T12" i="14"/>
  <c r="B13" i="14"/>
  <c r="C13" i="14"/>
  <c r="W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T13" i="14"/>
  <c r="B14" i="14"/>
  <c r="C14" i="14"/>
  <c r="W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T14" i="14"/>
  <c r="B15" i="14"/>
  <c r="C15" i="14"/>
  <c r="W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T15" i="14"/>
  <c r="B16" i="14"/>
  <c r="C16" i="14"/>
  <c r="W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T16" i="14"/>
  <c r="B17" i="14"/>
  <c r="C17" i="14"/>
  <c r="W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T17" i="14"/>
  <c r="B18" i="14"/>
  <c r="C18" i="14"/>
  <c r="W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T18" i="14"/>
  <c r="B19" i="14"/>
  <c r="C19" i="14"/>
  <c r="W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T19" i="14"/>
  <c r="B20" i="14"/>
  <c r="C20" i="14"/>
  <c r="W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T20" i="14"/>
  <c r="B21" i="14"/>
  <c r="C21" i="14"/>
  <c r="W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T21" i="14"/>
  <c r="B22" i="14"/>
  <c r="C22" i="14"/>
  <c r="W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T22" i="14"/>
  <c r="B23" i="14"/>
  <c r="C23" i="14"/>
  <c r="W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T23" i="14"/>
  <c r="B24" i="14"/>
  <c r="C24" i="14"/>
  <c r="W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T24" i="14"/>
  <c r="B25" i="14"/>
  <c r="C25" i="14"/>
  <c r="W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T25" i="14"/>
  <c r="B26" i="14"/>
  <c r="C26" i="14"/>
  <c r="W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T26" i="14"/>
  <c r="B27" i="14"/>
  <c r="C27" i="14"/>
  <c r="W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T27" i="14"/>
  <c r="B28" i="14"/>
  <c r="C28" i="14"/>
  <c r="W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T28" i="14"/>
  <c r="B29" i="14"/>
  <c r="C29" i="14"/>
  <c r="W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T29" i="14"/>
  <c r="B30" i="14"/>
  <c r="C30" i="14"/>
  <c r="W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T30" i="14"/>
  <c r="B31" i="14"/>
  <c r="C31" i="14"/>
  <c r="W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T31" i="14"/>
  <c r="B32" i="14"/>
  <c r="C32" i="14"/>
  <c r="W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T32" i="14"/>
  <c r="B33" i="14"/>
  <c r="C33" i="14"/>
  <c r="W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T33" i="14"/>
  <c r="B34" i="14"/>
  <c r="C34" i="14"/>
  <c r="W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T34" i="14"/>
  <c r="W36" i="14"/>
  <c r="AT36" i="14"/>
  <c r="A37" i="14"/>
  <c r="C2" i="23"/>
  <c r="G2" i="23"/>
  <c r="C3" i="23"/>
  <c r="G3" i="23"/>
  <c r="C4" i="23"/>
  <c r="G4" i="23"/>
  <c r="K4" i="23"/>
  <c r="C5" i="23"/>
  <c r="G5" i="23"/>
  <c r="C6" i="23"/>
  <c r="G6" i="23"/>
  <c r="N6" i="23"/>
  <c r="C7" i="23"/>
  <c r="G7" i="23"/>
  <c r="N7" i="23"/>
  <c r="C8" i="23"/>
  <c r="G8" i="23"/>
  <c r="N8" i="23"/>
  <c r="C9" i="23"/>
  <c r="G9" i="23"/>
  <c r="N9" i="23"/>
  <c r="C10" i="23"/>
  <c r="G10" i="23"/>
  <c r="N10" i="23"/>
  <c r="C11" i="23"/>
  <c r="G11" i="23"/>
  <c r="N11" i="23"/>
  <c r="C12" i="23"/>
  <c r="G12" i="23"/>
  <c r="N12" i="23"/>
  <c r="C13" i="23"/>
  <c r="G13" i="23"/>
  <c r="L13" i="23"/>
  <c r="N13" i="23"/>
  <c r="C14" i="23"/>
  <c r="G14" i="23"/>
  <c r="M14" i="23"/>
  <c r="C15" i="23"/>
  <c r="G15" i="23"/>
  <c r="K15" i="23"/>
  <c r="C16" i="23"/>
  <c r="G16" i="23"/>
  <c r="K16" i="23"/>
  <c r="C17" i="23"/>
  <c r="G17" i="23"/>
  <c r="N17" i="23"/>
  <c r="O17" i="23"/>
  <c r="C18" i="23"/>
  <c r="G18" i="23"/>
  <c r="K18" i="23"/>
  <c r="N18" i="23"/>
  <c r="O18" i="23"/>
  <c r="C19" i="23"/>
  <c r="G19" i="23"/>
  <c r="N19" i="23"/>
  <c r="O19" i="23"/>
  <c r="C20" i="23"/>
  <c r="G20" i="23"/>
  <c r="N20" i="23"/>
  <c r="O20" i="23"/>
  <c r="C21" i="23"/>
  <c r="G21" i="23"/>
  <c r="C22" i="23"/>
  <c r="G22" i="23"/>
  <c r="C23" i="23"/>
  <c r="G23" i="23"/>
  <c r="C24" i="23"/>
  <c r="G24" i="23"/>
  <c r="C25" i="23"/>
  <c r="G25" i="23"/>
  <c r="C26" i="23"/>
  <c r="G26" i="23"/>
  <c r="C27" i="23"/>
  <c r="G27" i="23"/>
  <c r="C28" i="23"/>
  <c r="G28" i="23"/>
  <c r="C29" i="23"/>
  <c r="G29" i="23"/>
  <c r="C30" i="23"/>
  <c r="G30" i="23"/>
  <c r="C31" i="23"/>
  <c r="G31" i="23"/>
  <c r="A33" i="23"/>
  <c r="B33" i="23"/>
  <c r="C33" i="23"/>
  <c r="E33" i="23"/>
  <c r="F33" i="23"/>
  <c r="G33" i="23"/>
  <c r="I33" i="23"/>
  <c r="E35" i="23"/>
  <c r="F35" i="23"/>
  <c r="G35" i="23"/>
  <c r="I35" i="23"/>
  <c r="E37" i="23"/>
  <c r="F37" i="23"/>
  <c r="G37" i="23"/>
  <c r="I37" i="23"/>
  <c r="B38" i="23"/>
  <c r="B39" i="23"/>
  <c r="I39" i="23"/>
  <c r="C2" i="16"/>
  <c r="G2" i="16"/>
  <c r="C3" i="16"/>
  <c r="G3" i="16"/>
  <c r="C4" i="16"/>
  <c r="G4" i="16"/>
  <c r="C5" i="16"/>
  <c r="G5" i="16"/>
  <c r="C6" i="16"/>
  <c r="G6" i="16"/>
  <c r="C7" i="16"/>
  <c r="G7" i="16"/>
  <c r="C8" i="16"/>
  <c r="G8" i="16"/>
  <c r="C9" i="16"/>
  <c r="G9" i="16"/>
  <c r="C10" i="16"/>
  <c r="G10" i="16"/>
  <c r="C11" i="16"/>
  <c r="G11" i="16"/>
  <c r="C12" i="16"/>
  <c r="G12" i="16"/>
  <c r="C13" i="16"/>
  <c r="G13" i="16"/>
  <c r="C14" i="16"/>
  <c r="G14" i="16"/>
  <c r="L14" i="16"/>
  <c r="C15" i="16"/>
  <c r="G15" i="16"/>
  <c r="L15" i="16"/>
  <c r="C16" i="16"/>
  <c r="G16" i="16"/>
  <c r="L16" i="16"/>
  <c r="C17" i="16"/>
  <c r="G17" i="16"/>
  <c r="L17" i="16"/>
  <c r="C18" i="16"/>
  <c r="G18" i="16"/>
  <c r="L18" i="16"/>
  <c r="C19" i="16"/>
  <c r="G19" i="16"/>
  <c r="L19" i="16"/>
  <c r="C20" i="16"/>
  <c r="G20" i="16"/>
  <c r="C21" i="16"/>
  <c r="G21" i="16"/>
  <c r="C22" i="16"/>
  <c r="G22" i="16"/>
  <c r="C23" i="16"/>
  <c r="G23" i="16"/>
  <c r="C24" i="16"/>
  <c r="G24" i="16"/>
  <c r="C25" i="16"/>
  <c r="G25" i="16"/>
  <c r="C26" i="16"/>
  <c r="G26" i="16"/>
  <c r="C27" i="16"/>
  <c r="G27" i="16"/>
  <c r="C28" i="16"/>
  <c r="G28" i="16"/>
  <c r="C29" i="16"/>
  <c r="G29" i="16"/>
  <c r="C30" i="16"/>
  <c r="G30" i="16"/>
  <c r="C31" i="16"/>
  <c r="G31" i="16"/>
  <c r="C32" i="16"/>
  <c r="G32" i="16"/>
  <c r="C33" i="16"/>
  <c r="G33" i="16"/>
  <c r="C34" i="16"/>
  <c r="G34" i="16"/>
  <c r="G35" i="16"/>
  <c r="G36" i="16"/>
  <c r="C37" i="16"/>
  <c r="G37" i="16"/>
  <c r="A39" i="16"/>
  <c r="B39" i="16"/>
  <c r="C39" i="16"/>
  <c r="E39" i="16"/>
  <c r="F39" i="16"/>
  <c r="G39" i="16"/>
  <c r="I39" i="16"/>
  <c r="E41" i="16"/>
  <c r="F41" i="16"/>
  <c r="G41" i="16"/>
  <c r="I41" i="16"/>
  <c r="E43" i="16"/>
  <c r="F43" i="16"/>
  <c r="G43" i="16"/>
  <c r="I43" i="16"/>
  <c r="B44" i="16"/>
  <c r="B45" i="16"/>
  <c r="I45" i="16"/>
  <c r="C2" i="18"/>
  <c r="G2" i="18"/>
  <c r="C3" i="18"/>
  <c r="G3" i="18"/>
  <c r="C4" i="18"/>
  <c r="G4" i="18"/>
  <c r="K4" i="18"/>
  <c r="C5" i="18"/>
  <c r="G5" i="18"/>
  <c r="C6" i="18"/>
  <c r="G6" i="18"/>
  <c r="C7" i="18"/>
  <c r="G7" i="18"/>
  <c r="C8" i="18"/>
  <c r="G8" i="18"/>
  <c r="C9" i="18"/>
  <c r="G9" i="18"/>
  <c r="C10" i="18"/>
  <c r="G10" i="18"/>
  <c r="C11" i="18"/>
  <c r="G11" i="18"/>
  <c r="C12" i="18"/>
  <c r="G12" i="18"/>
  <c r="C13" i="18"/>
  <c r="G13" i="18"/>
  <c r="L13" i="18"/>
  <c r="M13" i="18"/>
  <c r="C14" i="18"/>
  <c r="G14" i="18"/>
  <c r="L14" i="18"/>
  <c r="M14" i="18"/>
  <c r="C15" i="18"/>
  <c r="G15" i="18"/>
  <c r="L15" i="18"/>
  <c r="M15" i="18"/>
  <c r="C16" i="18"/>
  <c r="G16" i="18"/>
  <c r="L16" i="18"/>
  <c r="M16" i="18"/>
  <c r="C17" i="18"/>
  <c r="G17" i="18"/>
  <c r="L17" i="18"/>
  <c r="M17" i="18"/>
  <c r="C18" i="18"/>
  <c r="G18" i="18"/>
  <c r="C19" i="18"/>
  <c r="G19" i="18"/>
  <c r="C20" i="18"/>
  <c r="G20" i="18"/>
  <c r="C21" i="18"/>
  <c r="G21" i="18"/>
  <c r="C22" i="18"/>
  <c r="G22" i="18"/>
  <c r="C23" i="18"/>
  <c r="G23" i="18"/>
  <c r="C24" i="18"/>
  <c r="G24" i="18"/>
  <c r="C25" i="18"/>
  <c r="G25" i="18"/>
  <c r="C26" i="18"/>
  <c r="G26" i="18"/>
  <c r="K26" i="18"/>
  <c r="C27" i="18"/>
  <c r="G27" i="18"/>
  <c r="C28" i="18"/>
  <c r="G28" i="18"/>
  <c r="C29" i="18"/>
  <c r="G29" i="18"/>
  <c r="C30" i="18"/>
  <c r="G30" i="18"/>
  <c r="C31" i="18"/>
  <c r="G31" i="18"/>
  <c r="C32" i="18"/>
  <c r="G32" i="18"/>
  <c r="C33" i="18"/>
  <c r="G33" i="18"/>
  <c r="C34" i="18"/>
  <c r="G34" i="18"/>
  <c r="C35" i="18"/>
  <c r="G35" i="18"/>
  <c r="A37" i="18"/>
  <c r="B37" i="18"/>
  <c r="C37" i="18"/>
  <c r="E37" i="18"/>
  <c r="F37" i="18"/>
  <c r="G37" i="18"/>
  <c r="I37" i="18"/>
  <c r="E39" i="18"/>
  <c r="F39" i="18"/>
  <c r="G39" i="18"/>
  <c r="I39" i="18"/>
  <c r="E41" i="18"/>
  <c r="F41" i="18"/>
  <c r="G41" i="18"/>
  <c r="I41" i="18"/>
  <c r="B42" i="18"/>
  <c r="B43" i="18"/>
  <c r="I43" i="18"/>
  <c r="C2" i="21"/>
  <c r="G2" i="21"/>
  <c r="C3" i="21"/>
  <c r="G3" i="21"/>
  <c r="C4" i="21"/>
  <c r="G4" i="21"/>
  <c r="K4" i="21"/>
  <c r="C5" i="21"/>
  <c r="G5" i="21"/>
  <c r="C6" i="21"/>
  <c r="G6" i="21"/>
  <c r="C7" i="21"/>
  <c r="G7" i="21"/>
  <c r="O7" i="21"/>
  <c r="C8" i="21"/>
  <c r="G8" i="21"/>
  <c r="O8" i="21"/>
  <c r="C9" i="21"/>
  <c r="G9" i="21"/>
  <c r="K9" i="21"/>
  <c r="M9" i="21"/>
  <c r="O9" i="21"/>
  <c r="C10" i="21"/>
  <c r="G10" i="21"/>
  <c r="O10" i="21"/>
  <c r="C11" i="21"/>
  <c r="G11" i="21"/>
  <c r="C12" i="21"/>
  <c r="G12" i="21"/>
  <c r="C13" i="21"/>
  <c r="G13" i="21"/>
  <c r="C14" i="21"/>
  <c r="G14" i="21"/>
  <c r="C15" i="21"/>
  <c r="G15" i="21"/>
  <c r="C16" i="21"/>
  <c r="G16" i="21"/>
  <c r="L16" i="21"/>
  <c r="C17" i="21"/>
  <c r="G17" i="21"/>
  <c r="C18" i="21"/>
  <c r="G18" i="21"/>
  <c r="C19" i="21"/>
  <c r="G19" i="21"/>
  <c r="C20" i="21"/>
  <c r="G20" i="21"/>
  <c r="C21" i="21"/>
  <c r="G21" i="21"/>
  <c r="C22" i="21"/>
  <c r="G22" i="21"/>
  <c r="C23" i="21"/>
  <c r="G23" i="21"/>
  <c r="C24" i="21"/>
  <c r="G24" i="21"/>
  <c r="C25" i="21"/>
  <c r="G25" i="21"/>
  <c r="C26" i="21"/>
  <c r="G26" i="21"/>
  <c r="K26" i="21"/>
  <c r="C27" i="21"/>
  <c r="G27" i="21"/>
  <c r="C28" i="21"/>
  <c r="G28" i="21"/>
  <c r="C29" i="21"/>
  <c r="G29" i="21"/>
  <c r="C30" i="21"/>
  <c r="G30" i="21"/>
  <c r="C31" i="21"/>
  <c r="G31" i="21"/>
  <c r="C32" i="21"/>
  <c r="G32" i="21"/>
  <c r="C33" i="21"/>
  <c r="G33" i="21"/>
  <c r="C34" i="21"/>
  <c r="G34" i="21"/>
  <c r="C35" i="21"/>
  <c r="G35" i="21"/>
  <c r="C36" i="21"/>
  <c r="G36" i="21"/>
  <c r="C37" i="21"/>
  <c r="G37" i="21"/>
  <c r="C38" i="21"/>
  <c r="G38" i="21"/>
  <c r="A40" i="21"/>
  <c r="B40" i="21"/>
  <c r="C40" i="21"/>
  <c r="E40" i="21"/>
  <c r="F40" i="21"/>
  <c r="G40" i="21"/>
  <c r="I40" i="21"/>
  <c r="E42" i="21"/>
  <c r="F42" i="21"/>
  <c r="G42" i="21"/>
  <c r="I42" i="21"/>
  <c r="E44" i="21"/>
  <c r="F44" i="21"/>
  <c r="G44" i="21"/>
  <c r="I44" i="21"/>
  <c r="B45" i="21"/>
  <c r="B46" i="21"/>
  <c r="I46" i="21"/>
  <c r="C2" i="20"/>
  <c r="G2" i="20"/>
  <c r="C3" i="20"/>
  <c r="G3" i="20"/>
  <c r="C4" i="20"/>
  <c r="G4" i="20"/>
  <c r="K4" i="20"/>
  <c r="C5" i="20"/>
  <c r="G5" i="20"/>
  <c r="C6" i="20"/>
  <c r="G6" i="20"/>
  <c r="N6" i="20"/>
  <c r="C7" i="20"/>
  <c r="G7" i="20"/>
  <c r="N7" i="20"/>
  <c r="C8" i="20"/>
  <c r="G8" i="20"/>
  <c r="N8" i="20"/>
  <c r="C9" i="20"/>
  <c r="G9" i="20"/>
  <c r="N9" i="20"/>
  <c r="C10" i="20"/>
  <c r="G10" i="20"/>
  <c r="K10" i="20"/>
  <c r="N10" i="20"/>
  <c r="C11" i="20"/>
  <c r="G11" i="20"/>
  <c r="K11" i="20"/>
  <c r="N11" i="20"/>
  <c r="C12" i="20"/>
  <c r="G12" i="20"/>
  <c r="K12" i="20"/>
  <c r="N12" i="20"/>
  <c r="C13" i="20"/>
  <c r="G13" i="20"/>
  <c r="L13" i="20"/>
  <c r="N13" i="20"/>
  <c r="C14" i="20"/>
  <c r="G14" i="20"/>
  <c r="M14" i="20"/>
  <c r="C15" i="20"/>
  <c r="G15" i="20"/>
  <c r="C16" i="20"/>
  <c r="G16" i="20"/>
  <c r="C17" i="20"/>
  <c r="G17" i="20"/>
  <c r="C18" i="20"/>
  <c r="G18" i="20"/>
  <c r="C19" i="20"/>
  <c r="G19" i="20"/>
  <c r="C20" i="20"/>
  <c r="G20" i="20"/>
  <c r="C21" i="20"/>
  <c r="G21" i="20"/>
  <c r="C22" i="20"/>
  <c r="G22" i="20"/>
  <c r="C23" i="20"/>
  <c r="G23" i="20"/>
  <c r="C24" i="20"/>
  <c r="G24" i="20"/>
  <c r="C25" i="20"/>
  <c r="G25" i="20"/>
  <c r="C26" i="20"/>
  <c r="G26" i="20"/>
  <c r="C27" i="20"/>
  <c r="G27" i="20"/>
  <c r="C28" i="20"/>
  <c r="G28" i="20"/>
  <c r="C29" i="20"/>
  <c r="G29" i="20"/>
  <c r="C30" i="20"/>
  <c r="G30" i="20"/>
  <c r="C31" i="20"/>
  <c r="G31" i="20"/>
  <c r="A33" i="20"/>
  <c r="B33" i="20"/>
  <c r="C33" i="20"/>
  <c r="E33" i="20"/>
  <c r="F33" i="20"/>
  <c r="G33" i="20"/>
  <c r="I33" i="20"/>
  <c r="E35" i="20"/>
  <c r="F35" i="20"/>
  <c r="G35" i="20"/>
  <c r="I35" i="20"/>
  <c r="E37" i="20"/>
  <c r="F37" i="20"/>
  <c r="G37" i="20"/>
  <c r="I37" i="20"/>
  <c r="B38" i="20"/>
  <c r="B39" i="20"/>
  <c r="I39" i="20"/>
  <c r="B4" i="26"/>
  <c r="C4" i="26"/>
  <c r="P4" i="26"/>
  <c r="R4" i="26"/>
  <c r="S4" i="26"/>
  <c r="T4" i="26"/>
  <c r="U4" i="26"/>
  <c r="V4" i="26"/>
  <c r="AE4" i="26"/>
  <c r="B5" i="26"/>
  <c r="C5" i="26"/>
  <c r="P5" i="26"/>
  <c r="R5" i="26"/>
  <c r="S5" i="26"/>
  <c r="T5" i="26"/>
  <c r="U5" i="26"/>
  <c r="V5" i="26"/>
  <c r="W5" i="26"/>
  <c r="X5" i="26"/>
  <c r="Y5" i="26"/>
  <c r="Z5" i="26"/>
  <c r="AA5" i="26"/>
  <c r="AB5" i="26"/>
  <c r="AE5" i="26"/>
  <c r="B6" i="26"/>
  <c r="C6" i="26"/>
  <c r="P6" i="26"/>
  <c r="R6" i="26"/>
  <c r="S6" i="26"/>
  <c r="T6" i="26"/>
  <c r="U6" i="26"/>
  <c r="V6" i="26"/>
  <c r="W6" i="26"/>
  <c r="X6" i="26"/>
  <c r="Y6" i="26"/>
  <c r="Z6" i="26"/>
  <c r="AA6" i="26"/>
  <c r="AB6" i="26"/>
  <c r="AE6" i="26"/>
  <c r="B7" i="26"/>
  <c r="C7" i="26"/>
  <c r="P7" i="26"/>
  <c r="R7" i="26"/>
  <c r="S7" i="26"/>
  <c r="T7" i="26"/>
  <c r="U7" i="26"/>
  <c r="V7" i="26"/>
  <c r="W7" i="26"/>
  <c r="X7" i="26"/>
  <c r="Y7" i="26"/>
  <c r="Z7" i="26"/>
  <c r="AA7" i="26"/>
  <c r="AB7" i="26"/>
  <c r="AE7" i="26"/>
  <c r="B8" i="26"/>
  <c r="C8" i="26"/>
  <c r="P8" i="26"/>
  <c r="R8" i="26"/>
  <c r="S8" i="26"/>
  <c r="T8" i="26"/>
  <c r="U8" i="26"/>
  <c r="V8" i="26"/>
  <c r="W8" i="26"/>
  <c r="X8" i="26"/>
  <c r="Y8" i="26"/>
  <c r="Z8" i="26"/>
  <c r="AA8" i="26"/>
  <c r="AB8" i="26"/>
  <c r="AE8" i="26"/>
  <c r="B9" i="26"/>
  <c r="C9" i="26"/>
  <c r="P9" i="26"/>
  <c r="R9" i="26"/>
  <c r="S9" i="26"/>
  <c r="T9" i="26"/>
  <c r="U9" i="26"/>
  <c r="V9" i="26"/>
  <c r="W9" i="26"/>
  <c r="X9" i="26"/>
  <c r="Y9" i="26"/>
  <c r="Z9" i="26"/>
  <c r="AA9" i="26"/>
  <c r="AB9" i="26"/>
  <c r="AE9" i="26"/>
  <c r="B10" i="26"/>
  <c r="C10" i="26"/>
  <c r="P10" i="26"/>
  <c r="R10" i="26"/>
  <c r="S10" i="26"/>
  <c r="T10" i="26"/>
  <c r="U10" i="26"/>
  <c r="V10" i="26"/>
  <c r="W10" i="26"/>
  <c r="X10" i="26"/>
  <c r="Y10" i="26"/>
  <c r="Z10" i="26"/>
  <c r="AA10" i="26"/>
  <c r="AB10" i="26"/>
  <c r="AE10" i="26"/>
  <c r="B11" i="26"/>
  <c r="C11" i="26"/>
  <c r="P11" i="26"/>
  <c r="R11" i="26"/>
  <c r="S11" i="26"/>
  <c r="T11" i="26"/>
  <c r="U11" i="26"/>
  <c r="V11" i="26"/>
  <c r="W11" i="26"/>
  <c r="X11" i="26"/>
  <c r="Y11" i="26"/>
  <c r="Z11" i="26"/>
  <c r="AA11" i="26"/>
  <c r="AB11" i="26"/>
  <c r="AE11" i="26"/>
  <c r="B12" i="26"/>
  <c r="C12" i="26"/>
  <c r="P12" i="26"/>
  <c r="R12" i="26"/>
  <c r="S12" i="26"/>
  <c r="T12" i="26"/>
  <c r="U12" i="26"/>
  <c r="V12" i="26"/>
  <c r="W12" i="26"/>
  <c r="X12" i="26"/>
  <c r="Y12" i="26"/>
  <c r="Z12" i="26"/>
  <c r="AA12" i="26"/>
  <c r="AB12" i="26"/>
  <c r="AE12" i="26"/>
  <c r="B13" i="26"/>
  <c r="C13" i="26"/>
  <c r="P13" i="26"/>
  <c r="R13" i="26"/>
  <c r="S13" i="26"/>
  <c r="T13" i="26"/>
  <c r="U13" i="26"/>
  <c r="V13" i="26"/>
  <c r="W13" i="26"/>
  <c r="X13" i="26"/>
  <c r="Y13" i="26"/>
  <c r="Z13" i="26"/>
  <c r="AA13" i="26"/>
  <c r="AB13" i="26"/>
  <c r="AE13" i="26"/>
  <c r="B14" i="26"/>
  <c r="C14" i="26"/>
  <c r="P14" i="26"/>
  <c r="R14" i="26"/>
  <c r="S14" i="26"/>
  <c r="T14" i="26"/>
  <c r="U14" i="26"/>
  <c r="V14" i="26"/>
  <c r="W14" i="26"/>
  <c r="X14" i="26"/>
  <c r="Y14" i="26"/>
  <c r="Z14" i="26"/>
  <c r="AA14" i="26"/>
  <c r="AB14" i="26"/>
  <c r="AE14" i="26"/>
  <c r="B15" i="26"/>
  <c r="C15" i="26"/>
  <c r="P15" i="26"/>
  <c r="R15" i="26"/>
  <c r="S15" i="26"/>
  <c r="T15" i="26"/>
  <c r="U15" i="26"/>
  <c r="V15" i="26"/>
  <c r="W15" i="26"/>
  <c r="X15" i="26"/>
  <c r="Y15" i="26"/>
  <c r="Z15" i="26"/>
  <c r="AA15" i="26"/>
  <c r="AB15" i="26"/>
  <c r="AE15" i="26"/>
  <c r="B16" i="26"/>
  <c r="C16" i="26"/>
  <c r="P16" i="26"/>
  <c r="R16" i="26"/>
  <c r="S16" i="26"/>
  <c r="T16" i="26"/>
  <c r="U16" i="26"/>
  <c r="V16" i="26"/>
  <c r="W16" i="26"/>
  <c r="X16" i="26"/>
  <c r="Y16" i="26"/>
  <c r="Z16" i="26"/>
  <c r="AA16" i="26"/>
  <c r="AB16" i="26"/>
  <c r="AE16" i="26"/>
  <c r="B17" i="26"/>
  <c r="C17" i="26"/>
  <c r="P17" i="26"/>
  <c r="R17" i="26"/>
  <c r="S17" i="26"/>
  <c r="T17" i="26"/>
  <c r="U17" i="26"/>
  <c r="V17" i="26"/>
  <c r="W17" i="26"/>
  <c r="X17" i="26"/>
  <c r="Y17" i="26"/>
  <c r="Z17" i="26"/>
  <c r="AA17" i="26"/>
  <c r="AB17" i="26"/>
  <c r="AE17" i="26"/>
  <c r="B18" i="26"/>
  <c r="C18" i="26"/>
  <c r="P18" i="26"/>
  <c r="R18" i="26"/>
  <c r="S18" i="26"/>
  <c r="T18" i="26"/>
  <c r="U18" i="26"/>
  <c r="V18" i="26"/>
  <c r="W18" i="26"/>
  <c r="X18" i="26"/>
  <c r="Y18" i="26"/>
  <c r="Z18" i="26"/>
  <c r="AA18" i="26"/>
  <c r="AB18" i="26"/>
  <c r="AE18" i="26"/>
  <c r="B19" i="26"/>
  <c r="C19" i="26"/>
  <c r="P19" i="26"/>
  <c r="R19" i="26"/>
  <c r="S19" i="26"/>
  <c r="T19" i="26"/>
  <c r="U19" i="26"/>
  <c r="V19" i="26"/>
  <c r="W19" i="26"/>
  <c r="X19" i="26"/>
  <c r="Y19" i="26"/>
  <c r="Z19" i="26"/>
  <c r="AA19" i="26"/>
  <c r="AB19" i="26"/>
  <c r="AE19" i="26"/>
  <c r="B20" i="26"/>
  <c r="C20" i="26"/>
  <c r="P20" i="26"/>
  <c r="R20" i="26"/>
  <c r="S20" i="26"/>
  <c r="T20" i="26"/>
  <c r="U20" i="26"/>
  <c r="V20" i="26"/>
  <c r="W20" i="26"/>
  <c r="X20" i="26"/>
  <c r="Y20" i="26"/>
  <c r="Z20" i="26"/>
  <c r="AA20" i="26"/>
  <c r="AB20" i="26"/>
  <c r="AE20" i="26"/>
  <c r="B21" i="26"/>
  <c r="C21" i="26"/>
  <c r="P21" i="26"/>
  <c r="R21" i="26"/>
  <c r="S21" i="26"/>
  <c r="T21" i="26"/>
  <c r="U21" i="26"/>
  <c r="V21" i="26"/>
  <c r="W21" i="26"/>
  <c r="X21" i="26"/>
  <c r="Y21" i="26"/>
  <c r="Z21" i="26"/>
  <c r="AA21" i="26"/>
  <c r="AB21" i="26"/>
  <c r="AE21" i="26"/>
  <c r="B22" i="26"/>
  <c r="C22" i="26"/>
  <c r="P22" i="26"/>
  <c r="R22" i="26"/>
  <c r="S22" i="26"/>
  <c r="T22" i="26"/>
  <c r="U22" i="26"/>
  <c r="V22" i="26"/>
  <c r="W22" i="26"/>
  <c r="X22" i="26"/>
  <c r="Y22" i="26"/>
  <c r="Z22" i="26"/>
  <c r="AA22" i="26"/>
  <c r="AB22" i="26"/>
  <c r="AE22" i="26"/>
  <c r="B23" i="26"/>
  <c r="C23" i="26"/>
  <c r="P23" i="26"/>
  <c r="R23" i="26"/>
  <c r="S23" i="26"/>
  <c r="T23" i="26"/>
  <c r="U23" i="26"/>
  <c r="V23" i="26"/>
  <c r="W23" i="26"/>
  <c r="X23" i="26"/>
  <c r="Y23" i="26"/>
  <c r="Z23" i="26"/>
  <c r="AA23" i="26"/>
  <c r="AB23" i="26"/>
  <c r="AE23" i="26"/>
  <c r="B24" i="26"/>
  <c r="C24" i="26"/>
  <c r="P24" i="26"/>
  <c r="R24" i="26"/>
  <c r="S24" i="26"/>
  <c r="T24" i="26"/>
  <c r="U24" i="26"/>
  <c r="V24" i="26"/>
  <c r="W24" i="26"/>
  <c r="X24" i="26"/>
  <c r="Y24" i="26"/>
  <c r="Z24" i="26"/>
  <c r="AA24" i="26"/>
  <c r="AB24" i="26"/>
  <c r="AE24" i="26"/>
  <c r="B25" i="26"/>
  <c r="C25" i="26"/>
  <c r="P25" i="26"/>
  <c r="R25" i="26"/>
  <c r="S25" i="26"/>
  <c r="T25" i="26"/>
  <c r="U25" i="26"/>
  <c r="V25" i="26"/>
  <c r="W25" i="26"/>
  <c r="X25" i="26"/>
  <c r="Y25" i="26"/>
  <c r="Z25" i="26"/>
  <c r="AA25" i="26"/>
  <c r="AB25" i="26"/>
  <c r="AE25" i="26"/>
  <c r="B26" i="26"/>
  <c r="C26" i="26"/>
  <c r="P26" i="26"/>
  <c r="R26" i="26"/>
  <c r="S26" i="26"/>
  <c r="T26" i="26"/>
  <c r="U26" i="26"/>
  <c r="V26" i="26"/>
  <c r="W26" i="26"/>
  <c r="X26" i="26"/>
  <c r="Y26" i="26"/>
  <c r="Z26" i="26"/>
  <c r="AA26" i="26"/>
  <c r="AB26" i="26"/>
  <c r="AE26" i="26"/>
  <c r="B27" i="26"/>
  <c r="C27" i="26"/>
  <c r="P27" i="26"/>
  <c r="R27" i="26"/>
  <c r="S27" i="26"/>
  <c r="T27" i="26"/>
  <c r="U27" i="26"/>
  <c r="V27" i="26"/>
  <c r="W27" i="26"/>
  <c r="X27" i="26"/>
  <c r="Y27" i="26"/>
  <c r="Z27" i="26"/>
  <c r="AA27" i="26"/>
  <c r="AB27" i="26"/>
  <c r="AE27" i="26"/>
  <c r="B28" i="26"/>
  <c r="C28" i="26"/>
  <c r="P28" i="26"/>
  <c r="R28" i="26"/>
  <c r="S28" i="26"/>
  <c r="T28" i="26"/>
  <c r="U28" i="26"/>
  <c r="V28" i="26"/>
  <c r="W28" i="26"/>
  <c r="X28" i="26"/>
  <c r="Y28" i="26"/>
  <c r="Z28" i="26"/>
  <c r="AA28" i="26"/>
  <c r="AB28" i="26"/>
  <c r="AE28" i="26"/>
  <c r="B29" i="26"/>
  <c r="C29" i="26"/>
  <c r="P29" i="26"/>
  <c r="R29" i="26"/>
  <c r="S29" i="26"/>
  <c r="T29" i="26"/>
  <c r="U29" i="26"/>
  <c r="V29" i="26"/>
  <c r="W29" i="26"/>
  <c r="X29" i="26"/>
  <c r="Y29" i="26"/>
  <c r="Z29" i="26"/>
  <c r="AA29" i="26"/>
  <c r="AB29" i="26"/>
  <c r="AE29" i="26"/>
  <c r="B30" i="26"/>
  <c r="C30" i="26"/>
  <c r="P30" i="26"/>
  <c r="R30" i="26"/>
  <c r="S30" i="26"/>
  <c r="T30" i="26"/>
  <c r="U30" i="26"/>
  <c r="V30" i="26"/>
  <c r="W30" i="26"/>
  <c r="X30" i="26"/>
  <c r="Y30" i="26"/>
  <c r="Z30" i="26"/>
  <c r="AA30" i="26"/>
  <c r="AB30" i="26"/>
  <c r="AE30" i="26"/>
  <c r="B31" i="26"/>
  <c r="C31" i="26"/>
  <c r="P31" i="26"/>
  <c r="R31" i="26"/>
  <c r="S31" i="26"/>
  <c r="T31" i="26"/>
  <c r="U31" i="26"/>
  <c r="V31" i="26"/>
  <c r="W31" i="26"/>
  <c r="X31" i="26"/>
  <c r="Y31" i="26"/>
  <c r="Z31" i="26"/>
  <c r="AA31" i="26"/>
  <c r="AB31" i="26"/>
  <c r="AE31" i="26"/>
  <c r="B32" i="26"/>
  <c r="C32" i="26"/>
  <c r="P32" i="26"/>
  <c r="R32" i="26"/>
  <c r="S32" i="26"/>
  <c r="T32" i="26"/>
  <c r="U32" i="26"/>
  <c r="V32" i="26"/>
  <c r="W32" i="26"/>
  <c r="X32" i="26"/>
  <c r="Y32" i="26"/>
  <c r="Z32" i="26"/>
  <c r="AA32" i="26"/>
  <c r="AB32" i="26"/>
  <c r="AE32" i="26"/>
  <c r="B33" i="26"/>
  <c r="C33" i="26"/>
  <c r="P33" i="26"/>
  <c r="R33" i="26"/>
  <c r="S33" i="26"/>
  <c r="T33" i="26"/>
  <c r="U33" i="26"/>
  <c r="V33" i="26"/>
  <c r="W33" i="26"/>
  <c r="X33" i="26"/>
  <c r="Y33" i="26"/>
  <c r="Z33" i="26"/>
  <c r="AA33" i="26"/>
  <c r="AB33" i="26"/>
  <c r="AE33" i="26"/>
  <c r="B34" i="26"/>
  <c r="C34" i="26"/>
  <c r="P34" i="26"/>
  <c r="R34" i="26"/>
  <c r="S34" i="26"/>
  <c r="T34" i="26"/>
  <c r="U34" i="26"/>
  <c r="V34" i="26"/>
  <c r="W34" i="26"/>
  <c r="X34" i="26"/>
  <c r="Y34" i="26"/>
  <c r="Z34" i="26"/>
  <c r="AA34" i="26"/>
  <c r="AB34" i="26"/>
  <c r="AE34" i="26"/>
  <c r="P36" i="26"/>
  <c r="AE36" i="26"/>
  <c r="A37" i="26"/>
  <c r="B2" i="24"/>
  <c r="C2" i="24"/>
  <c r="G2" i="24"/>
  <c r="C3" i="24"/>
  <c r="G3" i="24"/>
  <c r="C4" i="24"/>
  <c r="G4" i="24"/>
  <c r="K4" i="24"/>
  <c r="C5" i="24"/>
  <c r="G5" i="24"/>
  <c r="C6" i="24"/>
  <c r="G6" i="24"/>
  <c r="N6" i="24"/>
  <c r="C7" i="24"/>
  <c r="G7" i="24"/>
  <c r="N7" i="24"/>
  <c r="C8" i="24"/>
  <c r="G8" i="24"/>
  <c r="N8" i="24"/>
  <c r="C9" i="24"/>
  <c r="G9" i="24"/>
  <c r="N9" i="24"/>
  <c r="C10" i="24"/>
  <c r="G10" i="24"/>
  <c r="N10" i="24"/>
  <c r="C11" i="24"/>
  <c r="G11" i="24"/>
  <c r="N11" i="24"/>
  <c r="C12" i="24"/>
  <c r="G12" i="24"/>
  <c r="N12" i="24"/>
  <c r="C13" i="24"/>
  <c r="G13" i="24"/>
  <c r="L13" i="24"/>
  <c r="N13" i="24"/>
  <c r="C14" i="24"/>
  <c r="G14" i="24"/>
  <c r="M14" i="24"/>
  <c r="C15" i="24"/>
  <c r="G15" i="24"/>
  <c r="K15" i="24"/>
  <c r="C16" i="24"/>
  <c r="G16" i="24"/>
  <c r="K16" i="24"/>
  <c r="C17" i="24"/>
  <c r="G17" i="24"/>
  <c r="C18" i="24"/>
  <c r="G18" i="24"/>
  <c r="K18" i="24"/>
  <c r="C19" i="24"/>
  <c r="G19" i="24"/>
  <c r="C20" i="24"/>
  <c r="G20" i="24"/>
  <c r="K20" i="24"/>
  <c r="C21" i="24"/>
  <c r="G21" i="24"/>
  <c r="C22" i="24"/>
  <c r="G22" i="24"/>
  <c r="C23" i="24"/>
  <c r="G23" i="24"/>
  <c r="C24" i="24"/>
  <c r="G24" i="24"/>
  <c r="C25" i="24"/>
  <c r="G25" i="24"/>
  <c r="C26" i="24"/>
  <c r="G26" i="24"/>
  <c r="C27" i="24"/>
  <c r="G27" i="24"/>
  <c r="C28" i="24"/>
  <c r="G28" i="24"/>
  <c r="C29" i="24"/>
  <c r="G29" i="24"/>
  <c r="C30" i="24"/>
  <c r="G30" i="24"/>
  <c r="C31" i="24"/>
  <c r="G31" i="24"/>
  <c r="A33" i="24"/>
  <c r="B33" i="24"/>
  <c r="C33" i="24"/>
  <c r="E33" i="24"/>
  <c r="F33" i="24"/>
  <c r="G33" i="24"/>
  <c r="I33" i="24"/>
  <c r="E35" i="24"/>
  <c r="F35" i="24"/>
  <c r="G35" i="24"/>
  <c r="I35" i="24"/>
  <c r="E37" i="24"/>
  <c r="F37" i="24"/>
  <c r="G37" i="24"/>
  <c r="I37" i="24"/>
  <c r="B39" i="24"/>
  <c r="I39" i="24"/>
  <c r="D1" i="1"/>
  <c r="F1" i="1"/>
  <c r="D2" i="1"/>
  <c r="F2" i="1"/>
  <c r="D3" i="1"/>
  <c r="F4" i="1"/>
  <c r="L4" i="1"/>
  <c r="P4" i="1"/>
  <c r="F5" i="1"/>
  <c r="J5" i="1"/>
  <c r="P5" i="1"/>
  <c r="B6" i="1"/>
  <c r="F6" i="1"/>
  <c r="J6" i="1"/>
  <c r="O6" i="1"/>
  <c r="P6" i="1"/>
  <c r="B7" i="1"/>
  <c r="F7" i="1"/>
  <c r="J7" i="1"/>
  <c r="P7" i="1"/>
  <c r="B8" i="1"/>
  <c r="F8" i="1"/>
  <c r="J8" i="1"/>
  <c r="O8" i="1"/>
  <c r="P8" i="1"/>
  <c r="B9" i="1"/>
  <c r="F9" i="1"/>
  <c r="J9" i="1"/>
  <c r="P9" i="1"/>
  <c r="B10" i="1"/>
  <c r="C10" i="1"/>
  <c r="B11" i="1"/>
  <c r="C11" i="1"/>
  <c r="E12" i="1"/>
  <c r="F12" i="1"/>
  <c r="L12" i="1"/>
  <c r="M12" i="1"/>
  <c r="N12" i="1"/>
  <c r="C13" i="1"/>
  <c r="L13" i="1"/>
  <c r="M13" i="1"/>
  <c r="N13" i="1"/>
  <c r="C14" i="1"/>
  <c r="L14" i="1"/>
  <c r="M14" i="1"/>
  <c r="N14" i="1"/>
  <c r="C15" i="1"/>
  <c r="E15" i="1"/>
  <c r="F15" i="1"/>
  <c r="G15" i="1"/>
  <c r="L15" i="1"/>
  <c r="M15" i="1"/>
  <c r="N15" i="1"/>
  <c r="C16" i="1"/>
  <c r="N16" i="1"/>
  <c r="B17" i="1"/>
  <c r="C17" i="1"/>
  <c r="E17" i="1"/>
  <c r="F17" i="1"/>
  <c r="L17" i="1"/>
  <c r="M17" i="1"/>
  <c r="N17" i="1"/>
  <c r="B18" i="1"/>
  <c r="C18" i="1"/>
  <c r="E18" i="1"/>
  <c r="F18" i="1"/>
  <c r="L18" i="1"/>
  <c r="M18" i="1"/>
  <c r="N18" i="1"/>
  <c r="B19" i="1"/>
  <c r="E19" i="1"/>
  <c r="F19" i="1"/>
  <c r="L19" i="1"/>
  <c r="M19" i="1"/>
  <c r="N19" i="1"/>
  <c r="B20" i="1"/>
  <c r="E20" i="1"/>
  <c r="F20" i="1"/>
  <c r="L20" i="1"/>
  <c r="M20" i="1"/>
  <c r="N20" i="1"/>
  <c r="B21" i="1"/>
  <c r="E21" i="1"/>
  <c r="F21" i="1"/>
  <c r="L21" i="1"/>
  <c r="M21" i="1"/>
  <c r="N21" i="1"/>
  <c r="B22" i="1"/>
  <c r="E22" i="1"/>
  <c r="F22" i="1"/>
  <c r="G22" i="1"/>
  <c r="L22" i="1"/>
  <c r="M22" i="1"/>
  <c r="N22" i="1"/>
  <c r="B23" i="1"/>
  <c r="E23" i="1"/>
  <c r="F23" i="1"/>
  <c r="L23" i="1"/>
  <c r="M23" i="1"/>
  <c r="N23" i="1"/>
  <c r="B24" i="1"/>
  <c r="E24" i="1"/>
  <c r="F24" i="1"/>
  <c r="L24" i="1"/>
  <c r="M24" i="1"/>
  <c r="B25" i="1"/>
  <c r="E25" i="1"/>
  <c r="F25" i="1"/>
  <c r="L25" i="1"/>
  <c r="M25" i="1"/>
  <c r="N25" i="1"/>
  <c r="E26" i="1"/>
  <c r="F26" i="1"/>
  <c r="G26" i="1"/>
  <c r="L26" i="1"/>
  <c r="M26" i="1"/>
  <c r="E27" i="1"/>
  <c r="F27" i="1"/>
  <c r="G27" i="1"/>
  <c r="L27" i="1"/>
  <c r="M27" i="1"/>
  <c r="E28" i="1"/>
  <c r="F28" i="1"/>
  <c r="L28" i="1"/>
  <c r="M28" i="1"/>
  <c r="E29" i="1"/>
  <c r="F29" i="1"/>
  <c r="K29" i="1"/>
  <c r="L29" i="1"/>
  <c r="M29" i="1"/>
  <c r="N29" i="1"/>
  <c r="O29" i="1"/>
  <c r="P29" i="1"/>
  <c r="O31" i="1"/>
  <c r="P31" i="1"/>
  <c r="E32" i="1"/>
  <c r="F32" i="1"/>
  <c r="J32" i="1"/>
  <c r="P32" i="1"/>
  <c r="E33" i="1"/>
  <c r="F33" i="1"/>
  <c r="J33" i="1"/>
  <c r="O33" i="1"/>
  <c r="E34" i="1"/>
  <c r="F34" i="1"/>
  <c r="G34" i="1"/>
  <c r="J34" i="1"/>
  <c r="F35" i="1"/>
  <c r="J35" i="1"/>
  <c r="F36" i="1"/>
  <c r="J36" i="1"/>
  <c r="M36" i="1"/>
  <c r="I38" i="1"/>
  <c r="M38" i="1"/>
  <c r="F39" i="1"/>
  <c r="G39" i="1"/>
  <c r="F41" i="1"/>
  <c r="B4" i="13"/>
  <c r="C4" i="13"/>
  <c r="M4" i="13"/>
  <c r="O4" i="13"/>
  <c r="P4" i="13"/>
  <c r="Q4" i="13"/>
  <c r="R4" i="13"/>
  <c r="S4" i="13"/>
  <c r="T4" i="13"/>
  <c r="U4" i="13"/>
  <c r="V4" i="13"/>
  <c r="Z4" i="13"/>
  <c r="B5" i="13"/>
  <c r="C5" i="13"/>
  <c r="M5" i="13"/>
  <c r="O5" i="13"/>
  <c r="P5" i="13"/>
  <c r="Q5" i="13"/>
  <c r="R5" i="13"/>
  <c r="S5" i="13"/>
  <c r="T5" i="13"/>
  <c r="U5" i="13"/>
  <c r="V5" i="13"/>
  <c r="Z5" i="13"/>
  <c r="B6" i="13"/>
  <c r="C6" i="13"/>
  <c r="M6" i="13"/>
  <c r="O6" i="13"/>
  <c r="P6" i="13"/>
  <c r="Q6" i="13"/>
  <c r="R6" i="13"/>
  <c r="S6" i="13"/>
  <c r="T6" i="13"/>
  <c r="U6" i="13"/>
  <c r="V6" i="13"/>
  <c r="Z6" i="13"/>
  <c r="B7" i="13"/>
  <c r="C7" i="13"/>
  <c r="M7" i="13"/>
  <c r="O7" i="13"/>
  <c r="P7" i="13"/>
  <c r="Q7" i="13"/>
  <c r="R7" i="13"/>
  <c r="S7" i="13"/>
  <c r="T7" i="13"/>
  <c r="U7" i="13"/>
  <c r="V7" i="13"/>
  <c r="Z7" i="13"/>
  <c r="B8" i="13"/>
  <c r="C8" i="13"/>
  <c r="M8" i="13"/>
  <c r="O8" i="13"/>
  <c r="P8" i="13"/>
  <c r="Q8" i="13"/>
  <c r="R8" i="13"/>
  <c r="S8" i="13"/>
  <c r="T8" i="13"/>
  <c r="U8" i="13"/>
  <c r="V8" i="13"/>
  <c r="Z8" i="13"/>
  <c r="B9" i="13"/>
  <c r="C9" i="13"/>
  <c r="M9" i="13"/>
  <c r="O9" i="13"/>
  <c r="P9" i="13"/>
  <c r="Q9" i="13"/>
  <c r="R9" i="13"/>
  <c r="S9" i="13"/>
  <c r="T9" i="13"/>
  <c r="U9" i="13"/>
  <c r="V9" i="13"/>
  <c r="Z9" i="13"/>
  <c r="B10" i="13"/>
  <c r="C10" i="13"/>
  <c r="M10" i="13"/>
  <c r="O10" i="13"/>
  <c r="P10" i="13"/>
  <c r="Q10" i="13"/>
  <c r="R10" i="13"/>
  <c r="S10" i="13"/>
  <c r="T10" i="13"/>
  <c r="U10" i="13"/>
  <c r="V10" i="13"/>
  <c r="Z10" i="13"/>
  <c r="B11" i="13"/>
  <c r="C11" i="13"/>
  <c r="M11" i="13"/>
  <c r="O11" i="13"/>
  <c r="P11" i="13"/>
  <c r="Q11" i="13"/>
  <c r="R11" i="13"/>
  <c r="S11" i="13"/>
  <c r="T11" i="13"/>
  <c r="U11" i="13"/>
  <c r="V11" i="13"/>
  <c r="Z11" i="13"/>
  <c r="B12" i="13"/>
  <c r="C12" i="13"/>
  <c r="M12" i="13"/>
  <c r="O12" i="13"/>
  <c r="P12" i="13"/>
  <c r="Q12" i="13"/>
  <c r="R12" i="13"/>
  <c r="S12" i="13"/>
  <c r="T12" i="13"/>
  <c r="U12" i="13"/>
  <c r="V12" i="13"/>
  <c r="Z12" i="13"/>
  <c r="B13" i="13"/>
  <c r="C13" i="13"/>
  <c r="M13" i="13"/>
  <c r="O13" i="13"/>
  <c r="P13" i="13"/>
  <c r="Q13" i="13"/>
  <c r="R13" i="13"/>
  <c r="S13" i="13"/>
  <c r="T13" i="13"/>
  <c r="U13" i="13"/>
  <c r="V13" i="13"/>
  <c r="Z13" i="13"/>
  <c r="B14" i="13"/>
  <c r="C14" i="13"/>
  <c r="M14" i="13"/>
  <c r="O14" i="13"/>
  <c r="P14" i="13"/>
  <c r="Q14" i="13"/>
  <c r="R14" i="13"/>
  <c r="S14" i="13"/>
  <c r="T14" i="13"/>
  <c r="U14" i="13"/>
  <c r="V14" i="13"/>
  <c r="Z14" i="13"/>
  <c r="B15" i="13"/>
  <c r="C15" i="13"/>
  <c r="M15" i="13"/>
  <c r="O15" i="13"/>
  <c r="P15" i="13"/>
  <c r="Q15" i="13"/>
  <c r="R15" i="13"/>
  <c r="S15" i="13"/>
  <c r="T15" i="13"/>
  <c r="U15" i="13"/>
  <c r="V15" i="13"/>
  <c r="Z15" i="13"/>
  <c r="B16" i="13"/>
  <c r="C16" i="13"/>
  <c r="M16" i="13"/>
  <c r="O16" i="13"/>
  <c r="P16" i="13"/>
  <c r="Q16" i="13"/>
  <c r="R16" i="13"/>
  <c r="S16" i="13"/>
  <c r="T16" i="13"/>
  <c r="U16" i="13"/>
  <c r="V16" i="13"/>
  <c r="Z16" i="13"/>
  <c r="B17" i="13"/>
  <c r="C17" i="13"/>
  <c r="M17" i="13"/>
  <c r="O17" i="13"/>
  <c r="P17" i="13"/>
  <c r="Q17" i="13"/>
  <c r="R17" i="13"/>
  <c r="S17" i="13"/>
  <c r="T17" i="13"/>
  <c r="U17" i="13"/>
  <c r="V17" i="13"/>
  <c r="Z17" i="13"/>
  <c r="B18" i="13"/>
  <c r="C18" i="13"/>
  <c r="M18" i="13"/>
  <c r="O18" i="13"/>
  <c r="P18" i="13"/>
  <c r="Q18" i="13"/>
  <c r="R18" i="13"/>
  <c r="S18" i="13"/>
  <c r="T18" i="13"/>
  <c r="U18" i="13"/>
  <c r="V18" i="13"/>
  <c r="Z18" i="13"/>
  <c r="B19" i="13"/>
  <c r="C19" i="13"/>
  <c r="M19" i="13"/>
  <c r="O19" i="13"/>
  <c r="P19" i="13"/>
  <c r="Q19" i="13"/>
  <c r="R19" i="13"/>
  <c r="S19" i="13"/>
  <c r="T19" i="13"/>
  <c r="U19" i="13"/>
  <c r="V19" i="13"/>
  <c r="Z19" i="13"/>
  <c r="B20" i="13"/>
  <c r="C20" i="13"/>
  <c r="M20" i="13"/>
  <c r="O20" i="13"/>
  <c r="P20" i="13"/>
  <c r="Q20" i="13"/>
  <c r="R20" i="13"/>
  <c r="S20" i="13"/>
  <c r="T20" i="13"/>
  <c r="U20" i="13"/>
  <c r="V20" i="13"/>
  <c r="Z20" i="13"/>
  <c r="B21" i="13"/>
  <c r="C21" i="13"/>
  <c r="M21" i="13"/>
  <c r="O21" i="13"/>
  <c r="P21" i="13"/>
  <c r="Q21" i="13"/>
  <c r="R21" i="13"/>
  <c r="S21" i="13"/>
  <c r="T21" i="13"/>
  <c r="U21" i="13"/>
  <c r="V21" i="13"/>
  <c r="Z21" i="13"/>
  <c r="B22" i="13"/>
  <c r="C22" i="13"/>
  <c r="M22" i="13"/>
  <c r="O22" i="13"/>
  <c r="P22" i="13"/>
  <c r="Q22" i="13"/>
  <c r="R22" i="13"/>
  <c r="S22" i="13"/>
  <c r="T22" i="13"/>
  <c r="U22" i="13"/>
  <c r="V22" i="13"/>
  <c r="Z22" i="13"/>
  <c r="B23" i="13"/>
  <c r="C23" i="13"/>
  <c r="M23" i="13"/>
  <c r="O23" i="13"/>
  <c r="P23" i="13"/>
  <c r="Q23" i="13"/>
  <c r="R23" i="13"/>
  <c r="S23" i="13"/>
  <c r="T23" i="13"/>
  <c r="U23" i="13"/>
  <c r="V23" i="13"/>
  <c r="Z23" i="13"/>
  <c r="B24" i="13"/>
  <c r="C24" i="13"/>
  <c r="M24" i="13"/>
  <c r="O24" i="13"/>
  <c r="P24" i="13"/>
  <c r="Q24" i="13"/>
  <c r="R24" i="13"/>
  <c r="S24" i="13"/>
  <c r="T24" i="13"/>
  <c r="U24" i="13"/>
  <c r="V24" i="13"/>
  <c r="Z24" i="13"/>
  <c r="B25" i="13"/>
  <c r="C25" i="13"/>
  <c r="M25" i="13"/>
  <c r="O25" i="13"/>
  <c r="P25" i="13"/>
  <c r="Q25" i="13"/>
  <c r="R25" i="13"/>
  <c r="S25" i="13"/>
  <c r="T25" i="13"/>
  <c r="U25" i="13"/>
  <c r="V25" i="13"/>
  <c r="Z25" i="13"/>
  <c r="B26" i="13"/>
  <c r="C26" i="13"/>
  <c r="M26" i="13"/>
  <c r="O26" i="13"/>
  <c r="P26" i="13"/>
  <c r="Q26" i="13"/>
  <c r="R26" i="13"/>
  <c r="S26" i="13"/>
  <c r="T26" i="13"/>
  <c r="U26" i="13"/>
  <c r="V26" i="13"/>
  <c r="Z26" i="13"/>
  <c r="B27" i="13"/>
  <c r="C27" i="13"/>
  <c r="M27" i="13"/>
  <c r="O27" i="13"/>
  <c r="P27" i="13"/>
  <c r="Q27" i="13"/>
  <c r="R27" i="13"/>
  <c r="S27" i="13"/>
  <c r="T27" i="13"/>
  <c r="U27" i="13"/>
  <c r="V27" i="13"/>
  <c r="Z27" i="13"/>
  <c r="B28" i="13"/>
  <c r="C28" i="13"/>
  <c r="M28" i="13"/>
  <c r="O28" i="13"/>
  <c r="P28" i="13"/>
  <c r="Q28" i="13"/>
  <c r="R28" i="13"/>
  <c r="S28" i="13"/>
  <c r="T28" i="13"/>
  <c r="U28" i="13"/>
  <c r="V28" i="13"/>
  <c r="Z28" i="13"/>
  <c r="B29" i="13"/>
  <c r="C29" i="13"/>
  <c r="M29" i="13"/>
  <c r="O29" i="13"/>
  <c r="P29" i="13"/>
  <c r="Q29" i="13"/>
  <c r="R29" i="13"/>
  <c r="S29" i="13"/>
  <c r="T29" i="13"/>
  <c r="U29" i="13"/>
  <c r="V29" i="13"/>
  <c r="Z29" i="13"/>
  <c r="B30" i="13"/>
  <c r="C30" i="13"/>
  <c r="M30" i="13"/>
  <c r="O30" i="13"/>
  <c r="P30" i="13"/>
  <c r="Q30" i="13"/>
  <c r="R30" i="13"/>
  <c r="S30" i="13"/>
  <c r="T30" i="13"/>
  <c r="U30" i="13"/>
  <c r="V30" i="13"/>
  <c r="Z30" i="13"/>
  <c r="B31" i="13"/>
  <c r="C31" i="13"/>
  <c r="M31" i="13"/>
  <c r="O31" i="13"/>
  <c r="P31" i="13"/>
  <c r="Q31" i="13"/>
  <c r="R31" i="13"/>
  <c r="S31" i="13"/>
  <c r="T31" i="13"/>
  <c r="U31" i="13"/>
  <c r="V31" i="13"/>
  <c r="Z31" i="13"/>
  <c r="B32" i="13"/>
  <c r="C32" i="13"/>
  <c r="M32" i="13"/>
  <c r="O32" i="13"/>
  <c r="P32" i="13"/>
  <c r="Q32" i="13"/>
  <c r="R32" i="13"/>
  <c r="S32" i="13"/>
  <c r="T32" i="13"/>
  <c r="U32" i="13"/>
  <c r="V32" i="13"/>
  <c r="Z32" i="13"/>
  <c r="B33" i="13"/>
  <c r="C33" i="13"/>
  <c r="M33" i="13"/>
  <c r="O33" i="13"/>
  <c r="P33" i="13"/>
  <c r="Q33" i="13"/>
  <c r="R33" i="13"/>
  <c r="S33" i="13"/>
  <c r="T33" i="13"/>
  <c r="U33" i="13"/>
  <c r="V33" i="13"/>
  <c r="Z33" i="13"/>
  <c r="B34" i="13"/>
  <c r="M34" i="13"/>
  <c r="O34" i="13"/>
  <c r="P34" i="13"/>
  <c r="Q34" i="13"/>
  <c r="R34" i="13"/>
  <c r="S34" i="13"/>
  <c r="T34" i="13"/>
  <c r="U34" i="13"/>
  <c r="V34" i="13"/>
  <c r="Z34" i="13"/>
  <c r="H35" i="13"/>
  <c r="M36" i="13"/>
  <c r="Z36" i="13"/>
  <c r="A37" i="13"/>
  <c r="C2" i="22"/>
  <c r="G2" i="22"/>
  <c r="C3" i="22"/>
  <c r="G3" i="22"/>
  <c r="C4" i="22"/>
  <c r="G4" i="22"/>
  <c r="K4" i="22"/>
  <c r="C5" i="22"/>
  <c r="G5" i="22"/>
  <c r="C6" i="22"/>
  <c r="G6" i="22"/>
  <c r="N6" i="22"/>
  <c r="C7" i="22"/>
  <c r="G7" i="22"/>
  <c r="N7" i="22"/>
  <c r="C8" i="22"/>
  <c r="G8" i="22"/>
  <c r="N8" i="22"/>
  <c r="C9" i="22"/>
  <c r="G9" i="22"/>
  <c r="N9" i="22"/>
  <c r="C10" i="22"/>
  <c r="G10" i="22"/>
  <c r="N10" i="22"/>
  <c r="C11" i="22"/>
  <c r="G11" i="22"/>
  <c r="N11" i="22"/>
  <c r="C12" i="22"/>
  <c r="G12" i="22"/>
  <c r="N12" i="22"/>
  <c r="C13" i="22"/>
  <c r="G13" i="22"/>
  <c r="L13" i="22"/>
  <c r="N13" i="22"/>
  <c r="C14" i="22"/>
  <c r="G14" i="22"/>
  <c r="M14" i="22"/>
  <c r="C15" i="22"/>
  <c r="G15" i="22"/>
  <c r="K15" i="22"/>
  <c r="C16" i="22"/>
  <c r="G16" i="22"/>
  <c r="K16" i="22"/>
  <c r="C17" i="22"/>
  <c r="G17" i="22"/>
  <c r="C18" i="22"/>
  <c r="G18" i="22"/>
  <c r="K18" i="22"/>
  <c r="C19" i="22"/>
  <c r="G19" i="22"/>
  <c r="K19" i="22"/>
  <c r="C20" i="22"/>
  <c r="G20" i="22"/>
  <c r="C21" i="22"/>
  <c r="G21" i="22"/>
  <c r="C22" i="22"/>
  <c r="G22" i="22"/>
  <c r="K22" i="22"/>
  <c r="C23" i="22"/>
  <c r="G23" i="22"/>
  <c r="C24" i="22"/>
  <c r="G24" i="22"/>
  <c r="C25" i="22"/>
  <c r="G25" i="22"/>
  <c r="C26" i="22"/>
  <c r="G26" i="22"/>
  <c r="C27" i="22"/>
  <c r="G27" i="22"/>
  <c r="C28" i="22"/>
  <c r="G28" i="22"/>
  <c r="C29" i="22"/>
  <c r="G29" i="22"/>
  <c r="C30" i="22"/>
  <c r="G30" i="22"/>
  <c r="C31" i="22"/>
  <c r="G31" i="22"/>
  <c r="A33" i="22"/>
  <c r="B33" i="22"/>
  <c r="C33" i="22"/>
  <c r="E33" i="22"/>
  <c r="F33" i="22"/>
  <c r="G33" i="22"/>
  <c r="I33" i="22"/>
  <c r="E35" i="22"/>
  <c r="F35" i="22"/>
  <c r="G35" i="22"/>
  <c r="I35" i="22"/>
  <c r="E37" i="22"/>
  <c r="F37" i="22"/>
  <c r="G37" i="22"/>
  <c r="I37" i="22"/>
  <c r="B38" i="22"/>
  <c r="B39" i="22"/>
  <c r="I39" i="22"/>
</calcChain>
</file>

<file path=xl/sharedStrings.xml><?xml version="1.0" encoding="utf-8"?>
<sst xmlns="http://schemas.openxmlformats.org/spreadsheetml/2006/main" count="3510" uniqueCount="611">
  <si>
    <t>IF</t>
  </si>
  <si>
    <t>GDA</t>
  </si>
  <si>
    <t>NYMEX</t>
  </si>
  <si>
    <t>TOTAL P&amp;L</t>
  </si>
  <si>
    <t>NET Postion</t>
  </si>
  <si>
    <t>TOTAL SWAP</t>
  </si>
  <si>
    <t>Sells</t>
  </si>
  <si>
    <t>Buys</t>
  </si>
  <si>
    <t>&lt;- Realized PL</t>
  </si>
  <si>
    <t>&lt;- MTM PL w/o Real PL</t>
  </si>
  <si>
    <t>preserve realized</t>
  </si>
  <si>
    <t>&lt;- MTM PL with Real PL</t>
  </si>
  <si>
    <t>breakeven</t>
  </si>
  <si>
    <t>&lt;- Current Nymex</t>
  </si>
  <si>
    <t>&lt;- Price Overide</t>
  </si>
  <si>
    <t>&lt;- Total Pl</t>
  </si>
  <si>
    <t>HH</t>
  </si>
  <si>
    <t>s</t>
  </si>
  <si>
    <t>Physical P&amp;L</t>
  </si>
  <si>
    <t>Financial P&amp;L</t>
  </si>
  <si>
    <t>Physical Postion</t>
  </si>
  <si>
    <t>Financial Postion</t>
  </si>
  <si>
    <t>Nymex Postion</t>
  </si>
  <si>
    <t>NET</t>
  </si>
  <si>
    <t>Prior</t>
  </si>
  <si>
    <t>ANR-S</t>
  </si>
  <si>
    <t>NAT LA</t>
  </si>
  <si>
    <t>TEXOK-E</t>
  </si>
  <si>
    <t>Trunk-wla</t>
  </si>
  <si>
    <t>Trunk-ela</t>
  </si>
  <si>
    <t>ngpl-stx</t>
  </si>
  <si>
    <t>KATY</t>
  </si>
  <si>
    <t>CGT-ons</t>
  </si>
  <si>
    <t>TGT</t>
  </si>
  <si>
    <t>HSC</t>
  </si>
  <si>
    <t>CHIC</t>
  </si>
  <si>
    <t>consum</t>
  </si>
  <si>
    <t>MICH</t>
  </si>
  <si>
    <t>LA</t>
  </si>
  <si>
    <t>ET</t>
  </si>
  <si>
    <t>CORPUS</t>
  </si>
  <si>
    <t>FOM</t>
  </si>
  <si>
    <t>A</t>
  </si>
  <si>
    <t>GD 1st</t>
  </si>
  <si>
    <t>BB</t>
  </si>
  <si>
    <t>CC</t>
  </si>
  <si>
    <t>DD</t>
  </si>
  <si>
    <t>EE</t>
  </si>
  <si>
    <t>mtd average</t>
  </si>
  <si>
    <t>dif from hub</t>
  </si>
  <si>
    <t>dif from 1st</t>
  </si>
  <si>
    <t>last 3 days</t>
  </si>
  <si>
    <t>last 5 days</t>
  </si>
  <si>
    <t>last 7 days</t>
  </si>
  <si>
    <t>GDA from IF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</si>
  <si>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</si>
  <si>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</si>
  <si>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</si>
  <si>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</si>
  <si>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</si>
  <si>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</si>
  <si>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</si>
  <si>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</si>
  <si>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</si>
  <si>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</si>
  <si>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</si>
  <si>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</si>
  <si>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</si>
  <si>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</si>
  <si>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</si>
  <si>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</si>
  <si>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</si>
  <si>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</si>
  <si>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</si>
  <si>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</si>
  <si>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</si>
  <si>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</si>
  <si>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</si>
  <si>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</si>
  <si>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</si>
  <si>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</si>
  <si>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</si>
  <si>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</si>
  <si>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</si>
  <si>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</si>
  <si>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DELTA</t>
  </si>
  <si>
    <t>HH_SWAP</t>
  </si>
  <si>
    <t>trkl-stx</t>
  </si>
  <si>
    <t>stx</t>
  </si>
  <si>
    <t>ngpl-storage</t>
  </si>
  <si>
    <t>HH GD</t>
  </si>
  <si>
    <t>P&amp;L</t>
  </si>
  <si>
    <t>Position</t>
  </si>
  <si>
    <t>TOTALS</t>
  </si>
  <si>
    <t>TCO</t>
  </si>
  <si>
    <t>CNG-N</t>
  </si>
  <si>
    <t>CNG-s</t>
  </si>
  <si>
    <t>TransZ3</t>
  </si>
  <si>
    <t>HSC_SWAP</t>
  </si>
  <si>
    <t>NGX0</t>
  </si>
  <si>
    <t>TXOK</t>
  </si>
  <si>
    <t>*</t>
  </si>
  <si>
    <t>N</t>
  </si>
  <si>
    <t>NGM1</t>
  </si>
  <si>
    <t>TRKL</t>
  </si>
  <si>
    <t>Q</t>
  </si>
  <si>
    <t>****</t>
  </si>
  <si>
    <t>x-h</t>
  </si>
  <si>
    <t>U</t>
  </si>
  <si>
    <t>Storage roll from april</t>
  </si>
  <si>
    <t>KATY_PHYS</t>
  </si>
  <si>
    <t>V</t>
  </si>
  <si>
    <t>WAHA</t>
  </si>
  <si>
    <t>PERMIAN</t>
  </si>
  <si>
    <t>PERM</t>
  </si>
  <si>
    <t>X_H</t>
  </si>
  <si>
    <t>KATY_SWAP</t>
  </si>
  <si>
    <t>jun phys</t>
  </si>
  <si>
    <t>Pos</t>
  </si>
  <si>
    <t>jun_position</t>
  </si>
  <si>
    <t>hsc</t>
  </si>
  <si>
    <t>X</t>
  </si>
  <si>
    <t>NGQ1</t>
  </si>
  <si>
    <t>NGU1</t>
  </si>
  <si>
    <t>N-v</t>
  </si>
  <si>
    <t>WAHA_SWAP</t>
  </si>
  <si>
    <t>N-V</t>
  </si>
  <si>
    <t xml:space="preserve">U </t>
  </si>
  <si>
    <t>N_V</t>
  </si>
  <si>
    <t>waha</t>
  </si>
  <si>
    <t>Permian</t>
  </si>
  <si>
    <t>basis</t>
  </si>
  <si>
    <t>Transaction Time</t>
  </si>
  <si>
    <t>Counterparty Name</t>
  </si>
  <si>
    <t>Product Name</t>
  </si>
  <si>
    <t>Buy Volume</t>
  </si>
  <si>
    <t>Sell  Volume</t>
  </si>
  <si>
    <t>Price</t>
  </si>
  <si>
    <t>06/08/2001 01:00 pm</t>
  </si>
  <si>
    <t>Dynegy Marketing and Trade</t>
  </si>
  <si>
    <t>US Gas Swap      Nymex                   Jul01           USD/MM</t>
  </si>
  <si>
    <t>06/08/2001 01:01 pm</t>
  </si>
  <si>
    <t>TXU Energy Trading Company</t>
  </si>
  <si>
    <t>06/08/2001 01:03 pm</t>
  </si>
  <si>
    <t>Storage Book - Bammel</t>
  </si>
  <si>
    <t>US Gas Swap      Nymex                   Jul-Oct01       USD/MM</t>
  </si>
  <si>
    <t>06/08/2001 01:04 pm</t>
  </si>
  <si>
    <t>Bank of America, National Association</t>
  </si>
  <si>
    <t>06/08/2001 01:05 pm</t>
  </si>
  <si>
    <t>Reliant Energy Services, Inc.</t>
  </si>
  <si>
    <t>US Gas Swap      Nymex                   Jan-Dec02       USD/MM</t>
  </si>
  <si>
    <t>06/08/2001 01:08 pm</t>
  </si>
  <si>
    <t>BP Corporation North America Inc.</t>
  </si>
  <si>
    <t>06/08/2001 01:09 pm</t>
  </si>
  <si>
    <t>US Gas Swap      Nymex                   Nov01-Mar02     USD/MM</t>
  </si>
  <si>
    <t>Puget Sound Energy, Inc.</t>
  </si>
  <si>
    <t>Sempra Energy Trading Corp.</t>
  </si>
  <si>
    <t>06/08/2001 01:10 pm</t>
  </si>
  <si>
    <t>Aquila Risk Management Corporation</t>
  </si>
  <si>
    <t>06/08/2001 01:12 pm</t>
  </si>
  <si>
    <t>Canadian Imperial Bank of Commerce</t>
  </si>
  <si>
    <t>06/08/2001 01:14 pm</t>
  </si>
  <si>
    <t>FT-Katy</t>
  </si>
  <si>
    <t>PWR-NG-LT-SPP</t>
  </si>
  <si>
    <t>US Gas Swap      Nymex                   Aug01           USD/MM</t>
  </si>
  <si>
    <t>06/08/2001 01:15 pm</t>
  </si>
  <si>
    <t>06/08/2001 01:18 pm</t>
  </si>
  <si>
    <t>CMS Marketing, Services and Trading Company</t>
  </si>
  <si>
    <t>DTE Energy Trading, Inc.</t>
  </si>
  <si>
    <t>Duke Energy Trading and Marketing, L.L.C.</t>
  </si>
  <si>
    <t>FT-Intra-Central</t>
  </si>
  <si>
    <t>Hess Energy Trading Company LLC</t>
  </si>
  <si>
    <t>06/08/2001 01:21 pm</t>
  </si>
  <si>
    <t>Morgan Stanley Capital Group, Inc.</t>
  </si>
  <si>
    <t>Power Midwest Gas (Mark to Market)</t>
  </si>
  <si>
    <t>Power PJM Gas MTM</t>
  </si>
  <si>
    <t>06/08/2001 01:22 pm</t>
  </si>
  <si>
    <t>06/08/2001 01:23 pm</t>
  </si>
  <si>
    <t>Axia Energy, LP</t>
  </si>
  <si>
    <t>06/08/2001 01:25 pm</t>
  </si>
  <si>
    <t>06/08/2001 01:28 pm</t>
  </si>
  <si>
    <t>Engage Energy Canada L.P.</t>
  </si>
  <si>
    <t>06/08/2001 01:29 pm</t>
  </si>
  <si>
    <t>East Gas Daily</t>
  </si>
  <si>
    <t>06/08/2001 01:30 pm</t>
  </si>
  <si>
    <t>06/08/2001 01:31 pm</t>
  </si>
  <si>
    <t>06/08/2001 01:32 pm</t>
  </si>
  <si>
    <t>Virginia Power Energy Marketing, Inc.</t>
  </si>
  <si>
    <t>06/08/2001 01:34 pm</t>
  </si>
  <si>
    <t>OGE Energy Resources, Inc.</t>
  </si>
  <si>
    <t>06/08/2001 01:35 pm</t>
  </si>
  <si>
    <t>Power Northeast Gas (Mark to Market)</t>
  </si>
  <si>
    <t>06/08/2001 01:36 pm</t>
  </si>
  <si>
    <t>06/08/2001 01:37 pm</t>
  </si>
  <si>
    <t>06/08/2001 01:39 pm</t>
  </si>
  <si>
    <t>06/08/2001 01:41 pm</t>
  </si>
  <si>
    <t>Management West</t>
  </si>
  <si>
    <t>US Gas Swap      Nymex                   Sep01           USD/MM</t>
  </si>
  <si>
    <t>06/08/2001 01:42 pm</t>
  </si>
  <si>
    <t>06/08/2001 01:43 pm</t>
  </si>
  <si>
    <t>Intra-Month Trading Texas</t>
  </si>
  <si>
    <t>06/08/2001 01:44 pm</t>
  </si>
  <si>
    <t>AEP Energy Services, Inc.</t>
  </si>
  <si>
    <t>06/08/2001 01:46 pm</t>
  </si>
  <si>
    <t>Gas Exotics Book</t>
  </si>
  <si>
    <t>06/08/2001 01:47 pm</t>
  </si>
  <si>
    <t>06/08/2001 01:48 pm</t>
  </si>
  <si>
    <t>06/08/2001 01:49 pm</t>
  </si>
  <si>
    <t>FT-ENOVRT</t>
  </si>
  <si>
    <t>06/08/2001 01:51 pm</t>
  </si>
  <si>
    <t>06/08/2001 01:52 pm</t>
  </si>
  <si>
    <t>06/08/2001 01:53 pm</t>
  </si>
  <si>
    <t>TransCanada Energy Financial Products Limited</t>
  </si>
  <si>
    <t>06/08/2001 01:54 pm</t>
  </si>
  <si>
    <t>Aquila Canada Corp.</t>
  </si>
  <si>
    <t>Tractebel Energy Marketing, Inc.</t>
  </si>
  <si>
    <t>06/08/2001 01:55 pm</t>
  </si>
  <si>
    <t>Coral Energy Holding L.P.</t>
  </si>
  <si>
    <t>Duke Energy Marketing Limited Partnership</t>
  </si>
  <si>
    <t>06/08/2001 01:56 pm</t>
  </si>
  <si>
    <t>Conectiv Energy Supply, Inc.</t>
  </si>
  <si>
    <t>Firm Trading -Ontario</t>
  </si>
  <si>
    <t>FT-Intra-Gulf</t>
  </si>
  <si>
    <t>Vitol S.A. Inc.</t>
  </si>
  <si>
    <t>06/08/2001 01:57 pm</t>
  </si>
  <si>
    <t>FT-Intra-Central-Mkt2</t>
  </si>
  <si>
    <t>Intra-Enron MidwestNSS2</t>
  </si>
  <si>
    <t>06/08/2001 01:58 pm</t>
  </si>
  <si>
    <t>06/08/2001 01:59 pm</t>
  </si>
  <si>
    <t>Calpine Energy Services, L.P.</t>
  </si>
  <si>
    <t>East-NewYork</t>
  </si>
  <si>
    <t>06/08/2001 02:00 pm</t>
  </si>
  <si>
    <t>AIG Energy Trading Inc.</t>
  </si>
  <si>
    <t>Florida Power &amp; Light Company</t>
  </si>
  <si>
    <t>06/08/2001 02:01 pm</t>
  </si>
  <si>
    <t>Dynegy Canada Inc.</t>
  </si>
  <si>
    <t>Gas Daily Central</t>
  </si>
  <si>
    <t>Texaco Natural Gas Inc.</t>
  </si>
  <si>
    <t>06/08/2001 02:02 pm</t>
  </si>
  <si>
    <t>West-Northwest</t>
  </si>
  <si>
    <t>06/08/2001 02:03 pm</t>
  </si>
  <si>
    <t>J. Aron &amp; Company</t>
  </si>
  <si>
    <t>06/08/2001 02:04 pm</t>
  </si>
  <si>
    <t>06/08/2001 02:05 pm</t>
  </si>
  <si>
    <t>06/08/2001 02:06 pm</t>
  </si>
  <si>
    <t>Duke Energy Merchants LLC</t>
  </si>
  <si>
    <t>Firm Trading Bridgeline Gas Marketing</t>
  </si>
  <si>
    <t>06/08/2001 02:07 pm</t>
  </si>
  <si>
    <t>Intra-Month -Canada (West)</t>
  </si>
  <si>
    <t>06/08/2001 02:08 pm</t>
  </si>
  <si>
    <t>GD-New</t>
  </si>
  <si>
    <t>06/08/2001 02:09 pm</t>
  </si>
  <si>
    <t>06/08/2001 02:10 pm</t>
  </si>
  <si>
    <t>06/08/2001 02:11 pm</t>
  </si>
  <si>
    <t>06/08/2001 02:12 pm</t>
  </si>
  <si>
    <t>06/08/2001 02:13 pm</t>
  </si>
  <si>
    <t>06/08/2001 02:14 pm</t>
  </si>
  <si>
    <t>06/08/2001 02:15 pm</t>
  </si>
  <si>
    <t>Tenaska Marketing Ventures</t>
  </si>
  <si>
    <t>06/08/2001 02:16 pm</t>
  </si>
  <si>
    <t>06/08/2001 02:17 pm</t>
  </si>
  <si>
    <t>06/08/2001 02:18 pm</t>
  </si>
  <si>
    <t>06/08/2001 02:19 pm</t>
  </si>
  <si>
    <t>06/08/2001 02:20 pm</t>
  </si>
  <si>
    <t>06/08/2001 02:21 pm</t>
  </si>
  <si>
    <t>06/08/2001 02:22 pm</t>
  </si>
  <si>
    <t>ONEOK Energy Marketing and Trading Company, L.P.</t>
  </si>
  <si>
    <t>06/08/2001 02:23 pm</t>
  </si>
  <si>
    <t>06/08/2001 02:29 pm</t>
  </si>
  <si>
    <t>06/08/2001 02:31 pm</t>
  </si>
  <si>
    <t>06/08/2001 02:32 pm</t>
  </si>
  <si>
    <t>East-CNG</t>
  </si>
  <si>
    <t>06/08/2001 02:35 pm</t>
  </si>
  <si>
    <t>06/08/2001 02:36 pm</t>
  </si>
  <si>
    <t>06/08/2001 02:37 pm</t>
  </si>
  <si>
    <t>06/08/2001 02:43 pm</t>
  </si>
  <si>
    <t>06/08/2001 02:44 pm</t>
  </si>
  <si>
    <t>06/08/2001 02:45 pm</t>
  </si>
  <si>
    <t>06/08/2001 02:49 pm</t>
  </si>
  <si>
    <t>06/08/2001 02:51 pm</t>
  </si>
  <si>
    <t>06/08/2001 02:54 pm</t>
  </si>
  <si>
    <t>PWR-NG-LT-OPTB</t>
  </si>
  <si>
    <t>06/08/2001 02:56 pm</t>
  </si>
  <si>
    <t>06/08/2001 03:01 pm</t>
  </si>
  <si>
    <t>06/08/2001 03:02 pm</t>
  </si>
  <si>
    <t>06/08/2001 03:04 pm</t>
  </si>
  <si>
    <t>06/08/2001 03:05 pm</t>
  </si>
  <si>
    <t>06/08/2001 03:16 pm</t>
  </si>
  <si>
    <t>06/08/2001 03:17 pm</t>
  </si>
  <si>
    <t>06/08/2001 03:19 pm</t>
  </si>
  <si>
    <t>06/08/2001 03:20 pm</t>
  </si>
  <si>
    <t>06/08/2001 05:21 am</t>
  </si>
  <si>
    <t>Cinergy Marketing &amp; Trading, LLC</t>
  </si>
  <si>
    <t>06/08/2001 06:01 am</t>
  </si>
  <si>
    <t>06/08/2001 06:18 am</t>
  </si>
  <si>
    <t>06/08/2001 06:19 am</t>
  </si>
  <si>
    <t>PWR-NG-LT-SERC</t>
  </si>
  <si>
    <t>06/08/2001 06:20 am</t>
  </si>
  <si>
    <t>06/08/2001 06:30 am</t>
  </si>
  <si>
    <t>06/08/2001 06:31 am</t>
  </si>
  <si>
    <t>Glencore Ltd.</t>
  </si>
  <si>
    <t>US Gas Daily     HHub                    Jul01           USD/MM</t>
  </si>
  <si>
    <t>06/08/2001 06:36 am</t>
  </si>
  <si>
    <t>06/08/2001 06:37 am</t>
  </si>
  <si>
    <t>06/08/2001 06:39 am</t>
  </si>
  <si>
    <t>06/08/2001 06:40 am</t>
  </si>
  <si>
    <t>06/08/2001 06:42 am</t>
  </si>
  <si>
    <t>06/08/2001 06:43 am</t>
  </si>
  <si>
    <t>PG&amp;E Energy Trading-Gas Corporation</t>
  </si>
  <si>
    <t>06/08/2001 06:44 am</t>
  </si>
  <si>
    <t>06/08/2001 06:45 am</t>
  </si>
  <si>
    <t>06/08/2001 06:51 am</t>
  </si>
  <si>
    <t>06/08/2001 06:53 am</t>
  </si>
  <si>
    <t>06/08/2001 06:54 am</t>
  </si>
  <si>
    <t>06/08/2001 06:58 am</t>
  </si>
  <si>
    <t>06/08/2001 07:02 am</t>
  </si>
  <si>
    <t>06/08/2001 07:03 am</t>
  </si>
  <si>
    <t>06/08/2001 07:06 am</t>
  </si>
  <si>
    <t>Firm Trading Central</t>
  </si>
  <si>
    <t>06/08/2001 07:07 am</t>
  </si>
  <si>
    <t>06/08/2001 07:08 am</t>
  </si>
  <si>
    <t>06/08/2001 07:19 am</t>
  </si>
  <si>
    <t>06/08/2001 07:20 am</t>
  </si>
  <si>
    <t>East-MKTEAST</t>
  </si>
  <si>
    <t>06/08/2001 07:22 am</t>
  </si>
  <si>
    <t>06/08/2001 07:23 am</t>
  </si>
  <si>
    <t>06/08/2001 07:27 am</t>
  </si>
  <si>
    <t>06/08/2001 07:28 am</t>
  </si>
  <si>
    <t>06/08/2001 07:29 am</t>
  </si>
  <si>
    <t>06/08/2001 07:32 am</t>
  </si>
  <si>
    <t>06/08/2001 07:33 am</t>
  </si>
  <si>
    <t>Natural Gas Mid-Market Book</t>
  </si>
  <si>
    <t>06/08/2001 07:34 am</t>
  </si>
  <si>
    <t>Options -East</t>
  </si>
  <si>
    <t>06/08/2001 07:35 am</t>
  </si>
  <si>
    <t>06/08/2001 07:37 am</t>
  </si>
  <si>
    <t>EPTT -Gas Hedge (Texas)</t>
  </si>
  <si>
    <t>06/08/2001 07:42 am</t>
  </si>
  <si>
    <t>06/08/2001 07:43 am</t>
  </si>
  <si>
    <t>06/08/2001 07:44 am</t>
  </si>
  <si>
    <t>06/08/2001 07:45 am</t>
  </si>
  <si>
    <t>06/08/2001 07:47 am</t>
  </si>
  <si>
    <t>06/08/2001 08:00 am</t>
  </si>
  <si>
    <t>WPS Energy Services, Inc.</t>
  </si>
  <si>
    <t>06/08/2001 08:02 am</t>
  </si>
  <si>
    <t>Cargill Energy, a division of Cargill, Incorporated</t>
  </si>
  <si>
    <t>Mirant Americas Energy Marketing, L.P.</t>
  </si>
  <si>
    <t>06/08/2001 08:03 am</t>
  </si>
  <si>
    <t>06/08/2001 08:04 am</t>
  </si>
  <si>
    <t>06/08/2001 08:05 am</t>
  </si>
  <si>
    <t>East-Gulf2</t>
  </si>
  <si>
    <t>06/08/2001 08:10 am</t>
  </si>
  <si>
    <t>The Chase Manhattan Bank</t>
  </si>
  <si>
    <t>06/08/2001 08:11 am</t>
  </si>
  <si>
    <t>06/08/2001 08:12 am</t>
  </si>
  <si>
    <t>06/08/2001 08:13 am</t>
  </si>
  <si>
    <t>06/08/2001 08:14 am</t>
  </si>
  <si>
    <t>06/08/2001 08:15 am</t>
  </si>
  <si>
    <t>06/08/2001 08:17 am</t>
  </si>
  <si>
    <t>Western Gas Resources, Inc.</t>
  </si>
  <si>
    <t>06/08/2001 08:18 am</t>
  </si>
  <si>
    <t>06/08/2001 08:20 am</t>
  </si>
  <si>
    <t>Cross Timbers Oil Company</t>
  </si>
  <si>
    <t>06/08/2001 08:21 am</t>
  </si>
  <si>
    <t>06/08/2001 08:22 am</t>
  </si>
  <si>
    <t>06/08/2001 08:25 am</t>
  </si>
  <si>
    <t>Firm Trading East (Non-Affiliate)</t>
  </si>
  <si>
    <t>06/08/2001 08:27 am</t>
  </si>
  <si>
    <t>PanCanadian Energy Services Inc.</t>
  </si>
  <si>
    <t>06/08/2001 08:28 am</t>
  </si>
  <si>
    <t>06/08/2001 08:29 am</t>
  </si>
  <si>
    <t>Oil -NG Hedge (Specific Trades)</t>
  </si>
  <si>
    <t>06/08/2001 08:30 am</t>
  </si>
  <si>
    <t>06/08/2001 08:31 am</t>
  </si>
  <si>
    <t>US Gas Swap      Nymex                   Aug01           USD/MM-L</t>
  </si>
  <si>
    <t>US Gas Swap      Nymex                   Sep01           USD/MM-L</t>
  </si>
  <si>
    <t>06/08/2001 08:32 am</t>
  </si>
  <si>
    <t>Enron Energy Services, Inc.</t>
  </si>
  <si>
    <t>06/08/2001 08:33 am</t>
  </si>
  <si>
    <t>06/08/2001 08:34 am</t>
  </si>
  <si>
    <t>GD-Newjr</t>
  </si>
  <si>
    <t>06/08/2001 08:36 am</t>
  </si>
  <si>
    <t>06/08/2001 08:37 am</t>
  </si>
  <si>
    <t>06/08/2001 08:38 am</t>
  </si>
  <si>
    <t>Bankers Trust Company</t>
  </si>
  <si>
    <t>06/08/2001 08:39 am</t>
  </si>
  <si>
    <t>e prime, inc.</t>
  </si>
  <si>
    <t>06/08/2001 08:40 am</t>
  </si>
  <si>
    <t>06/08/2001 08:41 am</t>
  </si>
  <si>
    <t>06/08/2001 08:42 am</t>
  </si>
  <si>
    <t>Firm Trading-IM-Enovate</t>
  </si>
  <si>
    <t>06/08/2001 08:43 am</t>
  </si>
  <si>
    <t>06/08/2001 08:44 am</t>
  </si>
  <si>
    <t>06/08/2001 08:45 am</t>
  </si>
  <si>
    <t>06/08/2001 08:46 am</t>
  </si>
  <si>
    <t>06/08/2001 08:47 am</t>
  </si>
  <si>
    <t>06/08/2001 08:48 am</t>
  </si>
  <si>
    <t>06/08/2001 08:49 am</t>
  </si>
  <si>
    <t>06/08/2001 08:50 am</t>
  </si>
  <si>
    <t>06/08/2001 08:51 am</t>
  </si>
  <si>
    <t>Constellation Power Source, Inc.</t>
  </si>
  <si>
    <t>06/08/2001 08:52 am</t>
  </si>
  <si>
    <t>06/08/2001 08:53 am</t>
  </si>
  <si>
    <t>06/08/2001 08:54 am</t>
  </si>
  <si>
    <t>US Gas Swap      Nymex                   Jul01           USD/MM-L</t>
  </si>
  <si>
    <t>06/08/2001 08:55 am</t>
  </si>
  <si>
    <t>06/08/2001 08:56 am</t>
  </si>
  <si>
    <t>06/08/2001 08:57 am</t>
  </si>
  <si>
    <t>06/08/2001 08:58 am</t>
  </si>
  <si>
    <t>BNP Paribas</t>
  </si>
  <si>
    <t>06/08/2001 08:59 am</t>
  </si>
  <si>
    <t>06/08/2001 09:01 am</t>
  </si>
  <si>
    <t>06/08/2001 09:02 am</t>
  </si>
  <si>
    <t>06/08/2001 09:03 am</t>
  </si>
  <si>
    <t>06/08/2001 09:04 am</t>
  </si>
  <si>
    <t>06/08/2001 09:05 am</t>
  </si>
  <si>
    <t>Canada-Power-Price</t>
  </si>
  <si>
    <t>06/08/2001 09:06 am</t>
  </si>
  <si>
    <t>06/08/2001 09:07 am</t>
  </si>
  <si>
    <t>06/08/2001 09:08 am</t>
  </si>
  <si>
    <t>06/08/2001 09:09 am</t>
  </si>
  <si>
    <t>06/08/2001 09:10 am</t>
  </si>
  <si>
    <t>06/08/2001 09:13 am</t>
  </si>
  <si>
    <t>06/08/2001 09:14 am</t>
  </si>
  <si>
    <t>06/08/2001 09:15 am</t>
  </si>
  <si>
    <t>06/08/2001 09:16 am</t>
  </si>
  <si>
    <t>06/08/2001 09:17 am</t>
  </si>
  <si>
    <t>06/08/2001 09:18 am</t>
  </si>
  <si>
    <t>06/08/2001 09:19 am</t>
  </si>
  <si>
    <t>06/08/2001 09:20 am</t>
  </si>
  <si>
    <t>06/08/2001 09:22 am</t>
  </si>
  <si>
    <t>Williams Energy Marketing &amp; Trading Company</t>
  </si>
  <si>
    <t>06/08/2001 09:23 am</t>
  </si>
  <si>
    <t>06/08/2001 09:24 am</t>
  </si>
  <si>
    <t>06/08/2001 09:25 am</t>
  </si>
  <si>
    <t>06/08/2001 09:26 am</t>
  </si>
  <si>
    <t>06/08/2001 09:28 am</t>
  </si>
  <si>
    <t>Noble Gas Marketing Inc.</t>
  </si>
  <si>
    <t>06/08/2001 09:30 am</t>
  </si>
  <si>
    <t>06/08/2001 09:31 am</t>
  </si>
  <si>
    <t>Firm Trading -Canada (EGSC) Options</t>
  </si>
  <si>
    <t>06/08/2001 09:32 am</t>
  </si>
  <si>
    <t>06/08/2001 09:35 am</t>
  </si>
  <si>
    <t>06/08/2001 09:36 am</t>
  </si>
  <si>
    <t>Enterprise Products Operating L.P.</t>
  </si>
  <si>
    <t>06/08/2001 09:37 am</t>
  </si>
  <si>
    <t>06/08/2001 09:38 am</t>
  </si>
  <si>
    <t>06/08/2001 09:39 am</t>
  </si>
  <si>
    <t>06/08/2001 09:40 am</t>
  </si>
  <si>
    <t>06/08/2001 09:41 am</t>
  </si>
  <si>
    <t>06/08/2001 09:42 am</t>
  </si>
  <si>
    <t>06/08/2001 09:43 am</t>
  </si>
  <si>
    <t>Firm Trade Bridgeline</t>
  </si>
  <si>
    <t>06/08/2001 09:44 am</t>
  </si>
  <si>
    <t>06/08/2001 09:45 am</t>
  </si>
  <si>
    <t>06/08/2001 09:46 am</t>
  </si>
  <si>
    <t>06/08/2001 09:47 am</t>
  </si>
  <si>
    <t>06/08/2001 09:48 am</t>
  </si>
  <si>
    <t>06/08/2001 09:49 am</t>
  </si>
  <si>
    <t>06/08/2001 09:50 am</t>
  </si>
  <si>
    <t>06/08/2001 09:51 am</t>
  </si>
  <si>
    <t>06/08/2001 09:52 am</t>
  </si>
  <si>
    <t>06/08/2001 09:54 am</t>
  </si>
  <si>
    <t>06/08/2001 09:55 am</t>
  </si>
  <si>
    <t>06/08/2001 09:56 am</t>
  </si>
  <si>
    <t>Alberta Energy Company Ltd.</t>
  </si>
  <si>
    <t>06/08/2001 09:59 am</t>
  </si>
  <si>
    <t>06/08/2001 10:00 am</t>
  </si>
  <si>
    <t>06/08/2001 10:01 am</t>
  </si>
  <si>
    <t>06/08/2001 10:02 am</t>
  </si>
  <si>
    <t>06/08/2001 10:05 am</t>
  </si>
  <si>
    <t>06/08/2001 10:06 am</t>
  </si>
  <si>
    <t>06/08/2001 10:07 am</t>
  </si>
  <si>
    <t>06/08/2001 10:09 am</t>
  </si>
  <si>
    <t>06/08/2001 10:11 am</t>
  </si>
  <si>
    <t>06/08/2001 10:12 am</t>
  </si>
  <si>
    <t>06/08/2001 10:13 am</t>
  </si>
  <si>
    <t>06/08/2001 10:14 am</t>
  </si>
  <si>
    <t>06/08/2001 10:15 am</t>
  </si>
  <si>
    <t>06/08/2001 10:16 am</t>
  </si>
  <si>
    <t>06/08/2001 10:17 am</t>
  </si>
  <si>
    <t>Firm Trading-Northwest</t>
  </si>
  <si>
    <t>06/08/2001 10:18 am</t>
  </si>
  <si>
    <t>06/08/2001 10:19 am</t>
  </si>
  <si>
    <t>06/08/2001 10:20 am</t>
  </si>
  <si>
    <t>06/08/2001 10:21 am</t>
  </si>
  <si>
    <t>06/08/2001 10:22 am</t>
  </si>
  <si>
    <t>06/08/2001 10:23 am</t>
  </si>
  <si>
    <t>06/08/2001 10:25 am</t>
  </si>
  <si>
    <t>06/08/2001 10:29 am</t>
  </si>
  <si>
    <t>06/08/2001 10:32 am</t>
  </si>
  <si>
    <t>06/08/2001 10:33 am</t>
  </si>
  <si>
    <t>06/08/2001 10:35 am</t>
  </si>
  <si>
    <t>06/08/2001 10:36 am</t>
  </si>
  <si>
    <t>06/08/2001 10:37 am</t>
  </si>
  <si>
    <t>Firm Trading Upstream</t>
  </si>
  <si>
    <t>06/08/2001 10:38 am</t>
  </si>
  <si>
    <t>06/08/2001 10:39 am</t>
  </si>
  <si>
    <t>06/08/2001 10:40 am</t>
  </si>
  <si>
    <t>06/08/2001 10:43 am</t>
  </si>
  <si>
    <t>06/08/2001 10:46 am</t>
  </si>
  <si>
    <t>06/08/2001 10:48 am</t>
  </si>
  <si>
    <t>06/08/2001 10:54 am</t>
  </si>
  <si>
    <t>06/08/2001 10:56 am</t>
  </si>
  <si>
    <t>06/08/2001 10:59 am</t>
  </si>
  <si>
    <t>06/08/2001 11:02 am</t>
  </si>
  <si>
    <t>06/08/2001 11:03 am</t>
  </si>
  <si>
    <t>06/08/2001 11:05 am</t>
  </si>
  <si>
    <t>06/08/2001 11:06 am</t>
  </si>
  <si>
    <t>06/08/2001 11:07 am</t>
  </si>
  <si>
    <t>06/08/2001 11:09 am</t>
  </si>
  <si>
    <t>06/08/2001 11:10 am</t>
  </si>
  <si>
    <t>06/08/2001 11:12 am</t>
  </si>
  <si>
    <t>06/08/2001 11:13 am</t>
  </si>
  <si>
    <t>06/08/2001 11:14 am</t>
  </si>
  <si>
    <t>06/08/2001 11:15 am</t>
  </si>
  <si>
    <t>06/08/2001 11:16 am</t>
  </si>
  <si>
    <t>06/08/2001 11:17 am</t>
  </si>
  <si>
    <t>NUI Energy Brokers, Inc.</t>
  </si>
  <si>
    <t>06/08/2001 11:18 am</t>
  </si>
  <si>
    <t>06/08/2001 11:19 am</t>
  </si>
  <si>
    <t>Kinder Morgan, Inc.</t>
  </si>
  <si>
    <t>06/08/2001 11:20 am</t>
  </si>
  <si>
    <t>06/08/2001 11:21 am</t>
  </si>
  <si>
    <t>06/08/2001 11:22 am</t>
  </si>
  <si>
    <t>06/08/2001 11:23 am</t>
  </si>
  <si>
    <t>06/08/2001 11:24 am</t>
  </si>
  <si>
    <t>06/08/2001 11:25 am</t>
  </si>
  <si>
    <t>06/08/2001 11:26 am</t>
  </si>
  <si>
    <t>06/08/2001 11:27 am</t>
  </si>
  <si>
    <t>06/08/2001 11:28 am</t>
  </si>
  <si>
    <t>06/08/2001 11:29 am</t>
  </si>
  <si>
    <t>06/08/2001 11:32 am</t>
  </si>
  <si>
    <t>06/08/2001 11:33 am</t>
  </si>
  <si>
    <t>06/08/2001 11:34 am</t>
  </si>
  <si>
    <t>06/08/2001 11:35 am</t>
  </si>
  <si>
    <t>06/08/2001 11:36 am</t>
  </si>
  <si>
    <t>06/08/2001 11:37 am</t>
  </si>
  <si>
    <t>06/08/2001 11:38 am</t>
  </si>
  <si>
    <t>06/08/2001 11:39 am</t>
  </si>
  <si>
    <t>06/08/2001 11:40 am</t>
  </si>
  <si>
    <t>West-Southwest</t>
  </si>
  <si>
    <t>06/08/2001 11:41 am</t>
  </si>
  <si>
    <t>06/08/2001 11:43 am</t>
  </si>
  <si>
    <t>06/08/2001 11:45 am</t>
  </si>
  <si>
    <t>06/08/2001 11:46 am</t>
  </si>
  <si>
    <t>06/08/2001 11:48 am</t>
  </si>
  <si>
    <t>06/08/2001 11:50 am</t>
  </si>
  <si>
    <t>06/08/2001 11:51 am</t>
  </si>
  <si>
    <t>06/08/2001 11:52 am</t>
  </si>
  <si>
    <t>06/08/2001 11:53 am</t>
  </si>
  <si>
    <t>06/08/2001 11:54 am</t>
  </si>
  <si>
    <t>06/08/2001 11:55 am</t>
  </si>
  <si>
    <t>06/08/2001 11:56 am</t>
  </si>
  <si>
    <t>El Paso Merchant Energy, L.P.</t>
  </si>
  <si>
    <t>OIL-SPEC-NG</t>
  </si>
  <si>
    <t>06/08/2001 11:57 am</t>
  </si>
  <si>
    <t>06/08/2001 11:58 am</t>
  </si>
  <si>
    <t>06/08/2001 11:59 am</t>
  </si>
  <si>
    <t>06/08/2001 12:00 pm</t>
  </si>
  <si>
    <t>06/08/2001 12:01 pm</t>
  </si>
  <si>
    <t>06/08/2001 12:02 pm</t>
  </si>
  <si>
    <t>06/08/2001 12:03 pm</t>
  </si>
  <si>
    <t>06/08/2001 12:04 pm</t>
  </si>
  <si>
    <t>06/08/2001 12:05 pm</t>
  </si>
  <si>
    <t>06/08/2001 12:06 pm</t>
  </si>
  <si>
    <t>06/08/2001 12:07 pm</t>
  </si>
  <si>
    <t>06/08/2001 12:08 pm</t>
  </si>
  <si>
    <t>06/08/2001 12:09 pm</t>
  </si>
  <si>
    <t>06/08/2001 12:10 pm</t>
  </si>
  <si>
    <t>06/08/2001 12:11 pm</t>
  </si>
  <si>
    <t>06/08/2001 12:12 pm</t>
  </si>
  <si>
    <t>06/08/2001 12:13 pm</t>
  </si>
  <si>
    <t>06/08/2001 12:16 pm</t>
  </si>
  <si>
    <t>ConAgra Energy Services, Inc.</t>
  </si>
  <si>
    <t>06/08/2001 12:17 pm</t>
  </si>
  <si>
    <t>06/08/2001 12:18 pm</t>
  </si>
  <si>
    <t>06/08/2001 12:20 pm</t>
  </si>
  <si>
    <t>06/08/2001 12:21 pm</t>
  </si>
  <si>
    <t>06/08/2001 12:23 pm</t>
  </si>
  <si>
    <t>06/08/2001 12:24 pm</t>
  </si>
  <si>
    <t>06/08/2001 12:25 pm</t>
  </si>
  <si>
    <t>06/08/2001 12:26 pm</t>
  </si>
  <si>
    <t>06/08/2001 12:27 pm</t>
  </si>
  <si>
    <t>06/08/2001 12:28 pm</t>
  </si>
  <si>
    <t>06/08/2001 12:31 pm</t>
  </si>
  <si>
    <t>06/08/2001 12:32 pm</t>
  </si>
  <si>
    <t>06/08/2001 12:33 pm</t>
  </si>
  <si>
    <t>06/08/2001 12:34 pm</t>
  </si>
  <si>
    <t>06/08/2001 12:35 pm</t>
  </si>
  <si>
    <t>06/08/2001 12:39 pm</t>
  </si>
  <si>
    <t>06/08/2001 12:40 pm</t>
  </si>
  <si>
    <t>06/08/2001 12:41 pm</t>
  </si>
  <si>
    <t>06/08/2001 12:42 pm</t>
  </si>
  <si>
    <t>06/08/2001 12:43 pm</t>
  </si>
  <si>
    <t>06/08/2001 12:44 pm</t>
  </si>
  <si>
    <t>06/08/2001 12:45 pm</t>
  </si>
  <si>
    <t>06/08/2001 12:46 pm</t>
  </si>
  <si>
    <t>06/08/2001 12:47 pm</t>
  </si>
  <si>
    <t>06/08/2001 12:48 pm</t>
  </si>
  <si>
    <t>06/08/2001 12:49 pm</t>
  </si>
  <si>
    <t>06/08/2001 12:50 pm</t>
  </si>
  <si>
    <t>06/08/2001 12:51 pm</t>
  </si>
  <si>
    <t>06/08/2001 12:52 pm</t>
  </si>
  <si>
    <t>06/08/2001 12:53 pm</t>
  </si>
  <si>
    <t>06/08/2001 12:54 pm</t>
  </si>
  <si>
    <t>06/08/2001 12:55 pm</t>
  </si>
  <si>
    <t>06/08/2001 12:56 pm</t>
  </si>
  <si>
    <t>Nexen Marketing</t>
  </si>
  <si>
    <t>06/08/2001 12:57 pm</t>
  </si>
  <si>
    <t>06/08/2001 12:58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</si>
</sst>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mm/dd/yy"/>
    <numFmt numFmtId="167" formatCode="_(* #,##0.0_);_(* \(#,##0.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_);[Red]\(0.000\)"/>
    <numFmt numFmtId="171" formatCode="0.000"/>
    <numFmt numFmtId="172" formatCode="#,##0.0000_);[Red]\(#,##0.0000\)"/>
    <numFmt numFmtId="173" formatCode="0.0000"/>
    <numFmt numFmtId="174" formatCode="0.0000_);[Red]\(0.0000\)"/>
    <numFmt numFmtId="183" formatCode="_(&quot;$&quot;* #,##0.00000_);_(&quot;$&quot;* \(#,##0.00000\);_(&quot;$&quot;* &quot;-&quot;??_);_(@_)"/>
    <numFmt numFmtId="184" formatCode="#,##0.000_);[Red]\(#,##0.000\)"/>
    <numFmt numFmtId="185" formatCode="m/d/yy"/>
    <numFmt numFmtId="186" formatCode="_(* #,##0.000_);_(* \(#,##0.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8"/>
      <name val="MS Sans Serif"/>
    </font>
    <font>
      <sz val="8"/>
      <color indexed="12"/>
      <name val="MS Sans Serif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14" fontId="2" fillId="0" borderId="0" xfId="0" applyNumberFormat="1" applyFont="1"/>
    <xf numFmtId="0" fontId="0" fillId="3" borderId="0" xfId="0" applyFill="1"/>
    <xf numFmtId="38" fontId="0" fillId="3" borderId="0" xfId="0" applyNumberFormat="1" applyFill="1"/>
    <xf numFmtId="38" fontId="0" fillId="0" borderId="0" xfId="0" applyNumberFormat="1" applyAlignment="1">
      <alignment horizontal="center"/>
    </xf>
    <xf numFmtId="42" fontId="0" fillId="4" borderId="0" xfId="0" applyNumberFormat="1" applyFill="1"/>
    <xf numFmtId="42" fontId="0" fillId="0" borderId="0" xfId="0" applyNumberFormat="1"/>
    <xf numFmtId="165" fontId="0" fillId="0" borderId="0" xfId="0" applyNumberFormat="1"/>
    <xf numFmtId="167" fontId="4" fillId="5" borderId="0" xfId="1" applyNumberFormat="1" applyFont="1" applyFill="1"/>
    <xf numFmtId="0" fontId="0" fillId="5" borderId="0" xfId="0" applyFill="1"/>
    <xf numFmtId="44" fontId="1" fillId="5" borderId="0" xfId="2" applyFill="1"/>
    <xf numFmtId="0" fontId="0" fillId="0" borderId="0" xfId="0" applyFill="1"/>
    <xf numFmtId="4" fontId="0" fillId="5" borderId="0" xfId="0" applyNumberFormat="1" applyFill="1"/>
    <xf numFmtId="14" fontId="1" fillId="0" borderId="0" xfId="2" applyNumberFormat="1" applyFont="1"/>
    <xf numFmtId="167" fontId="0" fillId="5" borderId="0" xfId="0" applyNumberFormat="1" applyFill="1"/>
    <xf numFmtId="167" fontId="5" fillId="5" borderId="0" xfId="1" applyNumberFormat="1" applyFont="1" applyFill="1"/>
    <xf numFmtId="0" fontId="5" fillId="5" borderId="0" xfId="0" applyFont="1" applyFill="1"/>
    <xf numFmtId="4" fontId="1" fillId="5" borderId="0" xfId="2" applyNumberFormat="1" applyFill="1"/>
    <xf numFmtId="165" fontId="1" fillId="0" borderId="0" xfId="2" applyNumberFormat="1" applyFont="1"/>
    <xf numFmtId="167" fontId="1" fillId="5" borderId="0" xfId="1" applyNumberFormat="1" applyFill="1"/>
    <xf numFmtId="22" fontId="0" fillId="0" borderId="0" xfId="0" applyNumberFormat="1" applyAlignment="1">
      <alignment horizontal="left"/>
    </xf>
    <xf numFmtId="167" fontId="5" fillId="5" borderId="0" xfId="0" applyNumberFormat="1" applyFont="1" applyFill="1"/>
    <xf numFmtId="168" fontId="1" fillId="0" borderId="0" xfId="1" applyNumberFormat="1" applyFill="1"/>
    <xf numFmtId="167" fontId="1" fillId="5" borderId="0" xfId="0" applyNumberFormat="1" applyFont="1" applyFill="1"/>
    <xf numFmtId="0" fontId="1" fillId="5" borderId="0" xfId="0" applyFont="1" applyFill="1"/>
    <xf numFmtId="165" fontId="1" fillId="0" borderId="0" xfId="2" applyNumberFormat="1"/>
    <xf numFmtId="167" fontId="1" fillId="0" borderId="0" xfId="1" applyNumberFormat="1"/>
    <xf numFmtId="44" fontId="1" fillId="0" borderId="0" xfId="2"/>
    <xf numFmtId="4" fontId="1" fillId="0" borderId="0" xfId="2" applyNumberFormat="1"/>
    <xf numFmtId="169" fontId="1" fillId="0" borderId="0" xfId="2" applyNumberFormat="1"/>
    <xf numFmtId="169" fontId="1" fillId="6" borderId="0" xfId="2" applyNumberFormat="1" applyFill="1"/>
    <xf numFmtId="0" fontId="0" fillId="6" borderId="0" xfId="0" applyFill="1"/>
    <xf numFmtId="167" fontId="0" fillId="0" borderId="0" xfId="0" applyNumberFormat="1"/>
    <xf numFmtId="4" fontId="0" fillId="0" borderId="0" xfId="0" applyNumberFormat="1"/>
    <xf numFmtId="169" fontId="1" fillId="7" borderId="0" xfId="2" applyNumberFormat="1" applyFill="1"/>
    <xf numFmtId="0" fontId="0" fillId="7" borderId="0" xfId="0" applyFill="1"/>
    <xf numFmtId="44" fontId="1" fillId="0" borderId="0" xfId="2" applyFont="1"/>
    <xf numFmtId="169" fontId="4" fillId="7" borderId="0" xfId="2" applyNumberFormat="1" applyFont="1" applyFill="1"/>
    <xf numFmtId="0" fontId="4" fillId="7" borderId="0" xfId="0" applyFont="1" applyFill="1"/>
    <xf numFmtId="167" fontId="1" fillId="0" borderId="0" xfId="1" quotePrefix="1" applyNumberFormat="1" applyFont="1"/>
    <xf numFmtId="167" fontId="1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17" fontId="6" fillId="0" borderId="0" xfId="0" applyNumberFormat="1" applyFont="1"/>
    <xf numFmtId="0" fontId="5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0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0" fontId="0" fillId="0" borderId="3" xfId="0" applyBorder="1"/>
    <xf numFmtId="172" fontId="0" fillId="0" borderId="3" xfId="0" applyNumberForma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4" fontId="4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6" fontId="0" fillId="0" borderId="0" xfId="0" applyNumberFormat="1"/>
    <xf numFmtId="165" fontId="2" fillId="0" borderId="0" xfId="0" applyNumberFormat="1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71" fontId="2" fillId="10" borderId="4" xfId="0" applyNumberFormat="1" applyFont="1" applyFill="1" applyBorder="1" applyAlignment="1">
      <alignment horizontal="center"/>
    </xf>
    <xf numFmtId="170" fontId="3" fillId="10" borderId="4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/>
    <xf numFmtId="8" fontId="0" fillId="0" borderId="0" xfId="0" applyNumberFormat="1" applyAlignment="1">
      <alignment horizontal="center"/>
    </xf>
    <xf numFmtId="43" fontId="2" fillId="2" borderId="0" xfId="1" applyFont="1" applyFill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44" fontId="0" fillId="0" borderId="0" xfId="1" applyNumberFormat="1" applyFont="1"/>
    <xf numFmtId="42" fontId="2" fillId="0" borderId="0" xfId="0" applyNumberFormat="1" applyFont="1"/>
    <xf numFmtId="38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38" fontId="3" fillId="0" borderId="0" xfId="0" applyNumberFormat="1" applyFont="1" applyBorder="1"/>
    <xf numFmtId="0" fontId="2" fillId="2" borderId="0" xfId="0" applyFont="1" applyFill="1" applyAlignment="1">
      <alignment horizontal="right"/>
    </xf>
    <xf numFmtId="42" fontId="8" fillId="2" borderId="0" xfId="0" applyNumberFormat="1" applyFont="1" applyFill="1"/>
    <xf numFmtId="38" fontId="8" fillId="2" borderId="0" xfId="0" applyNumberFormat="1" applyFont="1" applyFill="1"/>
    <xf numFmtId="0" fontId="9" fillId="2" borderId="0" xfId="0" applyFont="1" applyFill="1"/>
    <xf numFmtId="42" fontId="9" fillId="2" borderId="0" xfId="0" applyNumberFormat="1" applyFont="1" applyFill="1"/>
    <xf numFmtId="44" fontId="0" fillId="0" borderId="0" xfId="0" applyNumberFormat="1"/>
    <xf numFmtId="183" fontId="0" fillId="0" borderId="0" xfId="0" applyNumberFormat="1"/>
    <xf numFmtId="42" fontId="2" fillId="10" borderId="0" xfId="0" applyNumberFormat="1" applyFont="1" applyFill="1"/>
    <xf numFmtId="38" fontId="2" fillId="10" borderId="0" xfId="0" applyNumberFormat="1" applyFont="1" applyFill="1" applyAlignment="1">
      <alignment horizontal="center"/>
    </xf>
    <xf numFmtId="168" fontId="3" fillId="10" borderId="0" xfId="1" applyNumberFormat="1" applyFont="1" applyFill="1" applyAlignment="1">
      <alignment horizontal="center"/>
    </xf>
    <xf numFmtId="6" fontId="0" fillId="10" borderId="0" xfId="0" applyNumberFormat="1" applyFill="1"/>
    <xf numFmtId="42" fontId="0" fillId="10" borderId="0" xfId="0" applyNumberFormat="1" applyFill="1"/>
    <xf numFmtId="184" fontId="0" fillId="0" borderId="0" xfId="0" applyNumberFormat="1" applyAlignment="1">
      <alignment horizontal="center"/>
    </xf>
    <xf numFmtId="41" fontId="0" fillId="0" borderId="0" xfId="0" applyNumberFormat="1"/>
    <xf numFmtId="16" fontId="0" fillId="0" borderId="0" xfId="0" applyNumberFormat="1"/>
    <xf numFmtId="185" fontId="2" fillId="0" borderId="0" xfId="0" applyNumberFormat="1" applyFont="1"/>
    <xf numFmtId="171" fontId="0" fillId="0" borderId="0" xfId="0" applyNumberFormat="1"/>
    <xf numFmtId="0" fontId="0" fillId="10" borderId="0" xfId="0" applyFill="1"/>
    <xf numFmtId="171" fontId="0" fillId="5" borderId="0" xfId="0" applyNumberFormat="1" applyFill="1"/>
    <xf numFmtId="186" fontId="0" fillId="0" borderId="0" xfId="0" applyNumberFormat="1"/>
    <xf numFmtId="43" fontId="1" fillId="5" borderId="0" xfId="1" applyNumberFormat="1" applyFill="1"/>
    <xf numFmtId="38" fontId="0" fillId="0" borderId="1" xfId="0" applyNumberFormat="1" applyBorder="1" applyAlignment="1">
      <alignment horizontal="center"/>
    </xf>
    <xf numFmtId="167" fontId="1" fillId="11" borderId="0" xfId="1" applyNumberFormat="1" applyFill="1"/>
    <xf numFmtId="0" fontId="0" fillId="11" borderId="0" xfId="0" applyFill="1"/>
    <xf numFmtId="4" fontId="1" fillId="11" borderId="0" xfId="2" applyNumberFormat="1" applyFill="1"/>
    <xf numFmtId="0" fontId="4" fillId="12" borderId="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71" fontId="2" fillId="12" borderId="4" xfId="0" applyNumberFormat="1" applyFont="1" applyFill="1" applyBorder="1" applyAlignment="1">
      <alignment horizontal="center"/>
    </xf>
    <xf numFmtId="170" fontId="3" fillId="12" borderId="4" xfId="0" applyNumberFormat="1" applyFont="1" applyFill="1" applyBorder="1" applyAlignment="1">
      <alignment horizontal="center"/>
    </xf>
    <xf numFmtId="171" fontId="2" fillId="10" borderId="5" xfId="0" applyNumberFormat="1" applyFont="1" applyFill="1" applyBorder="1" applyAlignment="1">
      <alignment horizontal="center"/>
    </xf>
    <xf numFmtId="171" fontId="2" fillId="1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173" fontId="0" fillId="2" borderId="0" xfId="0" applyNumberFormat="1" applyFill="1"/>
    <xf numFmtId="37" fontId="9" fillId="2" borderId="0" xfId="0" applyNumberFormat="1" applyFont="1" applyFill="1"/>
    <xf numFmtId="173" fontId="0" fillId="5" borderId="0" xfId="0" applyNumberFormat="1" applyFill="1"/>
    <xf numFmtId="0" fontId="10" fillId="1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C/FPBTrades02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eb Current"/>
      <sheetName val="PL Analysis"/>
      <sheetName val="Nymex Prices"/>
      <sheetName val="Begin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8"/>
  <sheetViews>
    <sheetView tabSelected="1" workbookViewId="0">
      <selection activeCell="C6" sqref="C6"/>
    </sheetView>
  </sheetViews>
  <sheetFormatPr defaultRowHeight="12.75" x14ac:dyDescent="0.2"/>
  <cols>
    <col min="1" max="1" width="15.7109375" customWidth="1"/>
    <col min="2" max="2" width="28.28515625" customWidth="1"/>
    <col min="3" max="3" width="43.42578125" customWidth="1"/>
    <col min="4" max="6" width="9" customWidth="1"/>
  </cols>
  <sheetData>
    <row r="1" spans="1:6" x14ac:dyDescent="0.2">
      <c r="A1" s="130" t="s">
        <v>132</v>
      </c>
      <c r="B1" s="130" t="s">
        <v>133</v>
      </c>
      <c r="C1" s="130" t="s">
        <v>134</v>
      </c>
      <c r="D1" s="130" t="s">
        <v>135</v>
      </c>
      <c r="E1" s="130" t="s">
        <v>136</v>
      </c>
      <c r="F1" s="130" t="s">
        <v>137</v>
      </c>
    </row>
    <row r="2" spans="1:6" x14ac:dyDescent="0.2">
      <c r="A2" s="131" t="s">
        <v>138</v>
      </c>
      <c r="B2" s="131" t="s">
        <v>139</v>
      </c>
      <c r="C2" s="131" t="s">
        <v>140</v>
      </c>
      <c r="D2" s="132">
        <v>5000</v>
      </c>
      <c r="E2" s="132">
        <v>0</v>
      </c>
      <c r="F2" s="132">
        <v>3.88</v>
      </c>
    </row>
    <row r="3" spans="1:6" x14ac:dyDescent="0.2">
      <c r="A3" s="131" t="s">
        <v>138</v>
      </c>
      <c r="B3" s="131" t="s">
        <v>139</v>
      </c>
      <c r="C3" s="131" t="s">
        <v>140</v>
      </c>
      <c r="D3" s="132">
        <v>15000</v>
      </c>
      <c r="E3" s="132">
        <v>0</v>
      </c>
      <c r="F3" s="132">
        <v>3.88</v>
      </c>
    </row>
    <row r="4" spans="1:6" x14ac:dyDescent="0.2">
      <c r="A4" s="131" t="s">
        <v>141</v>
      </c>
      <c r="B4" s="131" t="s">
        <v>142</v>
      </c>
      <c r="C4" s="131" t="s">
        <v>140</v>
      </c>
      <c r="D4" s="132">
        <v>5000</v>
      </c>
      <c r="E4" s="132">
        <v>0</v>
      </c>
      <c r="F4" s="132">
        <v>3.875</v>
      </c>
    </row>
    <row r="5" spans="1:6" x14ac:dyDescent="0.2">
      <c r="A5" s="131" t="s">
        <v>143</v>
      </c>
      <c r="B5" s="131" t="s">
        <v>144</v>
      </c>
      <c r="C5" s="131" t="s">
        <v>145</v>
      </c>
      <c r="D5" s="132">
        <v>0</v>
      </c>
      <c r="E5" s="132">
        <v>5000</v>
      </c>
      <c r="F5" s="132">
        <v>3.99</v>
      </c>
    </row>
    <row r="6" spans="1:6" x14ac:dyDescent="0.2">
      <c r="A6" s="131" t="s">
        <v>146</v>
      </c>
      <c r="B6" s="131" t="s">
        <v>147</v>
      </c>
      <c r="C6" s="131" t="s">
        <v>145</v>
      </c>
      <c r="D6" s="132">
        <v>2500</v>
      </c>
      <c r="E6" s="132">
        <v>0</v>
      </c>
      <c r="F6" s="132">
        <v>3.9849999999999999</v>
      </c>
    </row>
    <row r="7" spans="1:6" x14ac:dyDescent="0.2">
      <c r="A7" s="131" t="s">
        <v>148</v>
      </c>
      <c r="B7" s="131" t="s">
        <v>149</v>
      </c>
      <c r="C7" s="131" t="s">
        <v>150</v>
      </c>
      <c r="D7" s="132">
        <v>2500</v>
      </c>
      <c r="E7" s="132">
        <v>0</v>
      </c>
      <c r="F7" s="132">
        <v>4.0350000000000001</v>
      </c>
    </row>
    <row r="8" spans="1:6" x14ac:dyDescent="0.2">
      <c r="A8" s="131" t="s">
        <v>151</v>
      </c>
      <c r="B8" s="131" t="s">
        <v>152</v>
      </c>
      <c r="C8" s="131" t="s">
        <v>140</v>
      </c>
      <c r="D8" s="132">
        <v>20000</v>
      </c>
      <c r="E8" s="132">
        <v>0</v>
      </c>
      <c r="F8" s="132">
        <v>3.875</v>
      </c>
    </row>
    <row r="9" spans="1:6" x14ac:dyDescent="0.2">
      <c r="A9" s="131" t="s">
        <v>153</v>
      </c>
      <c r="B9" s="131" t="s">
        <v>139</v>
      </c>
      <c r="C9" s="131" t="s">
        <v>154</v>
      </c>
      <c r="D9" s="132">
        <v>2500</v>
      </c>
      <c r="E9" s="132">
        <v>0</v>
      </c>
      <c r="F9" s="132">
        <v>4.37</v>
      </c>
    </row>
    <row r="10" spans="1:6" x14ac:dyDescent="0.2">
      <c r="A10" s="131" t="s">
        <v>153</v>
      </c>
      <c r="B10" s="131" t="s">
        <v>155</v>
      </c>
      <c r="C10" s="131" t="s">
        <v>140</v>
      </c>
      <c r="D10" s="132">
        <v>5000</v>
      </c>
      <c r="E10" s="132">
        <v>0</v>
      </c>
      <c r="F10" s="132">
        <v>3.8650000000000002</v>
      </c>
    </row>
    <row r="11" spans="1:6" x14ac:dyDescent="0.2">
      <c r="A11" s="131" t="s">
        <v>153</v>
      </c>
      <c r="B11" s="131" t="s">
        <v>156</v>
      </c>
      <c r="C11" s="131" t="s">
        <v>154</v>
      </c>
      <c r="D11" s="132">
        <v>2500</v>
      </c>
      <c r="E11" s="132">
        <v>0</v>
      </c>
      <c r="F11" s="132">
        <v>4.37</v>
      </c>
    </row>
    <row r="12" spans="1:6" x14ac:dyDescent="0.2">
      <c r="A12" s="131" t="s">
        <v>157</v>
      </c>
      <c r="B12" s="131" t="s">
        <v>158</v>
      </c>
      <c r="C12" s="131" t="s">
        <v>140</v>
      </c>
      <c r="D12" s="132">
        <v>10000</v>
      </c>
      <c r="E12" s="132">
        <v>0</v>
      </c>
      <c r="F12" s="132">
        <v>3.8650000000000002</v>
      </c>
    </row>
    <row r="13" spans="1:6" x14ac:dyDescent="0.2">
      <c r="A13" s="131" t="s">
        <v>159</v>
      </c>
      <c r="B13" s="131" t="s">
        <v>160</v>
      </c>
      <c r="C13" s="131" t="s">
        <v>145</v>
      </c>
      <c r="D13" s="132">
        <v>0</v>
      </c>
      <c r="E13" s="132">
        <v>5000</v>
      </c>
      <c r="F13" s="132">
        <v>3.9849999999999999</v>
      </c>
    </row>
    <row r="14" spans="1:6" x14ac:dyDescent="0.2">
      <c r="A14" s="131" t="s">
        <v>161</v>
      </c>
      <c r="B14" s="131" t="s">
        <v>162</v>
      </c>
      <c r="C14" s="131" t="s">
        <v>140</v>
      </c>
      <c r="D14" s="132">
        <v>5000</v>
      </c>
      <c r="E14" s="132">
        <v>0</v>
      </c>
      <c r="F14" s="132">
        <v>3.8650000000000002</v>
      </c>
    </row>
    <row r="15" spans="1:6" x14ac:dyDescent="0.2">
      <c r="A15" s="131" t="s">
        <v>161</v>
      </c>
      <c r="B15" s="131" t="s">
        <v>163</v>
      </c>
      <c r="C15" s="131" t="s">
        <v>150</v>
      </c>
      <c r="D15" s="132">
        <v>2500</v>
      </c>
      <c r="E15" s="132">
        <v>0</v>
      </c>
      <c r="F15" s="132">
        <v>4.03</v>
      </c>
    </row>
    <row r="16" spans="1:6" x14ac:dyDescent="0.2">
      <c r="A16" s="131" t="s">
        <v>161</v>
      </c>
      <c r="B16" s="131" t="s">
        <v>144</v>
      </c>
      <c r="C16" s="131" t="s">
        <v>164</v>
      </c>
      <c r="D16" s="132">
        <v>0</v>
      </c>
      <c r="E16" s="132">
        <v>20000</v>
      </c>
      <c r="F16" s="132">
        <v>3.9674999999999998</v>
      </c>
    </row>
    <row r="17" spans="1:6" x14ac:dyDescent="0.2">
      <c r="A17" s="131" t="s">
        <v>161</v>
      </c>
      <c r="B17" s="131" t="s">
        <v>142</v>
      </c>
      <c r="C17" s="131" t="s">
        <v>154</v>
      </c>
      <c r="D17" s="132">
        <v>2500</v>
      </c>
      <c r="E17" s="132">
        <v>0</v>
      </c>
      <c r="F17" s="132">
        <v>4.37</v>
      </c>
    </row>
    <row r="18" spans="1:6" x14ac:dyDescent="0.2">
      <c r="A18" s="131" t="s">
        <v>165</v>
      </c>
      <c r="B18" s="131" t="s">
        <v>156</v>
      </c>
      <c r="C18" s="131" t="s">
        <v>154</v>
      </c>
      <c r="D18" s="132">
        <v>2500</v>
      </c>
      <c r="E18" s="132">
        <v>0</v>
      </c>
      <c r="F18" s="132">
        <v>4.3600000000000003</v>
      </c>
    </row>
    <row r="19" spans="1:6" x14ac:dyDescent="0.2">
      <c r="A19" s="131" t="s">
        <v>165</v>
      </c>
      <c r="B19" s="131" t="s">
        <v>156</v>
      </c>
      <c r="C19" s="131" t="s">
        <v>140</v>
      </c>
      <c r="D19" s="132">
        <v>20000</v>
      </c>
      <c r="E19" s="132">
        <v>0</v>
      </c>
      <c r="F19" s="132">
        <v>3.8650000000000002</v>
      </c>
    </row>
    <row r="20" spans="1:6" x14ac:dyDescent="0.2">
      <c r="A20" s="131" t="s">
        <v>166</v>
      </c>
      <c r="B20" s="131" t="s">
        <v>167</v>
      </c>
      <c r="C20" s="131" t="s">
        <v>140</v>
      </c>
      <c r="D20" s="132">
        <v>0</v>
      </c>
      <c r="E20" s="132">
        <v>10000</v>
      </c>
      <c r="F20" s="132">
        <v>3.87</v>
      </c>
    </row>
    <row r="21" spans="1:6" x14ac:dyDescent="0.2">
      <c r="A21" s="131" t="s">
        <v>166</v>
      </c>
      <c r="B21" s="131" t="s">
        <v>168</v>
      </c>
      <c r="C21" s="131" t="s">
        <v>140</v>
      </c>
      <c r="D21" s="132">
        <v>0</v>
      </c>
      <c r="E21" s="132">
        <v>5000</v>
      </c>
      <c r="F21" s="132">
        <v>3.87</v>
      </c>
    </row>
    <row r="22" spans="1:6" x14ac:dyDescent="0.2">
      <c r="A22" s="131" t="s">
        <v>166</v>
      </c>
      <c r="B22" s="131" t="s">
        <v>169</v>
      </c>
      <c r="C22" s="131" t="s">
        <v>154</v>
      </c>
      <c r="D22" s="132">
        <v>0</v>
      </c>
      <c r="E22" s="132">
        <v>2500</v>
      </c>
      <c r="F22" s="132">
        <v>4.37</v>
      </c>
    </row>
    <row r="23" spans="1:6" x14ac:dyDescent="0.2">
      <c r="A23" s="131" t="s">
        <v>166</v>
      </c>
      <c r="B23" s="131" t="s">
        <v>170</v>
      </c>
      <c r="C23" s="131" t="s">
        <v>140</v>
      </c>
      <c r="D23" s="132">
        <v>10000</v>
      </c>
      <c r="E23" s="132">
        <v>0</v>
      </c>
      <c r="F23" s="132">
        <v>3.8650000000000002</v>
      </c>
    </row>
    <row r="24" spans="1:6" x14ac:dyDescent="0.2">
      <c r="A24" s="131" t="s">
        <v>166</v>
      </c>
      <c r="B24" s="131" t="s">
        <v>171</v>
      </c>
      <c r="C24" s="131" t="s">
        <v>140</v>
      </c>
      <c r="D24" s="132">
        <v>0</v>
      </c>
      <c r="E24" s="132">
        <v>5000</v>
      </c>
      <c r="F24" s="132">
        <v>3.87</v>
      </c>
    </row>
    <row r="25" spans="1:6" x14ac:dyDescent="0.2">
      <c r="A25" s="131" t="s">
        <v>172</v>
      </c>
      <c r="B25" s="131" t="s">
        <v>170</v>
      </c>
      <c r="C25" s="131" t="s">
        <v>140</v>
      </c>
      <c r="D25" s="132">
        <v>10000</v>
      </c>
      <c r="E25" s="132">
        <v>0</v>
      </c>
      <c r="F25" s="132">
        <v>3.8650000000000002</v>
      </c>
    </row>
    <row r="26" spans="1:6" x14ac:dyDescent="0.2">
      <c r="A26" s="131" t="s">
        <v>172</v>
      </c>
      <c r="B26" s="131" t="s">
        <v>173</v>
      </c>
      <c r="C26" s="131" t="s">
        <v>164</v>
      </c>
      <c r="D26" s="132">
        <v>0</v>
      </c>
      <c r="E26" s="132">
        <v>20000</v>
      </c>
      <c r="F26" s="132">
        <v>3.9674999999999998</v>
      </c>
    </row>
    <row r="27" spans="1:6" x14ac:dyDescent="0.2">
      <c r="A27" s="131" t="s">
        <v>172</v>
      </c>
      <c r="B27" s="131" t="s">
        <v>174</v>
      </c>
      <c r="C27" s="131" t="s">
        <v>150</v>
      </c>
      <c r="D27" s="132">
        <v>5000</v>
      </c>
      <c r="E27" s="132">
        <v>0</v>
      </c>
      <c r="F27" s="132">
        <v>4.0250000000000004</v>
      </c>
    </row>
    <row r="28" spans="1:6" x14ac:dyDescent="0.2">
      <c r="A28" s="131" t="s">
        <v>172</v>
      </c>
      <c r="B28" s="131" t="s">
        <v>175</v>
      </c>
      <c r="C28" s="131" t="s">
        <v>154</v>
      </c>
      <c r="D28" s="132">
        <v>5000</v>
      </c>
      <c r="E28" s="132">
        <v>0</v>
      </c>
      <c r="F28" s="132">
        <v>4.3600000000000003</v>
      </c>
    </row>
    <row r="29" spans="1:6" x14ac:dyDescent="0.2">
      <c r="A29" s="131" t="s">
        <v>176</v>
      </c>
      <c r="B29" s="131" t="s">
        <v>169</v>
      </c>
      <c r="C29" s="131" t="s">
        <v>154</v>
      </c>
      <c r="D29" s="132">
        <v>0</v>
      </c>
      <c r="E29" s="132">
        <v>2500</v>
      </c>
      <c r="F29" s="132">
        <v>4.37</v>
      </c>
    </row>
    <row r="30" spans="1:6" x14ac:dyDescent="0.2">
      <c r="A30" s="131" t="s">
        <v>176</v>
      </c>
      <c r="B30" s="131" t="s">
        <v>174</v>
      </c>
      <c r="C30" s="131" t="s">
        <v>164</v>
      </c>
      <c r="D30" s="132">
        <v>20000</v>
      </c>
      <c r="E30" s="132">
        <v>0</v>
      </c>
      <c r="F30" s="132">
        <v>3.9624999999999999</v>
      </c>
    </row>
    <row r="31" spans="1:6" x14ac:dyDescent="0.2">
      <c r="A31" s="131" t="s">
        <v>177</v>
      </c>
      <c r="B31" s="131" t="s">
        <v>158</v>
      </c>
      <c r="C31" s="131" t="s">
        <v>164</v>
      </c>
      <c r="D31" s="132">
        <v>0</v>
      </c>
      <c r="E31" s="132">
        <v>15000</v>
      </c>
      <c r="F31" s="132">
        <v>3.9624999999999999</v>
      </c>
    </row>
    <row r="32" spans="1:6" x14ac:dyDescent="0.2">
      <c r="A32" s="131" t="s">
        <v>177</v>
      </c>
      <c r="B32" s="131" t="s">
        <v>178</v>
      </c>
      <c r="C32" s="131" t="s">
        <v>140</v>
      </c>
      <c r="D32" s="132">
        <v>0</v>
      </c>
      <c r="E32" s="132">
        <v>5000</v>
      </c>
      <c r="F32" s="132">
        <v>3.8650000000000002</v>
      </c>
    </row>
    <row r="33" spans="1:6" x14ac:dyDescent="0.2">
      <c r="A33" s="131" t="s">
        <v>177</v>
      </c>
      <c r="B33" s="131" t="s">
        <v>174</v>
      </c>
      <c r="C33" s="131" t="s">
        <v>164</v>
      </c>
      <c r="D33" s="132">
        <v>20000</v>
      </c>
      <c r="E33" s="132">
        <v>0</v>
      </c>
      <c r="F33" s="132">
        <v>3.9575</v>
      </c>
    </row>
    <row r="34" spans="1:6" x14ac:dyDescent="0.2">
      <c r="A34" s="131" t="s">
        <v>179</v>
      </c>
      <c r="B34" s="131" t="s">
        <v>178</v>
      </c>
      <c r="C34" s="131" t="s">
        <v>140</v>
      </c>
      <c r="D34" s="132">
        <v>0</v>
      </c>
      <c r="E34" s="132">
        <v>10000</v>
      </c>
      <c r="F34" s="132">
        <v>3.87</v>
      </c>
    </row>
    <row r="35" spans="1:6" x14ac:dyDescent="0.2">
      <c r="A35" s="131" t="s">
        <v>179</v>
      </c>
      <c r="B35" s="131" t="s">
        <v>178</v>
      </c>
      <c r="C35" s="131" t="s">
        <v>154</v>
      </c>
      <c r="D35" s="132">
        <v>0</v>
      </c>
      <c r="E35" s="132">
        <v>5000</v>
      </c>
      <c r="F35" s="132">
        <v>4.37</v>
      </c>
    </row>
    <row r="36" spans="1:6" x14ac:dyDescent="0.2">
      <c r="A36" s="131" t="s">
        <v>179</v>
      </c>
      <c r="B36" s="131" t="s">
        <v>144</v>
      </c>
      <c r="C36" s="131" t="s">
        <v>164</v>
      </c>
      <c r="D36" s="132">
        <v>0</v>
      </c>
      <c r="E36" s="132">
        <v>10000</v>
      </c>
      <c r="F36" s="132">
        <v>3.9674999999999998</v>
      </c>
    </row>
    <row r="37" spans="1:6" x14ac:dyDescent="0.2">
      <c r="A37" s="131" t="s">
        <v>180</v>
      </c>
      <c r="B37" s="131" t="s">
        <v>181</v>
      </c>
      <c r="C37" s="131" t="s">
        <v>140</v>
      </c>
      <c r="D37" s="132">
        <v>0</v>
      </c>
      <c r="E37" s="132">
        <v>20000</v>
      </c>
      <c r="F37" s="132">
        <v>3.875</v>
      </c>
    </row>
    <row r="38" spans="1:6" x14ac:dyDescent="0.2">
      <c r="A38" s="131" t="s">
        <v>182</v>
      </c>
      <c r="B38" s="131" t="s">
        <v>167</v>
      </c>
      <c r="C38" s="131" t="s">
        <v>154</v>
      </c>
      <c r="D38" s="132">
        <v>0</v>
      </c>
      <c r="E38" s="132">
        <v>2500</v>
      </c>
      <c r="F38" s="132">
        <v>4.375</v>
      </c>
    </row>
    <row r="39" spans="1:6" x14ac:dyDescent="0.2">
      <c r="A39" s="131" t="s">
        <v>182</v>
      </c>
      <c r="B39" s="131" t="s">
        <v>183</v>
      </c>
      <c r="C39" s="131" t="s">
        <v>140</v>
      </c>
      <c r="D39" s="132">
        <v>0</v>
      </c>
      <c r="E39" s="132">
        <v>20000</v>
      </c>
      <c r="F39" s="132">
        <v>3.88</v>
      </c>
    </row>
    <row r="40" spans="1:6" x14ac:dyDescent="0.2">
      <c r="A40" s="131" t="s">
        <v>184</v>
      </c>
      <c r="B40" s="131" t="s">
        <v>139</v>
      </c>
      <c r="C40" s="131" t="s">
        <v>140</v>
      </c>
      <c r="D40" s="132">
        <v>20000</v>
      </c>
      <c r="E40" s="132">
        <v>0</v>
      </c>
      <c r="F40" s="132">
        <v>3.875</v>
      </c>
    </row>
    <row r="41" spans="1:6" x14ac:dyDescent="0.2">
      <c r="A41" s="131" t="s">
        <v>185</v>
      </c>
      <c r="B41" s="131" t="s">
        <v>170</v>
      </c>
      <c r="C41" s="131" t="s">
        <v>140</v>
      </c>
      <c r="D41" s="132">
        <v>20000</v>
      </c>
      <c r="E41" s="132">
        <v>0</v>
      </c>
      <c r="F41" s="132">
        <v>3.875</v>
      </c>
    </row>
    <row r="42" spans="1:6" x14ac:dyDescent="0.2">
      <c r="A42" s="131" t="s">
        <v>185</v>
      </c>
      <c r="B42" s="131" t="s">
        <v>144</v>
      </c>
      <c r="C42" s="131" t="s">
        <v>164</v>
      </c>
      <c r="D42" s="132">
        <v>0</v>
      </c>
      <c r="E42" s="132">
        <v>20000</v>
      </c>
      <c r="F42" s="132">
        <v>3.9775</v>
      </c>
    </row>
    <row r="43" spans="1:6" x14ac:dyDescent="0.2">
      <c r="A43" s="131" t="s">
        <v>186</v>
      </c>
      <c r="B43" s="131" t="s">
        <v>178</v>
      </c>
      <c r="C43" s="131" t="s">
        <v>150</v>
      </c>
      <c r="D43" s="132">
        <v>0</v>
      </c>
      <c r="E43" s="132">
        <v>5000</v>
      </c>
      <c r="F43" s="132">
        <v>4.0350000000000001</v>
      </c>
    </row>
    <row r="44" spans="1:6" x14ac:dyDescent="0.2">
      <c r="A44" s="131" t="s">
        <v>186</v>
      </c>
      <c r="B44" s="131" t="s">
        <v>171</v>
      </c>
      <c r="C44" s="131" t="s">
        <v>140</v>
      </c>
      <c r="D44" s="132">
        <v>0</v>
      </c>
      <c r="E44" s="132">
        <v>20000</v>
      </c>
      <c r="F44" s="132">
        <v>3.88</v>
      </c>
    </row>
    <row r="45" spans="1:6" x14ac:dyDescent="0.2">
      <c r="A45" s="131" t="s">
        <v>186</v>
      </c>
      <c r="B45" s="131" t="s">
        <v>187</v>
      </c>
      <c r="C45" s="131" t="s">
        <v>145</v>
      </c>
      <c r="D45" s="132">
        <v>0</v>
      </c>
      <c r="E45" s="132">
        <v>5000</v>
      </c>
      <c r="F45" s="132">
        <v>3.99</v>
      </c>
    </row>
    <row r="46" spans="1:6" x14ac:dyDescent="0.2">
      <c r="A46" s="131" t="s">
        <v>188</v>
      </c>
      <c r="B46" s="131" t="s">
        <v>189</v>
      </c>
      <c r="C46" s="131" t="s">
        <v>140</v>
      </c>
      <c r="D46" s="132">
        <v>2500</v>
      </c>
      <c r="E46" s="132">
        <v>0</v>
      </c>
      <c r="F46" s="132">
        <v>3.875</v>
      </c>
    </row>
    <row r="47" spans="1:6" x14ac:dyDescent="0.2">
      <c r="A47" s="131" t="s">
        <v>190</v>
      </c>
      <c r="B47" s="131" t="s">
        <v>191</v>
      </c>
      <c r="C47" s="131" t="s">
        <v>140</v>
      </c>
      <c r="D47" s="132">
        <v>7500</v>
      </c>
      <c r="E47" s="132">
        <v>0</v>
      </c>
      <c r="F47" s="132">
        <v>3.875</v>
      </c>
    </row>
    <row r="48" spans="1:6" x14ac:dyDescent="0.2">
      <c r="A48" s="131" t="s">
        <v>192</v>
      </c>
      <c r="B48" s="131" t="s">
        <v>183</v>
      </c>
      <c r="C48" s="131" t="s">
        <v>140</v>
      </c>
      <c r="D48" s="132">
        <v>0</v>
      </c>
      <c r="E48" s="132">
        <v>20000</v>
      </c>
      <c r="F48" s="132">
        <v>3.88</v>
      </c>
    </row>
    <row r="49" spans="1:6" x14ac:dyDescent="0.2">
      <c r="A49" s="131" t="s">
        <v>192</v>
      </c>
      <c r="B49" s="131" t="s">
        <v>156</v>
      </c>
      <c r="C49" s="131" t="s">
        <v>145</v>
      </c>
      <c r="D49" s="132">
        <v>0</v>
      </c>
      <c r="E49" s="132">
        <v>5000</v>
      </c>
      <c r="F49" s="132">
        <v>3.9950000000000001</v>
      </c>
    </row>
    <row r="50" spans="1:6" x14ac:dyDescent="0.2">
      <c r="A50" s="131" t="s">
        <v>192</v>
      </c>
      <c r="B50" s="131" t="s">
        <v>144</v>
      </c>
      <c r="C50" s="131" t="s">
        <v>164</v>
      </c>
      <c r="D50" s="132">
        <v>0</v>
      </c>
      <c r="E50" s="132">
        <v>20000</v>
      </c>
      <c r="F50" s="132">
        <v>3.9824999999999999</v>
      </c>
    </row>
    <row r="51" spans="1:6" x14ac:dyDescent="0.2">
      <c r="A51" s="131" t="s">
        <v>193</v>
      </c>
      <c r="B51" s="131" t="s">
        <v>168</v>
      </c>
      <c r="C51" s="131" t="s">
        <v>140</v>
      </c>
      <c r="D51" s="132">
        <v>0</v>
      </c>
      <c r="E51" s="132">
        <v>10000</v>
      </c>
      <c r="F51" s="132">
        <v>3.8849999999999998</v>
      </c>
    </row>
    <row r="52" spans="1:6" x14ac:dyDescent="0.2">
      <c r="A52" s="131" t="s">
        <v>193</v>
      </c>
      <c r="B52" s="131" t="s">
        <v>189</v>
      </c>
      <c r="C52" s="131" t="s">
        <v>150</v>
      </c>
      <c r="D52" s="132">
        <v>0</v>
      </c>
      <c r="E52" s="132">
        <v>500</v>
      </c>
      <c r="F52" s="132">
        <v>4.0449999999999999</v>
      </c>
    </row>
    <row r="53" spans="1:6" x14ac:dyDescent="0.2">
      <c r="A53" s="131" t="s">
        <v>193</v>
      </c>
      <c r="B53" s="131" t="s">
        <v>174</v>
      </c>
      <c r="C53" s="131" t="s">
        <v>164</v>
      </c>
      <c r="D53" s="132">
        <v>20000</v>
      </c>
      <c r="E53" s="132">
        <v>0</v>
      </c>
      <c r="F53" s="132">
        <v>3.9775</v>
      </c>
    </row>
    <row r="54" spans="1:6" x14ac:dyDescent="0.2">
      <c r="A54" s="131" t="s">
        <v>193</v>
      </c>
      <c r="B54" s="131" t="s">
        <v>156</v>
      </c>
      <c r="C54" s="131" t="s">
        <v>150</v>
      </c>
      <c r="D54" s="132">
        <v>0</v>
      </c>
      <c r="E54" s="132">
        <v>5000</v>
      </c>
      <c r="F54" s="132">
        <v>4.0449999999999999</v>
      </c>
    </row>
    <row r="55" spans="1:6" x14ac:dyDescent="0.2">
      <c r="A55" s="131" t="s">
        <v>193</v>
      </c>
      <c r="B55" s="131" t="s">
        <v>156</v>
      </c>
      <c r="C55" s="131" t="s">
        <v>140</v>
      </c>
      <c r="D55" s="132">
        <v>0</v>
      </c>
      <c r="E55" s="132">
        <v>20000</v>
      </c>
      <c r="F55" s="132">
        <v>3.89</v>
      </c>
    </row>
    <row r="56" spans="1:6" x14ac:dyDescent="0.2">
      <c r="A56" s="131" t="s">
        <v>194</v>
      </c>
      <c r="B56" s="131" t="s">
        <v>170</v>
      </c>
      <c r="C56" s="131" t="s">
        <v>140</v>
      </c>
      <c r="D56" s="132">
        <v>10000</v>
      </c>
      <c r="E56" s="132">
        <v>0</v>
      </c>
      <c r="F56" s="132">
        <v>3.8849999999999998</v>
      </c>
    </row>
    <row r="57" spans="1:6" x14ac:dyDescent="0.2">
      <c r="A57" s="131" t="s">
        <v>195</v>
      </c>
      <c r="B57" s="131" t="s">
        <v>178</v>
      </c>
      <c r="C57" s="131" t="s">
        <v>140</v>
      </c>
      <c r="D57" s="132">
        <v>10000</v>
      </c>
      <c r="E57" s="132">
        <v>0</v>
      </c>
      <c r="F57" s="132">
        <v>3.8849999999999998</v>
      </c>
    </row>
    <row r="58" spans="1:6" x14ac:dyDescent="0.2">
      <c r="A58" s="131" t="s">
        <v>195</v>
      </c>
      <c r="B58" s="131" t="s">
        <v>196</v>
      </c>
      <c r="C58" s="131" t="s">
        <v>140</v>
      </c>
      <c r="D58" s="132">
        <v>20000</v>
      </c>
      <c r="E58" s="132">
        <v>0</v>
      </c>
      <c r="F58" s="132">
        <v>3.88</v>
      </c>
    </row>
    <row r="59" spans="1:6" x14ac:dyDescent="0.2">
      <c r="A59" s="131" t="s">
        <v>195</v>
      </c>
      <c r="B59" s="131" t="s">
        <v>174</v>
      </c>
      <c r="C59" s="131" t="s">
        <v>145</v>
      </c>
      <c r="D59" s="132">
        <v>5000</v>
      </c>
      <c r="E59" s="132">
        <v>0</v>
      </c>
      <c r="F59" s="132">
        <v>3.99</v>
      </c>
    </row>
    <row r="60" spans="1:6" x14ac:dyDescent="0.2">
      <c r="A60" s="131" t="s">
        <v>195</v>
      </c>
      <c r="B60" s="131" t="s">
        <v>174</v>
      </c>
      <c r="C60" s="131" t="s">
        <v>197</v>
      </c>
      <c r="D60" s="132">
        <v>20000</v>
      </c>
      <c r="E60" s="132">
        <v>0</v>
      </c>
      <c r="F60" s="132">
        <v>4.0199999999999996</v>
      </c>
    </row>
    <row r="61" spans="1:6" x14ac:dyDescent="0.2">
      <c r="A61" s="131" t="s">
        <v>198</v>
      </c>
      <c r="B61" s="131" t="s">
        <v>162</v>
      </c>
      <c r="C61" s="131" t="s">
        <v>140</v>
      </c>
      <c r="D61" s="132">
        <v>5000</v>
      </c>
      <c r="E61" s="132">
        <v>0</v>
      </c>
      <c r="F61" s="132">
        <v>3.87</v>
      </c>
    </row>
    <row r="62" spans="1:6" x14ac:dyDescent="0.2">
      <c r="A62" s="131" t="s">
        <v>198</v>
      </c>
      <c r="B62" s="131" t="s">
        <v>156</v>
      </c>
      <c r="C62" s="131" t="s">
        <v>140</v>
      </c>
      <c r="D62" s="132">
        <v>15000</v>
      </c>
      <c r="E62" s="132">
        <v>0</v>
      </c>
      <c r="F62" s="132">
        <v>3.87</v>
      </c>
    </row>
    <row r="63" spans="1:6" x14ac:dyDescent="0.2">
      <c r="A63" s="131" t="s">
        <v>199</v>
      </c>
      <c r="B63" s="131" t="s">
        <v>200</v>
      </c>
      <c r="C63" s="131" t="s">
        <v>140</v>
      </c>
      <c r="D63" s="132">
        <v>10000</v>
      </c>
      <c r="E63" s="132">
        <v>0</v>
      </c>
      <c r="F63" s="132">
        <v>3.8650000000000002</v>
      </c>
    </row>
    <row r="64" spans="1:6" x14ac:dyDescent="0.2">
      <c r="A64" s="131" t="s">
        <v>199</v>
      </c>
      <c r="B64" s="131" t="s">
        <v>156</v>
      </c>
      <c r="C64" s="131" t="s">
        <v>140</v>
      </c>
      <c r="D64" s="132">
        <v>0</v>
      </c>
      <c r="E64" s="132">
        <v>20000</v>
      </c>
      <c r="F64" s="132">
        <v>3.875</v>
      </c>
    </row>
    <row r="65" spans="1:6" x14ac:dyDescent="0.2">
      <c r="A65" s="131" t="s">
        <v>199</v>
      </c>
      <c r="B65" s="131" t="s">
        <v>144</v>
      </c>
      <c r="C65" s="131" t="s">
        <v>145</v>
      </c>
      <c r="D65" s="132">
        <v>0</v>
      </c>
      <c r="E65" s="132">
        <v>5000</v>
      </c>
      <c r="F65" s="132">
        <v>3.9849999999999999</v>
      </c>
    </row>
    <row r="66" spans="1:6" x14ac:dyDescent="0.2">
      <c r="A66" s="131" t="s">
        <v>199</v>
      </c>
      <c r="B66" s="131" t="s">
        <v>187</v>
      </c>
      <c r="C66" s="131" t="s">
        <v>145</v>
      </c>
      <c r="D66" s="132">
        <v>5000</v>
      </c>
      <c r="E66" s="132">
        <v>0</v>
      </c>
      <c r="F66" s="132">
        <v>3.98</v>
      </c>
    </row>
    <row r="67" spans="1:6" x14ac:dyDescent="0.2">
      <c r="A67" s="131" t="s">
        <v>201</v>
      </c>
      <c r="B67" s="131" t="s">
        <v>202</v>
      </c>
      <c r="C67" s="131" t="s">
        <v>154</v>
      </c>
      <c r="D67" s="132">
        <v>0</v>
      </c>
      <c r="E67" s="132">
        <v>5000</v>
      </c>
      <c r="F67" s="132">
        <v>4.375</v>
      </c>
    </row>
    <row r="68" spans="1:6" x14ac:dyDescent="0.2">
      <c r="A68" s="131" t="s">
        <v>201</v>
      </c>
      <c r="B68" s="131" t="s">
        <v>158</v>
      </c>
      <c r="C68" s="131" t="s">
        <v>140</v>
      </c>
      <c r="D68" s="132">
        <v>10000</v>
      </c>
      <c r="E68" s="132">
        <v>0</v>
      </c>
      <c r="F68" s="132">
        <v>3.87</v>
      </c>
    </row>
    <row r="69" spans="1:6" x14ac:dyDescent="0.2">
      <c r="A69" s="131" t="s">
        <v>203</v>
      </c>
      <c r="B69" s="131" t="s">
        <v>204</v>
      </c>
      <c r="C69" s="131" t="s">
        <v>140</v>
      </c>
      <c r="D69" s="132">
        <v>0</v>
      </c>
      <c r="E69" s="132">
        <v>2500</v>
      </c>
      <c r="F69" s="132">
        <v>3.875</v>
      </c>
    </row>
    <row r="70" spans="1:6" x14ac:dyDescent="0.2">
      <c r="A70" s="131" t="s">
        <v>203</v>
      </c>
      <c r="B70" s="131" t="s">
        <v>171</v>
      </c>
      <c r="C70" s="131" t="s">
        <v>145</v>
      </c>
      <c r="D70" s="132">
        <v>5000</v>
      </c>
      <c r="E70" s="132">
        <v>0</v>
      </c>
      <c r="F70" s="132">
        <v>3.98</v>
      </c>
    </row>
    <row r="71" spans="1:6" x14ac:dyDescent="0.2">
      <c r="A71" s="131" t="s">
        <v>205</v>
      </c>
      <c r="B71" s="131" t="s">
        <v>202</v>
      </c>
      <c r="C71" s="131" t="s">
        <v>154</v>
      </c>
      <c r="D71" s="132">
        <v>0</v>
      </c>
      <c r="E71" s="132">
        <v>5000</v>
      </c>
      <c r="F71" s="132">
        <v>4.375</v>
      </c>
    </row>
    <row r="72" spans="1:6" x14ac:dyDescent="0.2">
      <c r="A72" s="131" t="s">
        <v>206</v>
      </c>
      <c r="B72" s="131" t="s">
        <v>156</v>
      </c>
      <c r="C72" s="131" t="s">
        <v>140</v>
      </c>
      <c r="D72" s="132">
        <v>0</v>
      </c>
      <c r="E72" s="132">
        <v>17500</v>
      </c>
      <c r="F72" s="132">
        <v>3.875</v>
      </c>
    </row>
    <row r="73" spans="1:6" x14ac:dyDescent="0.2">
      <c r="A73" s="131" t="s">
        <v>207</v>
      </c>
      <c r="B73" s="131" t="s">
        <v>208</v>
      </c>
      <c r="C73" s="131" t="s">
        <v>140</v>
      </c>
      <c r="D73" s="132">
        <v>0</v>
      </c>
      <c r="E73" s="132">
        <v>10000</v>
      </c>
      <c r="F73" s="132">
        <v>3.88</v>
      </c>
    </row>
    <row r="74" spans="1:6" x14ac:dyDescent="0.2">
      <c r="A74" s="131" t="s">
        <v>209</v>
      </c>
      <c r="B74" s="131" t="s">
        <v>204</v>
      </c>
      <c r="C74" s="131" t="s">
        <v>164</v>
      </c>
      <c r="D74" s="132">
        <v>0</v>
      </c>
      <c r="E74" s="132">
        <v>10000</v>
      </c>
      <c r="F74" s="132">
        <v>3.9775</v>
      </c>
    </row>
    <row r="75" spans="1:6" x14ac:dyDescent="0.2">
      <c r="A75" s="131" t="s">
        <v>210</v>
      </c>
      <c r="B75" s="131" t="s">
        <v>204</v>
      </c>
      <c r="C75" s="131" t="s">
        <v>164</v>
      </c>
      <c r="D75" s="132">
        <v>0</v>
      </c>
      <c r="E75" s="132">
        <v>10000</v>
      </c>
      <c r="F75" s="132">
        <v>3.9775</v>
      </c>
    </row>
    <row r="76" spans="1:6" x14ac:dyDescent="0.2">
      <c r="A76" s="131" t="s">
        <v>211</v>
      </c>
      <c r="B76" s="131" t="s">
        <v>212</v>
      </c>
      <c r="C76" s="131" t="s">
        <v>140</v>
      </c>
      <c r="D76" s="132">
        <v>0</v>
      </c>
      <c r="E76" s="132">
        <v>5000</v>
      </c>
      <c r="F76" s="132">
        <v>3.88</v>
      </c>
    </row>
    <row r="77" spans="1:6" x14ac:dyDescent="0.2">
      <c r="A77" s="131" t="s">
        <v>213</v>
      </c>
      <c r="B77" s="131" t="s">
        <v>214</v>
      </c>
      <c r="C77" s="131" t="s">
        <v>145</v>
      </c>
      <c r="D77" s="132">
        <v>0</v>
      </c>
      <c r="E77" s="132">
        <v>2500</v>
      </c>
      <c r="F77" s="132">
        <v>3.9950000000000001</v>
      </c>
    </row>
    <row r="78" spans="1:6" x14ac:dyDescent="0.2">
      <c r="A78" s="131" t="s">
        <v>213</v>
      </c>
      <c r="B78" s="131" t="s">
        <v>158</v>
      </c>
      <c r="C78" s="131" t="s">
        <v>150</v>
      </c>
      <c r="D78" s="132">
        <v>0</v>
      </c>
      <c r="E78" s="132">
        <v>5000</v>
      </c>
      <c r="F78" s="132">
        <v>4.0449999999999999</v>
      </c>
    </row>
    <row r="79" spans="1:6" x14ac:dyDescent="0.2">
      <c r="A79" s="131" t="s">
        <v>213</v>
      </c>
      <c r="B79" s="131" t="s">
        <v>149</v>
      </c>
      <c r="C79" s="131" t="s">
        <v>154</v>
      </c>
      <c r="D79" s="132">
        <v>0</v>
      </c>
      <c r="E79" s="132">
        <v>2500</v>
      </c>
      <c r="F79" s="132">
        <v>4.3849999999999998</v>
      </c>
    </row>
    <row r="80" spans="1:6" x14ac:dyDescent="0.2">
      <c r="A80" s="131" t="s">
        <v>213</v>
      </c>
      <c r="B80" s="131" t="s">
        <v>156</v>
      </c>
      <c r="C80" s="131" t="s">
        <v>140</v>
      </c>
      <c r="D80" s="132">
        <v>0</v>
      </c>
      <c r="E80" s="132">
        <v>5000</v>
      </c>
      <c r="F80" s="132">
        <v>3.88</v>
      </c>
    </row>
    <row r="81" spans="1:6" x14ac:dyDescent="0.2">
      <c r="A81" s="131" t="s">
        <v>213</v>
      </c>
      <c r="B81" s="131" t="s">
        <v>215</v>
      </c>
      <c r="C81" s="131" t="s">
        <v>140</v>
      </c>
      <c r="D81" s="132">
        <v>0</v>
      </c>
      <c r="E81" s="132">
        <v>20000</v>
      </c>
      <c r="F81" s="132">
        <v>3.8849999999999998</v>
      </c>
    </row>
    <row r="82" spans="1:6" x14ac:dyDescent="0.2">
      <c r="A82" s="131" t="s">
        <v>213</v>
      </c>
      <c r="B82" s="131" t="s">
        <v>215</v>
      </c>
      <c r="C82" s="131" t="s">
        <v>140</v>
      </c>
      <c r="D82" s="132">
        <v>0</v>
      </c>
      <c r="E82" s="132">
        <v>15000</v>
      </c>
      <c r="F82" s="132">
        <v>3.89</v>
      </c>
    </row>
    <row r="83" spans="1:6" x14ac:dyDescent="0.2">
      <c r="A83" s="131" t="s">
        <v>216</v>
      </c>
      <c r="B83" s="131" t="s">
        <v>147</v>
      </c>
      <c r="C83" s="131" t="s">
        <v>140</v>
      </c>
      <c r="D83" s="132">
        <v>0</v>
      </c>
      <c r="E83" s="132">
        <v>20000</v>
      </c>
      <c r="F83" s="132">
        <v>3.895</v>
      </c>
    </row>
    <row r="84" spans="1:6" x14ac:dyDescent="0.2">
      <c r="A84" s="131" t="s">
        <v>216</v>
      </c>
      <c r="B84" s="131" t="s">
        <v>217</v>
      </c>
      <c r="C84" s="131" t="s">
        <v>140</v>
      </c>
      <c r="D84" s="132">
        <v>0</v>
      </c>
      <c r="E84" s="132">
        <v>20000</v>
      </c>
      <c r="F84" s="132">
        <v>3.895</v>
      </c>
    </row>
    <row r="85" spans="1:6" x14ac:dyDescent="0.2">
      <c r="A85" s="131" t="s">
        <v>216</v>
      </c>
      <c r="B85" s="131" t="s">
        <v>218</v>
      </c>
      <c r="C85" s="131" t="s">
        <v>145</v>
      </c>
      <c r="D85" s="132">
        <v>0</v>
      </c>
      <c r="E85" s="132">
        <v>5000</v>
      </c>
      <c r="F85" s="132">
        <v>4.01</v>
      </c>
    </row>
    <row r="86" spans="1:6" x14ac:dyDescent="0.2">
      <c r="A86" s="131" t="s">
        <v>216</v>
      </c>
      <c r="B86" s="131" t="s">
        <v>170</v>
      </c>
      <c r="C86" s="131" t="s">
        <v>140</v>
      </c>
      <c r="D86" s="132">
        <v>20000</v>
      </c>
      <c r="E86" s="132">
        <v>0</v>
      </c>
      <c r="F86" s="132">
        <v>3.89</v>
      </c>
    </row>
    <row r="87" spans="1:6" x14ac:dyDescent="0.2">
      <c r="A87" s="131" t="s">
        <v>216</v>
      </c>
      <c r="B87" s="131" t="s">
        <v>156</v>
      </c>
      <c r="C87" s="131" t="s">
        <v>140</v>
      </c>
      <c r="D87" s="132">
        <v>0</v>
      </c>
      <c r="E87" s="132">
        <v>5000</v>
      </c>
      <c r="F87" s="132">
        <v>3.89</v>
      </c>
    </row>
    <row r="88" spans="1:6" x14ac:dyDescent="0.2">
      <c r="A88" s="131" t="s">
        <v>219</v>
      </c>
      <c r="B88" s="131" t="s">
        <v>178</v>
      </c>
      <c r="C88" s="131" t="s">
        <v>197</v>
      </c>
      <c r="D88" s="132">
        <v>2500</v>
      </c>
      <c r="E88" s="132">
        <v>0</v>
      </c>
      <c r="F88" s="132">
        <v>4.0449999999999999</v>
      </c>
    </row>
    <row r="89" spans="1:6" x14ac:dyDescent="0.2">
      <c r="A89" s="131" t="s">
        <v>219</v>
      </c>
      <c r="B89" s="131" t="s">
        <v>220</v>
      </c>
      <c r="C89" s="131" t="s">
        <v>140</v>
      </c>
      <c r="D89" s="132">
        <v>10000</v>
      </c>
      <c r="E89" s="132">
        <v>0</v>
      </c>
      <c r="F89" s="132">
        <v>3.9</v>
      </c>
    </row>
    <row r="90" spans="1:6" x14ac:dyDescent="0.2">
      <c r="A90" s="131" t="s">
        <v>219</v>
      </c>
      <c r="B90" s="131" t="s">
        <v>169</v>
      </c>
      <c r="C90" s="131" t="s">
        <v>140</v>
      </c>
      <c r="D90" s="132">
        <v>2500</v>
      </c>
      <c r="E90" s="132">
        <v>0</v>
      </c>
      <c r="F90" s="132">
        <v>3.9</v>
      </c>
    </row>
    <row r="91" spans="1:6" x14ac:dyDescent="0.2">
      <c r="A91" s="131" t="s">
        <v>219</v>
      </c>
      <c r="B91" s="131" t="s">
        <v>221</v>
      </c>
      <c r="C91" s="131" t="s">
        <v>140</v>
      </c>
      <c r="D91" s="132">
        <v>0</v>
      </c>
      <c r="E91" s="132">
        <v>20000</v>
      </c>
      <c r="F91" s="132">
        <v>3.9049999999999998</v>
      </c>
    </row>
    <row r="92" spans="1:6" x14ac:dyDescent="0.2">
      <c r="A92" s="131" t="s">
        <v>219</v>
      </c>
      <c r="B92" s="131" t="s">
        <v>222</v>
      </c>
      <c r="C92" s="131" t="s">
        <v>140</v>
      </c>
      <c r="D92" s="132">
        <v>10000</v>
      </c>
      <c r="E92" s="132">
        <v>0</v>
      </c>
      <c r="F92" s="132">
        <v>3.895</v>
      </c>
    </row>
    <row r="93" spans="1:6" x14ac:dyDescent="0.2">
      <c r="A93" s="131" t="s">
        <v>219</v>
      </c>
      <c r="B93" s="131" t="s">
        <v>162</v>
      </c>
      <c r="C93" s="131" t="s">
        <v>140</v>
      </c>
      <c r="D93" s="132">
        <v>0</v>
      </c>
      <c r="E93" s="132">
        <v>20000</v>
      </c>
      <c r="F93" s="132">
        <v>3.9</v>
      </c>
    </row>
    <row r="94" spans="1:6" x14ac:dyDescent="0.2">
      <c r="A94" s="131" t="s">
        <v>219</v>
      </c>
      <c r="B94" s="131" t="s">
        <v>204</v>
      </c>
      <c r="C94" s="131" t="s">
        <v>140</v>
      </c>
      <c r="D94" s="132">
        <v>15000</v>
      </c>
      <c r="E94" s="132">
        <v>0</v>
      </c>
      <c r="F94" s="132">
        <v>3.9</v>
      </c>
    </row>
    <row r="95" spans="1:6" x14ac:dyDescent="0.2">
      <c r="A95" s="131" t="s">
        <v>219</v>
      </c>
      <c r="B95" s="131" t="s">
        <v>204</v>
      </c>
      <c r="C95" s="131" t="s">
        <v>140</v>
      </c>
      <c r="D95" s="132">
        <v>0</v>
      </c>
      <c r="E95" s="132">
        <v>5000</v>
      </c>
      <c r="F95" s="132">
        <v>3.91</v>
      </c>
    </row>
    <row r="96" spans="1:6" x14ac:dyDescent="0.2">
      <c r="A96" s="131" t="s">
        <v>219</v>
      </c>
      <c r="B96" s="131" t="s">
        <v>156</v>
      </c>
      <c r="C96" s="131" t="s">
        <v>140</v>
      </c>
      <c r="D96" s="132">
        <v>0</v>
      </c>
      <c r="E96" s="132">
        <v>20000</v>
      </c>
      <c r="F96" s="132">
        <v>3.9049999999999998</v>
      </c>
    </row>
    <row r="97" spans="1:6" x14ac:dyDescent="0.2">
      <c r="A97" s="131" t="s">
        <v>219</v>
      </c>
      <c r="B97" s="131" t="s">
        <v>156</v>
      </c>
      <c r="C97" s="131" t="s">
        <v>140</v>
      </c>
      <c r="D97" s="132">
        <v>0</v>
      </c>
      <c r="E97" s="132">
        <v>15000</v>
      </c>
      <c r="F97" s="132">
        <v>3.9049999999999998</v>
      </c>
    </row>
    <row r="98" spans="1:6" x14ac:dyDescent="0.2">
      <c r="A98" s="131" t="s">
        <v>219</v>
      </c>
      <c r="B98" s="131" t="s">
        <v>223</v>
      </c>
      <c r="C98" s="131" t="s">
        <v>140</v>
      </c>
      <c r="D98" s="132">
        <v>5000</v>
      </c>
      <c r="E98" s="132">
        <v>0</v>
      </c>
      <c r="F98" s="132">
        <v>3.895</v>
      </c>
    </row>
    <row r="99" spans="1:6" x14ac:dyDescent="0.2">
      <c r="A99" s="131" t="s">
        <v>224</v>
      </c>
      <c r="B99" s="131" t="s">
        <v>167</v>
      </c>
      <c r="C99" s="131" t="s">
        <v>154</v>
      </c>
      <c r="D99" s="132">
        <v>2500</v>
      </c>
      <c r="E99" s="132">
        <v>0</v>
      </c>
      <c r="F99" s="132">
        <v>4.3949999999999996</v>
      </c>
    </row>
    <row r="100" spans="1:6" x14ac:dyDescent="0.2">
      <c r="A100" s="131" t="s">
        <v>224</v>
      </c>
      <c r="B100" s="131" t="s">
        <v>225</v>
      </c>
      <c r="C100" s="131" t="s">
        <v>140</v>
      </c>
      <c r="D100" s="132">
        <v>0</v>
      </c>
      <c r="E100" s="132">
        <v>20000</v>
      </c>
      <c r="F100" s="132">
        <v>3.91</v>
      </c>
    </row>
    <row r="101" spans="1:6" x14ac:dyDescent="0.2">
      <c r="A101" s="131" t="s">
        <v>224</v>
      </c>
      <c r="B101" s="131" t="s">
        <v>226</v>
      </c>
      <c r="C101" s="131" t="s">
        <v>164</v>
      </c>
      <c r="D101" s="132">
        <v>10000</v>
      </c>
      <c r="E101" s="132">
        <v>0</v>
      </c>
      <c r="F101" s="132">
        <v>4.0025000000000004</v>
      </c>
    </row>
    <row r="102" spans="1:6" x14ac:dyDescent="0.2">
      <c r="A102" s="131" t="s">
        <v>224</v>
      </c>
      <c r="B102" s="131" t="s">
        <v>156</v>
      </c>
      <c r="C102" s="131" t="s">
        <v>150</v>
      </c>
      <c r="D102" s="132">
        <v>0</v>
      </c>
      <c r="E102" s="132">
        <v>5000</v>
      </c>
      <c r="F102" s="132">
        <v>4.0599999999999996</v>
      </c>
    </row>
    <row r="103" spans="1:6" x14ac:dyDescent="0.2">
      <c r="A103" s="131" t="s">
        <v>227</v>
      </c>
      <c r="B103" s="131" t="s">
        <v>217</v>
      </c>
      <c r="C103" s="131" t="s">
        <v>140</v>
      </c>
      <c r="D103" s="132">
        <v>0</v>
      </c>
      <c r="E103" s="132">
        <v>20000</v>
      </c>
      <c r="F103" s="132">
        <v>3.915</v>
      </c>
    </row>
    <row r="104" spans="1:6" x14ac:dyDescent="0.2">
      <c r="A104" s="131" t="s">
        <v>227</v>
      </c>
      <c r="B104" s="131" t="s">
        <v>204</v>
      </c>
      <c r="C104" s="131" t="s">
        <v>140</v>
      </c>
      <c r="D104" s="132">
        <v>10000</v>
      </c>
      <c r="E104" s="132">
        <v>0</v>
      </c>
      <c r="F104" s="132">
        <v>3.91</v>
      </c>
    </row>
    <row r="105" spans="1:6" x14ac:dyDescent="0.2">
      <c r="A105" s="131" t="s">
        <v>227</v>
      </c>
      <c r="B105" s="131" t="s">
        <v>171</v>
      </c>
      <c r="C105" s="131" t="s">
        <v>145</v>
      </c>
      <c r="D105" s="132">
        <v>0</v>
      </c>
      <c r="E105" s="132">
        <v>5000</v>
      </c>
      <c r="F105" s="132">
        <v>4.0199999999999996</v>
      </c>
    </row>
    <row r="106" spans="1:6" x14ac:dyDescent="0.2">
      <c r="A106" s="131" t="s">
        <v>227</v>
      </c>
      <c r="B106" s="131" t="s">
        <v>189</v>
      </c>
      <c r="C106" s="131" t="s">
        <v>154</v>
      </c>
      <c r="D106" s="132">
        <v>0</v>
      </c>
      <c r="E106" s="132">
        <v>5000</v>
      </c>
      <c r="F106" s="132">
        <v>4.415</v>
      </c>
    </row>
    <row r="107" spans="1:6" x14ac:dyDescent="0.2">
      <c r="A107" s="131" t="s">
        <v>228</v>
      </c>
      <c r="B107" s="131" t="s">
        <v>178</v>
      </c>
      <c r="C107" s="131" t="s">
        <v>140</v>
      </c>
      <c r="D107" s="132">
        <v>0</v>
      </c>
      <c r="E107" s="132">
        <v>20000</v>
      </c>
      <c r="F107" s="132">
        <v>3.915</v>
      </c>
    </row>
    <row r="108" spans="1:6" x14ac:dyDescent="0.2">
      <c r="A108" s="131" t="s">
        <v>228</v>
      </c>
      <c r="B108" s="131" t="s">
        <v>229</v>
      </c>
      <c r="C108" s="131" t="s">
        <v>145</v>
      </c>
      <c r="D108" s="132">
        <v>0</v>
      </c>
      <c r="E108" s="132">
        <v>5000</v>
      </c>
      <c r="F108" s="132">
        <v>4.03</v>
      </c>
    </row>
    <row r="109" spans="1:6" x14ac:dyDescent="0.2">
      <c r="A109" s="131" t="s">
        <v>228</v>
      </c>
      <c r="B109" s="131" t="s">
        <v>230</v>
      </c>
      <c r="C109" s="131" t="s">
        <v>140</v>
      </c>
      <c r="D109" s="132">
        <v>0</v>
      </c>
      <c r="E109" s="132">
        <v>20000</v>
      </c>
      <c r="F109" s="132">
        <v>3.92</v>
      </c>
    </row>
    <row r="110" spans="1:6" x14ac:dyDescent="0.2">
      <c r="A110" s="131" t="s">
        <v>228</v>
      </c>
      <c r="B110" s="131" t="s">
        <v>225</v>
      </c>
      <c r="C110" s="131" t="s">
        <v>140</v>
      </c>
      <c r="D110" s="132">
        <v>0</v>
      </c>
      <c r="E110" s="132">
        <v>20000</v>
      </c>
      <c r="F110" s="132">
        <v>3.92</v>
      </c>
    </row>
    <row r="111" spans="1:6" x14ac:dyDescent="0.2">
      <c r="A111" s="131" t="s">
        <v>228</v>
      </c>
      <c r="B111" s="131" t="s">
        <v>204</v>
      </c>
      <c r="C111" s="131" t="s">
        <v>140</v>
      </c>
      <c r="D111" s="132">
        <v>5000</v>
      </c>
      <c r="E111" s="132">
        <v>0</v>
      </c>
      <c r="F111" s="132">
        <v>3.91</v>
      </c>
    </row>
    <row r="112" spans="1:6" x14ac:dyDescent="0.2">
      <c r="A112" s="131" t="s">
        <v>228</v>
      </c>
      <c r="B112" s="131" t="s">
        <v>171</v>
      </c>
      <c r="C112" s="131" t="s">
        <v>140</v>
      </c>
      <c r="D112" s="132">
        <v>0</v>
      </c>
      <c r="E112" s="132">
        <v>20000</v>
      </c>
      <c r="F112" s="132">
        <v>3.9249999999999998</v>
      </c>
    </row>
    <row r="113" spans="1:6" x14ac:dyDescent="0.2">
      <c r="A113" s="131" t="s">
        <v>228</v>
      </c>
      <c r="B113" s="131" t="s">
        <v>196</v>
      </c>
      <c r="C113" s="131" t="s">
        <v>140</v>
      </c>
      <c r="D113" s="132">
        <v>15000</v>
      </c>
      <c r="E113" s="132">
        <v>0</v>
      </c>
      <c r="F113" s="132">
        <v>3.915</v>
      </c>
    </row>
    <row r="114" spans="1:6" x14ac:dyDescent="0.2">
      <c r="A114" s="131" t="s">
        <v>228</v>
      </c>
      <c r="B114" s="131" t="s">
        <v>196</v>
      </c>
      <c r="C114" s="131" t="s">
        <v>140</v>
      </c>
      <c r="D114" s="132">
        <v>20000</v>
      </c>
      <c r="E114" s="132">
        <v>0</v>
      </c>
      <c r="F114" s="132">
        <v>3.92</v>
      </c>
    </row>
    <row r="115" spans="1:6" x14ac:dyDescent="0.2">
      <c r="A115" s="131" t="s">
        <v>231</v>
      </c>
      <c r="B115" s="131" t="s">
        <v>232</v>
      </c>
      <c r="C115" s="131" t="s">
        <v>197</v>
      </c>
      <c r="D115" s="132">
        <v>0</v>
      </c>
      <c r="E115" s="132">
        <v>20000</v>
      </c>
      <c r="F115" s="132">
        <v>4.07</v>
      </c>
    </row>
    <row r="116" spans="1:6" x14ac:dyDescent="0.2">
      <c r="A116" s="131" t="s">
        <v>231</v>
      </c>
      <c r="B116" s="131" t="s">
        <v>232</v>
      </c>
      <c r="C116" s="131" t="s">
        <v>197</v>
      </c>
      <c r="D116" s="132">
        <v>0</v>
      </c>
      <c r="E116" s="132">
        <v>20000</v>
      </c>
      <c r="F116" s="132">
        <v>4.0750000000000002</v>
      </c>
    </row>
    <row r="117" spans="1:6" x14ac:dyDescent="0.2">
      <c r="A117" s="131" t="s">
        <v>231</v>
      </c>
      <c r="B117" s="131" t="s">
        <v>220</v>
      </c>
      <c r="C117" s="131" t="s">
        <v>140</v>
      </c>
      <c r="D117" s="132">
        <v>15000</v>
      </c>
      <c r="E117" s="132">
        <v>0</v>
      </c>
      <c r="F117" s="132">
        <v>3.92</v>
      </c>
    </row>
    <row r="118" spans="1:6" x14ac:dyDescent="0.2">
      <c r="A118" s="131" t="s">
        <v>231</v>
      </c>
      <c r="B118" s="131" t="s">
        <v>217</v>
      </c>
      <c r="C118" s="131" t="s">
        <v>140</v>
      </c>
      <c r="D118" s="132">
        <v>0</v>
      </c>
      <c r="E118" s="132">
        <v>10000</v>
      </c>
      <c r="F118" s="132">
        <v>3.9249999999999998</v>
      </c>
    </row>
    <row r="119" spans="1:6" x14ac:dyDescent="0.2">
      <c r="A119" s="131" t="s">
        <v>231</v>
      </c>
      <c r="B119" s="131" t="s">
        <v>233</v>
      </c>
      <c r="C119" s="131" t="s">
        <v>140</v>
      </c>
      <c r="D119" s="132">
        <v>0</v>
      </c>
      <c r="E119" s="132">
        <v>10000</v>
      </c>
      <c r="F119" s="132">
        <v>3.9249999999999998</v>
      </c>
    </row>
    <row r="120" spans="1:6" x14ac:dyDescent="0.2">
      <c r="A120" s="131" t="s">
        <v>231</v>
      </c>
      <c r="B120" s="131" t="s">
        <v>170</v>
      </c>
      <c r="C120" s="131" t="s">
        <v>140</v>
      </c>
      <c r="D120" s="132">
        <v>15000</v>
      </c>
      <c r="E120" s="132">
        <v>0</v>
      </c>
      <c r="F120" s="132">
        <v>3.92</v>
      </c>
    </row>
    <row r="121" spans="1:6" x14ac:dyDescent="0.2">
      <c r="A121" s="131" t="s">
        <v>231</v>
      </c>
      <c r="B121" s="131" t="s">
        <v>156</v>
      </c>
      <c r="C121" s="131" t="s">
        <v>140</v>
      </c>
      <c r="D121" s="132">
        <v>0</v>
      </c>
      <c r="E121" s="132">
        <v>10000</v>
      </c>
      <c r="F121" s="132">
        <v>3.9249999999999998</v>
      </c>
    </row>
    <row r="122" spans="1:6" x14ac:dyDescent="0.2">
      <c r="A122" s="131" t="s">
        <v>231</v>
      </c>
      <c r="B122" s="131" t="s">
        <v>156</v>
      </c>
      <c r="C122" s="131" t="s">
        <v>140</v>
      </c>
      <c r="D122" s="132">
        <v>5000</v>
      </c>
      <c r="E122" s="132">
        <v>0</v>
      </c>
      <c r="F122" s="132">
        <v>3.92</v>
      </c>
    </row>
    <row r="123" spans="1:6" x14ac:dyDescent="0.2">
      <c r="A123" s="131" t="s">
        <v>231</v>
      </c>
      <c r="B123" s="131" t="s">
        <v>144</v>
      </c>
      <c r="C123" s="131" t="s">
        <v>197</v>
      </c>
      <c r="D123" s="132">
        <v>5000</v>
      </c>
      <c r="E123" s="132">
        <v>0</v>
      </c>
      <c r="F123" s="132">
        <v>4.0650000000000004</v>
      </c>
    </row>
    <row r="124" spans="1:6" x14ac:dyDescent="0.2">
      <c r="A124" s="131" t="s">
        <v>231</v>
      </c>
      <c r="B124" s="131" t="s">
        <v>144</v>
      </c>
      <c r="C124" s="131" t="s">
        <v>197</v>
      </c>
      <c r="D124" s="132">
        <v>20000</v>
      </c>
      <c r="E124" s="132">
        <v>0</v>
      </c>
      <c r="F124" s="132">
        <v>4.07</v>
      </c>
    </row>
    <row r="125" spans="1:6" x14ac:dyDescent="0.2">
      <c r="A125" s="131" t="s">
        <v>231</v>
      </c>
      <c r="B125" s="131" t="s">
        <v>215</v>
      </c>
      <c r="C125" s="131" t="s">
        <v>140</v>
      </c>
      <c r="D125" s="132">
        <v>0</v>
      </c>
      <c r="E125" s="132">
        <v>10000</v>
      </c>
      <c r="F125" s="132">
        <v>3.9249999999999998</v>
      </c>
    </row>
    <row r="126" spans="1:6" x14ac:dyDescent="0.2">
      <c r="A126" s="131" t="s">
        <v>234</v>
      </c>
      <c r="B126" s="131" t="s">
        <v>202</v>
      </c>
      <c r="C126" s="131" t="s">
        <v>140</v>
      </c>
      <c r="D126" s="132">
        <v>0</v>
      </c>
      <c r="E126" s="132">
        <v>20000</v>
      </c>
      <c r="F126" s="132">
        <v>3.9249999999999998</v>
      </c>
    </row>
    <row r="127" spans="1:6" x14ac:dyDescent="0.2">
      <c r="A127" s="131" t="s">
        <v>234</v>
      </c>
      <c r="B127" s="131" t="s">
        <v>202</v>
      </c>
      <c r="C127" s="131" t="s">
        <v>140</v>
      </c>
      <c r="D127" s="132">
        <v>0</v>
      </c>
      <c r="E127" s="132">
        <v>10000</v>
      </c>
      <c r="F127" s="132">
        <v>3.9249999999999998</v>
      </c>
    </row>
    <row r="128" spans="1:6" x14ac:dyDescent="0.2">
      <c r="A128" s="131" t="s">
        <v>234</v>
      </c>
      <c r="B128" s="131" t="s">
        <v>202</v>
      </c>
      <c r="C128" s="131" t="s">
        <v>140</v>
      </c>
      <c r="D128" s="132">
        <v>0</v>
      </c>
      <c r="E128" s="132">
        <v>20000</v>
      </c>
      <c r="F128" s="132">
        <v>3.9249999999999998</v>
      </c>
    </row>
    <row r="129" spans="1:6" x14ac:dyDescent="0.2">
      <c r="A129" s="131" t="s">
        <v>234</v>
      </c>
      <c r="B129" s="131" t="s">
        <v>232</v>
      </c>
      <c r="C129" s="131" t="s">
        <v>197</v>
      </c>
      <c r="D129" s="132">
        <v>0</v>
      </c>
      <c r="E129" s="132">
        <v>20000</v>
      </c>
      <c r="F129" s="132">
        <v>4.0750000000000002</v>
      </c>
    </row>
    <row r="130" spans="1:6" x14ac:dyDescent="0.2">
      <c r="A130" s="131" t="s">
        <v>234</v>
      </c>
      <c r="B130" s="131" t="s">
        <v>220</v>
      </c>
      <c r="C130" s="131" t="s">
        <v>140</v>
      </c>
      <c r="D130" s="132">
        <v>15000</v>
      </c>
      <c r="E130" s="132">
        <v>0</v>
      </c>
      <c r="F130" s="132">
        <v>3.92</v>
      </c>
    </row>
    <row r="131" spans="1:6" x14ac:dyDescent="0.2">
      <c r="A131" s="131" t="s">
        <v>234</v>
      </c>
      <c r="B131" s="131" t="s">
        <v>220</v>
      </c>
      <c r="C131" s="131" t="s">
        <v>140</v>
      </c>
      <c r="D131" s="132">
        <v>20000</v>
      </c>
      <c r="E131" s="132">
        <v>0</v>
      </c>
      <c r="F131" s="132">
        <v>3.9249999999999998</v>
      </c>
    </row>
    <row r="132" spans="1:6" x14ac:dyDescent="0.2">
      <c r="A132" s="131" t="s">
        <v>234</v>
      </c>
      <c r="B132" s="131" t="s">
        <v>235</v>
      </c>
      <c r="C132" s="131" t="s">
        <v>154</v>
      </c>
      <c r="D132" s="132">
        <v>0</v>
      </c>
      <c r="E132" s="132">
        <v>5000</v>
      </c>
      <c r="F132" s="132">
        <v>4.4249999999999998</v>
      </c>
    </row>
    <row r="133" spans="1:6" x14ac:dyDescent="0.2">
      <c r="A133" s="131" t="s">
        <v>234</v>
      </c>
      <c r="B133" s="131" t="s">
        <v>208</v>
      </c>
      <c r="C133" s="131" t="s">
        <v>150</v>
      </c>
      <c r="D133" s="132">
        <v>5000</v>
      </c>
      <c r="E133" s="132">
        <v>0</v>
      </c>
      <c r="F133" s="132">
        <v>4.0599999999999996</v>
      </c>
    </row>
    <row r="134" spans="1:6" x14ac:dyDescent="0.2">
      <c r="A134" s="131" t="s">
        <v>234</v>
      </c>
      <c r="B134" s="131" t="s">
        <v>236</v>
      </c>
      <c r="C134" s="131" t="s">
        <v>150</v>
      </c>
      <c r="D134" s="132">
        <v>0</v>
      </c>
      <c r="E134" s="132">
        <v>5000</v>
      </c>
      <c r="F134" s="132">
        <v>4.07</v>
      </c>
    </row>
    <row r="135" spans="1:6" x14ac:dyDescent="0.2">
      <c r="A135" s="131" t="s">
        <v>234</v>
      </c>
      <c r="B135" s="131" t="s">
        <v>236</v>
      </c>
      <c r="C135" s="131" t="s">
        <v>140</v>
      </c>
      <c r="D135" s="132">
        <v>20000</v>
      </c>
      <c r="E135" s="132">
        <v>0</v>
      </c>
      <c r="F135" s="132">
        <v>3.92</v>
      </c>
    </row>
    <row r="136" spans="1:6" x14ac:dyDescent="0.2">
      <c r="A136" s="131" t="s">
        <v>234</v>
      </c>
      <c r="B136" s="131" t="s">
        <v>156</v>
      </c>
      <c r="C136" s="131" t="s">
        <v>140</v>
      </c>
      <c r="D136" s="132">
        <v>20000</v>
      </c>
      <c r="E136" s="132">
        <v>0</v>
      </c>
      <c r="F136" s="132">
        <v>3.92</v>
      </c>
    </row>
    <row r="137" spans="1:6" x14ac:dyDescent="0.2">
      <c r="A137" s="131" t="s">
        <v>234</v>
      </c>
      <c r="B137" s="131" t="s">
        <v>237</v>
      </c>
      <c r="C137" s="131" t="s">
        <v>140</v>
      </c>
      <c r="D137" s="132">
        <v>0</v>
      </c>
      <c r="E137" s="132">
        <v>10000</v>
      </c>
      <c r="F137" s="132">
        <v>3.9249999999999998</v>
      </c>
    </row>
    <row r="138" spans="1:6" x14ac:dyDescent="0.2">
      <c r="A138" s="131" t="s">
        <v>238</v>
      </c>
      <c r="B138" s="131" t="s">
        <v>169</v>
      </c>
      <c r="C138" s="131" t="s">
        <v>197</v>
      </c>
      <c r="D138" s="132">
        <v>2500</v>
      </c>
      <c r="E138" s="132">
        <v>0</v>
      </c>
      <c r="F138" s="132">
        <v>4.0599999999999996</v>
      </c>
    </row>
    <row r="139" spans="1:6" x14ac:dyDescent="0.2">
      <c r="A139" s="131" t="s">
        <v>238</v>
      </c>
      <c r="B139" s="131" t="s">
        <v>230</v>
      </c>
      <c r="C139" s="131" t="s">
        <v>140</v>
      </c>
      <c r="D139" s="132">
        <v>0</v>
      </c>
      <c r="E139" s="132">
        <v>20000</v>
      </c>
      <c r="F139" s="132">
        <v>3.92</v>
      </c>
    </row>
    <row r="140" spans="1:6" x14ac:dyDescent="0.2">
      <c r="A140" s="131" t="s">
        <v>238</v>
      </c>
      <c r="B140" s="131" t="s">
        <v>236</v>
      </c>
      <c r="C140" s="131" t="s">
        <v>140</v>
      </c>
      <c r="D140" s="132">
        <v>20000</v>
      </c>
      <c r="E140" s="132">
        <v>0</v>
      </c>
      <c r="F140" s="132">
        <v>3.92</v>
      </c>
    </row>
    <row r="141" spans="1:6" x14ac:dyDescent="0.2">
      <c r="A141" s="131" t="s">
        <v>238</v>
      </c>
      <c r="B141" s="131" t="s">
        <v>204</v>
      </c>
      <c r="C141" s="131" t="s">
        <v>140</v>
      </c>
      <c r="D141" s="132">
        <v>2500</v>
      </c>
      <c r="E141" s="132">
        <v>0</v>
      </c>
      <c r="F141" s="132">
        <v>3.915</v>
      </c>
    </row>
    <row r="142" spans="1:6" x14ac:dyDescent="0.2">
      <c r="A142" s="131" t="s">
        <v>238</v>
      </c>
      <c r="B142" s="131" t="s">
        <v>204</v>
      </c>
      <c r="C142" s="131" t="s">
        <v>140</v>
      </c>
      <c r="D142" s="132">
        <v>0</v>
      </c>
      <c r="E142" s="132">
        <v>5000</v>
      </c>
      <c r="F142" s="132">
        <v>3.9249999999999998</v>
      </c>
    </row>
    <row r="143" spans="1:6" x14ac:dyDescent="0.2">
      <c r="A143" s="131" t="s">
        <v>238</v>
      </c>
      <c r="B143" s="131" t="s">
        <v>156</v>
      </c>
      <c r="C143" s="131" t="s">
        <v>140</v>
      </c>
      <c r="D143" s="132">
        <v>10000</v>
      </c>
      <c r="E143" s="132">
        <v>0</v>
      </c>
      <c r="F143" s="132">
        <v>3.915</v>
      </c>
    </row>
    <row r="144" spans="1:6" x14ac:dyDescent="0.2">
      <c r="A144" s="131" t="s">
        <v>238</v>
      </c>
      <c r="B144" s="131" t="s">
        <v>239</v>
      </c>
      <c r="C144" s="131" t="s">
        <v>140</v>
      </c>
      <c r="D144" s="132">
        <v>5000</v>
      </c>
      <c r="E144" s="132">
        <v>0</v>
      </c>
      <c r="F144" s="132">
        <v>3.915</v>
      </c>
    </row>
    <row r="145" spans="1:6" x14ac:dyDescent="0.2">
      <c r="A145" s="131" t="s">
        <v>240</v>
      </c>
      <c r="B145" s="131" t="s">
        <v>232</v>
      </c>
      <c r="C145" s="131" t="s">
        <v>197</v>
      </c>
      <c r="D145" s="132">
        <v>0</v>
      </c>
      <c r="E145" s="132">
        <v>20000</v>
      </c>
      <c r="F145" s="132">
        <v>4.07</v>
      </c>
    </row>
    <row r="146" spans="1:6" x14ac:dyDescent="0.2">
      <c r="A146" s="131" t="s">
        <v>240</v>
      </c>
      <c r="B146" s="131" t="s">
        <v>220</v>
      </c>
      <c r="C146" s="131" t="s">
        <v>140</v>
      </c>
      <c r="D146" s="132">
        <v>20000</v>
      </c>
      <c r="E146" s="132">
        <v>0</v>
      </c>
      <c r="F146" s="132">
        <v>3.92</v>
      </c>
    </row>
    <row r="147" spans="1:6" x14ac:dyDescent="0.2">
      <c r="A147" s="131" t="s">
        <v>240</v>
      </c>
      <c r="B147" s="131" t="s">
        <v>171</v>
      </c>
      <c r="C147" s="131" t="s">
        <v>140</v>
      </c>
      <c r="D147" s="132">
        <v>2500</v>
      </c>
      <c r="E147" s="132">
        <v>0</v>
      </c>
      <c r="F147" s="132">
        <v>3.92</v>
      </c>
    </row>
    <row r="148" spans="1:6" x14ac:dyDescent="0.2">
      <c r="A148" s="131" t="s">
        <v>240</v>
      </c>
      <c r="B148" s="131" t="s">
        <v>241</v>
      </c>
      <c r="C148" s="131" t="s">
        <v>140</v>
      </c>
      <c r="D148" s="132">
        <v>0</v>
      </c>
      <c r="E148" s="132">
        <v>20000</v>
      </c>
      <c r="F148" s="132">
        <v>3.9249999999999998</v>
      </c>
    </row>
    <row r="149" spans="1:6" x14ac:dyDescent="0.2">
      <c r="A149" s="131" t="s">
        <v>240</v>
      </c>
      <c r="B149" s="131" t="s">
        <v>156</v>
      </c>
      <c r="C149" s="131" t="s">
        <v>140</v>
      </c>
      <c r="D149" s="132">
        <v>0</v>
      </c>
      <c r="E149" s="132">
        <v>15000</v>
      </c>
      <c r="F149" s="132">
        <v>3.9249999999999998</v>
      </c>
    </row>
    <row r="150" spans="1:6" x14ac:dyDescent="0.2">
      <c r="A150" s="131" t="s">
        <v>240</v>
      </c>
      <c r="B150" s="131" t="s">
        <v>144</v>
      </c>
      <c r="C150" s="131" t="s">
        <v>164</v>
      </c>
      <c r="D150" s="132">
        <v>20000</v>
      </c>
      <c r="E150" s="132">
        <v>0</v>
      </c>
      <c r="F150" s="132">
        <v>4.0175000000000001</v>
      </c>
    </row>
    <row r="151" spans="1:6" x14ac:dyDescent="0.2">
      <c r="A151" s="131" t="s">
        <v>242</v>
      </c>
      <c r="B151" s="131" t="s">
        <v>222</v>
      </c>
      <c r="C151" s="131" t="s">
        <v>140</v>
      </c>
      <c r="D151" s="132">
        <v>5000</v>
      </c>
      <c r="E151" s="132">
        <v>0</v>
      </c>
      <c r="F151" s="132">
        <v>3.92</v>
      </c>
    </row>
    <row r="152" spans="1:6" x14ac:dyDescent="0.2">
      <c r="A152" s="131" t="s">
        <v>242</v>
      </c>
      <c r="B152" s="131" t="s">
        <v>236</v>
      </c>
      <c r="C152" s="131" t="s">
        <v>150</v>
      </c>
      <c r="D152" s="132">
        <v>0</v>
      </c>
      <c r="E152" s="132">
        <v>5000</v>
      </c>
      <c r="F152" s="132">
        <v>4.07</v>
      </c>
    </row>
    <row r="153" spans="1:6" x14ac:dyDescent="0.2">
      <c r="A153" s="131" t="s">
        <v>242</v>
      </c>
      <c r="B153" s="131" t="s">
        <v>144</v>
      </c>
      <c r="C153" s="131" t="s">
        <v>164</v>
      </c>
      <c r="D153" s="132">
        <v>12500</v>
      </c>
      <c r="E153" s="132">
        <v>0</v>
      </c>
      <c r="F153" s="132">
        <v>4.0175000000000001</v>
      </c>
    </row>
    <row r="154" spans="1:6" x14ac:dyDescent="0.2">
      <c r="A154" s="131" t="s">
        <v>243</v>
      </c>
      <c r="B154" s="131" t="s">
        <v>147</v>
      </c>
      <c r="C154" s="131" t="s">
        <v>145</v>
      </c>
      <c r="D154" s="132">
        <v>2500</v>
      </c>
      <c r="E154" s="132">
        <v>0</v>
      </c>
      <c r="F154" s="132">
        <v>4.0199999999999996</v>
      </c>
    </row>
    <row r="155" spans="1:6" x14ac:dyDescent="0.2">
      <c r="A155" s="131" t="s">
        <v>243</v>
      </c>
      <c r="B155" s="131" t="s">
        <v>204</v>
      </c>
      <c r="C155" s="131" t="s">
        <v>164</v>
      </c>
      <c r="D155" s="132">
        <v>0</v>
      </c>
      <c r="E155" s="132">
        <v>17500</v>
      </c>
      <c r="F155" s="132">
        <v>4.0225</v>
      </c>
    </row>
    <row r="156" spans="1:6" x14ac:dyDescent="0.2">
      <c r="A156" s="131" t="s">
        <v>243</v>
      </c>
      <c r="B156" s="131" t="s">
        <v>204</v>
      </c>
      <c r="C156" s="131" t="s">
        <v>164</v>
      </c>
      <c r="D156" s="132">
        <v>0</v>
      </c>
      <c r="E156" s="132">
        <v>17500</v>
      </c>
      <c r="F156" s="132">
        <v>4.0225</v>
      </c>
    </row>
    <row r="157" spans="1:6" x14ac:dyDescent="0.2">
      <c r="A157" s="131" t="s">
        <v>244</v>
      </c>
      <c r="B157" s="131" t="s">
        <v>245</v>
      </c>
      <c r="C157" s="131" t="s">
        <v>140</v>
      </c>
      <c r="D157" s="132">
        <v>0</v>
      </c>
      <c r="E157" s="132">
        <v>10000</v>
      </c>
      <c r="F157" s="132">
        <v>3.93</v>
      </c>
    </row>
    <row r="158" spans="1:6" x14ac:dyDescent="0.2">
      <c r="A158" s="131" t="s">
        <v>244</v>
      </c>
      <c r="B158" s="131" t="s">
        <v>246</v>
      </c>
      <c r="C158" s="131" t="s">
        <v>140</v>
      </c>
      <c r="D158" s="132">
        <v>0</v>
      </c>
      <c r="E158" s="132">
        <v>10000</v>
      </c>
      <c r="F158" s="132">
        <v>3.93</v>
      </c>
    </row>
    <row r="159" spans="1:6" x14ac:dyDescent="0.2">
      <c r="A159" s="131" t="s">
        <v>247</v>
      </c>
      <c r="B159" s="131" t="s">
        <v>236</v>
      </c>
      <c r="C159" s="131" t="s">
        <v>140</v>
      </c>
      <c r="D159" s="132">
        <v>20000</v>
      </c>
      <c r="E159" s="132">
        <v>0</v>
      </c>
      <c r="F159" s="132">
        <v>3.9249999999999998</v>
      </c>
    </row>
    <row r="160" spans="1:6" x14ac:dyDescent="0.2">
      <c r="A160" s="131" t="s">
        <v>247</v>
      </c>
      <c r="B160" s="131" t="s">
        <v>248</v>
      </c>
      <c r="C160" s="131" t="s">
        <v>140</v>
      </c>
      <c r="D160" s="132">
        <v>0</v>
      </c>
      <c r="E160" s="132">
        <v>10000</v>
      </c>
      <c r="F160" s="132">
        <v>3.93</v>
      </c>
    </row>
    <row r="161" spans="1:6" x14ac:dyDescent="0.2">
      <c r="A161" s="131" t="s">
        <v>249</v>
      </c>
      <c r="B161" s="131" t="s">
        <v>152</v>
      </c>
      <c r="C161" s="131" t="s">
        <v>140</v>
      </c>
      <c r="D161" s="132">
        <v>0</v>
      </c>
      <c r="E161" s="132">
        <v>10000</v>
      </c>
      <c r="F161" s="132">
        <v>3.9249999999999998</v>
      </c>
    </row>
    <row r="162" spans="1:6" x14ac:dyDescent="0.2">
      <c r="A162" s="131" t="s">
        <v>249</v>
      </c>
      <c r="B162" s="131" t="s">
        <v>217</v>
      </c>
      <c r="C162" s="131" t="s">
        <v>140</v>
      </c>
      <c r="D162" s="132">
        <v>0</v>
      </c>
      <c r="E162" s="132">
        <v>10000</v>
      </c>
      <c r="F162" s="132">
        <v>3.93</v>
      </c>
    </row>
    <row r="163" spans="1:6" x14ac:dyDescent="0.2">
      <c r="A163" s="131" t="s">
        <v>249</v>
      </c>
      <c r="B163" s="131" t="s">
        <v>250</v>
      </c>
      <c r="C163" s="131" t="s">
        <v>140</v>
      </c>
      <c r="D163" s="132">
        <v>20000</v>
      </c>
      <c r="E163" s="132">
        <v>0</v>
      </c>
      <c r="F163" s="132">
        <v>3.92</v>
      </c>
    </row>
    <row r="164" spans="1:6" x14ac:dyDescent="0.2">
      <c r="A164" s="131" t="s">
        <v>249</v>
      </c>
      <c r="B164" s="131" t="s">
        <v>144</v>
      </c>
      <c r="C164" s="131" t="s">
        <v>197</v>
      </c>
      <c r="D164" s="132">
        <v>20000</v>
      </c>
      <c r="E164" s="132">
        <v>0</v>
      </c>
      <c r="F164" s="132">
        <v>4.07</v>
      </c>
    </row>
    <row r="165" spans="1:6" x14ac:dyDescent="0.2">
      <c r="A165" s="131" t="s">
        <v>251</v>
      </c>
      <c r="B165" s="131" t="s">
        <v>230</v>
      </c>
      <c r="C165" s="131" t="s">
        <v>140</v>
      </c>
      <c r="D165" s="132">
        <v>0</v>
      </c>
      <c r="E165" s="132">
        <v>20000</v>
      </c>
      <c r="F165" s="132">
        <v>3.9249999999999998</v>
      </c>
    </row>
    <row r="166" spans="1:6" x14ac:dyDescent="0.2">
      <c r="A166" s="131" t="s">
        <v>251</v>
      </c>
      <c r="B166" s="131" t="s">
        <v>250</v>
      </c>
      <c r="C166" s="131" t="s">
        <v>164</v>
      </c>
      <c r="D166" s="132">
        <v>20000</v>
      </c>
      <c r="E166" s="132">
        <v>0</v>
      </c>
      <c r="F166" s="132">
        <v>4.0125000000000002</v>
      </c>
    </row>
    <row r="167" spans="1:6" x14ac:dyDescent="0.2">
      <c r="A167" s="131" t="s">
        <v>251</v>
      </c>
      <c r="B167" s="131" t="s">
        <v>250</v>
      </c>
      <c r="C167" s="131" t="s">
        <v>197</v>
      </c>
      <c r="D167" s="132">
        <v>20000</v>
      </c>
      <c r="E167" s="132">
        <v>0</v>
      </c>
      <c r="F167" s="132">
        <v>4.0549999999999997</v>
      </c>
    </row>
    <row r="168" spans="1:6" x14ac:dyDescent="0.2">
      <c r="A168" s="131" t="s">
        <v>251</v>
      </c>
      <c r="B168" s="131" t="s">
        <v>171</v>
      </c>
      <c r="C168" s="131" t="s">
        <v>197</v>
      </c>
      <c r="D168" s="132">
        <v>0</v>
      </c>
      <c r="E168" s="132">
        <v>20000</v>
      </c>
      <c r="F168" s="132">
        <v>4.0650000000000004</v>
      </c>
    </row>
    <row r="169" spans="1:6" x14ac:dyDescent="0.2">
      <c r="A169" s="131" t="s">
        <v>251</v>
      </c>
      <c r="B169" s="131" t="s">
        <v>173</v>
      </c>
      <c r="C169" s="131" t="s">
        <v>164</v>
      </c>
      <c r="D169" s="132">
        <v>0</v>
      </c>
      <c r="E169" s="132">
        <v>10000</v>
      </c>
      <c r="F169" s="132">
        <v>4.0125000000000002</v>
      </c>
    </row>
    <row r="170" spans="1:6" x14ac:dyDescent="0.2">
      <c r="A170" s="131" t="s">
        <v>251</v>
      </c>
      <c r="B170" s="131" t="s">
        <v>156</v>
      </c>
      <c r="C170" s="131" t="s">
        <v>140</v>
      </c>
      <c r="D170" s="132">
        <v>20000</v>
      </c>
      <c r="E170" s="132">
        <v>0</v>
      </c>
      <c r="F170" s="132">
        <v>3.92</v>
      </c>
    </row>
    <row r="171" spans="1:6" x14ac:dyDescent="0.2">
      <c r="A171" s="131" t="s">
        <v>252</v>
      </c>
      <c r="B171" s="131" t="s">
        <v>152</v>
      </c>
      <c r="C171" s="131" t="s">
        <v>140</v>
      </c>
      <c r="D171" s="132">
        <v>0</v>
      </c>
      <c r="E171" s="132">
        <v>5000</v>
      </c>
      <c r="F171" s="132">
        <v>3.92</v>
      </c>
    </row>
    <row r="172" spans="1:6" x14ac:dyDescent="0.2">
      <c r="A172" s="131" t="s">
        <v>252</v>
      </c>
      <c r="B172" s="131" t="s">
        <v>152</v>
      </c>
      <c r="C172" s="131" t="s">
        <v>140</v>
      </c>
      <c r="D172" s="132">
        <v>0</v>
      </c>
      <c r="E172" s="132">
        <v>15000</v>
      </c>
      <c r="F172" s="132">
        <v>3.92</v>
      </c>
    </row>
    <row r="173" spans="1:6" x14ac:dyDescent="0.2">
      <c r="A173" s="131" t="s">
        <v>252</v>
      </c>
      <c r="B173" s="131" t="s">
        <v>230</v>
      </c>
      <c r="C173" s="131" t="s">
        <v>140</v>
      </c>
      <c r="D173" s="132">
        <v>0</v>
      </c>
      <c r="E173" s="132">
        <v>20000</v>
      </c>
      <c r="F173" s="132">
        <v>3.92</v>
      </c>
    </row>
    <row r="174" spans="1:6" x14ac:dyDescent="0.2">
      <c r="A174" s="131" t="s">
        <v>252</v>
      </c>
      <c r="B174" s="131" t="s">
        <v>221</v>
      </c>
      <c r="C174" s="131" t="s">
        <v>140</v>
      </c>
      <c r="D174" s="132">
        <v>20000</v>
      </c>
      <c r="E174" s="132">
        <v>0</v>
      </c>
      <c r="F174" s="132">
        <v>3.915</v>
      </c>
    </row>
    <row r="175" spans="1:6" x14ac:dyDescent="0.2">
      <c r="A175" s="131" t="s">
        <v>252</v>
      </c>
      <c r="B175" s="131" t="s">
        <v>144</v>
      </c>
      <c r="C175" s="131" t="s">
        <v>164</v>
      </c>
      <c r="D175" s="132">
        <v>20000</v>
      </c>
      <c r="E175" s="132">
        <v>0</v>
      </c>
      <c r="F175" s="132">
        <v>4.0125000000000002</v>
      </c>
    </row>
    <row r="176" spans="1:6" x14ac:dyDescent="0.2">
      <c r="A176" s="131" t="s">
        <v>253</v>
      </c>
      <c r="B176" s="131" t="s">
        <v>200</v>
      </c>
      <c r="C176" s="131" t="s">
        <v>145</v>
      </c>
      <c r="D176" s="132">
        <v>2500</v>
      </c>
      <c r="E176" s="132">
        <v>0</v>
      </c>
      <c r="F176" s="132">
        <v>4.0199999999999996</v>
      </c>
    </row>
    <row r="177" spans="1:6" x14ac:dyDescent="0.2">
      <c r="A177" s="131" t="s">
        <v>253</v>
      </c>
      <c r="B177" s="131" t="s">
        <v>144</v>
      </c>
      <c r="C177" s="131" t="s">
        <v>197</v>
      </c>
      <c r="D177" s="132">
        <v>20000</v>
      </c>
      <c r="E177" s="132">
        <v>0</v>
      </c>
      <c r="F177" s="132">
        <v>4.0599999999999996</v>
      </c>
    </row>
    <row r="178" spans="1:6" x14ac:dyDescent="0.2">
      <c r="A178" s="131" t="s">
        <v>254</v>
      </c>
      <c r="B178" s="131" t="s">
        <v>204</v>
      </c>
      <c r="C178" s="131" t="s">
        <v>164</v>
      </c>
      <c r="D178" s="132">
        <v>0</v>
      </c>
      <c r="E178" s="132">
        <v>7500</v>
      </c>
      <c r="F178" s="132">
        <v>4.0225</v>
      </c>
    </row>
    <row r="179" spans="1:6" x14ac:dyDescent="0.2">
      <c r="A179" s="131" t="s">
        <v>254</v>
      </c>
      <c r="B179" s="131" t="s">
        <v>204</v>
      </c>
      <c r="C179" s="131" t="s">
        <v>164</v>
      </c>
      <c r="D179" s="132">
        <v>0</v>
      </c>
      <c r="E179" s="132">
        <v>5000</v>
      </c>
      <c r="F179" s="132">
        <v>4.0225</v>
      </c>
    </row>
    <row r="180" spans="1:6" x14ac:dyDescent="0.2">
      <c r="A180" s="131" t="s">
        <v>254</v>
      </c>
      <c r="B180" s="131" t="s">
        <v>204</v>
      </c>
      <c r="C180" s="131" t="s">
        <v>164</v>
      </c>
      <c r="D180" s="132">
        <v>0</v>
      </c>
      <c r="E180" s="132">
        <v>7500</v>
      </c>
      <c r="F180" s="132">
        <v>4.0225</v>
      </c>
    </row>
    <row r="181" spans="1:6" x14ac:dyDescent="0.2">
      <c r="A181" s="131" t="s">
        <v>254</v>
      </c>
      <c r="B181" s="131" t="s">
        <v>144</v>
      </c>
      <c r="C181" s="131" t="s">
        <v>197</v>
      </c>
      <c r="D181" s="132">
        <v>20000</v>
      </c>
      <c r="E181" s="132">
        <v>0</v>
      </c>
      <c r="F181" s="132">
        <v>4.0650000000000004</v>
      </c>
    </row>
    <row r="182" spans="1:6" x14ac:dyDescent="0.2">
      <c r="A182" s="131" t="s">
        <v>255</v>
      </c>
      <c r="B182" s="131" t="s">
        <v>217</v>
      </c>
      <c r="C182" s="131" t="s">
        <v>164</v>
      </c>
      <c r="D182" s="132">
        <v>0</v>
      </c>
      <c r="E182" s="132">
        <v>15000</v>
      </c>
      <c r="F182" s="132">
        <v>4.0225</v>
      </c>
    </row>
    <row r="183" spans="1:6" x14ac:dyDescent="0.2">
      <c r="A183" s="131" t="s">
        <v>255</v>
      </c>
      <c r="B183" s="131" t="s">
        <v>204</v>
      </c>
      <c r="C183" s="131" t="s">
        <v>164</v>
      </c>
      <c r="D183" s="132">
        <v>0</v>
      </c>
      <c r="E183" s="132">
        <v>5000</v>
      </c>
      <c r="F183" s="132">
        <v>4.0225</v>
      </c>
    </row>
    <row r="184" spans="1:6" x14ac:dyDescent="0.2">
      <c r="A184" s="131" t="s">
        <v>256</v>
      </c>
      <c r="B184" s="131" t="s">
        <v>147</v>
      </c>
      <c r="C184" s="131" t="s">
        <v>140</v>
      </c>
      <c r="D184" s="132">
        <v>20000</v>
      </c>
      <c r="E184" s="132">
        <v>0</v>
      </c>
      <c r="F184" s="132">
        <v>3.92</v>
      </c>
    </row>
    <row r="185" spans="1:6" x14ac:dyDescent="0.2">
      <c r="A185" s="131" t="s">
        <v>256</v>
      </c>
      <c r="B185" s="131" t="s">
        <v>173</v>
      </c>
      <c r="C185" s="131" t="s">
        <v>164</v>
      </c>
      <c r="D185" s="132">
        <v>0</v>
      </c>
      <c r="E185" s="132">
        <v>20000</v>
      </c>
      <c r="F185" s="132">
        <v>4.0225</v>
      </c>
    </row>
    <row r="186" spans="1:6" x14ac:dyDescent="0.2">
      <c r="A186" s="131" t="s">
        <v>257</v>
      </c>
      <c r="B186" s="131" t="s">
        <v>139</v>
      </c>
      <c r="C186" s="131" t="s">
        <v>140</v>
      </c>
      <c r="D186" s="132">
        <v>0</v>
      </c>
      <c r="E186" s="132">
        <v>10000</v>
      </c>
      <c r="F186" s="132">
        <v>3.93</v>
      </c>
    </row>
    <row r="187" spans="1:6" x14ac:dyDescent="0.2">
      <c r="A187" s="131" t="s">
        <v>257</v>
      </c>
      <c r="B187" s="131" t="s">
        <v>156</v>
      </c>
      <c r="C187" s="131" t="s">
        <v>197</v>
      </c>
      <c r="D187" s="132">
        <v>0</v>
      </c>
      <c r="E187" s="132">
        <v>5000</v>
      </c>
      <c r="F187" s="132">
        <v>4.0774999999999997</v>
      </c>
    </row>
    <row r="188" spans="1:6" x14ac:dyDescent="0.2">
      <c r="A188" s="131" t="s">
        <v>257</v>
      </c>
      <c r="B188" s="131" t="s">
        <v>258</v>
      </c>
      <c r="C188" s="131" t="s">
        <v>140</v>
      </c>
      <c r="D188" s="132">
        <v>5000</v>
      </c>
      <c r="E188" s="132">
        <v>0</v>
      </c>
      <c r="F188" s="132">
        <v>3.92</v>
      </c>
    </row>
    <row r="189" spans="1:6" x14ac:dyDescent="0.2">
      <c r="A189" s="131" t="s">
        <v>259</v>
      </c>
      <c r="B189" s="131" t="s">
        <v>220</v>
      </c>
      <c r="C189" s="131" t="s">
        <v>140</v>
      </c>
      <c r="D189" s="132">
        <v>15000</v>
      </c>
      <c r="E189" s="132">
        <v>0</v>
      </c>
      <c r="F189" s="132">
        <v>3.9249999999999998</v>
      </c>
    </row>
    <row r="190" spans="1:6" x14ac:dyDescent="0.2">
      <c r="A190" s="131" t="s">
        <v>259</v>
      </c>
      <c r="B190" s="131" t="s">
        <v>215</v>
      </c>
      <c r="C190" s="131" t="s">
        <v>164</v>
      </c>
      <c r="D190" s="132">
        <v>0</v>
      </c>
      <c r="E190" s="132">
        <v>5000</v>
      </c>
      <c r="F190" s="132">
        <v>4.03</v>
      </c>
    </row>
    <row r="191" spans="1:6" x14ac:dyDescent="0.2">
      <c r="A191" s="131" t="s">
        <v>260</v>
      </c>
      <c r="B191" s="131" t="s">
        <v>236</v>
      </c>
      <c r="C191" s="131" t="s">
        <v>140</v>
      </c>
      <c r="D191" s="132">
        <v>20000</v>
      </c>
      <c r="E191" s="132">
        <v>0</v>
      </c>
      <c r="F191" s="132">
        <v>3.92</v>
      </c>
    </row>
    <row r="192" spans="1:6" x14ac:dyDescent="0.2">
      <c r="A192" s="131" t="s">
        <v>261</v>
      </c>
      <c r="B192" s="131" t="s">
        <v>220</v>
      </c>
      <c r="C192" s="131" t="s">
        <v>140</v>
      </c>
      <c r="D192" s="132">
        <v>20000</v>
      </c>
      <c r="E192" s="132">
        <v>0</v>
      </c>
      <c r="F192" s="132">
        <v>3.92</v>
      </c>
    </row>
    <row r="193" spans="1:6" x14ac:dyDescent="0.2">
      <c r="A193" s="131" t="s">
        <v>261</v>
      </c>
      <c r="B193" s="131" t="s">
        <v>225</v>
      </c>
      <c r="C193" s="131" t="s">
        <v>140</v>
      </c>
      <c r="D193" s="132">
        <v>0</v>
      </c>
      <c r="E193" s="132">
        <v>20000</v>
      </c>
      <c r="F193" s="132">
        <v>3.9249999999999998</v>
      </c>
    </row>
    <row r="194" spans="1:6" x14ac:dyDescent="0.2">
      <c r="A194" s="131" t="s">
        <v>262</v>
      </c>
      <c r="B194" s="131" t="s">
        <v>218</v>
      </c>
      <c r="C194" s="131" t="s">
        <v>154</v>
      </c>
      <c r="D194" s="132">
        <v>0</v>
      </c>
      <c r="E194" s="132">
        <v>5000</v>
      </c>
      <c r="F194" s="132">
        <v>4.43</v>
      </c>
    </row>
    <row r="195" spans="1:6" x14ac:dyDescent="0.2">
      <c r="A195" s="131" t="s">
        <v>262</v>
      </c>
      <c r="B195" s="131" t="s">
        <v>139</v>
      </c>
      <c r="C195" s="131" t="s">
        <v>140</v>
      </c>
      <c r="D195" s="132">
        <v>0</v>
      </c>
      <c r="E195" s="132">
        <v>10000</v>
      </c>
      <c r="F195" s="132">
        <v>3.9249999999999998</v>
      </c>
    </row>
    <row r="196" spans="1:6" x14ac:dyDescent="0.2">
      <c r="A196" s="131" t="s">
        <v>262</v>
      </c>
      <c r="B196" s="131" t="s">
        <v>156</v>
      </c>
      <c r="C196" s="131" t="s">
        <v>140</v>
      </c>
      <c r="D196" s="132">
        <v>0</v>
      </c>
      <c r="E196" s="132">
        <v>10000</v>
      </c>
      <c r="F196" s="132">
        <v>3.9249999999999998</v>
      </c>
    </row>
    <row r="197" spans="1:6" x14ac:dyDescent="0.2">
      <c r="A197" s="131" t="s">
        <v>263</v>
      </c>
      <c r="B197" s="131" t="s">
        <v>156</v>
      </c>
      <c r="C197" s="131" t="s">
        <v>154</v>
      </c>
      <c r="D197" s="132">
        <v>0</v>
      </c>
      <c r="E197" s="132">
        <v>5000</v>
      </c>
      <c r="F197" s="132">
        <v>4.4349999999999996</v>
      </c>
    </row>
    <row r="198" spans="1:6" x14ac:dyDescent="0.2">
      <c r="A198" s="131" t="s">
        <v>264</v>
      </c>
      <c r="B198" s="131" t="s">
        <v>139</v>
      </c>
      <c r="C198" s="131" t="s">
        <v>154</v>
      </c>
      <c r="D198" s="132">
        <v>0</v>
      </c>
      <c r="E198" s="132">
        <v>2500</v>
      </c>
      <c r="F198" s="132">
        <v>4.4400000000000004</v>
      </c>
    </row>
    <row r="199" spans="1:6" x14ac:dyDescent="0.2">
      <c r="A199" s="131" t="s">
        <v>265</v>
      </c>
      <c r="B199" s="131" t="s">
        <v>266</v>
      </c>
      <c r="C199" s="131" t="s">
        <v>154</v>
      </c>
      <c r="D199" s="132">
        <v>5000</v>
      </c>
      <c r="E199" s="132">
        <v>0</v>
      </c>
      <c r="F199" s="132">
        <v>4.4249999999999998</v>
      </c>
    </row>
    <row r="200" spans="1:6" x14ac:dyDescent="0.2">
      <c r="A200" s="131" t="s">
        <v>267</v>
      </c>
      <c r="B200" s="131" t="s">
        <v>196</v>
      </c>
      <c r="C200" s="131" t="s">
        <v>140</v>
      </c>
      <c r="D200" s="132">
        <v>20000</v>
      </c>
      <c r="E200" s="132">
        <v>0</v>
      </c>
      <c r="F200" s="132">
        <v>3.92</v>
      </c>
    </row>
    <row r="201" spans="1:6" x14ac:dyDescent="0.2">
      <c r="A201" s="131" t="s">
        <v>267</v>
      </c>
      <c r="B201" s="131" t="s">
        <v>173</v>
      </c>
      <c r="C201" s="131" t="s">
        <v>164</v>
      </c>
      <c r="D201" s="132">
        <v>0</v>
      </c>
      <c r="E201" s="132">
        <v>20000</v>
      </c>
      <c r="F201" s="132">
        <v>4.0250000000000004</v>
      </c>
    </row>
    <row r="202" spans="1:6" x14ac:dyDescent="0.2">
      <c r="A202" s="131" t="s">
        <v>268</v>
      </c>
      <c r="B202" s="131" t="s">
        <v>218</v>
      </c>
      <c r="C202" s="131" t="s">
        <v>145</v>
      </c>
      <c r="D202" s="132">
        <v>0</v>
      </c>
      <c r="E202" s="132">
        <v>5000</v>
      </c>
      <c r="F202" s="132">
        <v>4.05</v>
      </c>
    </row>
    <row r="203" spans="1:6" x14ac:dyDescent="0.2">
      <c r="A203" s="131" t="s">
        <v>268</v>
      </c>
      <c r="B203" s="131" t="s">
        <v>169</v>
      </c>
      <c r="C203" s="131" t="s">
        <v>140</v>
      </c>
      <c r="D203" s="132">
        <v>20000</v>
      </c>
      <c r="E203" s="132">
        <v>0</v>
      </c>
      <c r="F203" s="132">
        <v>3.9249999999999998</v>
      </c>
    </row>
    <row r="204" spans="1:6" x14ac:dyDescent="0.2">
      <c r="A204" s="131" t="s">
        <v>269</v>
      </c>
      <c r="B204" s="131" t="s">
        <v>149</v>
      </c>
      <c r="C204" s="131" t="s">
        <v>140</v>
      </c>
      <c r="D204" s="132">
        <v>0</v>
      </c>
      <c r="E204" s="132">
        <v>10000</v>
      </c>
      <c r="F204" s="132">
        <v>3.93</v>
      </c>
    </row>
    <row r="205" spans="1:6" x14ac:dyDescent="0.2">
      <c r="A205" s="131" t="s">
        <v>269</v>
      </c>
      <c r="B205" s="131" t="s">
        <v>156</v>
      </c>
      <c r="C205" s="131" t="s">
        <v>140</v>
      </c>
      <c r="D205" s="132">
        <v>0</v>
      </c>
      <c r="E205" s="132">
        <v>10000</v>
      </c>
      <c r="F205" s="132">
        <v>3.93</v>
      </c>
    </row>
    <row r="206" spans="1:6" x14ac:dyDescent="0.2">
      <c r="A206" s="131" t="s">
        <v>270</v>
      </c>
      <c r="B206" s="131" t="s">
        <v>271</v>
      </c>
      <c r="C206" s="131" t="s">
        <v>140</v>
      </c>
      <c r="D206" s="132">
        <v>10000</v>
      </c>
      <c r="E206" s="132">
        <v>0</v>
      </c>
      <c r="F206" s="132">
        <v>3.93</v>
      </c>
    </row>
    <row r="207" spans="1:6" x14ac:dyDescent="0.2">
      <c r="A207" s="131" t="s">
        <v>270</v>
      </c>
      <c r="B207" s="131" t="s">
        <v>204</v>
      </c>
      <c r="C207" s="131" t="s">
        <v>140</v>
      </c>
      <c r="D207" s="132">
        <v>0</v>
      </c>
      <c r="E207" s="132">
        <v>15000</v>
      </c>
      <c r="F207" s="132">
        <v>3.9350000000000001</v>
      </c>
    </row>
    <row r="208" spans="1:6" x14ac:dyDescent="0.2">
      <c r="A208" s="131" t="s">
        <v>270</v>
      </c>
      <c r="B208" s="131" t="s">
        <v>149</v>
      </c>
      <c r="C208" s="131" t="s">
        <v>145</v>
      </c>
      <c r="D208" s="132">
        <v>0</v>
      </c>
      <c r="E208" s="132">
        <v>5000</v>
      </c>
      <c r="F208" s="132">
        <v>4.05</v>
      </c>
    </row>
    <row r="209" spans="1:6" x14ac:dyDescent="0.2">
      <c r="A209" s="131" t="s">
        <v>272</v>
      </c>
      <c r="B209" s="131" t="s">
        <v>271</v>
      </c>
      <c r="C209" s="131" t="s">
        <v>140</v>
      </c>
      <c r="D209" s="132">
        <v>5000</v>
      </c>
      <c r="E209" s="132">
        <v>0</v>
      </c>
      <c r="F209" s="132">
        <v>3.93</v>
      </c>
    </row>
    <row r="210" spans="1:6" x14ac:dyDescent="0.2">
      <c r="A210" s="131" t="s">
        <v>273</v>
      </c>
      <c r="B210" s="131" t="s">
        <v>220</v>
      </c>
      <c r="C210" s="131" t="s">
        <v>140</v>
      </c>
      <c r="D210" s="132">
        <v>20000</v>
      </c>
      <c r="E210" s="132">
        <v>0</v>
      </c>
      <c r="F210" s="132">
        <v>3.93</v>
      </c>
    </row>
    <row r="211" spans="1:6" x14ac:dyDescent="0.2">
      <c r="A211" s="131" t="s">
        <v>274</v>
      </c>
      <c r="B211" s="131" t="s">
        <v>152</v>
      </c>
      <c r="C211" s="131" t="s">
        <v>197</v>
      </c>
      <c r="D211" s="132">
        <v>7500</v>
      </c>
      <c r="E211" s="132">
        <v>0</v>
      </c>
      <c r="F211" s="132">
        <v>4.0724999999999998</v>
      </c>
    </row>
    <row r="212" spans="1:6" x14ac:dyDescent="0.2">
      <c r="A212" s="131" t="s">
        <v>275</v>
      </c>
      <c r="B212" s="131" t="s">
        <v>220</v>
      </c>
      <c r="C212" s="131" t="s">
        <v>140</v>
      </c>
      <c r="D212" s="132">
        <v>7500</v>
      </c>
      <c r="E212" s="132">
        <v>0</v>
      </c>
      <c r="F212" s="132">
        <v>3.93</v>
      </c>
    </row>
    <row r="213" spans="1:6" x14ac:dyDescent="0.2">
      <c r="A213" s="131" t="s">
        <v>275</v>
      </c>
      <c r="B213" s="131" t="s">
        <v>204</v>
      </c>
      <c r="C213" s="131" t="s">
        <v>140</v>
      </c>
      <c r="D213" s="132">
        <v>5000</v>
      </c>
      <c r="E213" s="132">
        <v>0</v>
      </c>
      <c r="F213" s="132">
        <v>3.93</v>
      </c>
    </row>
    <row r="214" spans="1:6" x14ac:dyDescent="0.2">
      <c r="A214" s="131" t="s">
        <v>275</v>
      </c>
      <c r="B214" s="131" t="s">
        <v>173</v>
      </c>
      <c r="C214" s="131" t="s">
        <v>164</v>
      </c>
      <c r="D214" s="132">
        <v>0</v>
      </c>
      <c r="E214" s="132">
        <v>20000</v>
      </c>
      <c r="F214" s="132">
        <v>4.0350000000000001</v>
      </c>
    </row>
    <row r="215" spans="1:6" x14ac:dyDescent="0.2">
      <c r="A215" s="131" t="s">
        <v>275</v>
      </c>
      <c r="B215" s="131" t="s">
        <v>173</v>
      </c>
      <c r="C215" s="131" t="s">
        <v>164</v>
      </c>
      <c r="D215" s="132">
        <v>0</v>
      </c>
      <c r="E215" s="132">
        <v>20000</v>
      </c>
      <c r="F215" s="132">
        <v>4.0350000000000001</v>
      </c>
    </row>
    <row r="216" spans="1:6" x14ac:dyDescent="0.2">
      <c r="A216" s="131" t="s">
        <v>276</v>
      </c>
      <c r="B216" s="131" t="s">
        <v>220</v>
      </c>
      <c r="C216" s="131" t="s">
        <v>140</v>
      </c>
      <c r="D216" s="132">
        <v>20000</v>
      </c>
      <c r="E216" s="132">
        <v>0</v>
      </c>
      <c r="F216" s="132">
        <v>3.93</v>
      </c>
    </row>
    <row r="217" spans="1:6" x14ac:dyDescent="0.2">
      <c r="A217" s="131" t="s">
        <v>277</v>
      </c>
      <c r="B217" s="131" t="s">
        <v>173</v>
      </c>
      <c r="C217" s="131" t="s">
        <v>164</v>
      </c>
      <c r="D217" s="132">
        <v>0</v>
      </c>
      <c r="E217" s="132">
        <v>20000</v>
      </c>
      <c r="F217" s="132">
        <v>4.0350000000000001</v>
      </c>
    </row>
    <row r="218" spans="1:6" x14ac:dyDescent="0.2">
      <c r="A218" s="131" t="s">
        <v>278</v>
      </c>
      <c r="B218" s="131" t="s">
        <v>158</v>
      </c>
      <c r="C218" s="131" t="s">
        <v>164</v>
      </c>
      <c r="D218" s="132">
        <v>0</v>
      </c>
      <c r="E218" s="132">
        <v>10000</v>
      </c>
      <c r="F218" s="132">
        <v>4.04</v>
      </c>
    </row>
    <row r="219" spans="1:6" x14ac:dyDescent="0.2">
      <c r="A219" s="131" t="s">
        <v>279</v>
      </c>
      <c r="B219" s="131" t="s">
        <v>156</v>
      </c>
      <c r="C219" s="131" t="s">
        <v>154</v>
      </c>
      <c r="D219" s="132">
        <v>0</v>
      </c>
      <c r="E219" s="132">
        <v>2500</v>
      </c>
      <c r="F219" s="132">
        <v>4.4450000000000003</v>
      </c>
    </row>
    <row r="220" spans="1:6" x14ac:dyDescent="0.2">
      <c r="A220" s="131" t="s">
        <v>280</v>
      </c>
      <c r="B220" s="131" t="s">
        <v>170</v>
      </c>
      <c r="C220" s="131" t="s">
        <v>140</v>
      </c>
      <c r="D220" s="132">
        <v>20000</v>
      </c>
      <c r="E220" s="132">
        <v>0</v>
      </c>
      <c r="F220" s="132">
        <v>3.9350000000000001</v>
      </c>
    </row>
    <row r="221" spans="1:6" x14ac:dyDescent="0.2">
      <c r="A221" s="131" t="s">
        <v>280</v>
      </c>
      <c r="B221" s="131" t="s">
        <v>241</v>
      </c>
      <c r="C221" s="131" t="s">
        <v>140</v>
      </c>
      <c r="D221" s="132">
        <v>20000</v>
      </c>
      <c r="E221" s="132">
        <v>0</v>
      </c>
      <c r="F221" s="132">
        <v>3.93</v>
      </c>
    </row>
    <row r="222" spans="1:6" x14ac:dyDescent="0.2">
      <c r="A222" s="131" t="s">
        <v>280</v>
      </c>
      <c r="B222" s="131" t="s">
        <v>173</v>
      </c>
      <c r="C222" s="131" t="s">
        <v>145</v>
      </c>
      <c r="D222" s="132">
        <v>0</v>
      </c>
      <c r="E222" s="132">
        <v>5000</v>
      </c>
      <c r="F222" s="132">
        <v>4.05</v>
      </c>
    </row>
    <row r="223" spans="1:6" x14ac:dyDescent="0.2">
      <c r="A223" s="131" t="s">
        <v>280</v>
      </c>
      <c r="B223" s="131" t="s">
        <v>281</v>
      </c>
      <c r="C223" s="131" t="s">
        <v>140</v>
      </c>
      <c r="D223" s="132">
        <v>0</v>
      </c>
      <c r="E223" s="132">
        <v>5000</v>
      </c>
      <c r="F223" s="132">
        <v>3.94</v>
      </c>
    </row>
    <row r="224" spans="1:6" x14ac:dyDescent="0.2">
      <c r="A224" s="131" t="s">
        <v>280</v>
      </c>
      <c r="B224" s="131" t="s">
        <v>163</v>
      </c>
      <c r="C224" s="131" t="s">
        <v>150</v>
      </c>
      <c r="D224" s="132">
        <v>2500</v>
      </c>
      <c r="E224" s="132">
        <v>0</v>
      </c>
      <c r="F224" s="132">
        <v>4.0750000000000002</v>
      </c>
    </row>
    <row r="225" spans="1:6" x14ac:dyDescent="0.2">
      <c r="A225" s="131" t="s">
        <v>282</v>
      </c>
      <c r="B225" s="131" t="s">
        <v>204</v>
      </c>
      <c r="C225" s="131" t="s">
        <v>140</v>
      </c>
      <c r="D225" s="132">
        <v>0</v>
      </c>
      <c r="E225" s="132">
        <v>10000</v>
      </c>
      <c r="F225" s="132">
        <v>3.94</v>
      </c>
    </row>
    <row r="226" spans="1:6" x14ac:dyDescent="0.2">
      <c r="A226" s="131" t="s">
        <v>282</v>
      </c>
      <c r="B226" s="131" t="s">
        <v>173</v>
      </c>
      <c r="C226" s="131" t="s">
        <v>164</v>
      </c>
      <c r="D226" s="132">
        <v>0</v>
      </c>
      <c r="E226" s="132">
        <v>15000</v>
      </c>
      <c r="F226" s="132">
        <v>4.0350000000000001</v>
      </c>
    </row>
    <row r="227" spans="1:6" x14ac:dyDescent="0.2">
      <c r="A227" s="131" t="s">
        <v>283</v>
      </c>
      <c r="B227" s="131" t="s">
        <v>204</v>
      </c>
      <c r="C227" s="131" t="s">
        <v>197</v>
      </c>
      <c r="D227" s="132">
        <v>0</v>
      </c>
      <c r="E227" s="132">
        <v>10000</v>
      </c>
      <c r="F227" s="132">
        <v>4.0875000000000004</v>
      </c>
    </row>
    <row r="228" spans="1:6" x14ac:dyDescent="0.2">
      <c r="A228" s="131" t="s">
        <v>284</v>
      </c>
      <c r="B228" s="131" t="s">
        <v>241</v>
      </c>
      <c r="C228" s="131" t="s">
        <v>140</v>
      </c>
      <c r="D228" s="132">
        <v>10000</v>
      </c>
      <c r="E228" s="132">
        <v>0</v>
      </c>
      <c r="F228" s="132">
        <v>3.9350000000000001</v>
      </c>
    </row>
    <row r="229" spans="1:6" x14ac:dyDescent="0.2">
      <c r="A229" s="131" t="s">
        <v>285</v>
      </c>
      <c r="B229" s="131" t="s">
        <v>191</v>
      </c>
      <c r="C229" s="131" t="s">
        <v>140</v>
      </c>
      <c r="D229" s="132">
        <v>10000</v>
      </c>
      <c r="E229" s="132">
        <v>0</v>
      </c>
      <c r="F229" s="132">
        <v>3.9350000000000001</v>
      </c>
    </row>
    <row r="230" spans="1:6" x14ac:dyDescent="0.2">
      <c r="A230" s="131" t="s">
        <v>285</v>
      </c>
      <c r="B230" s="131" t="s">
        <v>149</v>
      </c>
      <c r="C230" s="131" t="s">
        <v>140</v>
      </c>
      <c r="D230" s="132">
        <v>0</v>
      </c>
      <c r="E230" s="132">
        <v>5000</v>
      </c>
      <c r="F230" s="132">
        <v>3.94</v>
      </c>
    </row>
    <row r="231" spans="1:6" x14ac:dyDescent="0.2">
      <c r="A231" s="131" t="s">
        <v>286</v>
      </c>
      <c r="B231" s="131" t="s">
        <v>191</v>
      </c>
      <c r="C231" s="131" t="s">
        <v>140</v>
      </c>
      <c r="D231" s="132">
        <v>10000</v>
      </c>
      <c r="E231" s="132">
        <v>0</v>
      </c>
      <c r="F231" s="132">
        <v>3.93</v>
      </c>
    </row>
    <row r="232" spans="1:6" x14ac:dyDescent="0.2">
      <c r="A232" s="131" t="s">
        <v>287</v>
      </c>
      <c r="B232" s="131" t="s">
        <v>155</v>
      </c>
      <c r="C232" s="131" t="s">
        <v>140</v>
      </c>
      <c r="D232" s="132">
        <v>5000</v>
      </c>
      <c r="E232" s="132">
        <v>0</v>
      </c>
      <c r="F232" s="132">
        <v>3.93</v>
      </c>
    </row>
    <row r="233" spans="1:6" x14ac:dyDescent="0.2">
      <c r="A233" s="131" t="s">
        <v>288</v>
      </c>
      <c r="B233" s="131" t="s">
        <v>156</v>
      </c>
      <c r="C233" s="131" t="s">
        <v>197</v>
      </c>
      <c r="D233" s="132">
        <v>5000</v>
      </c>
      <c r="E233" s="132">
        <v>0</v>
      </c>
      <c r="F233" s="132">
        <v>4.0774999999999997</v>
      </c>
    </row>
    <row r="234" spans="1:6" x14ac:dyDescent="0.2">
      <c r="A234" s="131" t="s">
        <v>289</v>
      </c>
      <c r="B234" s="131" t="s">
        <v>220</v>
      </c>
      <c r="C234" s="131" t="s">
        <v>140</v>
      </c>
      <c r="D234" s="132">
        <v>0</v>
      </c>
      <c r="E234" s="132">
        <v>15000</v>
      </c>
      <c r="F234" s="132">
        <v>3.9350000000000001</v>
      </c>
    </row>
    <row r="235" spans="1:6" x14ac:dyDescent="0.2">
      <c r="A235" s="131" t="s">
        <v>290</v>
      </c>
      <c r="B235" s="131" t="s">
        <v>144</v>
      </c>
      <c r="C235" s="131" t="s">
        <v>197</v>
      </c>
      <c r="D235" s="132">
        <v>10000</v>
      </c>
      <c r="E235" s="132">
        <v>0</v>
      </c>
      <c r="F235" s="132">
        <v>4.0774999999999997</v>
      </c>
    </row>
    <row r="236" spans="1:6" x14ac:dyDescent="0.2">
      <c r="A236" s="131" t="s">
        <v>291</v>
      </c>
      <c r="B236" s="131" t="s">
        <v>292</v>
      </c>
      <c r="C236" s="131" t="s">
        <v>140</v>
      </c>
      <c r="D236" s="132">
        <v>5000</v>
      </c>
      <c r="E236" s="132">
        <v>0</v>
      </c>
      <c r="F236" s="132">
        <v>3.78</v>
      </c>
    </row>
    <row r="237" spans="1:6" x14ac:dyDescent="0.2">
      <c r="A237" s="131" t="s">
        <v>293</v>
      </c>
      <c r="B237" s="131" t="s">
        <v>158</v>
      </c>
      <c r="C237" s="131" t="s">
        <v>140</v>
      </c>
      <c r="D237" s="132">
        <v>5000</v>
      </c>
      <c r="E237" s="132">
        <v>0</v>
      </c>
      <c r="F237" s="132">
        <v>3.78</v>
      </c>
    </row>
    <row r="238" spans="1:6" x14ac:dyDescent="0.2">
      <c r="A238" s="131" t="s">
        <v>294</v>
      </c>
      <c r="B238" s="131" t="s">
        <v>178</v>
      </c>
      <c r="C238" s="131" t="s">
        <v>140</v>
      </c>
      <c r="D238" s="132">
        <v>0</v>
      </c>
      <c r="E238" s="132">
        <v>10000</v>
      </c>
      <c r="F238" s="132">
        <v>3.7850000000000001</v>
      </c>
    </row>
    <row r="239" spans="1:6" x14ac:dyDescent="0.2">
      <c r="A239" s="131" t="s">
        <v>295</v>
      </c>
      <c r="B239" s="131" t="s">
        <v>296</v>
      </c>
      <c r="C239" s="131" t="s">
        <v>140</v>
      </c>
      <c r="D239" s="132">
        <v>0</v>
      </c>
      <c r="E239" s="132">
        <v>10000</v>
      </c>
      <c r="F239" s="132">
        <v>3.79</v>
      </c>
    </row>
    <row r="240" spans="1:6" x14ac:dyDescent="0.2">
      <c r="A240" s="131" t="s">
        <v>297</v>
      </c>
      <c r="B240" s="131" t="s">
        <v>175</v>
      </c>
      <c r="C240" s="131" t="s">
        <v>140</v>
      </c>
      <c r="D240" s="132">
        <v>0</v>
      </c>
      <c r="E240" s="132">
        <v>10000</v>
      </c>
      <c r="F240" s="132">
        <v>3.7949999999999999</v>
      </c>
    </row>
    <row r="241" spans="1:6" x14ac:dyDescent="0.2">
      <c r="A241" s="131" t="s">
        <v>298</v>
      </c>
      <c r="B241" s="131" t="s">
        <v>156</v>
      </c>
      <c r="C241" s="131" t="s">
        <v>140</v>
      </c>
      <c r="D241" s="132">
        <v>0</v>
      </c>
      <c r="E241" s="132">
        <v>10000</v>
      </c>
      <c r="F241" s="132">
        <v>3.8</v>
      </c>
    </row>
    <row r="242" spans="1:6" x14ac:dyDescent="0.2">
      <c r="A242" s="131" t="s">
        <v>299</v>
      </c>
      <c r="B242" s="131" t="s">
        <v>300</v>
      </c>
      <c r="C242" s="131" t="s">
        <v>301</v>
      </c>
      <c r="D242" s="132">
        <v>0</v>
      </c>
      <c r="E242" s="132">
        <v>10000</v>
      </c>
      <c r="F242" s="132">
        <v>3.8</v>
      </c>
    </row>
    <row r="243" spans="1:6" x14ac:dyDescent="0.2">
      <c r="A243" s="131" t="s">
        <v>299</v>
      </c>
      <c r="B243" s="131" t="s">
        <v>175</v>
      </c>
      <c r="C243" s="131" t="s">
        <v>140</v>
      </c>
      <c r="D243" s="132">
        <v>0</v>
      </c>
      <c r="E243" s="132">
        <v>10000</v>
      </c>
      <c r="F243" s="132">
        <v>3.81</v>
      </c>
    </row>
    <row r="244" spans="1:6" x14ac:dyDescent="0.2">
      <c r="A244" s="131" t="s">
        <v>302</v>
      </c>
      <c r="B244" s="131" t="s">
        <v>156</v>
      </c>
      <c r="C244" s="131" t="s">
        <v>140</v>
      </c>
      <c r="D244" s="132">
        <v>0</v>
      </c>
      <c r="E244" s="132">
        <v>10000</v>
      </c>
      <c r="F244" s="132">
        <v>3.8149999999999999</v>
      </c>
    </row>
    <row r="245" spans="1:6" x14ac:dyDescent="0.2">
      <c r="A245" s="131" t="s">
        <v>303</v>
      </c>
      <c r="B245" s="131" t="s">
        <v>220</v>
      </c>
      <c r="C245" s="131" t="s">
        <v>140</v>
      </c>
      <c r="D245" s="132">
        <v>10000</v>
      </c>
      <c r="E245" s="132">
        <v>0</v>
      </c>
      <c r="F245" s="132">
        <v>3.81</v>
      </c>
    </row>
    <row r="246" spans="1:6" x14ac:dyDescent="0.2">
      <c r="A246" s="131" t="s">
        <v>303</v>
      </c>
      <c r="B246" s="131" t="s">
        <v>220</v>
      </c>
      <c r="C246" s="131" t="s">
        <v>140</v>
      </c>
      <c r="D246" s="132">
        <v>10000</v>
      </c>
      <c r="E246" s="132">
        <v>0</v>
      </c>
      <c r="F246" s="132">
        <v>3.81</v>
      </c>
    </row>
    <row r="247" spans="1:6" x14ac:dyDescent="0.2">
      <c r="A247" s="131" t="s">
        <v>303</v>
      </c>
      <c r="B247" s="131" t="s">
        <v>191</v>
      </c>
      <c r="C247" s="131" t="s">
        <v>140</v>
      </c>
      <c r="D247" s="132">
        <v>0</v>
      </c>
      <c r="E247" s="132">
        <v>10000</v>
      </c>
      <c r="F247" s="132">
        <v>3.8149999999999999</v>
      </c>
    </row>
    <row r="248" spans="1:6" x14ac:dyDescent="0.2">
      <c r="A248" s="131" t="s">
        <v>303</v>
      </c>
      <c r="B248" s="131" t="s">
        <v>191</v>
      </c>
      <c r="C248" s="131" t="s">
        <v>140</v>
      </c>
      <c r="D248" s="132">
        <v>0</v>
      </c>
      <c r="E248" s="132">
        <v>10000</v>
      </c>
      <c r="F248" s="132">
        <v>3.8149999999999999</v>
      </c>
    </row>
    <row r="249" spans="1:6" x14ac:dyDescent="0.2">
      <c r="A249" s="131" t="s">
        <v>304</v>
      </c>
      <c r="B249" s="131" t="s">
        <v>204</v>
      </c>
      <c r="C249" s="131" t="s">
        <v>140</v>
      </c>
      <c r="D249" s="132">
        <v>10000</v>
      </c>
      <c r="E249" s="132">
        <v>0</v>
      </c>
      <c r="F249" s="132">
        <v>3.8149999999999999</v>
      </c>
    </row>
    <row r="250" spans="1:6" x14ac:dyDescent="0.2">
      <c r="A250" s="131" t="s">
        <v>304</v>
      </c>
      <c r="B250" s="131" t="s">
        <v>191</v>
      </c>
      <c r="C250" s="131" t="s">
        <v>140</v>
      </c>
      <c r="D250" s="132">
        <v>0</v>
      </c>
      <c r="E250" s="132">
        <v>10000</v>
      </c>
      <c r="F250" s="132">
        <v>3.82</v>
      </c>
    </row>
    <row r="251" spans="1:6" x14ac:dyDescent="0.2">
      <c r="A251" s="131" t="s">
        <v>305</v>
      </c>
      <c r="B251" s="131" t="s">
        <v>191</v>
      </c>
      <c r="C251" s="131" t="s">
        <v>140</v>
      </c>
      <c r="D251" s="132">
        <v>0</v>
      </c>
      <c r="E251" s="132">
        <v>10000</v>
      </c>
      <c r="F251" s="132">
        <v>3.82</v>
      </c>
    </row>
    <row r="252" spans="1:6" x14ac:dyDescent="0.2">
      <c r="A252" s="131" t="s">
        <v>306</v>
      </c>
      <c r="B252" s="131" t="s">
        <v>178</v>
      </c>
      <c r="C252" s="131" t="s">
        <v>140</v>
      </c>
      <c r="D252" s="132">
        <v>10000</v>
      </c>
      <c r="E252" s="132">
        <v>0</v>
      </c>
      <c r="F252" s="132">
        <v>3.8149999999999999</v>
      </c>
    </row>
    <row r="253" spans="1:6" x14ac:dyDescent="0.2">
      <c r="A253" s="131" t="s">
        <v>307</v>
      </c>
      <c r="B253" s="131" t="s">
        <v>308</v>
      </c>
      <c r="C253" s="131" t="s">
        <v>140</v>
      </c>
      <c r="D253" s="132">
        <v>0</v>
      </c>
      <c r="E253" s="132">
        <v>10000</v>
      </c>
      <c r="F253" s="132">
        <v>3.8250000000000002</v>
      </c>
    </row>
    <row r="254" spans="1:6" x14ac:dyDescent="0.2">
      <c r="A254" s="131" t="s">
        <v>307</v>
      </c>
      <c r="B254" s="131" t="s">
        <v>296</v>
      </c>
      <c r="C254" s="131" t="s">
        <v>140</v>
      </c>
      <c r="D254" s="132">
        <v>0</v>
      </c>
      <c r="E254" s="132">
        <v>10000</v>
      </c>
      <c r="F254" s="132">
        <v>3.82</v>
      </c>
    </row>
    <row r="255" spans="1:6" x14ac:dyDescent="0.2">
      <c r="A255" s="131" t="s">
        <v>309</v>
      </c>
      <c r="B255" s="131" t="s">
        <v>178</v>
      </c>
      <c r="C255" s="131" t="s">
        <v>140</v>
      </c>
      <c r="D255" s="132">
        <v>0</v>
      </c>
      <c r="E255" s="132">
        <v>10000</v>
      </c>
      <c r="F255" s="132">
        <v>3.83</v>
      </c>
    </row>
    <row r="256" spans="1:6" x14ac:dyDescent="0.2">
      <c r="A256" s="131" t="s">
        <v>309</v>
      </c>
      <c r="B256" s="131" t="s">
        <v>204</v>
      </c>
      <c r="C256" s="131" t="s">
        <v>140</v>
      </c>
      <c r="D256" s="132">
        <v>10000</v>
      </c>
      <c r="E256" s="132">
        <v>0</v>
      </c>
      <c r="F256" s="132">
        <v>3.83</v>
      </c>
    </row>
    <row r="257" spans="1:6" x14ac:dyDescent="0.2">
      <c r="A257" s="131" t="s">
        <v>309</v>
      </c>
      <c r="B257" s="131" t="s">
        <v>191</v>
      </c>
      <c r="C257" s="131" t="s">
        <v>140</v>
      </c>
      <c r="D257" s="132">
        <v>0</v>
      </c>
      <c r="E257" s="132">
        <v>10000</v>
      </c>
      <c r="F257" s="132">
        <v>3.835</v>
      </c>
    </row>
    <row r="258" spans="1:6" x14ac:dyDescent="0.2">
      <c r="A258" s="131" t="s">
        <v>309</v>
      </c>
      <c r="B258" s="131" t="s">
        <v>156</v>
      </c>
      <c r="C258" s="131" t="s">
        <v>140</v>
      </c>
      <c r="D258" s="132">
        <v>10000</v>
      </c>
      <c r="E258" s="132">
        <v>0</v>
      </c>
      <c r="F258" s="132">
        <v>3.8250000000000002</v>
      </c>
    </row>
    <row r="259" spans="1:6" x14ac:dyDescent="0.2">
      <c r="A259" s="131" t="s">
        <v>310</v>
      </c>
      <c r="B259" s="131" t="s">
        <v>189</v>
      </c>
      <c r="C259" s="131" t="s">
        <v>140</v>
      </c>
      <c r="D259" s="132">
        <v>0</v>
      </c>
      <c r="E259" s="132">
        <v>5000</v>
      </c>
      <c r="F259" s="132">
        <v>3.835</v>
      </c>
    </row>
    <row r="260" spans="1:6" x14ac:dyDescent="0.2">
      <c r="A260" s="131" t="s">
        <v>310</v>
      </c>
      <c r="B260" s="131" t="s">
        <v>191</v>
      </c>
      <c r="C260" s="131" t="s">
        <v>140</v>
      </c>
      <c r="D260" s="132">
        <v>0</v>
      </c>
      <c r="E260" s="132">
        <v>10000</v>
      </c>
      <c r="F260" s="132">
        <v>3.83</v>
      </c>
    </row>
    <row r="261" spans="1:6" x14ac:dyDescent="0.2">
      <c r="A261" s="131" t="s">
        <v>311</v>
      </c>
      <c r="B261" s="131" t="s">
        <v>202</v>
      </c>
      <c r="C261" s="131" t="s">
        <v>140</v>
      </c>
      <c r="D261" s="132">
        <v>10000</v>
      </c>
      <c r="E261" s="132">
        <v>0</v>
      </c>
      <c r="F261" s="132">
        <v>3.8250000000000002</v>
      </c>
    </row>
    <row r="262" spans="1:6" x14ac:dyDescent="0.2">
      <c r="A262" s="131" t="s">
        <v>312</v>
      </c>
      <c r="B262" s="131" t="s">
        <v>169</v>
      </c>
      <c r="C262" s="131" t="s">
        <v>164</v>
      </c>
      <c r="D262" s="132">
        <v>10000</v>
      </c>
      <c r="E262" s="132">
        <v>0</v>
      </c>
      <c r="F262" s="132">
        <v>3.91</v>
      </c>
    </row>
    <row r="263" spans="1:6" x14ac:dyDescent="0.2">
      <c r="A263" s="131" t="s">
        <v>312</v>
      </c>
      <c r="B263" s="131" t="s">
        <v>156</v>
      </c>
      <c r="C263" s="131" t="s">
        <v>140</v>
      </c>
      <c r="D263" s="132">
        <v>10000</v>
      </c>
      <c r="E263" s="132">
        <v>0</v>
      </c>
      <c r="F263" s="132">
        <v>3.8149999999999999</v>
      </c>
    </row>
    <row r="264" spans="1:6" x14ac:dyDescent="0.2">
      <c r="A264" s="131" t="s">
        <v>313</v>
      </c>
      <c r="B264" s="131" t="s">
        <v>169</v>
      </c>
      <c r="C264" s="131" t="s">
        <v>140</v>
      </c>
      <c r="D264" s="132">
        <v>10000</v>
      </c>
      <c r="E264" s="132">
        <v>0</v>
      </c>
      <c r="F264" s="132">
        <v>3.81</v>
      </c>
    </row>
    <row r="265" spans="1:6" x14ac:dyDescent="0.2">
      <c r="A265" s="131" t="s">
        <v>314</v>
      </c>
      <c r="B265" s="131" t="s">
        <v>158</v>
      </c>
      <c r="C265" s="131" t="s">
        <v>150</v>
      </c>
      <c r="D265" s="132">
        <v>5000</v>
      </c>
      <c r="E265" s="132">
        <v>0</v>
      </c>
      <c r="F265" s="132">
        <v>3.97</v>
      </c>
    </row>
    <row r="266" spans="1:6" x14ac:dyDescent="0.2">
      <c r="A266" s="131" t="s">
        <v>315</v>
      </c>
      <c r="B266" s="131" t="s">
        <v>189</v>
      </c>
      <c r="C266" s="131" t="s">
        <v>150</v>
      </c>
      <c r="D266" s="132">
        <v>0</v>
      </c>
      <c r="E266" s="132">
        <v>500</v>
      </c>
      <c r="F266" s="132">
        <v>3.9750000000000001</v>
      </c>
    </row>
    <row r="267" spans="1:6" x14ac:dyDescent="0.2">
      <c r="A267" s="131" t="s">
        <v>316</v>
      </c>
      <c r="B267" s="131" t="s">
        <v>178</v>
      </c>
      <c r="C267" s="131" t="s">
        <v>140</v>
      </c>
      <c r="D267" s="132">
        <v>10000</v>
      </c>
      <c r="E267" s="132">
        <v>0</v>
      </c>
      <c r="F267" s="132">
        <v>3.8050000000000002</v>
      </c>
    </row>
    <row r="268" spans="1:6" x14ac:dyDescent="0.2">
      <c r="A268" s="131" t="s">
        <v>316</v>
      </c>
      <c r="B268" s="131" t="s">
        <v>220</v>
      </c>
      <c r="C268" s="131" t="s">
        <v>140</v>
      </c>
      <c r="D268" s="132">
        <v>0</v>
      </c>
      <c r="E268" s="132">
        <v>2500</v>
      </c>
      <c r="F268" s="132">
        <v>3.81</v>
      </c>
    </row>
    <row r="269" spans="1:6" x14ac:dyDescent="0.2">
      <c r="A269" s="131" t="s">
        <v>317</v>
      </c>
      <c r="B269" s="131" t="s">
        <v>318</v>
      </c>
      <c r="C269" s="131" t="s">
        <v>140</v>
      </c>
      <c r="D269" s="132">
        <v>15000</v>
      </c>
      <c r="E269" s="132">
        <v>0</v>
      </c>
      <c r="F269" s="132">
        <v>3.8050000000000002</v>
      </c>
    </row>
    <row r="270" spans="1:6" x14ac:dyDescent="0.2">
      <c r="A270" s="131" t="s">
        <v>317</v>
      </c>
      <c r="B270" s="131" t="s">
        <v>204</v>
      </c>
      <c r="C270" s="131" t="s">
        <v>140</v>
      </c>
      <c r="D270" s="132">
        <v>0</v>
      </c>
      <c r="E270" s="132">
        <v>5000</v>
      </c>
      <c r="F270" s="132">
        <v>3.81</v>
      </c>
    </row>
    <row r="271" spans="1:6" x14ac:dyDescent="0.2">
      <c r="A271" s="131" t="s">
        <v>319</v>
      </c>
      <c r="B271" s="131" t="s">
        <v>167</v>
      </c>
      <c r="C271" s="131" t="s">
        <v>140</v>
      </c>
      <c r="D271" s="132">
        <v>0</v>
      </c>
      <c r="E271" s="132">
        <v>10000</v>
      </c>
      <c r="F271" s="132">
        <v>3.81</v>
      </c>
    </row>
    <row r="272" spans="1:6" x14ac:dyDescent="0.2">
      <c r="A272" s="131" t="s">
        <v>320</v>
      </c>
      <c r="B272" s="131" t="s">
        <v>202</v>
      </c>
      <c r="C272" s="131" t="s">
        <v>140</v>
      </c>
      <c r="D272" s="132">
        <v>0</v>
      </c>
      <c r="E272" s="132">
        <v>5000</v>
      </c>
      <c r="F272" s="132">
        <v>3.81</v>
      </c>
    </row>
    <row r="273" spans="1:6" x14ac:dyDescent="0.2">
      <c r="A273" s="131" t="s">
        <v>321</v>
      </c>
      <c r="B273" s="131" t="s">
        <v>204</v>
      </c>
      <c r="C273" s="131" t="s">
        <v>140</v>
      </c>
      <c r="D273" s="132">
        <v>15000</v>
      </c>
      <c r="E273" s="132">
        <v>0</v>
      </c>
      <c r="F273" s="132">
        <v>3.8050000000000002</v>
      </c>
    </row>
    <row r="274" spans="1:6" x14ac:dyDescent="0.2">
      <c r="A274" s="131" t="s">
        <v>322</v>
      </c>
      <c r="B274" s="131" t="s">
        <v>158</v>
      </c>
      <c r="C274" s="131" t="s">
        <v>150</v>
      </c>
      <c r="D274" s="132">
        <v>5000</v>
      </c>
      <c r="E274" s="132">
        <v>0</v>
      </c>
      <c r="F274" s="132">
        <v>3.9649999999999999</v>
      </c>
    </row>
    <row r="275" spans="1:6" x14ac:dyDescent="0.2">
      <c r="A275" s="131" t="s">
        <v>322</v>
      </c>
      <c r="B275" s="131" t="s">
        <v>323</v>
      </c>
      <c r="C275" s="131" t="s">
        <v>154</v>
      </c>
      <c r="D275" s="132">
        <v>5000</v>
      </c>
      <c r="E275" s="132">
        <v>0</v>
      </c>
      <c r="F275" s="132">
        <v>4.2750000000000004</v>
      </c>
    </row>
    <row r="276" spans="1:6" x14ac:dyDescent="0.2">
      <c r="A276" s="131" t="s">
        <v>322</v>
      </c>
      <c r="B276" s="131" t="s">
        <v>189</v>
      </c>
      <c r="C276" s="131" t="s">
        <v>154</v>
      </c>
      <c r="D276" s="132">
        <v>2500</v>
      </c>
      <c r="E276" s="132">
        <v>0</v>
      </c>
      <c r="F276" s="132">
        <v>4.28</v>
      </c>
    </row>
    <row r="277" spans="1:6" x14ac:dyDescent="0.2">
      <c r="A277" s="131" t="s">
        <v>324</v>
      </c>
      <c r="B277" s="131" t="s">
        <v>191</v>
      </c>
      <c r="C277" s="131" t="s">
        <v>150</v>
      </c>
      <c r="D277" s="132">
        <v>5000</v>
      </c>
      <c r="E277" s="132">
        <v>0</v>
      </c>
      <c r="F277" s="132">
        <v>3.96</v>
      </c>
    </row>
    <row r="278" spans="1:6" x14ac:dyDescent="0.2">
      <c r="A278" s="131" t="s">
        <v>325</v>
      </c>
      <c r="B278" s="131" t="s">
        <v>189</v>
      </c>
      <c r="C278" s="131" t="s">
        <v>150</v>
      </c>
      <c r="D278" s="132">
        <v>0</v>
      </c>
      <c r="E278" s="132">
        <v>500</v>
      </c>
      <c r="F278" s="132">
        <v>3.97</v>
      </c>
    </row>
    <row r="279" spans="1:6" x14ac:dyDescent="0.2">
      <c r="A279" s="131" t="s">
        <v>326</v>
      </c>
      <c r="B279" s="131" t="s">
        <v>215</v>
      </c>
      <c r="C279" s="131" t="s">
        <v>140</v>
      </c>
      <c r="D279" s="132">
        <v>15000</v>
      </c>
      <c r="E279" s="132">
        <v>0</v>
      </c>
      <c r="F279" s="132">
        <v>3.8</v>
      </c>
    </row>
    <row r="280" spans="1:6" x14ac:dyDescent="0.2">
      <c r="A280" s="131" t="s">
        <v>327</v>
      </c>
      <c r="B280" s="131" t="s">
        <v>178</v>
      </c>
      <c r="C280" s="131" t="s">
        <v>140</v>
      </c>
      <c r="D280" s="132">
        <v>0</v>
      </c>
      <c r="E280" s="132">
        <v>10000</v>
      </c>
      <c r="F280" s="132">
        <v>3.8050000000000002</v>
      </c>
    </row>
    <row r="281" spans="1:6" x14ac:dyDescent="0.2">
      <c r="A281" s="131" t="s">
        <v>328</v>
      </c>
      <c r="B281" s="131" t="s">
        <v>178</v>
      </c>
      <c r="C281" s="131" t="s">
        <v>140</v>
      </c>
      <c r="D281" s="132">
        <v>7500</v>
      </c>
      <c r="E281" s="132">
        <v>0</v>
      </c>
      <c r="F281" s="132">
        <v>3.7949999999999999</v>
      </c>
    </row>
    <row r="282" spans="1:6" x14ac:dyDescent="0.2">
      <c r="A282" s="131" t="s">
        <v>329</v>
      </c>
      <c r="B282" s="131" t="s">
        <v>220</v>
      </c>
      <c r="C282" s="131" t="s">
        <v>140</v>
      </c>
      <c r="D282" s="132">
        <v>0</v>
      </c>
      <c r="E282" s="132">
        <v>5000</v>
      </c>
      <c r="F282" s="132">
        <v>3.8050000000000002</v>
      </c>
    </row>
    <row r="283" spans="1:6" x14ac:dyDescent="0.2">
      <c r="A283" s="131" t="s">
        <v>329</v>
      </c>
      <c r="B283" s="131" t="s">
        <v>171</v>
      </c>
      <c r="C283" s="131" t="s">
        <v>164</v>
      </c>
      <c r="D283" s="132">
        <v>7500</v>
      </c>
      <c r="E283" s="132">
        <v>0</v>
      </c>
      <c r="F283" s="132">
        <v>3.89</v>
      </c>
    </row>
    <row r="284" spans="1:6" x14ac:dyDescent="0.2">
      <c r="A284" s="131" t="s">
        <v>330</v>
      </c>
      <c r="B284" s="131" t="s">
        <v>331</v>
      </c>
      <c r="C284" s="131" t="s">
        <v>140</v>
      </c>
      <c r="D284" s="132">
        <v>12500</v>
      </c>
      <c r="E284" s="132">
        <v>0</v>
      </c>
      <c r="F284" s="132">
        <v>3.7949999999999999</v>
      </c>
    </row>
    <row r="285" spans="1:6" x14ac:dyDescent="0.2">
      <c r="A285" s="131" t="s">
        <v>332</v>
      </c>
      <c r="B285" s="131" t="s">
        <v>167</v>
      </c>
      <c r="C285" s="131" t="s">
        <v>140</v>
      </c>
      <c r="D285" s="132">
        <v>0</v>
      </c>
      <c r="E285" s="132">
        <v>5000</v>
      </c>
      <c r="F285" s="132">
        <v>3.8</v>
      </c>
    </row>
    <row r="286" spans="1:6" x14ac:dyDescent="0.2">
      <c r="A286" s="131" t="s">
        <v>332</v>
      </c>
      <c r="B286" s="131" t="s">
        <v>220</v>
      </c>
      <c r="C286" s="131" t="s">
        <v>140</v>
      </c>
      <c r="D286" s="132">
        <v>0</v>
      </c>
      <c r="E286" s="132">
        <v>2500</v>
      </c>
      <c r="F286" s="132">
        <v>3.7949999999999999</v>
      </c>
    </row>
    <row r="287" spans="1:6" x14ac:dyDescent="0.2">
      <c r="A287" s="131" t="s">
        <v>332</v>
      </c>
      <c r="B287" s="131" t="s">
        <v>333</v>
      </c>
      <c r="C287" s="131" t="s">
        <v>140</v>
      </c>
      <c r="D287" s="132">
        <v>17500</v>
      </c>
      <c r="E287" s="132">
        <v>0</v>
      </c>
      <c r="F287" s="132">
        <v>3.79</v>
      </c>
    </row>
    <row r="288" spans="1:6" x14ac:dyDescent="0.2">
      <c r="A288" s="131" t="s">
        <v>334</v>
      </c>
      <c r="B288" s="131" t="s">
        <v>167</v>
      </c>
      <c r="C288" s="131" t="s">
        <v>140</v>
      </c>
      <c r="D288" s="132">
        <v>0</v>
      </c>
      <c r="E288" s="132">
        <v>5000</v>
      </c>
      <c r="F288" s="132">
        <v>3.7949999999999999</v>
      </c>
    </row>
    <row r="289" spans="1:6" x14ac:dyDescent="0.2">
      <c r="A289" s="131" t="s">
        <v>335</v>
      </c>
      <c r="B289" s="131" t="s">
        <v>336</v>
      </c>
      <c r="C289" s="131" t="s">
        <v>150</v>
      </c>
      <c r="D289" s="132">
        <v>5000</v>
      </c>
      <c r="E289" s="132">
        <v>0</v>
      </c>
      <c r="F289" s="132">
        <v>3.9550000000000001</v>
      </c>
    </row>
    <row r="290" spans="1:6" x14ac:dyDescent="0.2">
      <c r="A290" s="131" t="s">
        <v>337</v>
      </c>
      <c r="B290" s="131" t="s">
        <v>139</v>
      </c>
      <c r="C290" s="131" t="s">
        <v>197</v>
      </c>
      <c r="D290" s="132">
        <v>5000</v>
      </c>
      <c r="E290" s="132">
        <v>0</v>
      </c>
      <c r="F290" s="132">
        <v>3.9175</v>
      </c>
    </row>
    <row r="291" spans="1:6" x14ac:dyDescent="0.2">
      <c r="A291" s="131" t="s">
        <v>338</v>
      </c>
      <c r="B291" s="131" t="s">
        <v>139</v>
      </c>
      <c r="C291" s="131" t="s">
        <v>140</v>
      </c>
      <c r="D291" s="132">
        <v>0</v>
      </c>
      <c r="E291" s="132">
        <v>10000</v>
      </c>
      <c r="F291" s="132">
        <v>3.7949999999999999</v>
      </c>
    </row>
    <row r="292" spans="1:6" x14ac:dyDescent="0.2">
      <c r="A292" s="131" t="s">
        <v>339</v>
      </c>
      <c r="B292" s="131" t="s">
        <v>158</v>
      </c>
      <c r="C292" s="131" t="s">
        <v>140</v>
      </c>
      <c r="D292" s="132">
        <v>0</v>
      </c>
      <c r="E292" s="132">
        <v>15000</v>
      </c>
      <c r="F292" s="132">
        <v>3.7949999999999999</v>
      </c>
    </row>
    <row r="293" spans="1:6" x14ac:dyDescent="0.2">
      <c r="A293" s="131" t="s">
        <v>340</v>
      </c>
      <c r="B293" s="131" t="s">
        <v>232</v>
      </c>
      <c r="C293" s="131" t="s">
        <v>140</v>
      </c>
      <c r="D293" s="132">
        <v>5000</v>
      </c>
      <c r="E293" s="132">
        <v>0</v>
      </c>
      <c r="F293" s="132">
        <v>3.79</v>
      </c>
    </row>
    <row r="294" spans="1:6" x14ac:dyDescent="0.2">
      <c r="A294" s="131" t="s">
        <v>340</v>
      </c>
      <c r="B294" s="131" t="s">
        <v>167</v>
      </c>
      <c r="C294" s="131" t="s">
        <v>145</v>
      </c>
      <c r="D294" s="132">
        <v>0</v>
      </c>
      <c r="E294" s="132">
        <v>2500</v>
      </c>
      <c r="F294" s="132">
        <v>3.9</v>
      </c>
    </row>
    <row r="295" spans="1:6" x14ac:dyDescent="0.2">
      <c r="A295" s="131" t="s">
        <v>341</v>
      </c>
      <c r="B295" s="131" t="s">
        <v>229</v>
      </c>
      <c r="C295" s="131" t="s">
        <v>150</v>
      </c>
      <c r="D295" s="132">
        <v>0</v>
      </c>
      <c r="E295" s="132">
        <v>5000</v>
      </c>
      <c r="F295" s="132">
        <v>3.96</v>
      </c>
    </row>
    <row r="296" spans="1:6" x14ac:dyDescent="0.2">
      <c r="A296" s="131" t="s">
        <v>342</v>
      </c>
      <c r="B296" s="131" t="s">
        <v>152</v>
      </c>
      <c r="C296" s="131" t="s">
        <v>197</v>
      </c>
      <c r="D296" s="132">
        <v>12500</v>
      </c>
      <c r="E296" s="132">
        <v>0</v>
      </c>
      <c r="F296" s="132">
        <v>3.9224999999999999</v>
      </c>
    </row>
    <row r="297" spans="1:6" x14ac:dyDescent="0.2">
      <c r="A297" s="131" t="s">
        <v>342</v>
      </c>
      <c r="B297" s="131" t="s">
        <v>343</v>
      </c>
      <c r="C297" s="131" t="s">
        <v>140</v>
      </c>
      <c r="D297" s="132">
        <v>2500</v>
      </c>
      <c r="E297" s="132">
        <v>0</v>
      </c>
      <c r="F297" s="132">
        <v>3.79</v>
      </c>
    </row>
    <row r="298" spans="1:6" x14ac:dyDescent="0.2">
      <c r="A298" s="131" t="s">
        <v>344</v>
      </c>
      <c r="B298" s="131" t="s">
        <v>178</v>
      </c>
      <c r="C298" s="131" t="s">
        <v>140</v>
      </c>
      <c r="D298" s="132">
        <v>0</v>
      </c>
      <c r="E298" s="132">
        <v>15000</v>
      </c>
      <c r="F298" s="132">
        <v>3.7949999999999999</v>
      </c>
    </row>
    <row r="299" spans="1:6" x14ac:dyDescent="0.2">
      <c r="A299" s="131" t="s">
        <v>344</v>
      </c>
      <c r="B299" s="131" t="s">
        <v>345</v>
      </c>
      <c r="C299" s="131" t="s">
        <v>140</v>
      </c>
      <c r="D299" s="132">
        <v>15000</v>
      </c>
      <c r="E299" s="132">
        <v>0</v>
      </c>
      <c r="F299" s="132">
        <v>3.7850000000000001</v>
      </c>
    </row>
    <row r="300" spans="1:6" x14ac:dyDescent="0.2">
      <c r="A300" s="131" t="s">
        <v>344</v>
      </c>
      <c r="B300" s="131" t="s">
        <v>346</v>
      </c>
      <c r="C300" s="131" t="s">
        <v>140</v>
      </c>
      <c r="D300" s="132">
        <v>0</v>
      </c>
      <c r="E300" s="132">
        <v>2500</v>
      </c>
      <c r="F300" s="132">
        <v>3.7949999999999999</v>
      </c>
    </row>
    <row r="301" spans="1:6" x14ac:dyDescent="0.2">
      <c r="A301" s="131" t="s">
        <v>347</v>
      </c>
      <c r="B301" s="131" t="s">
        <v>144</v>
      </c>
      <c r="C301" s="131" t="s">
        <v>145</v>
      </c>
      <c r="D301" s="132">
        <v>5000</v>
      </c>
      <c r="E301" s="132">
        <v>0</v>
      </c>
      <c r="F301" s="132">
        <v>3.89</v>
      </c>
    </row>
    <row r="302" spans="1:6" x14ac:dyDescent="0.2">
      <c r="A302" s="131" t="s">
        <v>348</v>
      </c>
      <c r="B302" s="131" t="s">
        <v>343</v>
      </c>
      <c r="C302" s="131" t="s">
        <v>197</v>
      </c>
      <c r="D302" s="132">
        <v>2500</v>
      </c>
      <c r="E302" s="132">
        <v>0</v>
      </c>
      <c r="F302" s="132">
        <v>3.9175</v>
      </c>
    </row>
    <row r="303" spans="1:6" x14ac:dyDescent="0.2">
      <c r="A303" s="131" t="s">
        <v>348</v>
      </c>
      <c r="B303" s="131" t="s">
        <v>343</v>
      </c>
      <c r="C303" s="131" t="s">
        <v>140</v>
      </c>
      <c r="D303" s="132">
        <v>0</v>
      </c>
      <c r="E303" s="132">
        <v>2500</v>
      </c>
      <c r="F303" s="132">
        <v>3.7949999999999999</v>
      </c>
    </row>
    <row r="304" spans="1:6" x14ac:dyDescent="0.2">
      <c r="A304" s="131" t="s">
        <v>349</v>
      </c>
      <c r="B304" s="131" t="s">
        <v>152</v>
      </c>
      <c r="C304" s="131" t="s">
        <v>140</v>
      </c>
      <c r="D304" s="132">
        <v>0</v>
      </c>
      <c r="E304" s="132">
        <v>5000</v>
      </c>
      <c r="F304" s="132">
        <v>3.7949999999999999</v>
      </c>
    </row>
    <row r="305" spans="1:6" x14ac:dyDescent="0.2">
      <c r="A305" s="131" t="s">
        <v>349</v>
      </c>
      <c r="B305" s="131" t="s">
        <v>350</v>
      </c>
      <c r="C305" s="131" t="s">
        <v>140</v>
      </c>
      <c r="D305" s="132">
        <v>5000</v>
      </c>
      <c r="E305" s="132">
        <v>0</v>
      </c>
      <c r="F305" s="132">
        <v>3.7850000000000001</v>
      </c>
    </row>
    <row r="306" spans="1:6" x14ac:dyDescent="0.2">
      <c r="A306" s="131" t="s">
        <v>351</v>
      </c>
      <c r="B306" s="131" t="s">
        <v>220</v>
      </c>
      <c r="C306" s="131" t="s">
        <v>140</v>
      </c>
      <c r="D306" s="132">
        <v>0</v>
      </c>
      <c r="E306" s="132">
        <v>5000</v>
      </c>
      <c r="F306" s="132">
        <v>3.7850000000000001</v>
      </c>
    </row>
    <row r="307" spans="1:6" x14ac:dyDescent="0.2">
      <c r="A307" s="131" t="s">
        <v>351</v>
      </c>
      <c r="B307" s="131" t="s">
        <v>221</v>
      </c>
      <c r="C307" s="131" t="s">
        <v>140</v>
      </c>
      <c r="D307" s="132">
        <v>15000</v>
      </c>
      <c r="E307" s="132">
        <v>0</v>
      </c>
      <c r="F307" s="132">
        <v>3.78</v>
      </c>
    </row>
    <row r="308" spans="1:6" x14ac:dyDescent="0.2">
      <c r="A308" s="131" t="s">
        <v>351</v>
      </c>
      <c r="B308" s="131" t="s">
        <v>352</v>
      </c>
      <c r="C308" s="131" t="s">
        <v>140</v>
      </c>
      <c r="D308" s="132">
        <v>0</v>
      </c>
      <c r="E308" s="132">
        <v>10000</v>
      </c>
      <c r="F308" s="132">
        <v>3.7850000000000001</v>
      </c>
    </row>
    <row r="309" spans="1:6" x14ac:dyDescent="0.2">
      <c r="A309" s="131" t="s">
        <v>353</v>
      </c>
      <c r="B309" s="131" t="s">
        <v>236</v>
      </c>
      <c r="C309" s="131" t="s">
        <v>150</v>
      </c>
      <c r="D309" s="132">
        <v>5000</v>
      </c>
      <c r="E309" s="132">
        <v>0</v>
      </c>
      <c r="F309" s="132">
        <v>3.9550000000000001</v>
      </c>
    </row>
    <row r="310" spans="1:6" x14ac:dyDescent="0.2">
      <c r="A310" s="131" t="s">
        <v>353</v>
      </c>
      <c r="B310" s="131" t="s">
        <v>343</v>
      </c>
      <c r="C310" s="131" t="s">
        <v>164</v>
      </c>
      <c r="D310" s="132">
        <v>2500</v>
      </c>
      <c r="E310" s="132">
        <v>0</v>
      </c>
      <c r="F310" s="132">
        <v>3.8650000000000002</v>
      </c>
    </row>
    <row r="311" spans="1:6" x14ac:dyDescent="0.2">
      <c r="A311" s="131" t="s">
        <v>354</v>
      </c>
      <c r="B311" s="131" t="s">
        <v>178</v>
      </c>
      <c r="C311" s="131" t="s">
        <v>140</v>
      </c>
      <c r="D311" s="132">
        <v>0</v>
      </c>
      <c r="E311" s="132">
        <v>5000</v>
      </c>
      <c r="F311" s="132">
        <v>3.77</v>
      </c>
    </row>
    <row r="312" spans="1:6" x14ac:dyDescent="0.2">
      <c r="A312" s="131" t="s">
        <v>354</v>
      </c>
      <c r="B312" s="131" t="s">
        <v>152</v>
      </c>
      <c r="C312" s="131" t="s">
        <v>301</v>
      </c>
      <c r="D312" s="132">
        <v>20000</v>
      </c>
      <c r="E312" s="132">
        <v>0</v>
      </c>
      <c r="F312" s="132">
        <v>3.7574999999999998</v>
      </c>
    </row>
    <row r="313" spans="1:6" x14ac:dyDescent="0.2">
      <c r="A313" s="131" t="s">
        <v>354</v>
      </c>
      <c r="B313" s="131" t="s">
        <v>152</v>
      </c>
      <c r="C313" s="131" t="s">
        <v>140</v>
      </c>
      <c r="D313" s="132">
        <v>0</v>
      </c>
      <c r="E313" s="132">
        <v>2500</v>
      </c>
      <c r="F313" s="132">
        <v>3.77</v>
      </c>
    </row>
    <row r="314" spans="1:6" x14ac:dyDescent="0.2">
      <c r="A314" s="131" t="s">
        <v>354</v>
      </c>
      <c r="B314" s="131" t="s">
        <v>292</v>
      </c>
      <c r="C314" s="131" t="s">
        <v>140</v>
      </c>
      <c r="D314" s="132">
        <v>17500</v>
      </c>
      <c r="E314" s="132">
        <v>0</v>
      </c>
      <c r="F314" s="132">
        <v>3.7749999999999999</v>
      </c>
    </row>
    <row r="315" spans="1:6" x14ac:dyDescent="0.2">
      <c r="A315" s="131" t="s">
        <v>354</v>
      </c>
      <c r="B315" s="131" t="s">
        <v>220</v>
      </c>
      <c r="C315" s="131" t="s">
        <v>140</v>
      </c>
      <c r="D315" s="132">
        <v>0</v>
      </c>
      <c r="E315" s="132">
        <v>2500</v>
      </c>
      <c r="F315" s="132">
        <v>3.78</v>
      </c>
    </row>
    <row r="316" spans="1:6" x14ac:dyDescent="0.2">
      <c r="A316" s="131" t="s">
        <v>354</v>
      </c>
      <c r="B316" s="131" t="s">
        <v>220</v>
      </c>
      <c r="C316" s="131" t="s">
        <v>140</v>
      </c>
      <c r="D316" s="132">
        <v>0</v>
      </c>
      <c r="E316" s="132">
        <v>5000</v>
      </c>
      <c r="F316" s="132">
        <v>3.77</v>
      </c>
    </row>
    <row r="317" spans="1:6" x14ac:dyDescent="0.2">
      <c r="A317" s="131" t="s">
        <v>354</v>
      </c>
      <c r="B317" s="131" t="s">
        <v>236</v>
      </c>
      <c r="C317" s="131" t="s">
        <v>150</v>
      </c>
      <c r="D317" s="132">
        <v>5000</v>
      </c>
      <c r="E317" s="132">
        <v>0</v>
      </c>
      <c r="F317" s="132">
        <v>3.95</v>
      </c>
    </row>
    <row r="318" spans="1:6" x14ac:dyDescent="0.2">
      <c r="A318" s="131" t="s">
        <v>354</v>
      </c>
      <c r="B318" s="131" t="s">
        <v>296</v>
      </c>
      <c r="C318" s="131" t="s">
        <v>140</v>
      </c>
      <c r="D318" s="132">
        <v>20000</v>
      </c>
      <c r="E318" s="132">
        <v>0</v>
      </c>
      <c r="F318" s="132">
        <v>3.77</v>
      </c>
    </row>
    <row r="319" spans="1:6" x14ac:dyDescent="0.2">
      <c r="A319" s="131" t="s">
        <v>355</v>
      </c>
      <c r="B319" s="131" t="s">
        <v>167</v>
      </c>
      <c r="C319" s="131" t="s">
        <v>140</v>
      </c>
      <c r="D319" s="132">
        <v>0</v>
      </c>
      <c r="E319" s="132">
        <v>5000</v>
      </c>
      <c r="F319" s="132">
        <v>3.7749999999999999</v>
      </c>
    </row>
    <row r="320" spans="1:6" x14ac:dyDescent="0.2">
      <c r="A320" s="131" t="s">
        <v>355</v>
      </c>
      <c r="B320" s="131" t="s">
        <v>144</v>
      </c>
      <c r="C320" s="131" t="s">
        <v>145</v>
      </c>
      <c r="D320" s="132">
        <v>0</v>
      </c>
      <c r="E320" s="132">
        <v>5000</v>
      </c>
      <c r="F320" s="132">
        <v>3.88</v>
      </c>
    </row>
    <row r="321" spans="1:6" x14ac:dyDescent="0.2">
      <c r="A321" s="131" t="s">
        <v>356</v>
      </c>
      <c r="B321" s="131" t="s">
        <v>156</v>
      </c>
      <c r="C321" s="131" t="s">
        <v>140</v>
      </c>
      <c r="D321" s="132">
        <v>0</v>
      </c>
      <c r="E321" s="132">
        <v>15000</v>
      </c>
      <c r="F321" s="132">
        <v>3.7749999999999999</v>
      </c>
    </row>
    <row r="322" spans="1:6" x14ac:dyDescent="0.2">
      <c r="A322" s="131" t="s">
        <v>357</v>
      </c>
      <c r="B322" s="131" t="s">
        <v>169</v>
      </c>
      <c r="C322" s="131" t="s">
        <v>140</v>
      </c>
      <c r="D322" s="132">
        <v>0</v>
      </c>
      <c r="E322" s="132">
        <v>5000</v>
      </c>
      <c r="F322" s="132">
        <v>3.78</v>
      </c>
    </row>
    <row r="323" spans="1:6" x14ac:dyDescent="0.2">
      <c r="A323" s="131" t="s">
        <v>358</v>
      </c>
      <c r="B323" s="131" t="s">
        <v>167</v>
      </c>
      <c r="C323" s="131" t="s">
        <v>140</v>
      </c>
      <c r="D323" s="132">
        <v>2500</v>
      </c>
      <c r="E323" s="132">
        <v>0</v>
      </c>
      <c r="F323" s="132">
        <v>3.77</v>
      </c>
    </row>
    <row r="324" spans="1:6" x14ac:dyDescent="0.2">
      <c r="A324" s="131" t="s">
        <v>358</v>
      </c>
      <c r="B324" s="131" t="s">
        <v>220</v>
      </c>
      <c r="C324" s="131" t="s">
        <v>140</v>
      </c>
      <c r="D324" s="132">
        <v>0</v>
      </c>
      <c r="E324" s="132">
        <v>5000</v>
      </c>
      <c r="F324" s="132">
        <v>3.7749999999999999</v>
      </c>
    </row>
    <row r="325" spans="1:6" x14ac:dyDescent="0.2">
      <c r="A325" s="131" t="s">
        <v>358</v>
      </c>
      <c r="B325" s="131" t="s">
        <v>183</v>
      </c>
      <c r="C325" s="131" t="s">
        <v>140</v>
      </c>
      <c r="D325" s="132">
        <v>15000</v>
      </c>
      <c r="E325" s="132">
        <v>0</v>
      </c>
      <c r="F325" s="132">
        <v>3.77</v>
      </c>
    </row>
    <row r="326" spans="1:6" x14ac:dyDescent="0.2">
      <c r="A326" s="131" t="s">
        <v>358</v>
      </c>
      <c r="B326" s="131" t="s">
        <v>204</v>
      </c>
      <c r="C326" s="131" t="s">
        <v>145</v>
      </c>
      <c r="D326" s="132">
        <v>5000</v>
      </c>
      <c r="E326" s="132">
        <v>0</v>
      </c>
      <c r="F326" s="132">
        <v>3.875</v>
      </c>
    </row>
    <row r="327" spans="1:6" x14ac:dyDescent="0.2">
      <c r="A327" s="131" t="s">
        <v>358</v>
      </c>
      <c r="B327" s="131" t="s">
        <v>359</v>
      </c>
      <c r="C327" s="131" t="s">
        <v>140</v>
      </c>
      <c r="D327" s="132">
        <v>2500</v>
      </c>
      <c r="E327" s="132">
        <v>0</v>
      </c>
      <c r="F327" s="132">
        <v>3.77</v>
      </c>
    </row>
    <row r="328" spans="1:6" x14ac:dyDescent="0.2">
      <c r="A328" s="131" t="s">
        <v>360</v>
      </c>
      <c r="B328" s="131" t="s">
        <v>220</v>
      </c>
      <c r="C328" s="131" t="s">
        <v>154</v>
      </c>
      <c r="D328" s="132">
        <v>0</v>
      </c>
      <c r="E328" s="132">
        <v>5000</v>
      </c>
      <c r="F328" s="132">
        <v>4.2549999999999999</v>
      </c>
    </row>
    <row r="329" spans="1:6" x14ac:dyDescent="0.2">
      <c r="A329" s="131" t="s">
        <v>360</v>
      </c>
      <c r="B329" s="131" t="s">
        <v>208</v>
      </c>
      <c r="C329" s="131" t="s">
        <v>145</v>
      </c>
      <c r="D329" s="132">
        <v>5000</v>
      </c>
      <c r="E329" s="132">
        <v>0</v>
      </c>
      <c r="F329" s="132">
        <v>3.87</v>
      </c>
    </row>
    <row r="330" spans="1:6" x14ac:dyDescent="0.2">
      <c r="A330" s="131" t="s">
        <v>361</v>
      </c>
      <c r="B330" s="131" t="s">
        <v>202</v>
      </c>
      <c r="C330" s="131" t="s">
        <v>150</v>
      </c>
      <c r="D330" s="132">
        <v>5000</v>
      </c>
      <c r="E330" s="132">
        <v>0</v>
      </c>
      <c r="F330" s="132">
        <v>3.9449999999999998</v>
      </c>
    </row>
    <row r="331" spans="1:6" x14ac:dyDescent="0.2">
      <c r="A331" s="131" t="s">
        <v>361</v>
      </c>
      <c r="B331" s="131" t="s">
        <v>202</v>
      </c>
      <c r="C331" s="131" t="s">
        <v>150</v>
      </c>
      <c r="D331" s="132">
        <v>5000</v>
      </c>
      <c r="E331" s="132">
        <v>0</v>
      </c>
      <c r="F331" s="132">
        <v>3.94</v>
      </c>
    </row>
    <row r="332" spans="1:6" x14ac:dyDescent="0.2">
      <c r="A332" s="131" t="s">
        <v>361</v>
      </c>
      <c r="B332" s="131" t="s">
        <v>362</v>
      </c>
      <c r="C332" s="131" t="s">
        <v>140</v>
      </c>
      <c r="D332" s="132">
        <v>10000</v>
      </c>
      <c r="E332" s="132">
        <v>0</v>
      </c>
      <c r="F332" s="132">
        <v>3.7650000000000001</v>
      </c>
    </row>
    <row r="333" spans="1:6" x14ac:dyDescent="0.2">
      <c r="A333" s="131" t="s">
        <v>361</v>
      </c>
      <c r="B333" s="131" t="s">
        <v>139</v>
      </c>
      <c r="C333" s="131" t="s">
        <v>197</v>
      </c>
      <c r="D333" s="132">
        <v>2500</v>
      </c>
      <c r="E333" s="132">
        <v>0</v>
      </c>
      <c r="F333" s="132">
        <v>3.8925000000000001</v>
      </c>
    </row>
    <row r="334" spans="1:6" x14ac:dyDescent="0.2">
      <c r="A334" s="131" t="s">
        <v>361</v>
      </c>
      <c r="B334" s="131" t="s">
        <v>183</v>
      </c>
      <c r="C334" s="131" t="s">
        <v>140</v>
      </c>
      <c r="D334" s="132">
        <v>10000</v>
      </c>
      <c r="E334" s="132">
        <v>0</v>
      </c>
      <c r="F334" s="132">
        <v>3.7650000000000001</v>
      </c>
    </row>
    <row r="335" spans="1:6" x14ac:dyDescent="0.2">
      <c r="A335" s="131" t="s">
        <v>361</v>
      </c>
      <c r="B335" s="131" t="s">
        <v>204</v>
      </c>
      <c r="C335" s="131" t="s">
        <v>145</v>
      </c>
      <c r="D335" s="132">
        <v>5000</v>
      </c>
      <c r="E335" s="132">
        <v>0</v>
      </c>
      <c r="F335" s="132">
        <v>3.8650000000000002</v>
      </c>
    </row>
    <row r="336" spans="1:6" x14ac:dyDescent="0.2">
      <c r="A336" s="131" t="s">
        <v>363</v>
      </c>
      <c r="B336" s="131" t="s">
        <v>178</v>
      </c>
      <c r="C336" s="131" t="s">
        <v>140</v>
      </c>
      <c r="D336" s="132">
        <v>15000</v>
      </c>
      <c r="E336" s="132">
        <v>0</v>
      </c>
      <c r="F336" s="132">
        <v>3.76</v>
      </c>
    </row>
    <row r="337" spans="1:6" x14ac:dyDescent="0.2">
      <c r="A337" s="131" t="s">
        <v>363</v>
      </c>
      <c r="B337" s="131" t="s">
        <v>152</v>
      </c>
      <c r="C337" s="131" t="s">
        <v>140</v>
      </c>
      <c r="D337" s="132">
        <v>0</v>
      </c>
      <c r="E337" s="132">
        <v>2500</v>
      </c>
      <c r="F337" s="132">
        <v>3.77</v>
      </c>
    </row>
    <row r="338" spans="1:6" x14ac:dyDescent="0.2">
      <c r="A338" s="131" t="s">
        <v>363</v>
      </c>
      <c r="B338" s="131" t="s">
        <v>167</v>
      </c>
      <c r="C338" s="131" t="s">
        <v>140</v>
      </c>
      <c r="D338" s="132">
        <v>0</v>
      </c>
      <c r="E338" s="132">
        <v>5000</v>
      </c>
      <c r="F338" s="132">
        <v>3.77</v>
      </c>
    </row>
    <row r="339" spans="1:6" x14ac:dyDescent="0.2">
      <c r="A339" s="131" t="s">
        <v>363</v>
      </c>
      <c r="B339" s="131" t="s">
        <v>220</v>
      </c>
      <c r="C339" s="131" t="s">
        <v>140</v>
      </c>
      <c r="D339" s="132">
        <v>0</v>
      </c>
      <c r="E339" s="132">
        <v>2500</v>
      </c>
      <c r="F339" s="132">
        <v>3.77</v>
      </c>
    </row>
    <row r="340" spans="1:6" x14ac:dyDescent="0.2">
      <c r="A340" s="131" t="s">
        <v>364</v>
      </c>
      <c r="B340" s="131" t="s">
        <v>178</v>
      </c>
      <c r="C340" s="131" t="s">
        <v>140</v>
      </c>
      <c r="D340" s="132">
        <v>2500</v>
      </c>
      <c r="E340" s="132">
        <v>0</v>
      </c>
      <c r="F340" s="132">
        <v>3.7650000000000001</v>
      </c>
    </row>
    <row r="341" spans="1:6" x14ac:dyDescent="0.2">
      <c r="A341" s="131" t="s">
        <v>365</v>
      </c>
      <c r="B341" s="131" t="s">
        <v>217</v>
      </c>
      <c r="C341" s="131" t="s">
        <v>164</v>
      </c>
      <c r="D341" s="132">
        <v>0</v>
      </c>
      <c r="E341" s="132">
        <v>10000</v>
      </c>
      <c r="F341" s="132">
        <v>3.86</v>
      </c>
    </row>
    <row r="342" spans="1:6" x14ac:dyDescent="0.2">
      <c r="A342" s="131" t="s">
        <v>365</v>
      </c>
      <c r="B342" s="131" t="s">
        <v>366</v>
      </c>
      <c r="C342" s="131" t="s">
        <v>140</v>
      </c>
      <c r="D342" s="132">
        <v>0</v>
      </c>
      <c r="E342" s="132">
        <v>10000</v>
      </c>
      <c r="F342" s="132">
        <v>3.7650000000000001</v>
      </c>
    </row>
    <row r="343" spans="1:6" x14ac:dyDescent="0.2">
      <c r="A343" s="131" t="s">
        <v>365</v>
      </c>
      <c r="B343" s="131" t="s">
        <v>366</v>
      </c>
      <c r="C343" s="131" t="s">
        <v>140</v>
      </c>
      <c r="D343" s="132">
        <v>0</v>
      </c>
      <c r="E343" s="132">
        <v>10000</v>
      </c>
      <c r="F343" s="132">
        <v>3.7650000000000001</v>
      </c>
    </row>
    <row r="344" spans="1:6" x14ac:dyDescent="0.2">
      <c r="A344" s="131" t="s">
        <v>365</v>
      </c>
      <c r="B344" s="131" t="s">
        <v>333</v>
      </c>
      <c r="C344" s="131" t="s">
        <v>140</v>
      </c>
      <c r="D344" s="132">
        <v>20000</v>
      </c>
      <c r="E344" s="132">
        <v>0</v>
      </c>
      <c r="F344" s="132">
        <v>3.76</v>
      </c>
    </row>
    <row r="345" spans="1:6" x14ac:dyDescent="0.2">
      <c r="A345" s="131" t="s">
        <v>365</v>
      </c>
      <c r="B345" s="131" t="s">
        <v>191</v>
      </c>
      <c r="C345" s="131" t="s">
        <v>140</v>
      </c>
      <c r="D345" s="132">
        <v>20000</v>
      </c>
      <c r="E345" s="132">
        <v>0</v>
      </c>
      <c r="F345" s="132">
        <v>3.76</v>
      </c>
    </row>
    <row r="346" spans="1:6" x14ac:dyDescent="0.2">
      <c r="A346" s="131" t="s">
        <v>365</v>
      </c>
      <c r="B346" s="131" t="s">
        <v>175</v>
      </c>
      <c r="C346" s="131" t="s">
        <v>197</v>
      </c>
      <c r="D346" s="132">
        <v>10000</v>
      </c>
      <c r="E346" s="132">
        <v>0</v>
      </c>
      <c r="F346" s="132">
        <v>3.8875000000000002</v>
      </c>
    </row>
    <row r="347" spans="1:6" x14ac:dyDescent="0.2">
      <c r="A347" s="131" t="s">
        <v>367</v>
      </c>
      <c r="B347" s="131" t="s">
        <v>178</v>
      </c>
      <c r="C347" s="131" t="s">
        <v>140</v>
      </c>
      <c r="D347" s="132">
        <v>0</v>
      </c>
      <c r="E347" s="132">
        <v>10000</v>
      </c>
      <c r="F347" s="132">
        <v>3.76</v>
      </c>
    </row>
    <row r="348" spans="1:6" x14ac:dyDescent="0.2">
      <c r="A348" s="131" t="s">
        <v>367</v>
      </c>
      <c r="B348" s="131" t="s">
        <v>220</v>
      </c>
      <c r="C348" s="131" t="s">
        <v>140</v>
      </c>
      <c r="D348" s="132">
        <v>0</v>
      </c>
      <c r="E348" s="132">
        <v>5000</v>
      </c>
      <c r="F348" s="132">
        <v>3.7650000000000001</v>
      </c>
    </row>
    <row r="349" spans="1:6" x14ac:dyDescent="0.2">
      <c r="A349" s="131" t="s">
        <v>367</v>
      </c>
      <c r="B349" s="131" t="s">
        <v>220</v>
      </c>
      <c r="C349" s="131" t="s">
        <v>154</v>
      </c>
      <c r="D349" s="132">
        <v>0</v>
      </c>
      <c r="E349" s="132">
        <v>5000</v>
      </c>
      <c r="F349" s="132">
        <v>4.25</v>
      </c>
    </row>
    <row r="350" spans="1:6" x14ac:dyDescent="0.2">
      <c r="A350" s="131" t="s">
        <v>367</v>
      </c>
      <c r="B350" s="131" t="s">
        <v>366</v>
      </c>
      <c r="C350" s="131" t="s">
        <v>140</v>
      </c>
      <c r="D350" s="132">
        <v>0</v>
      </c>
      <c r="E350" s="132">
        <v>10000</v>
      </c>
      <c r="F350" s="132">
        <v>3.76</v>
      </c>
    </row>
    <row r="351" spans="1:6" x14ac:dyDescent="0.2">
      <c r="A351" s="131" t="s">
        <v>367</v>
      </c>
      <c r="B351" s="131" t="s">
        <v>204</v>
      </c>
      <c r="C351" s="131" t="s">
        <v>164</v>
      </c>
      <c r="D351" s="132">
        <v>10000</v>
      </c>
      <c r="E351" s="132">
        <v>0</v>
      </c>
      <c r="F351" s="132">
        <v>3.8450000000000002</v>
      </c>
    </row>
    <row r="352" spans="1:6" x14ac:dyDescent="0.2">
      <c r="A352" s="131" t="s">
        <v>367</v>
      </c>
      <c r="B352" s="131" t="s">
        <v>368</v>
      </c>
      <c r="C352" s="131" t="s">
        <v>140</v>
      </c>
      <c r="D352" s="132">
        <v>0</v>
      </c>
      <c r="E352" s="132">
        <v>15000</v>
      </c>
      <c r="F352" s="132">
        <v>3.7650000000000001</v>
      </c>
    </row>
    <row r="353" spans="1:6" x14ac:dyDescent="0.2">
      <c r="A353" s="131" t="s">
        <v>367</v>
      </c>
      <c r="B353" s="131" t="s">
        <v>191</v>
      </c>
      <c r="C353" s="131" t="s">
        <v>140</v>
      </c>
      <c r="D353" s="132">
        <v>20000</v>
      </c>
      <c r="E353" s="132">
        <v>0</v>
      </c>
      <c r="F353" s="132">
        <v>3.7549999999999999</v>
      </c>
    </row>
    <row r="354" spans="1:6" x14ac:dyDescent="0.2">
      <c r="A354" s="131" t="s">
        <v>369</v>
      </c>
      <c r="B354" s="131" t="s">
        <v>149</v>
      </c>
      <c r="C354" s="131" t="s">
        <v>150</v>
      </c>
      <c r="D354" s="132">
        <v>0</v>
      </c>
      <c r="E354" s="132">
        <v>5000</v>
      </c>
      <c r="F354" s="132">
        <v>3.9449999999999998</v>
      </c>
    </row>
    <row r="355" spans="1:6" x14ac:dyDescent="0.2">
      <c r="A355" s="131" t="s">
        <v>370</v>
      </c>
      <c r="B355" s="131" t="s">
        <v>371</v>
      </c>
      <c r="C355" s="131" t="s">
        <v>150</v>
      </c>
      <c r="D355" s="132">
        <v>5000</v>
      </c>
      <c r="E355" s="132">
        <v>0</v>
      </c>
      <c r="F355" s="132">
        <v>3.9350000000000001</v>
      </c>
    </row>
    <row r="356" spans="1:6" x14ac:dyDescent="0.2">
      <c r="A356" s="131" t="s">
        <v>370</v>
      </c>
      <c r="B356" s="131" t="s">
        <v>371</v>
      </c>
      <c r="C356" s="131" t="s">
        <v>150</v>
      </c>
      <c r="D356" s="132">
        <v>5000</v>
      </c>
      <c r="E356" s="132">
        <v>0</v>
      </c>
      <c r="F356" s="132">
        <v>3.9350000000000001</v>
      </c>
    </row>
    <row r="357" spans="1:6" x14ac:dyDescent="0.2">
      <c r="A357" s="131" t="s">
        <v>372</v>
      </c>
      <c r="B357" s="131" t="s">
        <v>232</v>
      </c>
      <c r="C357" s="131" t="s">
        <v>140</v>
      </c>
      <c r="D357" s="132">
        <v>0</v>
      </c>
      <c r="E357" s="132">
        <v>5000</v>
      </c>
      <c r="F357" s="132">
        <v>3.76</v>
      </c>
    </row>
    <row r="358" spans="1:6" x14ac:dyDescent="0.2">
      <c r="A358" s="131" t="s">
        <v>372</v>
      </c>
      <c r="B358" s="131" t="s">
        <v>220</v>
      </c>
      <c r="C358" s="131" t="s">
        <v>154</v>
      </c>
      <c r="D358" s="132">
        <v>0</v>
      </c>
      <c r="E358" s="132">
        <v>5000</v>
      </c>
      <c r="F358" s="132">
        <v>4.25</v>
      </c>
    </row>
    <row r="359" spans="1:6" x14ac:dyDescent="0.2">
      <c r="A359" s="131" t="s">
        <v>372</v>
      </c>
      <c r="B359" s="131" t="s">
        <v>366</v>
      </c>
      <c r="C359" s="131" t="s">
        <v>140</v>
      </c>
      <c r="D359" s="132">
        <v>0</v>
      </c>
      <c r="E359" s="132">
        <v>10000</v>
      </c>
      <c r="F359" s="132">
        <v>3.76</v>
      </c>
    </row>
    <row r="360" spans="1:6" x14ac:dyDescent="0.2">
      <c r="A360" s="131" t="s">
        <v>372</v>
      </c>
      <c r="B360" s="131" t="s">
        <v>204</v>
      </c>
      <c r="C360" s="131" t="s">
        <v>164</v>
      </c>
      <c r="D360" s="132">
        <v>10000</v>
      </c>
      <c r="E360" s="132">
        <v>0</v>
      </c>
      <c r="F360" s="132">
        <v>3.85</v>
      </c>
    </row>
    <row r="361" spans="1:6" x14ac:dyDescent="0.2">
      <c r="A361" s="131" t="s">
        <v>372</v>
      </c>
      <c r="B361" s="131" t="s">
        <v>371</v>
      </c>
      <c r="C361" s="131" t="s">
        <v>150</v>
      </c>
      <c r="D361" s="132">
        <v>5000</v>
      </c>
      <c r="E361" s="132">
        <v>0</v>
      </c>
      <c r="F361" s="132">
        <v>3.9350000000000001</v>
      </c>
    </row>
    <row r="362" spans="1:6" x14ac:dyDescent="0.2">
      <c r="A362" s="131" t="s">
        <v>372</v>
      </c>
      <c r="B362" s="131" t="s">
        <v>156</v>
      </c>
      <c r="C362" s="131" t="s">
        <v>140</v>
      </c>
      <c r="D362" s="132">
        <v>20000</v>
      </c>
      <c r="E362" s="132">
        <v>0</v>
      </c>
      <c r="F362" s="132">
        <v>3.7549999999999999</v>
      </c>
    </row>
    <row r="363" spans="1:6" x14ac:dyDescent="0.2">
      <c r="A363" s="131" t="s">
        <v>373</v>
      </c>
      <c r="B363" s="131" t="s">
        <v>183</v>
      </c>
      <c r="C363" s="131" t="s">
        <v>374</v>
      </c>
      <c r="D363" s="132">
        <v>150</v>
      </c>
      <c r="E363" s="132">
        <v>0</v>
      </c>
      <c r="F363" s="132">
        <v>3.8450000000000002</v>
      </c>
    </row>
    <row r="364" spans="1:6" x14ac:dyDescent="0.2">
      <c r="A364" s="131" t="s">
        <v>373</v>
      </c>
      <c r="B364" s="131" t="s">
        <v>183</v>
      </c>
      <c r="C364" s="131" t="s">
        <v>375</v>
      </c>
      <c r="D364" s="132">
        <v>0</v>
      </c>
      <c r="E364" s="132">
        <v>150</v>
      </c>
      <c r="F364" s="132">
        <v>3.89</v>
      </c>
    </row>
    <row r="365" spans="1:6" x14ac:dyDescent="0.2">
      <c r="A365" s="131" t="s">
        <v>373</v>
      </c>
      <c r="B365" s="131" t="s">
        <v>183</v>
      </c>
      <c r="C365" s="131" t="s">
        <v>374</v>
      </c>
      <c r="D365" s="132">
        <v>50</v>
      </c>
      <c r="E365" s="132">
        <v>0</v>
      </c>
      <c r="F365" s="132">
        <v>3.8450000000000002</v>
      </c>
    </row>
    <row r="366" spans="1:6" x14ac:dyDescent="0.2">
      <c r="A366" s="131" t="s">
        <v>373</v>
      </c>
      <c r="B366" s="131" t="s">
        <v>183</v>
      </c>
      <c r="C366" s="131" t="s">
        <v>375</v>
      </c>
      <c r="D366" s="132">
        <v>0</v>
      </c>
      <c r="E366" s="132">
        <v>50</v>
      </c>
      <c r="F366" s="132">
        <v>3.891</v>
      </c>
    </row>
    <row r="367" spans="1:6" x14ac:dyDescent="0.2">
      <c r="A367" s="131" t="s">
        <v>373</v>
      </c>
      <c r="B367" s="131" t="s">
        <v>331</v>
      </c>
      <c r="C367" s="131" t="s">
        <v>145</v>
      </c>
      <c r="D367" s="132">
        <v>5000</v>
      </c>
      <c r="E367" s="132">
        <v>0</v>
      </c>
      <c r="F367" s="132">
        <v>3.86</v>
      </c>
    </row>
    <row r="368" spans="1:6" x14ac:dyDescent="0.2">
      <c r="A368" s="131" t="s">
        <v>373</v>
      </c>
      <c r="B368" s="131" t="s">
        <v>371</v>
      </c>
      <c r="C368" s="131" t="s">
        <v>150</v>
      </c>
      <c r="D368" s="132">
        <v>5000</v>
      </c>
      <c r="E368" s="132">
        <v>0</v>
      </c>
      <c r="F368" s="132">
        <v>3.93</v>
      </c>
    </row>
    <row r="369" spans="1:6" x14ac:dyDescent="0.2">
      <c r="A369" s="131" t="s">
        <v>376</v>
      </c>
      <c r="B369" s="131" t="s">
        <v>377</v>
      </c>
      <c r="C369" s="131" t="s">
        <v>140</v>
      </c>
      <c r="D369" s="132">
        <v>2500</v>
      </c>
      <c r="E369" s="132">
        <v>0</v>
      </c>
      <c r="F369" s="132">
        <v>3.75</v>
      </c>
    </row>
    <row r="370" spans="1:6" x14ac:dyDescent="0.2">
      <c r="A370" s="131" t="s">
        <v>376</v>
      </c>
      <c r="B370" s="131" t="s">
        <v>226</v>
      </c>
      <c r="C370" s="131" t="s">
        <v>140</v>
      </c>
      <c r="D370" s="132">
        <v>5000</v>
      </c>
      <c r="E370" s="132">
        <v>0</v>
      </c>
      <c r="F370" s="132">
        <v>3.75</v>
      </c>
    </row>
    <row r="371" spans="1:6" x14ac:dyDescent="0.2">
      <c r="A371" s="131" t="s">
        <v>376</v>
      </c>
      <c r="B371" s="131" t="s">
        <v>149</v>
      </c>
      <c r="C371" s="131" t="s">
        <v>164</v>
      </c>
      <c r="D371" s="132">
        <v>10000</v>
      </c>
      <c r="E371" s="132">
        <v>0</v>
      </c>
      <c r="F371" s="132">
        <v>3.84</v>
      </c>
    </row>
    <row r="372" spans="1:6" x14ac:dyDescent="0.2">
      <c r="A372" s="131" t="s">
        <v>378</v>
      </c>
      <c r="B372" s="131" t="s">
        <v>178</v>
      </c>
      <c r="C372" s="131" t="s">
        <v>140</v>
      </c>
      <c r="D372" s="132">
        <v>0</v>
      </c>
      <c r="E372" s="132">
        <v>2500</v>
      </c>
      <c r="F372" s="132">
        <v>3.76</v>
      </c>
    </row>
    <row r="373" spans="1:6" x14ac:dyDescent="0.2">
      <c r="A373" s="131" t="s">
        <v>379</v>
      </c>
      <c r="B373" s="131" t="s">
        <v>158</v>
      </c>
      <c r="C373" s="131" t="s">
        <v>140</v>
      </c>
      <c r="D373" s="132">
        <v>20000</v>
      </c>
      <c r="E373" s="132">
        <v>0</v>
      </c>
      <c r="F373" s="132">
        <v>3.7549999999999999</v>
      </c>
    </row>
    <row r="374" spans="1:6" x14ac:dyDescent="0.2">
      <c r="A374" s="131" t="s">
        <v>379</v>
      </c>
      <c r="B374" s="131" t="s">
        <v>217</v>
      </c>
      <c r="C374" s="131" t="s">
        <v>154</v>
      </c>
      <c r="D374" s="132">
        <v>0</v>
      </c>
      <c r="E374" s="132">
        <v>5000</v>
      </c>
      <c r="F374" s="132">
        <v>4.24</v>
      </c>
    </row>
    <row r="375" spans="1:6" x14ac:dyDescent="0.2">
      <c r="A375" s="131" t="s">
        <v>379</v>
      </c>
      <c r="B375" s="131" t="s">
        <v>366</v>
      </c>
      <c r="C375" s="131" t="s">
        <v>140</v>
      </c>
      <c r="D375" s="132">
        <v>0</v>
      </c>
      <c r="E375" s="132">
        <v>17500</v>
      </c>
      <c r="F375" s="132">
        <v>3.7549999999999999</v>
      </c>
    </row>
    <row r="376" spans="1:6" x14ac:dyDescent="0.2">
      <c r="A376" s="131" t="s">
        <v>379</v>
      </c>
      <c r="B376" s="131" t="s">
        <v>380</v>
      </c>
      <c r="C376" s="131" t="s">
        <v>140</v>
      </c>
      <c r="D376" s="132">
        <v>17500</v>
      </c>
      <c r="E376" s="132">
        <v>0</v>
      </c>
      <c r="F376" s="132">
        <v>3.75</v>
      </c>
    </row>
    <row r="377" spans="1:6" x14ac:dyDescent="0.2">
      <c r="A377" s="131" t="s">
        <v>379</v>
      </c>
      <c r="B377" s="131" t="s">
        <v>346</v>
      </c>
      <c r="C377" s="131" t="s">
        <v>140</v>
      </c>
      <c r="D377" s="132">
        <v>0</v>
      </c>
      <c r="E377" s="132">
        <v>2500</v>
      </c>
      <c r="F377" s="132">
        <v>3.76</v>
      </c>
    </row>
    <row r="378" spans="1:6" x14ac:dyDescent="0.2">
      <c r="A378" s="131" t="s">
        <v>379</v>
      </c>
      <c r="B378" s="131" t="s">
        <v>331</v>
      </c>
      <c r="C378" s="131" t="s">
        <v>140</v>
      </c>
      <c r="D378" s="132">
        <v>0</v>
      </c>
      <c r="E378" s="132">
        <v>20000</v>
      </c>
      <c r="F378" s="132">
        <v>3.76</v>
      </c>
    </row>
    <row r="379" spans="1:6" x14ac:dyDescent="0.2">
      <c r="A379" s="131" t="s">
        <v>379</v>
      </c>
      <c r="B379" s="131" t="s">
        <v>156</v>
      </c>
      <c r="C379" s="131" t="s">
        <v>145</v>
      </c>
      <c r="D379" s="132">
        <v>5000</v>
      </c>
      <c r="E379" s="132">
        <v>0</v>
      </c>
      <c r="F379" s="132">
        <v>3.855</v>
      </c>
    </row>
    <row r="380" spans="1:6" x14ac:dyDescent="0.2">
      <c r="A380" s="131" t="s">
        <v>379</v>
      </c>
      <c r="B380" s="131" t="s">
        <v>156</v>
      </c>
      <c r="C380" s="131" t="s">
        <v>154</v>
      </c>
      <c r="D380" s="132">
        <v>5000</v>
      </c>
      <c r="E380" s="132">
        <v>0</v>
      </c>
      <c r="F380" s="132">
        <v>4.2350000000000003</v>
      </c>
    </row>
    <row r="381" spans="1:6" x14ac:dyDescent="0.2">
      <c r="A381" s="131" t="s">
        <v>381</v>
      </c>
      <c r="B381" s="131" t="s">
        <v>368</v>
      </c>
      <c r="C381" s="131" t="s">
        <v>140</v>
      </c>
      <c r="D381" s="132">
        <v>0</v>
      </c>
      <c r="E381" s="132">
        <v>10000</v>
      </c>
      <c r="F381" s="132">
        <v>3.76</v>
      </c>
    </row>
    <row r="382" spans="1:6" x14ac:dyDescent="0.2">
      <c r="A382" s="131" t="s">
        <v>382</v>
      </c>
      <c r="B382" s="131" t="s">
        <v>220</v>
      </c>
      <c r="C382" s="131" t="s">
        <v>140</v>
      </c>
      <c r="D382" s="132">
        <v>20000</v>
      </c>
      <c r="E382" s="132">
        <v>0</v>
      </c>
      <c r="F382" s="132">
        <v>3.7549999999999999</v>
      </c>
    </row>
    <row r="383" spans="1:6" x14ac:dyDescent="0.2">
      <c r="A383" s="131" t="s">
        <v>382</v>
      </c>
      <c r="B383" s="131" t="s">
        <v>220</v>
      </c>
      <c r="C383" s="131" t="s">
        <v>154</v>
      </c>
      <c r="D383" s="132">
        <v>0</v>
      </c>
      <c r="E383" s="132">
        <v>5000</v>
      </c>
      <c r="F383" s="132">
        <v>4.2450000000000001</v>
      </c>
    </row>
    <row r="384" spans="1:6" x14ac:dyDescent="0.2">
      <c r="A384" s="131" t="s">
        <v>382</v>
      </c>
      <c r="B384" s="131" t="s">
        <v>217</v>
      </c>
      <c r="C384" s="131" t="s">
        <v>140</v>
      </c>
      <c r="D384" s="132">
        <v>0</v>
      </c>
      <c r="E384" s="132">
        <v>7500</v>
      </c>
      <c r="F384" s="132">
        <v>3.76</v>
      </c>
    </row>
    <row r="385" spans="1:6" x14ac:dyDescent="0.2">
      <c r="A385" s="131" t="s">
        <v>382</v>
      </c>
      <c r="B385" s="131" t="s">
        <v>368</v>
      </c>
      <c r="C385" s="131" t="s">
        <v>140</v>
      </c>
      <c r="D385" s="132">
        <v>0</v>
      </c>
      <c r="E385" s="132">
        <v>20000</v>
      </c>
      <c r="F385" s="132">
        <v>3.76</v>
      </c>
    </row>
    <row r="386" spans="1:6" x14ac:dyDescent="0.2">
      <c r="A386" s="131" t="s">
        <v>383</v>
      </c>
      <c r="B386" s="131" t="s">
        <v>384</v>
      </c>
      <c r="C386" s="131" t="s">
        <v>150</v>
      </c>
      <c r="D386" s="132">
        <v>0</v>
      </c>
      <c r="E386" s="132">
        <v>1500</v>
      </c>
      <c r="F386" s="132">
        <v>3.94</v>
      </c>
    </row>
    <row r="387" spans="1:6" x14ac:dyDescent="0.2">
      <c r="A387" s="131" t="s">
        <v>383</v>
      </c>
      <c r="B387" s="131" t="s">
        <v>346</v>
      </c>
      <c r="C387" s="131" t="s">
        <v>140</v>
      </c>
      <c r="D387" s="132">
        <v>15000</v>
      </c>
      <c r="E387" s="132">
        <v>0</v>
      </c>
      <c r="F387" s="132">
        <v>3.7549999999999999</v>
      </c>
    </row>
    <row r="388" spans="1:6" x14ac:dyDescent="0.2">
      <c r="A388" s="131" t="s">
        <v>383</v>
      </c>
      <c r="B388" s="131" t="s">
        <v>346</v>
      </c>
      <c r="C388" s="131" t="s">
        <v>140</v>
      </c>
      <c r="D388" s="132">
        <v>2500</v>
      </c>
      <c r="E388" s="132">
        <v>0</v>
      </c>
      <c r="F388" s="132">
        <v>3.75</v>
      </c>
    </row>
    <row r="389" spans="1:6" x14ac:dyDescent="0.2">
      <c r="A389" s="131" t="s">
        <v>383</v>
      </c>
      <c r="B389" s="131" t="s">
        <v>144</v>
      </c>
      <c r="C389" s="131" t="s">
        <v>145</v>
      </c>
      <c r="D389" s="132">
        <v>5000</v>
      </c>
      <c r="E389" s="132">
        <v>0</v>
      </c>
      <c r="F389" s="132">
        <v>3.86</v>
      </c>
    </row>
    <row r="390" spans="1:6" x14ac:dyDescent="0.2">
      <c r="A390" s="131" t="s">
        <v>385</v>
      </c>
      <c r="B390" s="131" t="s">
        <v>202</v>
      </c>
      <c r="C390" s="131" t="s">
        <v>145</v>
      </c>
      <c r="D390" s="132">
        <v>5000</v>
      </c>
      <c r="E390" s="132">
        <v>0</v>
      </c>
      <c r="F390" s="132">
        <v>3.855</v>
      </c>
    </row>
    <row r="391" spans="1:6" x14ac:dyDescent="0.2">
      <c r="A391" s="131" t="s">
        <v>385</v>
      </c>
      <c r="B391" s="131" t="s">
        <v>202</v>
      </c>
      <c r="C391" s="131" t="s">
        <v>145</v>
      </c>
      <c r="D391" s="132">
        <v>5000</v>
      </c>
      <c r="E391" s="132">
        <v>0</v>
      </c>
      <c r="F391" s="132">
        <v>3.85</v>
      </c>
    </row>
    <row r="392" spans="1:6" x14ac:dyDescent="0.2">
      <c r="A392" s="131" t="s">
        <v>385</v>
      </c>
      <c r="B392" s="131" t="s">
        <v>178</v>
      </c>
      <c r="C392" s="131" t="s">
        <v>140</v>
      </c>
      <c r="D392" s="132">
        <v>17500</v>
      </c>
      <c r="E392" s="132">
        <v>0</v>
      </c>
      <c r="F392" s="132">
        <v>3.75</v>
      </c>
    </row>
    <row r="393" spans="1:6" x14ac:dyDescent="0.2">
      <c r="A393" s="131" t="s">
        <v>385</v>
      </c>
      <c r="B393" s="131" t="s">
        <v>386</v>
      </c>
      <c r="C393" s="131" t="s">
        <v>140</v>
      </c>
      <c r="D393" s="132">
        <v>2500</v>
      </c>
      <c r="E393" s="132">
        <v>0</v>
      </c>
      <c r="F393" s="132">
        <v>3.7450000000000001</v>
      </c>
    </row>
    <row r="394" spans="1:6" x14ac:dyDescent="0.2">
      <c r="A394" s="131" t="s">
        <v>385</v>
      </c>
      <c r="B394" s="131" t="s">
        <v>366</v>
      </c>
      <c r="C394" s="131" t="s">
        <v>140</v>
      </c>
      <c r="D394" s="132">
        <v>0</v>
      </c>
      <c r="E394" s="132">
        <v>10000</v>
      </c>
      <c r="F394" s="132">
        <v>3.75</v>
      </c>
    </row>
    <row r="395" spans="1:6" x14ac:dyDescent="0.2">
      <c r="A395" s="131" t="s">
        <v>385</v>
      </c>
      <c r="B395" s="131" t="s">
        <v>162</v>
      </c>
      <c r="C395" s="131" t="s">
        <v>140</v>
      </c>
      <c r="D395" s="132">
        <v>0</v>
      </c>
      <c r="E395" s="132">
        <v>10000</v>
      </c>
      <c r="F395" s="132">
        <v>3.7524999999999999</v>
      </c>
    </row>
    <row r="396" spans="1:6" x14ac:dyDescent="0.2">
      <c r="A396" s="131" t="s">
        <v>385</v>
      </c>
      <c r="B396" s="131" t="s">
        <v>346</v>
      </c>
      <c r="C396" s="131" t="s">
        <v>140</v>
      </c>
      <c r="D396" s="132">
        <v>20000</v>
      </c>
      <c r="E396" s="132">
        <v>0</v>
      </c>
      <c r="F396" s="132">
        <v>3.7450000000000001</v>
      </c>
    </row>
    <row r="397" spans="1:6" x14ac:dyDescent="0.2">
      <c r="A397" s="131" t="s">
        <v>387</v>
      </c>
      <c r="B397" s="131" t="s">
        <v>158</v>
      </c>
      <c r="C397" s="131" t="s">
        <v>150</v>
      </c>
      <c r="D397" s="132">
        <v>5000</v>
      </c>
      <c r="E397" s="132">
        <v>0</v>
      </c>
      <c r="F397" s="132">
        <v>3.93</v>
      </c>
    </row>
    <row r="398" spans="1:6" x14ac:dyDescent="0.2">
      <c r="A398" s="131" t="s">
        <v>388</v>
      </c>
      <c r="B398" s="131" t="s">
        <v>202</v>
      </c>
      <c r="C398" s="131" t="s">
        <v>145</v>
      </c>
      <c r="D398" s="132">
        <v>5000</v>
      </c>
      <c r="E398" s="132">
        <v>0</v>
      </c>
      <c r="F398" s="132">
        <v>3.85</v>
      </c>
    </row>
    <row r="399" spans="1:6" x14ac:dyDescent="0.2">
      <c r="A399" s="131" t="s">
        <v>388</v>
      </c>
      <c r="B399" s="131" t="s">
        <v>152</v>
      </c>
      <c r="C399" s="131" t="s">
        <v>140</v>
      </c>
      <c r="D399" s="132">
        <v>0</v>
      </c>
      <c r="E399" s="132">
        <v>5000</v>
      </c>
      <c r="F399" s="132">
        <v>3.7549999999999999</v>
      </c>
    </row>
    <row r="400" spans="1:6" x14ac:dyDescent="0.2">
      <c r="A400" s="131" t="s">
        <v>388</v>
      </c>
      <c r="B400" s="131" t="s">
        <v>167</v>
      </c>
      <c r="C400" s="131" t="s">
        <v>140</v>
      </c>
      <c r="D400" s="132">
        <v>0</v>
      </c>
      <c r="E400" s="132">
        <v>2500</v>
      </c>
      <c r="F400" s="132">
        <v>3.7549999999999999</v>
      </c>
    </row>
    <row r="401" spans="1:6" x14ac:dyDescent="0.2">
      <c r="A401" s="131" t="s">
        <v>388</v>
      </c>
      <c r="B401" s="131" t="s">
        <v>189</v>
      </c>
      <c r="C401" s="131" t="s">
        <v>140</v>
      </c>
      <c r="D401" s="132">
        <v>5000</v>
      </c>
      <c r="E401" s="132">
        <v>0</v>
      </c>
      <c r="F401" s="132">
        <v>3.7450000000000001</v>
      </c>
    </row>
    <row r="402" spans="1:6" x14ac:dyDescent="0.2">
      <c r="A402" s="131" t="s">
        <v>388</v>
      </c>
      <c r="B402" s="131" t="s">
        <v>144</v>
      </c>
      <c r="C402" s="131" t="s">
        <v>145</v>
      </c>
      <c r="D402" s="132">
        <v>0</v>
      </c>
      <c r="E402" s="132">
        <v>5000</v>
      </c>
      <c r="F402" s="132">
        <v>3.855</v>
      </c>
    </row>
    <row r="403" spans="1:6" x14ac:dyDescent="0.2">
      <c r="A403" s="131" t="s">
        <v>389</v>
      </c>
      <c r="B403" s="131" t="s">
        <v>158</v>
      </c>
      <c r="C403" s="131" t="s">
        <v>140</v>
      </c>
      <c r="D403" s="132">
        <v>20000</v>
      </c>
      <c r="E403" s="132">
        <v>0</v>
      </c>
      <c r="F403" s="132">
        <v>3.74</v>
      </c>
    </row>
    <row r="404" spans="1:6" x14ac:dyDescent="0.2">
      <c r="A404" s="131" t="s">
        <v>389</v>
      </c>
      <c r="B404" s="131" t="s">
        <v>366</v>
      </c>
      <c r="C404" s="131" t="s">
        <v>140</v>
      </c>
      <c r="D404" s="132">
        <v>0</v>
      </c>
      <c r="E404" s="132">
        <v>20000</v>
      </c>
      <c r="F404" s="132">
        <v>3.74</v>
      </c>
    </row>
    <row r="405" spans="1:6" x14ac:dyDescent="0.2">
      <c r="A405" s="131" t="s">
        <v>389</v>
      </c>
      <c r="B405" s="131" t="s">
        <v>390</v>
      </c>
      <c r="C405" s="131" t="s">
        <v>140</v>
      </c>
      <c r="D405" s="132">
        <v>5000</v>
      </c>
      <c r="E405" s="132">
        <v>0</v>
      </c>
      <c r="F405" s="132">
        <v>3.7349999999999999</v>
      </c>
    </row>
    <row r="406" spans="1:6" x14ac:dyDescent="0.2">
      <c r="A406" s="131" t="s">
        <v>389</v>
      </c>
      <c r="B406" s="131" t="s">
        <v>226</v>
      </c>
      <c r="C406" s="131" t="s">
        <v>164</v>
      </c>
      <c r="D406" s="132">
        <v>10000</v>
      </c>
      <c r="E406" s="132">
        <v>0</v>
      </c>
      <c r="F406" s="132">
        <v>3.8250000000000002</v>
      </c>
    </row>
    <row r="407" spans="1:6" x14ac:dyDescent="0.2">
      <c r="A407" s="131" t="s">
        <v>389</v>
      </c>
      <c r="B407" s="131" t="s">
        <v>371</v>
      </c>
      <c r="C407" s="131" t="s">
        <v>150</v>
      </c>
      <c r="D407" s="132">
        <v>5000</v>
      </c>
      <c r="E407" s="132">
        <v>0</v>
      </c>
      <c r="F407" s="132">
        <v>3.92</v>
      </c>
    </row>
    <row r="408" spans="1:6" x14ac:dyDescent="0.2">
      <c r="A408" s="131" t="s">
        <v>389</v>
      </c>
      <c r="B408" s="131" t="s">
        <v>191</v>
      </c>
      <c r="C408" s="131" t="s">
        <v>140</v>
      </c>
      <c r="D408" s="132">
        <v>5000</v>
      </c>
      <c r="E408" s="132">
        <v>0</v>
      </c>
      <c r="F408" s="132">
        <v>3.7349999999999999</v>
      </c>
    </row>
    <row r="409" spans="1:6" x14ac:dyDescent="0.2">
      <c r="A409" s="131" t="s">
        <v>389</v>
      </c>
      <c r="B409" s="131" t="s">
        <v>156</v>
      </c>
      <c r="C409" s="131" t="s">
        <v>140</v>
      </c>
      <c r="D409" s="132">
        <v>15000</v>
      </c>
      <c r="E409" s="132">
        <v>0</v>
      </c>
      <c r="F409" s="132">
        <v>3.7450000000000001</v>
      </c>
    </row>
    <row r="410" spans="1:6" x14ac:dyDescent="0.2">
      <c r="A410" s="131" t="s">
        <v>391</v>
      </c>
      <c r="B410" s="131" t="s">
        <v>232</v>
      </c>
      <c r="C410" s="131" t="s">
        <v>140</v>
      </c>
      <c r="D410" s="132">
        <v>10000</v>
      </c>
      <c r="E410" s="132">
        <v>0</v>
      </c>
      <c r="F410" s="132">
        <v>3.7349999999999999</v>
      </c>
    </row>
    <row r="411" spans="1:6" x14ac:dyDescent="0.2">
      <c r="A411" s="131" t="s">
        <v>391</v>
      </c>
      <c r="B411" s="131" t="s">
        <v>217</v>
      </c>
      <c r="C411" s="131" t="s">
        <v>154</v>
      </c>
      <c r="D411" s="132">
        <v>0</v>
      </c>
      <c r="E411" s="132">
        <v>5000</v>
      </c>
      <c r="F411" s="132">
        <v>4.2300000000000004</v>
      </c>
    </row>
    <row r="412" spans="1:6" x14ac:dyDescent="0.2">
      <c r="A412" s="131" t="s">
        <v>391</v>
      </c>
      <c r="B412" s="131" t="s">
        <v>241</v>
      </c>
      <c r="C412" s="131" t="s">
        <v>140</v>
      </c>
      <c r="D412" s="132">
        <v>10000</v>
      </c>
      <c r="E412" s="132">
        <v>0</v>
      </c>
      <c r="F412" s="132">
        <v>3.7349999999999999</v>
      </c>
    </row>
    <row r="413" spans="1:6" x14ac:dyDescent="0.2">
      <c r="A413" s="131" t="s">
        <v>392</v>
      </c>
      <c r="B413" s="131" t="s">
        <v>158</v>
      </c>
      <c r="C413" s="131" t="s">
        <v>140</v>
      </c>
      <c r="D413" s="132">
        <v>20000</v>
      </c>
      <c r="E413" s="132">
        <v>0</v>
      </c>
      <c r="F413" s="132">
        <v>3.73</v>
      </c>
    </row>
    <row r="414" spans="1:6" x14ac:dyDescent="0.2">
      <c r="A414" s="131" t="s">
        <v>392</v>
      </c>
      <c r="B414" s="131" t="s">
        <v>158</v>
      </c>
      <c r="C414" s="131" t="s">
        <v>140</v>
      </c>
      <c r="D414" s="132">
        <v>5000</v>
      </c>
      <c r="E414" s="132">
        <v>0</v>
      </c>
      <c r="F414" s="132">
        <v>3.73</v>
      </c>
    </row>
    <row r="415" spans="1:6" x14ac:dyDescent="0.2">
      <c r="A415" s="131" t="s">
        <v>392</v>
      </c>
      <c r="B415" s="131" t="s">
        <v>292</v>
      </c>
      <c r="C415" s="131" t="s">
        <v>140</v>
      </c>
      <c r="D415" s="132">
        <v>2500</v>
      </c>
      <c r="E415" s="132">
        <v>0</v>
      </c>
      <c r="F415" s="132">
        <v>3.73</v>
      </c>
    </row>
    <row r="416" spans="1:6" x14ac:dyDescent="0.2">
      <c r="A416" s="131" t="s">
        <v>392</v>
      </c>
      <c r="B416" s="131" t="s">
        <v>220</v>
      </c>
      <c r="C416" s="131" t="s">
        <v>140</v>
      </c>
      <c r="D416" s="132">
        <v>10000</v>
      </c>
      <c r="E416" s="132">
        <v>0</v>
      </c>
      <c r="F416" s="132">
        <v>3.73</v>
      </c>
    </row>
    <row r="417" spans="1:6" x14ac:dyDescent="0.2">
      <c r="A417" s="131" t="s">
        <v>392</v>
      </c>
      <c r="B417" s="131" t="s">
        <v>181</v>
      </c>
      <c r="C417" s="131" t="s">
        <v>154</v>
      </c>
      <c r="D417" s="132">
        <v>0</v>
      </c>
      <c r="E417" s="132">
        <v>5000</v>
      </c>
      <c r="F417" s="132">
        <v>4.2249999999999996</v>
      </c>
    </row>
    <row r="418" spans="1:6" x14ac:dyDescent="0.2">
      <c r="A418" s="131" t="s">
        <v>392</v>
      </c>
      <c r="B418" s="131" t="s">
        <v>149</v>
      </c>
      <c r="C418" s="131" t="s">
        <v>150</v>
      </c>
      <c r="D418" s="132">
        <v>0</v>
      </c>
      <c r="E418" s="132">
        <v>5000</v>
      </c>
      <c r="F418" s="132">
        <v>3.9249999999999998</v>
      </c>
    </row>
    <row r="419" spans="1:6" x14ac:dyDescent="0.2">
      <c r="A419" s="131" t="s">
        <v>392</v>
      </c>
      <c r="B419" s="131" t="s">
        <v>156</v>
      </c>
      <c r="C419" s="131" t="s">
        <v>140</v>
      </c>
      <c r="D419" s="132">
        <v>2500</v>
      </c>
      <c r="E419" s="132">
        <v>0</v>
      </c>
      <c r="F419" s="132">
        <v>3.73</v>
      </c>
    </row>
    <row r="420" spans="1:6" x14ac:dyDescent="0.2">
      <c r="A420" s="131" t="s">
        <v>392</v>
      </c>
      <c r="B420" s="131" t="s">
        <v>144</v>
      </c>
      <c r="C420" s="131" t="s">
        <v>164</v>
      </c>
      <c r="D420" s="132">
        <v>0</v>
      </c>
      <c r="E420" s="132">
        <v>20000</v>
      </c>
      <c r="F420" s="132">
        <v>3.8250000000000002</v>
      </c>
    </row>
    <row r="421" spans="1:6" x14ac:dyDescent="0.2">
      <c r="A421" s="131" t="s">
        <v>393</v>
      </c>
      <c r="B421" s="131" t="s">
        <v>221</v>
      </c>
      <c r="C421" s="131" t="s">
        <v>140</v>
      </c>
      <c r="D421" s="132">
        <v>20000</v>
      </c>
      <c r="E421" s="132">
        <v>0</v>
      </c>
      <c r="F421" s="132">
        <v>3.73</v>
      </c>
    </row>
    <row r="422" spans="1:6" x14ac:dyDescent="0.2">
      <c r="A422" s="131" t="s">
        <v>393</v>
      </c>
      <c r="B422" s="131" t="s">
        <v>204</v>
      </c>
      <c r="C422" s="131" t="s">
        <v>164</v>
      </c>
      <c r="D422" s="132">
        <v>0</v>
      </c>
      <c r="E422" s="132">
        <v>5000</v>
      </c>
      <c r="F422" s="132">
        <v>3.8250000000000002</v>
      </c>
    </row>
    <row r="423" spans="1:6" x14ac:dyDescent="0.2">
      <c r="A423" s="131" t="s">
        <v>393</v>
      </c>
      <c r="B423" s="131" t="s">
        <v>300</v>
      </c>
      <c r="C423" s="131" t="s">
        <v>164</v>
      </c>
      <c r="D423" s="132">
        <v>0</v>
      </c>
      <c r="E423" s="132">
        <v>5000</v>
      </c>
      <c r="F423" s="132">
        <v>3.83</v>
      </c>
    </row>
    <row r="424" spans="1:6" x14ac:dyDescent="0.2">
      <c r="A424" s="131" t="s">
        <v>393</v>
      </c>
      <c r="B424" s="131" t="s">
        <v>156</v>
      </c>
      <c r="C424" s="131" t="s">
        <v>140</v>
      </c>
      <c r="D424" s="132">
        <v>0</v>
      </c>
      <c r="E424" s="132">
        <v>10000</v>
      </c>
      <c r="F424" s="132">
        <v>3.7349999999999999</v>
      </c>
    </row>
    <row r="425" spans="1:6" x14ac:dyDescent="0.2">
      <c r="A425" s="131" t="s">
        <v>393</v>
      </c>
      <c r="B425" s="131" t="s">
        <v>144</v>
      </c>
      <c r="C425" s="131" t="s">
        <v>164</v>
      </c>
      <c r="D425" s="132">
        <v>0</v>
      </c>
      <c r="E425" s="132">
        <v>20000</v>
      </c>
      <c r="F425" s="132">
        <v>3.8250000000000002</v>
      </c>
    </row>
    <row r="426" spans="1:6" x14ac:dyDescent="0.2">
      <c r="A426" s="131" t="s">
        <v>393</v>
      </c>
      <c r="B426" s="131" t="s">
        <v>144</v>
      </c>
      <c r="C426" s="131" t="s">
        <v>145</v>
      </c>
      <c r="D426" s="132">
        <v>5000</v>
      </c>
      <c r="E426" s="132">
        <v>0</v>
      </c>
      <c r="F426" s="132">
        <v>3.84</v>
      </c>
    </row>
    <row r="427" spans="1:6" x14ac:dyDescent="0.2">
      <c r="A427" s="131" t="s">
        <v>393</v>
      </c>
      <c r="B427" s="131" t="s">
        <v>144</v>
      </c>
      <c r="C427" s="131" t="s">
        <v>164</v>
      </c>
      <c r="D427" s="132">
        <v>0</v>
      </c>
      <c r="E427" s="132">
        <v>20000</v>
      </c>
      <c r="F427" s="132">
        <v>3.83</v>
      </c>
    </row>
    <row r="428" spans="1:6" x14ac:dyDescent="0.2">
      <c r="A428" s="131" t="s">
        <v>393</v>
      </c>
      <c r="B428" s="131" t="s">
        <v>187</v>
      </c>
      <c r="C428" s="131" t="s">
        <v>145</v>
      </c>
      <c r="D428" s="132">
        <v>0</v>
      </c>
      <c r="E428" s="132">
        <v>5000</v>
      </c>
      <c r="F428" s="132">
        <v>3.8450000000000002</v>
      </c>
    </row>
    <row r="429" spans="1:6" x14ac:dyDescent="0.2">
      <c r="A429" s="131" t="s">
        <v>394</v>
      </c>
      <c r="B429" s="131" t="s">
        <v>158</v>
      </c>
      <c r="C429" s="131" t="s">
        <v>140</v>
      </c>
      <c r="D429" s="132">
        <v>2500</v>
      </c>
      <c r="E429" s="132">
        <v>0</v>
      </c>
      <c r="F429" s="132">
        <v>3.74</v>
      </c>
    </row>
    <row r="430" spans="1:6" x14ac:dyDescent="0.2">
      <c r="A430" s="131" t="s">
        <v>394</v>
      </c>
      <c r="B430" s="131" t="s">
        <v>147</v>
      </c>
      <c r="C430" s="131" t="s">
        <v>164</v>
      </c>
      <c r="D430" s="132">
        <v>0</v>
      </c>
      <c r="E430" s="132">
        <v>20000</v>
      </c>
      <c r="F430" s="132">
        <v>3.835</v>
      </c>
    </row>
    <row r="431" spans="1:6" x14ac:dyDescent="0.2">
      <c r="A431" s="131" t="s">
        <v>394</v>
      </c>
      <c r="B431" s="131" t="s">
        <v>331</v>
      </c>
      <c r="C431" s="131" t="s">
        <v>145</v>
      </c>
      <c r="D431" s="132">
        <v>0</v>
      </c>
      <c r="E431" s="132">
        <v>5000</v>
      </c>
      <c r="F431" s="132">
        <v>3.8450000000000002</v>
      </c>
    </row>
    <row r="432" spans="1:6" x14ac:dyDescent="0.2">
      <c r="A432" s="131" t="s">
        <v>395</v>
      </c>
      <c r="B432" s="131" t="s">
        <v>158</v>
      </c>
      <c r="C432" s="131" t="s">
        <v>164</v>
      </c>
      <c r="D432" s="132">
        <v>20000</v>
      </c>
      <c r="E432" s="132">
        <v>0</v>
      </c>
      <c r="F432" s="132">
        <v>3.8250000000000002</v>
      </c>
    </row>
    <row r="433" spans="1:6" x14ac:dyDescent="0.2">
      <c r="A433" s="131" t="s">
        <v>395</v>
      </c>
      <c r="B433" s="131" t="s">
        <v>158</v>
      </c>
      <c r="C433" s="131" t="s">
        <v>140</v>
      </c>
      <c r="D433" s="132">
        <v>2500</v>
      </c>
      <c r="E433" s="132">
        <v>0</v>
      </c>
      <c r="F433" s="132">
        <v>3.7349999999999999</v>
      </c>
    </row>
    <row r="434" spans="1:6" x14ac:dyDescent="0.2">
      <c r="A434" s="131" t="s">
        <v>395</v>
      </c>
      <c r="B434" s="131" t="s">
        <v>220</v>
      </c>
      <c r="C434" s="131" t="s">
        <v>140</v>
      </c>
      <c r="D434" s="132">
        <v>15000</v>
      </c>
      <c r="E434" s="132">
        <v>0</v>
      </c>
      <c r="F434" s="132">
        <v>3.74</v>
      </c>
    </row>
    <row r="435" spans="1:6" x14ac:dyDescent="0.2">
      <c r="A435" s="131" t="s">
        <v>395</v>
      </c>
      <c r="B435" s="131" t="s">
        <v>168</v>
      </c>
      <c r="C435" s="131" t="s">
        <v>140</v>
      </c>
      <c r="D435" s="132">
        <v>2500</v>
      </c>
      <c r="E435" s="132">
        <v>0</v>
      </c>
      <c r="F435" s="132">
        <v>3.74</v>
      </c>
    </row>
    <row r="436" spans="1:6" x14ac:dyDescent="0.2">
      <c r="A436" s="131" t="s">
        <v>395</v>
      </c>
      <c r="B436" s="131" t="s">
        <v>204</v>
      </c>
      <c r="C436" s="131" t="s">
        <v>140</v>
      </c>
      <c r="D436" s="132">
        <v>0</v>
      </c>
      <c r="E436" s="132">
        <v>20000</v>
      </c>
      <c r="F436" s="132">
        <v>3.74</v>
      </c>
    </row>
    <row r="437" spans="1:6" x14ac:dyDescent="0.2">
      <c r="A437" s="131" t="s">
        <v>395</v>
      </c>
      <c r="B437" s="131" t="s">
        <v>144</v>
      </c>
      <c r="C437" s="131" t="s">
        <v>145</v>
      </c>
      <c r="D437" s="132">
        <v>5000</v>
      </c>
      <c r="E437" s="132">
        <v>0</v>
      </c>
      <c r="F437" s="132">
        <v>3.84</v>
      </c>
    </row>
    <row r="438" spans="1:6" x14ac:dyDescent="0.2">
      <c r="A438" s="131" t="s">
        <v>396</v>
      </c>
      <c r="B438" s="131" t="s">
        <v>200</v>
      </c>
      <c r="C438" s="131" t="s">
        <v>140</v>
      </c>
      <c r="D438" s="132">
        <v>0</v>
      </c>
      <c r="E438" s="132">
        <v>10000</v>
      </c>
      <c r="F438" s="132">
        <v>3.7450000000000001</v>
      </c>
    </row>
    <row r="439" spans="1:6" x14ac:dyDescent="0.2">
      <c r="A439" s="131" t="s">
        <v>396</v>
      </c>
      <c r="B439" s="131" t="s">
        <v>156</v>
      </c>
      <c r="C439" s="131" t="s">
        <v>140</v>
      </c>
      <c r="D439" s="132">
        <v>12500</v>
      </c>
      <c r="E439" s="132">
        <v>0</v>
      </c>
      <c r="F439" s="132">
        <v>3.7349999999999999</v>
      </c>
    </row>
    <row r="440" spans="1:6" x14ac:dyDescent="0.2">
      <c r="A440" s="131" t="s">
        <v>397</v>
      </c>
      <c r="B440" s="131" t="s">
        <v>229</v>
      </c>
      <c r="C440" s="131" t="s">
        <v>140</v>
      </c>
      <c r="D440" s="132">
        <v>0</v>
      </c>
      <c r="E440" s="132">
        <v>10000</v>
      </c>
      <c r="F440" s="132">
        <v>3.7450000000000001</v>
      </c>
    </row>
    <row r="441" spans="1:6" x14ac:dyDescent="0.2">
      <c r="A441" s="131" t="s">
        <v>397</v>
      </c>
      <c r="B441" s="131" t="s">
        <v>229</v>
      </c>
      <c r="C441" s="131" t="s">
        <v>150</v>
      </c>
      <c r="D441" s="132">
        <v>0</v>
      </c>
      <c r="E441" s="132">
        <v>5000</v>
      </c>
      <c r="F441" s="132">
        <v>3.93</v>
      </c>
    </row>
    <row r="442" spans="1:6" x14ac:dyDescent="0.2">
      <c r="A442" s="131" t="s">
        <v>397</v>
      </c>
      <c r="B442" s="131" t="s">
        <v>229</v>
      </c>
      <c r="C442" s="131" t="s">
        <v>145</v>
      </c>
      <c r="D442" s="132">
        <v>0</v>
      </c>
      <c r="E442" s="132">
        <v>5000</v>
      </c>
      <c r="F442" s="132">
        <v>3.8450000000000002</v>
      </c>
    </row>
    <row r="443" spans="1:6" x14ac:dyDescent="0.2">
      <c r="A443" s="131" t="s">
        <v>397</v>
      </c>
      <c r="B443" s="131" t="s">
        <v>218</v>
      </c>
      <c r="C443" s="131" t="s">
        <v>140</v>
      </c>
      <c r="D443" s="132">
        <v>5000</v>
      </c>
      <c r="E443" s="132">
        <v>0</v>
      </c>
      <c r="F443" s="132">
        <v>3.74</v>
      </c>
    </row>
    <row r="444" spans="1:6" x14ac:dyDescent="0.2">
      <c r="A444" s="131" t="s">
        <v>397</v>
      </c>
      <c r="B444" s="131" t="s">
        <v>346</v>
      </c>
      <c r="C444" s="131" t="s">
        <v>140</v>
      </c>
      <c r="D444" s="132">
        <v>0</v>
      </c>
      <c r="E444" s="132">
        <v>2500</v>
      </c>
      <c r="F444" s="132">
        <v>3.75</v>
      </c>
    </row>
    <row r="445" spans="1:6" x14ac:dyDescent="0.2">
      <c r="A445" s="131" t="s">
        <v>397</v>
      </c>
      <c r="B445" s="131" t="s">
        <v>144</v>
      </c>
      <c r="C445" s="131" t="s">
        <v>164</v>
      </c>
      <c r="D445" s="132">
        <v>0</v>
      </c>
      <c r="E445" s="132">
        <v>20000</v>
      </c>
      <c r="F445" s="132">
        <v>3.835</v>
      </c>
    </row>
    <row r="446" spans="1:6" x14ac:dyDescent="0.2">
      <c r="A446" s="131" t="s">
        <v>398</v>
      </c>
      <c r="B446" s="131" t="s">
        <v>217</v>
      </c>
      <c r="C446" s="131" t="s">
        <v>140</v>
      </c>
      <c r="D446" s="132">
        <v>5000</v>
      </c>
      <c r="E446" s="132">
        <v>0</v>
      </c>
      <c r="F446" s="132">
        <v>3.74</v>
      </c>
    </row>
    <row r="447" spans="1:6" x14ac:dyDescent="0.2">
      <c r="A447" s="131" t="s">
        <v>398</v>
      </c>
      <c r="B447" s="131" t="s">
        <v>168</v>
      </c>
      <c r="C447" s="131" t="s">
        <v>140</v>
      </c>
      <c r="D447" s="132">
        <v>10000</v>
      </c>
      <c r="E447" s="132">
        <v>0</v>
      </c>
      <c r="F447" s="132">
        <v>3.74</v>
      </c>
    </row>
    <row r="448" spans="1:6" x14ac:dyDescent="0.2">
      <c r="A448" s="131" t="s">
        <v>398</v>
      </c>
      <c r="B448" s="131" t="s">
        <v>371</v>
      </c>
      <c r="C448" s="131" t="s">
        <v>150</v>
      </c>
      <c r="D448" s="132">
        <v>5000</v>
      </c>
      <c r="E448" s="132">
        <v>0</v>
      </c>
      <c r="F448" s="132">
        <v>3.9249999999999998</v>
      </c>
    </row>
    <row r="449" spans="1:6" x14ac:dyDescent="0.2">
      <c r="A449" s="131" t="s">
        <v>398</v>
      </c>
      <c r="B449" s="131" t="s">
        <v>156</v>
      </c>
      <c r="C449" s="131" t="s">
        <v>140</v>
      </c>
      <c r="D449" s="132">
        <v>5000</v>
      </c>
      <c r="E449" s="132">
        <v>0</v>
      </c>
      <c r="F449" s="132">
        <v>3.74</v>
      </c>
    </row>
    <row r="450" spans="1:6" x14ac:dyDescent="0.2">
      <c r="A450" s="131" t="s">
        <v>398</v>
      </c>
      <c r="B450" s="131" t="s">
        <v>144</v>
      </c>
      <c r="C450" s="131" t="s">
        <v>197</v>
      </c>
      <c r="D450" s="132">
        <v>0</v>
      </c>
      <c r="E450" s="132">
        <v>17500</v>
      </c>
      <c r="F450" s="132">
        <v>3.8774999999999999</v>
      </c>
    </row>
    <row r="451" spans="1:6" x14ac:dyDescent="0.2">
      <c r="A451" s="131" t="s">
        <v>399</v>
      </c>
      <c r="B451" s="131" t="s">
        <v>229</v>
      </c>
      <c r="C451" s="131" t="s">
        <v>150</v>
      </c>
      <c r="D451" s="132">
        <v>0</v>
      </c>
      <c r="E451" s="132">
        <v>5000</v>
      </c>
      <c r="F451" s="132">
        <v>3.93</v>
      </c>
    </row>
    <row r="452" spans="1:6" x14ac:dyDescent="0.2">
      <c r="A452" s="131" t="s">
        <v>399</v>
      </c>
      <c r="B452" s="131" t="s">
        <v>400</v>
      </c>
      <c r="C452" s="131" t="s">
        <v>140</v>
      </c>
      <c r="D452" s="132">
        <v>10000</v>
      </c>
      <c r="E452" s="132">
        <v>0</v>
      </c>
      <c r="F452" s="132">
        <v>3.74</v>
      </c>
    </row>
    <row r="453" spans="1:6" x14ac:dyDescent="0.2">
      <c r="A453" s="131" t="s">
        <v>399</v>
      </c>
      <c r="B453" s="131" t="s">
        <v>181</v>
      </c>
      <c r="C453" s="131" t="s">
        <v>140</v>
      </c>
      <c r="D453" s="132">
        <v>2500</v>
      </c>
      <c r="E453" s="132">
        <v>0</v>
      </c>
      <c r="F453" s="132">
        <v>3.74</v>
      </c>
    </row>
    <row r="454" spans="1:6" x14ac:dyDescent="0.2">
      <c r="A454" s="131" t="s">
        <v>401</v>
      </c>
      <c r="B454" s="131" t="s">
        <v>390</v>
      </c>
      <c r="C454" s="131" t="s">
        <v>140</v>
      </c>
      <c r="D454" s="132">
        <v>2500</v>
      </c>
      <c r="E454" s="132">
        <v>0</v>
      </c>
      <c r="F454" s="132">
        <v>3.74</v>
      </c>
    </row>
    <row r="455" spans="1:6" x14ac:dyDescent="0.2">
      <c r="A455" s="131" t="s">
        <v>401</v>
      </c>
      <c r="B455" s="131" t="s">
        <v>144</v>
      </c>
      <c r="C455" s="131" t="s">
        <v>145</v>
      </c>
      <c r="D455" s="132">
        <v>0</v>
      </c>
      <c r="E455" s="132">
        <v>5000</v>
      </c>
      <c r="F455" s="132">
        <v>3.85</v>
      </c>
    </row>
    <row r="456" spans="1:6" x14ac:dyDescent="0.2">
      <c r="A456" s="131" t="s">
        <v>402</v>
      </c>
      <c r="B456" s="131" t="s">
        <v>202</v>
      </c>
      <c r="C456" s="131" t="s">
        <v>150</v>
      </c>
      <c r="D456" s="132">
        <v>0</v>
      </c>
      <c r="E456" s="132">
        <v>5000</v>
      </c>
      <c r="F456" s="132">
        <v>3.9350000000000001</v>
      </c>
    </row>
    <row r="457" spans="1:6" x14ac:dyDescent="0.2">
      <c r="A457" s="131" t="s">
        <v>402</v>
      </c>
      <c r="B457" s="131" t="s">
        <v>229</v>
      </c>
      <c r="C457" s="131" t="s">
        <v>150</v>
      </c>
      <c r="D457" s="132">
        <v>0</v>
      </c>
      <c r="E457" s="132">
        <v>5000</v>
      </c>
      <c r="F457" s="132">
        <v>3.94</v>
      </c>
    </row>
    <row r="458" spans="1:6" x14ac:dyDescent="0.2">
      <c r="A458" s="131" t="s">
        <v>402</v>
      </c>
      <c r="B458" s="131" t="s">
        <v>139</v>
      </c>
      <c r="C458" s="131" t="s">
        <v>140</v>
      </c>
      <c r="D458" s="132">
        <v>0</v>
      </c>
      <c r="E458" s="132">
        <v>20000</v>
      </c>
      <c r="F458" s="132">
        <v>3.75</v>
      </c>
    </row>
    <row r="459" spans="1:6" x14ac:dyDescent="0.2">
      <c r="A459" s="131" t="s">
        <v>402</v>
      </c>
      <c r="B459" s="131" t="s">
        <v>144</v>
      </c>
      <c r="C459" s="131" t="s">
        <v>145</v>
      </c>
      <c r="D459" s="132">
        <v>0</v>
      </c>
      <c r="E459" s="132">
        <v>5000</v>
      </c>
      <c r="F459" s="132">
        <v>3.855</v>
      </c>
    </row>
    <row r="460" spans="1:6" x14ac:dyDescent="0.2">
      <c r="A460" s="131" t="s">
        <v>403</v>
      </c>
      <c r="B460" s="131" t="s">
        <v>178</v>
      </c>
      <c r="C460" s="131" t="s">
        <v>404</v>
      </c>
      <c r="D460" s="132">
        <v>150</v>
      </c>
      <c r="E460" s="132">
        <v>0</v>
      </c>
      <c r="F460" s="132">
        <v>3.75</v>
      </c>
    </row>
    <row r="461" spans="1:6" x14ac:dyDescent="0.2">
      <c r="A461" s="131" t="s">
        <v>403</v>
      </c>
      <c r="B461" s="131" t="s">
        <v>178</v>
      </c>
      <c r="C461" s="131" t="s">
        <v>374</v>
      </c>
      <c r="D461" s="132">
        <v>0</v>
      </c>
      <c r="E461" s="132">
        <v>150</v>
      </c>
      <c r="F461" s="132">
        <v>3.83975</v>
      </c>
    </row>
    <row r="462" spans="1:6" x14ac:dyDescent="0.2">
      <c r="A462" s="131" t="s">
        <v>403</v>
      </c>
      <c r="B462" s="131" t="s">
        <v>181</v>
      </c>
      <c r="C462" s="131" t="s">
        <v>145</v>
      </c>
      <c r="D462" s="132">
        <v>5000</v>
      </c>
      <c r="E462" s="132">
        <v>0</v>
      </c>
      <c r="F462" s="132">
        <v>3.85</v>
      </c>
    </row>
    <row r="463" spans="1:6" x14ac:dyDescent="0.2">
      <c r="A463" s="131" t="s">
        <v>403</v>
      </c>
      <c r="B463" s="131" t="s">
        <v>336</v>
      </c>
      <c r="C463" s="131" t="s">
        <v>150</v>
      </c>
      <c r="D463" s="132">
        <v>5000</v>
      </c>
      <c r="E463" s="132">
        <v>0</v>
      </c>
      <c r="F463" s="132">
        <v>3.93</v>
      </c>
    </row>
    <row r="464" spans="1:6" x14ac:dyDescent="0.2">
      <c r="A464" s="131" t="s">
        <v>403</v>
      </c>
      <c r="B464" s="131" t="s">
        <v>189</v>
      </c>
      <c r="C464" s="131" t="s">
        <v>164</v>
      </c>
      <c r="D464" s="132">
        <v>0</v>
      </c>
      <c r="E464" s="132">
        <v>20000</v>
      </c>
      <c r="F464" s="132">
        <v>3.8450000000000002</v>
      </c>
    </row>
    <row r="465" spans="1:6" x14ac:dyDescent="0.2">
      <c r="A465" s="131" t="s">
        <v>405</v>
      </c>
      <c r="B465" s="131" t="s">
        <v>377</v>
      </c>
      <c r="C465" s="131" t="s">
        <v>164</v>
      </c>
      <c r="D465" s="132">
        <v>0</v>
      </c>
      <c r="E465" s="132">
        <v>2500</v>
      </c>
      <c r="F465" s="132">
        <v>3.8450000000000002</v>
      </c>
    </row>
    <row r="466" spans="1:6" x14ac:dyDescent="0.2">
      <c r="A466" s="131" t="s">
        <v>405</v>
      </c>
      <c r="B466" s="131" t="s">
        <v>208</v>
      </c>
      <c r="C466" s="131" t="s">
        <v>140</v>
      </c>
      <c r="D466" s="132">
        <v>5000</v>
      </c>
      <c r="E466" s="132">
        <v>0</v>
      </c>
      <c r="F466" s="132">
        <v>3.75</v>
      </c>
    </row>
    <row r="467" spans="1:6" x14ac:dyDescent="0.2">
      <c r="A467" s="131" t="s">
        <v>405</v>
      </c>
      <c r="B467" s="131" t="s">
        <v>171</v>
      </c>
      <c r="C467" s="131" t="s">
        <v>154</v>
      </c>
      <c r="D467" s="132">
        <v>0</v>
      </c>
      <c r="E467" s="132">
        <v>5000</v>
      </c>
      <c r="F467" s="132">
        <v>4.2350000000000003</v>
      </c>
    </row>
    <row r="468" spans="1:6" x14ac:dyDescent="0.2">
      <c r="A468" s="131" t="s">
        <v>405</v>
      </c>
      <c r="B468" s="131" t="s">
        <v>144</v>
      </c>
      <c r="C468" s="131" t="s">
        <v>145</v>
      </c>
      <c r="D468" s="132">
        <v>0</v>
      </c>
      <c r="E468" s="132">
        <v>5000</v>
      </c>
      <c r="F468" s="132">
        <v>3.855</v>
      </c>
    </row>
    <row r="469" spans="1:6" x14ac:dyDescent="0.2">
      <c r="A469" s="131" t="s">
        <v>406</v>
      </c>
      <c r="B469" s="131" t="s">
        <v>178</v>
      </c>
      <c r="C469" s="131" t="s">
        <v>140</v>
      </c>
      <c r="D469" s="132">
        <v>20000</v>
      </c>
      <c r="E469" s="132">
        <v>0</v>
      </c>
      <c r="F469" s="132">
        <v>3.75</v>
      </c>
    </row>
    <row r="470" spans="1:6" x14ac:dyDescent="0.2">
      <c r="A470" s="131" t="s">
        <v>406</v>
      </c>
      <c r="B470" s="131" t="s">
        <v>323</v>
      </c>
      <c r="C470" s="131" t="s">
        <v>301</v>
      </c>
      <c r="D470" s="132">
        <v>0</v>
      </c>
      <c r="E470" s="132">
        <v>10000</v>
      </c>
      <c r="F470" s="132">
        <v>3.7475000000000001</v>
      </c>
    </row>
    <row r="471" spans="1:6" x14ac:dyDescent="0.2">
      <c r="A471" s="131" t="s">
        <v>406</v>
      </c>
      <c r="B471" s="131" t="s">
        <v>200</v>
      </c>
      <c r="C471" s="131" t="s">
        <v>140</v>
      </c>
      <c r="D471" s="132">
        <v>0</v>
      </c>
      <c r="E471" s="132">
        <v>5000</v>
      </c>
      <c r="F471" s="132">
        <v>3.7549999999999999</v>
      </c>
    </row>
    <row r="472" spans="1:6" x14ac:dyDescent="0.2">
      <c r="A472" s="131" t="s">
        <v>406</v>
      </c>
      <c r="B472" s="131" t="s">
        <v>200</v>
      </c>
      <c r="C472" s="131" t="s">
        <v>140</v>
      </c>
      <c r="D472" s="132">
        <v>0</v>
      </c>
      <c r="E472" s="132">
        <v>7500</v>
      </c>
      <c r="F472" s="132">
        <v>3.7549999999999999</v>
      </c>
    </row>
    <row r="473" spans="1:6" x14ac:dyDescent="0.2">
      <c r="A473" s="131" t="s">
        <v>406</v>
      </c>
      <c r="B473" s="131" t="s">
        <v>144</v>
      </c>
      <c r="C473" s="131" t="s">
        <v>164</v>
      </c>
      <c r="D473" s="132">
        <v>0</v>
      </c>
      <c r="E473" s="132">
        <v>7500</v>
      </c>
      <c r="F473" s="132">
        <v>3.8450000000000002</v>
      </c>
    </row>
    <row r="474" spans="1:6" x14ac:dyDescent="0.2">
      <c r="A474" s="131" t="s">
        <v>407</v>
      </c>
      <c r="B474" s="131" t="s">
        <v>208</v>
      </c>
      <c r="C474" s="131" t="s">
        <v>140</v>
      </c>
      <c r="D474" s="132">
        <v>5000</v>
      </c>
      <c r="E474" s="132">
        <v>0</v>
      </c>
      <c r="F474" s="132">
        <v>3.75</v>
      </c>
    </row>
    <row r="475" spans="1:6" x14ac:dyDescent="0.2">
      <c r="A475" s="131" t="s">
        <v>407</v>
      </c>
      <c r="B475" s="131" t="s">
        <v>149</v>
      </c>
      <c r="C475" s="131" t="s">
        <v>145</v>
      </c>
      <c r="D475" s="132">
        <v>0</v>
      </c>
      <c r="E475" s="132">
        <v>5000</v>
      </c>
      <c r="F475" s="132">
        <v>3.86</v>
      </c>
    </row>
    <row r="476" spans="1:6" x14ac:dyDescent="0.2">
      <c r="A476" s="131" t="s">
        <v>407</v>
      </c>
      <c r="B476" s="131" t="s">
        <v>156</v>
      </c>
      <c r="C476" s="131" t="s">
        <v>140</v>
      </c>
      <c r="D476" s="132">
        <v>0</v>
      </c>
      <c r="E476" s="132">
        <v>10000</v>
      </c>
      <c r="F476" s="132">
        <v>3.7549999999999999</v>
      </c>
    </row>
    <row r="477" spans="1:6" x14ac:dyDescent="0.2">
      <c r="A477" s="131" t="s">
        <v>407</v>
      </c>
      <c r="B477" s="131" t="s">
        <v>215</v>
      </c>
      <c r="C477" s="131" t="s">
        <v>140</v>
      </c>
      <c r="D477" s="132">
        <v>0</v>
      </c>
      <c r="E477" s="132">
        <v>10000</v>
      </c>
      <c r="F477" s="132">
        <v>3.7549999999999999</v>
      </c>
    </row>
    <row r="478" spans="1:6" x14ac:dyDescent="0.2">
      <c r="A478" s="131" t="s">
        <v>408</v>
      </c>
      <c r="B478" s="131" t="s">
        <v>409</v>
      </c>
      <c r="C478" s="131" t="s">
        <v>154</v>
      </c>
      <c r="D478" s="132">
        <v>0</v>
      </c>
      <c r="E478" s="132">
        <v>5000</v>
      </c>
      <c r="F478" s="132">
        <v>4.25</v>
      </c>
    </row>
    <row r="479" spans="1:6" x14ac:dyDescent="0.2">
      <c r="A479" s="131" t="s">
        <v>408</v>
      </c>
      <c r="B479" s="131" t="s">
        <v>229</v>
      </c>
      <c r="C479" s="131" t="s">
        <v>140</v>
      </c>
      <c r="D479" s="132">
        <v>10000</v>
      </c>
      <c r="E479" s="132">
        <v>0</v>
      </c>
      <c r="F479" s="132">
        <v>3.7549999999999999</v>
      </c>
    </row>
    <row r="480" spans="1:6" x14ac:dyDescent="0.2">
      <c r="A480" s="131" t="s">
        <v>408</v>
      </c>
      <c r="B480" s="131" t="s">
        <v>167</v>
      </c>
      <c r="C480" s="131" t="s">
        <v>140</v>
      </c>
      <c r="D480" s="132">
        <v>5000</v>
      </c>
      <c r="E480" s="132">
        <v>0</v>
      </c>
      <c r="F480" s="132">
        <v>3.7549999999999999</v>
      </c>
    </row>
    <row r="481" spans="1:6" x14ac:dyDescent="0.2">
      <c r="A481" s="131" t="s">
        <v>408</v>
      </c>
      <c r="B481" s="131" t="s">
        <v>217</v>
      </c>
      <c r="C481" s="131" t="s">
        <v>154</v>
      </c>
      <c r="D481" s="132">
        <v>0</v>
      </c>
      <c r="E481" s="132">
        <v>5000</v>
      </c>
      <c r="F481" s="132">
        <v>4.25</v>
      </c>
    </row>
    <row r="482" spans="1:6" x14ac:dyDescent="0.2">
      <c r="A482" s="131" t="s">
        <v>408</v>
      </c>
      <c r="B482" s="131" t="s">
        <v>169</v>
      </c>
      <c r="C482" s="131" t="s">
        <v>154</v>
      </c>
      <c r="D482" s="132">
        <v>0</v>
      </c>
      <c r="E482" s="132">
        <v>5000</v>
      </c>
      <c r="F482" s="132">
        <v>4.2450000000000001</v>
      </c>
    </row>
    <row r="483" spans="1:6" x14ac:dyDescent="0.2">
      <c r="A483" s="131" t="s">
        <v>408</v>
      </c>
      <c r="B483" s="131" t="s">
        <v>144</v>
      </c>
      <c r="C483" s="131" t="s">
        <v>197</v>
      </c>
      <c r="D483" s="132">
        <v>0</v>
      </c>
      <c r="E483" s="132">
        <v>20000</v>
      </c>
      <c r="F483" s="132">
        <v>3.8925000000000001</v>
      </c>
    </row>
    <row r="484" spans="1:6" x14ac:dyDescent="0.2">
      <c r="A484" s="131" t="s">
        <v>410</v>
      </c>
      <c r="B484" s="131" t="s">
        <v>202</v>
      </c>
      <c r="C484" s="131" t="s">
        <v>145</v>
      </c>
      <c r="D484" s="132">
        <v>5000</v>
      </c>
      <c r="E484" s="132">
        <v>0</v>
      </c>
      <c r="F484" s="132">
        <v>3.855</v>
      </c>
    </row>
    <row r="485" spans="1:6" x14ac:dyDescent="0.2">
      <c r="A485" s="131" t="s">
        <v>410</v>
      </c>
      <c r="B485" s="131" t="s">
        <v>168</v>
      </c>
      <c r="C485" s="131" t="s">
        <v>140</v>
      </c>
      <c r="D485" s="132">
        <v>5000</v>
      </c>
      <c r="E485" s="132">
        <v>0</v>
      </c>
      <c r="F485" s="132">
        <v>3.75</v>
      </c>
    </row>
    <row r="486" spans="1:6" x14ac:dyDescent="0.2">
      <c r="A486" s="131" t="s">
        <v>410</v>
      </c>
      <c r="B486" s="131" t="s">
        <v>187</v>
      </c>
      <c r="C486" s="131" t="s">
        <v>145</v>
      </c>
      <c r="D486" s="132">
        <v>5000</v>
      </c>
      <c r="E486" s="132">
        <v>0</v>
      </c>
      <c r="F486" s="132">
        <v>3.855</v>
      </c>
    </row>
    <row r="487" spans="1:6" x14ac:dyDescent="0.2">
      <c r="A487" s="131" t="s">
        <v>411</v>
      </c>
      <c r="B487" s="131" t="s">
        <v>246</v>
      </c>
      <c r="C487" s="131" t="s">
        <v>140</v>
      </c>
      <c r="D487" s="132">
        <v>0</v>
      </c>
      <c r="E487" s="132">
        <v>5000</v>
      </c>
      <c r="F487" s="132">
        <v>3.76</v>
      </c>
    </row>
    <row r="488" spans="1:6" x14ac:dyDescent="0.2">
      <c r="A488" s="131" t="s">
        <v>411</v>
      </c>
      <c r="B488" s="131" t="s">
        <v>149</v>
      </c>
      <c r="C488" s="131" t="s">
        <v>140</v>
      </c>
      <c r="D488" s="132">
        <v>5000</v>
      </c>
      <c r="E488" s="132">
        <v>0</v>
      </c>
      <c r="F488" s="132">
        <v>3.75</v>
      </c>
    </row>
    <row r="489" spans="1:6" x14ac:dyDescent="0.2">
      <c r="A489" s="131" t="s">
        <v>412</v>
      </c>
      <c r="B489" s="131" t="s">
        <v>183</v>
      </c>
      <c r="C489" s="131" t="s">
        <v>154</v>
      </c>
      <c r="D489" s="132">
        <v>0</v>
      </c>
      <c r="E489" s="132">
        <v>5000</v>
      </c>
      <c r="F489" s="132">
        <v>4.25</v>
      </c>
    </row>
    <row r="490" spans="1:6" x14ac:dyDescent="0.2">
      <c r="A490" s="131" t="s">
        <v>412</v>
      </c>
      <c r="B490" s="131" t="s">
        <v>236</v>
      </c>
      <c r="C490" s="131" t="s">
        <v>140</v>
      </c>
      <c r="D490" s="132">
        <v>0</v>
      </c>
      <c r="E490" s="132">
        <v>20000</v>
      </c>
      <c r="F490" s="132">
        <v>3.7549999999999999</v>
      </c>
    </row>
    <row r="491" spans="1:6" x14ac:dyDescent="0.2">
      <c r="A491" s="131" t="s">
        <v>412</v>
      </c>
      <c r="B491" s="131" t="s">
        <v>156</v>
      </c>
      <c r="C491" s="131" t="s">
        <v>154</v>
      </c>
      <c r="D491" s="132">
        <v>0</v>
      </c>
      <c r="E491" s="132">
        <v>5000</v>
      </c>
      <c r="F491" s="132">
        <v>4.2450000000000001</v>
      </c>
    </row>
    <row r="492" spans="1:6" x14ac:dyDescent="0.2">
      <c r="A492" s="131" t="s">
        <v>412</v>
      </c>
      <c r="B492" s="131" t="s">
        <v>156</v>
      </c>
      <c r="C492" s="131" t="s">
        <v>150</v>
      </c>
      <c r="D492" s="132">
        <v>0</v>
      </c>
      <c r="E492" s="132">
        <v>5000</v>
      </c>
      <c r="F492" s="132">
        <v>3.94</v>
      </c>
    </row>
    <row r="493" spans="1:6" x14ac:dyDescent="0.2">
      <c r="A493" s="131" t="s">
        <v>412</v>
      </c>
      <c r="B493" s="131" t="s">
        <v>144</v>
      </c>
      <c r="C493" s="131" t="s">
        <v>164</v>
      </c>
      <c r="D493" s="132">
        <v>0</v>
      </c>
      <c r="E493" s="132">
        <v>20000</v>
      </c>
      <c r="F493" s="132">
        <v>3.8525</v>
      </c>
    </row>
    <row r="494" spans="1:6" x14ac:dyDescent="0.2">
      <c r="A494" s="131" t="s">
        <v>413</v>
      </c>
      <c r="B494" s="131" t="s">
        <v>178</v>
      </c>
      <c r="C494" s="131" t="s">
        <v>140</v>
      </c>
      <c r="D494" s="132">
        <v>10000</v>
      </c>
      <c r="E494" s="132">
        <v>0</v>
      </c>
      <c r="F494" s="132">
        <v>3.7549999999999999</v>
      </c>
    </row>
    <row r="495" spans="1:6" x14ac:dyDescent="0.2">
      <c r="A495" s="131" t="s">
        <v>413</v>
      </c>
      <c r="B495" s="131" t="s">
        <v>147</v>
      </c>
      <c r="C495" s="131" t="s">
        <v>145</v>
      </c>
      <c r="D495" s="132">
        <v>0</v>
      </c>
      <c r="E495" s="132">
        <v>2500</v>
      </c>
      <c r="F495" s="132">
        <v>3.87</v>
      </c>
    </row>
    <row r="496" spans="1:6" x14ac:dyDescent="0.2">
      <c r="A496" s="131" t="s">
        <v>413</v>
      </c>
      <c r="B496" s="131" t="s">
        <v>147</v>
      </c>
      <c r="C496" s="131" t="s">
        <v>145</v>
      </c>
      <c r="D496" s="132">
        <v>0</v>
      </c>
      <c r="E496" s="132">
        <v>2500</v>
      </c>
      <c r="F496" s="132">
        <v>3.87</v>
      </c>
    </row>
    <row r="497" spans="1:6" x14ac:dyDescent="0.2">
      <c r="A497" s="131" t="s">
        <v>413</v>
      </c>
      <c r="B497" s="131" t="s">
        <v>167</v>
      </c>
      <c r="C497" s="131" t="s">
        <v>140</v>
      </c>
      <c r="D497" s="132">
        <v>5000</v>
      </c>
      <c r="E497" s="132">
        <v>0</v>
      </c>
      <c r="F497" s="132">
        <v>3.7549999999999999</v>
      </c>
    </row>
    <row r="498" spans="1:6" x14ac:dyDescent="0.2">
      <c r="A498" s="131" t="s">
        <v>413</v>
      </c>
      <c r="B498" s="131" t="s">
        <v>183</v>
      </c>
      <c r="C498" s="131" t="s">
        <v>154</v>
      </c>
      <c r="D498" s="132">
        <v>0</v>
      </c>
      <c r="E498" s="132">
        <v>5000</v>
      </c>
      <c r="F498" s="132">
        <v>4.2549999999999999</v>
      </c>
    </row>
    <row r="499" spans="1:6" x14ac:dyDescent="0.2">
      <c r="A499" s="131" t="s">
        <v>413</v>
      </c>
      <c r="B499" s="131" t="s">
        <v>144</v>
      </c>
      <c r="C499" s="131" t="s">
        <v>164</v>
      </c>
      <c r="D499" s="132">
        <v>0</v>
      </c>
      <c r="E499" s="132">
        <v>20000</v>
      </c>
      <c r="F499" s="132">
        <v>3.8525</v>
      </c>
    </row>
    <row r="500" spans="1:6" x14ac:dyDescent="0.2">
      <c r="A500" s="131" t="s">
        <v>414</v>
      </c>
      <c r="B500" s="131" t="s">
        <v>400</v>
      </c>
      <c r="C500" s="131" t="s">
        <v>140</v>
      </c>
      <c r="D500" s="132">
        <v>10000</v>
      </c>
      <c r="E500" s="132">
        <v>0</v>
      </c>
      <c r="F500" s="132">
        <v>3.7549999999999999</v>
      </c>
    </row>
    <row r="501" spans="1:6" x14ac:dyDescent="0.2">
      <c r="A501" s="131" t="s">
        <v>414</v>
      </c>
      <c r="B501" s="131" t="s">
        <v>144</v>
      </c>
      <c r="C501" s="131" t="s">
        <v>164</v>
      </c>
      <c r="D501" s="132">
        <v>0</v>
      </c>
      <c r="E501" s="132">
        <v>20000</v>
      </c>
      <c r="F501" s="132">
        <v>3.8525</v>
      </c>
    </row>
    <row r="502" spans="1:6" x14ac:dyDescent="0.2">
      <c r="A502" s="131" t="s">
        <v>415</v>
      </c>
      <c r="B502" s="131" t="s">
        <v>416</v>
      </c>
      <c r="C502" s="131" t="s">
        <v>140</v>
      </c>
      <c r="D502" s="132">
        <v>0</v>
      </c>
      <c r="E502" s="132">
        <v>5000</v>
      </c>
      <c r="F502" s="132">
        <v>3.7650000000000001</v>
      </c>
    </row>
    <row r="503" spans="1:6" x14ac:dyDescent="0.2">
      <c r="A503" s="131" t="s">
        <v>415</v>
      </c>
      <c r="B503" s="131" t="s">
        <v>204</v>
      </c>
      <c r="C503" s="131" t="s">
        <v>197</v>
      </c>
      <c r="D503" s="132">
        <v>7500</v>
      </c>
      <c r="E503" s="132">
        <v>0</v>
      </c>
      <c r="F503" s="132">
        <v>3.89</v>
      </c>
    </row>
    <row r="504" spans="1:6" x14ac:dyDescent="0.2">
      <c r="A504" s="131" t="s">
        <v>417</v>
      </c>
      <c r="B504" s="131" t="s">
        <v>204</v>
      </c>
      <c r="C504" s="131" t="s">
        <v>197</v>
      </c>
      <c r="D504" s="132">
        <v>7500</v>
      </c>
      <c r="E504" s="132">
        <v>0</v>
      </c>
      <c r="F504" s="132">
        <v>3.89</v>
      </c>
    </row>
    <row r="505" spans="1:6" x14ac:dyDescent="0.2">
      <c r="A505" s="131" t="s">
        <v>418</v>
      </c>
      <c r="B505" s="131" t="s">
        <v>248</v>
      </c>
      <c r="C505" s="131" t="s">
        <v>140</v>
      </c>
      <c r="D505" s="132">
        <v>0</v>
      </c>
      <c r="E505" s="132">
        <v>15000</v>
      </c>
      <c r="F505" s="132">
        <v>3.7650000000000001</v>
      </c>
    </row>
    <row r="506" spans="1:6" x14ac:dyDescent="0.2">
      <c r="A506" s="131" t="s">
        <v>418</v>
      </c>
      <c r="B506" s="131" t="s">
        <v>156</v>
      </c>
      <c r="C506" s="131" t="s">
        <v>140</v>
      </c>
      <c r="D506" s="132">
        <v>20000</v>
      </c>
      <c r="E506" s="132">
        <v>0</v>
      </c>
      <c r="F506" s="132">
        <v>3.7549999999999999</v>
      </c>
    </row>
    <row r="507" spans="1:6" x14ac:dyDescent="0.2">
      <c r="A507" s="131" t="s">
        <v>419</v>
      </c>
      <c r="B507" s="131" t="s">
        <v>156</v>
      </c>
      <c r="C507" s="131" t="s">
        <v>140</v>
      </c>
      <c r="D507" s="132">
        <v>20000</v>
      </c>
      <c r="E507" s="132">
        <v>0</v>
      </c>
      <c r="F507" s="132">
        <v>3.7549999999999999</v>
      </c>
    </row>
    <row r="508" spans="1:6" x14ac:dyDescent="0.2">
      <c r="A508" s="131" t="s">
        <v>419</v>
      </c>
      <c r="B508" s="131" t="s">
        <v>144</v>
      </c>
      <c r="C508" s="131" t="s">
        <v>140</v>
      </c>
      <c r="D508" s="132">
        <v>0</v>
      </c>
      <c r="E508" s="132">
        <v>15000</v>
      </c>
      <c r="F508" s="132">
        <v>3.76</v>
      </c>
    </row>
    <row r="509" spans="1:6" x14ac:dyDescent="0.2">
      <c r="A509" s="131" t="s">
        <v>420</v>
      </c>
      <c r="B509" s="131" t="s">
        <v>217</v>
      </c>
      <c r="C509" s="131" t="s">
        <v>145</v>
      </c>
      <c r="D509" s="132">
        <v>0</v>
      </c>
      <c r="E509" s="132">
        <v>5000</v>
      </c>
      <c r="F509" s="132">
        <v>3.8650000000000002</v>
      </c>
    </row>
    <row r="510" spans="1:6" x14ac:dyDescent="0.2">
      <c r="A510" s="131" t="s">
        <v>420</v>
      </c>
      <c r="B510" s="131" t="s">
        <v>217</v>
      </c>
      <c r="C510" s="131" t="s">
        <v>154</v>
      </c>
      <c r="D510" s="132">
        <v>0</v>
      </c>
      <c r="E510" s="132">
        <v>5000</v>
      </c>
      <c r="F510" s="132">
        <v>4.25</v>
      </c>
    </row>
    <row r="511" spans="1:6" x14ac:dyDescent="0.2">
      <c r="A511" s="131" t="s">
        <v>420</v>
      </c>
      <c r="B511" s="131" t="s">
        <v>168</v>
      </c>
      <c r="C511" s="131" t="s">
        <v>140</v>
      </c>
      <c r="D511" s="132">
        <v>20000</v>
      </c>
      <c r="E511" s="132">
        <v>0</v>
      </c>
      <c r="F511" s="132">
        <v>3.7549999999999999</v>
      </c>
    </row>
    <row r="512" spans="1:6" x14ac:dyDescent="0.2">
      <c r="A512" s="131" t="s">
        <v>420</v>
      </c>
      <c r="B512" s="131" t="s">
        <v>144</v>
      </c>
      <c r="C512" s="131" t="s">
        <v>164</v>
      </c>
      <c r="D512" s="132">
        <v>0</v>
      </c>
      <c r="E512" s="132">
        <v>20000</v>
      </c>
      <c r="F512" s="132">
        <v>3.8525</v>
      </c>
    </row>
    <row r="513" spans="1:6" x14ac:dyDescent="0.2">
      <c r="A513" s="131" t="s">
        <v>421</v>
      </c>
      <c r="B513" s="131" t="s">
        <v>173</v>
      </c>
      <c r="C513" s="131" t="s">
        <v>150</v>
      </c>
      <c r="D513" s="132">
        <v>0</v>
      </c>
      <c r="E513" s="132">
        <v>5000</v>
      </c>
      <c r="F513" s="132">
        <v>3.9449999999999998</v>
      </c>
    </row>
    <row r="514" spans="1:6" x14ac:dyDescent="0.2">
      <c r="A514" s="131" t="s">
        <v>422</v>
      </c>
      <c r="B514" s="131" t="s">
        <v>204</v>
      </c>
      <c r="C514" s="131" t="s">
        <v>140</v>
      </c>
      <c r="D514" s="132">
        <v>0</v>
      </c>
      <c r="E514" s="132">
        <v>10000</v>
      </c>
      <c r="F514" s="132">
        <v>3.76</v>
      </c>
    </row>
    <row r="515" spans="1:6" x14ac:dyDescent="0.2">
      <c r="A515" s="131" t="s">
        <v>423</v>
      </c>
      <c r="B515" s="131" t="s">
        <v>384</v>
      </c>
      <c r="C515" s="131" t="s">
        <v>154</v>
      </c>
      <c r="D515" s="132">
        <v>0</v>
      </c>
      <c r="E515" s="132">
        <v>2500</v>
      </c>
      <c r="F515" s="132">
        <v>4.2450000000000001</v>
      </c>
    </row>
    <row r="516" spans="1:6" x14ac:dyDescent="0.2">
      <c r="A516" s="131" t="s">
        <v>423</v>
      </c>
      <c r="B516" s="131" t="s">
        <v>168</v>
      </c>
      <c r="C516" s="131" t="s">
        <v>140</v>
      </c>
      <c r="D516" s="132">
        <v>5000</v>
      </c>
      <c r="E516" s="132">
        <v>0</v>
      </c>
      <c r="F516" s="132">
        <v>3.7549999999999999</v>
      </c>
    </row>
    <row r="517" spans="1:6" x14ac:dyDescent="0.2">
      <c r="A517" s="131" t="s">
        <v>423</v>
      </c>
      <c r="B517" s="131" t="s">
        <v>204</v>
      </c>
      <c r="C517" s="131" t="s">
        <v>140</v>
      </c>
      <c r="D517" s="132">
        <v>0</v>
      </c>
      <c r="E517" s="132">
        <v>10000</v>
      </c>
      <c r="F517" s="132">
        <v>3.76</v>
      </c>
    </row>
    <row r="518" spans="1:6" x14ac:dyDescent="0.2">
      <c r="A518" s="131" t="s">
        <v>424</v>
      </c>
      <c r="B518" s="131" t="s">
        <v>144</v>
      </c>
      <c r="C518" s="131" t="s">
        <v>145</v>
      </c>
      <c r="D518" s="132">
        <v>0</v>
      </c>
      <c r="E518" s="132">
        <v>5000</v>
      </c>
      <c r="F518" s="132">
        <v>3.86</v>
      </c>
    </row>
    <row r="519" spans="1:6" x14ac:dyDescent="0.2">
      <c r="A519" s="131" t="s">
        <v>424</v>
      </c>
      <c r="B519" s="131" t="s">
        <v>215</v>
      </c>
      <c r="C519" s="131" t="s">
        <v>140</v>
      </c>
      <c r="D519" s="132">
        <v>5000</v>
      </c>
      <c r="E519" s="132">
        <v>0</v>
      </c>
      <c r="F519" s="132">
        <v>3.7549999999999999</v>
      </c>
    </row>
    <row r="520" spans="1:6" x14ac:dyDescent="0.2">
      <c r="A520" s="131" t="s">
        <v>425</v>
      </c>
      <c r="B520" s="131" t="s">
        <v>144</v>
      </c>
      <c r="C520" s="131" t="s">
        <v>140</v>
      </c>
      <c r="D520" s="132">
        <v>0</v>
      </c>
      <c r="E520" s="132">
        <v>20000</v>
      </c>
      <c r="F520" s="132">
        <v>3.76</v>
      </c>
    </row>
    <row r="521" spans="1:6" x14ac:dyDescent="0.2">
      <c r="A521" s="131" t="s">
        <v>426</v>
      </c>
      <c r="B521" s="131" t="s">
        <v>331</v>
      </c>
      <c r="C521" s="131" t="s">
        <v>140</v>
      </c>
      <c r="D521" s="132">
        <v>20000</v>
      </c>
      <c r="E521" s="132">
        <v>0</v>
      </c>
      <c r="F521" s="132">
        <v>3.7549999999999999</v>
      </c>
    </row>
    <row r="522" spans="1:6" x14ac:dyDescent="0.2">
      <c r="A522" s="131" t="s">
        <v>427</v>
      </c>
      <c r="B522" s="131" t="s">
        <v>147</v>
      </c>
      <c r="C522" s="131" t="s">
        <v>145</v>
      </c>
      <c r="D522" s="132">
        <v>0</v>
      </c>
      <c r="E522" s="132">
        <v>2500</v>
      </c>
      <c r="F522" s="132">
        <v>3.8650000000000002</v>
      </c>
    </row>
    <row r="523" spans="1:6" x14ac:dyDescent="0.2">
      <c r="A523" s="131" t="s">
        <v>427</v>
      </c>
      <c r="B523" s="131" t="s">
        <v>226</v>
      </c>
      <c r="C523" s="131" t="s">
        <v>140</v>
      </c>
      <c r="D523" s="132">
        <v>5000</v>
      </c>
      <c r="E523" s="132">
        <v>0</v>
      </c>
      <c r="F523" s="132">
        <v>3.75</v>
      </c>
    </row>
    <row r="524" spans="1:6" x14ac:dyDescent="0.2">
      <c r="A524" s="131" t="s">
        <v>427</v>
      </c>
      <c r="B524" s="131" t="s">
        <v>174</v>
      </c>
      <c r="C524" s="131" t="s">
        <v>164</v>
      </c>
      <c r="D524" s="132">
        <v>0</v>
      </c>
      <c r="E524" s="132">
        <v>20000</v>
      </c>
      <c r="F524" s="132">
        <v>3.8525</v>
      </c>
    </row>
    <row r="525" spans="1:6" x14ac:dyDescent="0.2">
      <c r="A525" s="131" t="s">
        <v>428</v>
      </c>
      <c r="B525" s="131" t="s">
        <v>220</v>
      </c>
      <c r="C525" s="131" t="s">
        <v>140</v>
      </c>
      <c r="D525" s="132">
        <v>10000</v>
      </c>
      <c r="E525" s="132">
        <v>0</v>
      </c>
      <c r="F525" s="132">
        <v>3.76</v>
      </c>
    </row>
    <row r="526" spans="1:6" x14ac:dyDescent="0.2">
      <c r="A526" s="131" t="s">
        <v>428</v>
      </c>
      <c r="B526" s="131" t="s">
        <v>139</v>
      </c>
      <c r="C526" s="131" t="s">
        <v>140</v>
      </c>
      <c r="D526" s="132">
        <v>5000</v>
      </c>
      <c r="E526" s="132">
        <v>0</v>
      </c>
      <c r="F526" s="132">
        <v>3.76</v>
      </c>
    </row>
    <row r="527" spans="1:6" x14ac:dyDescent="0.2">
      <c r="A527" s="131" t="s">
        <v>428</v>
      </c>
      <c r="B527" s="131" t="s">
        <v>173</v>
      </c>
      <c r="C527" s="131" t="s">
        <v>150</v>
      </c>
      <c r="D527" s="132">
        <v>0</v>
      </c>
      <c r="E527" s="132">
        <v>5000</v>
      </c>
      <c r="F527" s="132">
        <v>3.9449999999999998</v>
      </c>
    </row>
    <row r="528" spans="1:6" x14ac:dyDescent="0.2">
      <c r="A528" s="131" t="s">
        <v>428</v>
      </c>
      <c r="B528" s="131" t="s">
        <v>174</v>
      </c>
      <c r="C528" s="131" t="s">
        <v>164</v>
      </c>
      <c r="D528" s="132">
        <v>0</v>
      </c>
      <c r="E528" s="132">
        <v>20000</v>
      </c>
      <c r="F528" s="132">
        <v>3.8574999999999999</v>
      </c>
    </row>
    <row r="529" spans="1:6" x14ac:dyDescent="0.2">
      <c r="A529" s="131" t="s">
        <v>429</v>
      </c>
      <c r="B529" s="131" t="s">
        <v>144</v>
      </c>
      <c r="C529" s="131" t="s">
        <v>145</v>
      </c>
      <c r="D529" s="132">
        <v>0</v>
      </c>
      <c r="E529" s="132">
        <v>5000</v>
      </c>
      <c r="F529" s="132">
        <v>3.8650000000000002</v>
      </c>
    </row>
    <row r="530" spans="1:6" x14ac:dyDescent="0.2">
      <c r="A530" s="131" t="s">
        <v>430</v>
      </c>
      <c r="B530" s="131" t="s">
        <v>144</v>
      </c>
      <c r="C530" s="131" t="s">
        <v>145</v>
      </c>
      <c r="D530" s="132">
        <v>0</v>
      </c>
      <c r="E530" s="132">
        <v>5000</v>
      </c>
      <c r="F530" s="132">
        <v>3.8650000000000002</v>
      </c>
    </row>
    <row r="531" spans="1:6" x14ac:dyDescent="0.2">
      <c r="A531" s="131" t="s">
        <v>430</v>
      </c>
      <c r="B531" s="131" t="s">
        <v>144</v>
      </c>
      <c r="C531" s="131" t="s">
        <v>140</v>
      </c>
      <c r="D531" s="132">
        <v>0</v>
      </c>
      <c r="E531" s="132">
        <v>15000</v>
      </c>
      <c r="F531" s="132">
        <v>3.7650000000000001</v>
      </c>
    </row>
    <row r="532" spans="1:6" x14ac:dyDescent="0.2">
      <c r="A532" s="131" t="s">
        <v>430</v>
      </c>
      <c r="B532" s="131" t="s">
        <v>431</v>
      </c>
      <c r="C532" s="131" t="s">
        <v>301</v>
      </c>
      <c r="D532" s="132">
        <v>0</v>
      </c>
      <c r="E532" s="132">
        <v>5000</v>
      </c>
      <c r="F532" s="132">
        <v>3.7574999999999998</v>
      </c>
    </row>
    <row r="533" spans="1:6" x14ac:dyDescent="0.2">
      <c r="A533" s="131" t="s">
        <v>432</v>
      </c>
      <c r="B533" s="131" t="s">
        <v>156</v>
      </c>
      <c r="C533" s="131" t="s">
        <v>197</v>
      </c>
      <c r="D533" s="132">
        <v>2500</v>
      </c>
      <c r="E533" s="132">
        <v>0</v>
      </c>
      <c r="F533" s="132">
        <v>3.895</v>
      </c>
    </row>
    <row r="534" spans="1:6" x14ac:dyDescent="0.2">
      <c r="A534" s="131" t="s">
        <v>432</v>
      </c>
      <c r="B534" s="131" t="s">
        <v>156</v>
      </c>
      <c r="C534" s="131" t="s">
        <v>197</v>
      </c>
      <c r="D534" s="132">
        <v>2500</v>
      </c>
      <c r="E534" s="132">
        <v>0</v>
      </c>
      <c r="F534" s="132">
        <v>3.895</v>
      </c>
    </row>
    <row r="535" spans="1:6" x14ac:dyDescent="0.2">
      <c r="A535" s="131" t="s">
        <v>432</v>
      </c>
      <c r="B535" s="131" t="s">
        <v>144</v>
      </c>
      <c r="C535" s="131" t="s">
        <v>145</v>
      </c>
      <c r="D535" s="132">
        <v>0</v>
      </c>
      <c r="E535" s="132">
        <v>5000</v>
      </c>
      <c r="F535" s="132">
        <v>3.87</v>
      </c>
    </row>
    <row r="536" spans="1:6" x14ac:dyDescent="0.2">
      <c r="A536" s="131" t="s">
        <v>433</v>
      </c>
      <c r="B536" s="131" t="s">
        <v>232</v>
      </c>
      <c r="C536" s="131" t="s">
        <v>140</v>
      </c>
      <c r="D536" s="132">
        <v>15000</v>
      </c>
      <c r="E536" s="132">
        <v>0</v>
      </c>
      <c r="F536" s="132">
        <v>3.77</v>
      </c>
    </row>
    <row r="537" spans="1:6" x14ac:dyDescent="0.2">
      <c r="A537" s="131" t="s">
        <v>433</v>
      </c>
      <c r="B537" s="131" t="s">
        <v>178</v>
      </c>
      <c r="C537" s="131" t="s">
        <v>140</v>
      </c>
      <c r="D537" s="132">
        <v>20000</v>
      </c>
      <c r="E537" s="132">
        <v>0</v>
      </c>
      <c r="F537" s="132">
        <v>3.7650000000000001</v>
      </c>
    </row>
    <row r="538" spans="1:6" x14ac:dyDescent="0.2">
      <c r="A538" s="131" t="s">
        <v>433</v>
      </c>
      <c r="B538" s="131" t="s">
        <v>173</v>
      </c>
      <c r="C538" s="131" t="s">
        <v>150</v>
      </c>
      <c r="D538" s="132">
        <v>0</v>
      </c>
      <c r="E538" s="132">
        <v>5000</v>
      </c>
      <c r="F538" s="132">
        <v>3.95</v>
      </c>
    </row>
    <row r="539" spans="1:6" x14ac:dyDescent="0.2">
      <c r="A539" s="131" t="s">
        <v>433</v>
      </c>
      <c r="B539" s="131" t="s">
        <v>174</v>
      </c>
      <c r="C539" s="131" t="s">
        <v>164</v>
      </c>
      <c r="D539" s="132">
        <v>0</v>
      </c>
      <c r="E539" s="132">
        <v>20000</v>
      </c>
      <c r="F539" s="132">
        <v>3.8624999999999998</v>
      </c>
    </row>
    <row r="540" spans="1:6" x14ac:dyDescent="0.2">
      <c r="A540" s="131" t="s">
        <v>433</v>
      </c>
      <c r="B540" s="131" t="s">
        <v>174</v>
      </c>
      <c r="C540" s="131" t="s">
        <v>164</v>
      </c>
      <c r="D540" s="132">
        <v>0</v>
      </c>
      <c r="E540" s="132">
        <v>20000</v>
      </c>
      <c r="F540" s="132">
        <v>3.8675000000000002</v>
      </c>
    </row>
    <row r="541" spans="1:6" x14ac:dyDescent="0.2">
      <c r="A541" s="131" t="s">
        <v>433</v>
      </c>
      <c r="B541" s="131" t="s">
        <v>163</v>
      </c>
      <c r="C541" s="131" t="s">
        <v>150</v>
      </c>
      <c r="D541" s="132">
        <v>2500</v>
      </c>
      <c r="E541" s="132">
        <v>0</v>
      </c>
      <c r="F541" s="132">
        <v>3.9449999999999998</v>
      </c>
    </row>
    <row r="542" spans="1:6" x14ac:dyDescent="0.2">
      <c r="A542" s="131" t="s">
        <v>433</v>
      </c>
      <c r="B542" s="131" t="s">
        <v>144</v>
      </c>
      <c r="C542" s="131" t="s">
        <v>145</v>
      </c>
      <c r="D542" s="132">
        <v>0</v>
      </c>
      <c r="E542" s="132">
        <v>5000</v>
      </c>
      <c r="F542" s="132">
        <v>3.875</v>
      </c>
    </row>
    <row r="543" spans="1:6" x14ac:dyDescent="0.2">
      <c r="A543" s="131" t="s">
        <v>433</v>
      </c>
      <c r="B543" s="131" t="s">
        <v>144</v>
      </c>
      <c r="C543" s="131" t="s">
        <v>140</v>
      </c>
      <c r="D543" s="132">
        <v>0</v>
      </c>
      <c r="E543" s="132">
        <v>20000</v>
      </c>
      <c r="F543" s="132">
        <v>3.77</v>
      </c>
    </row>
    <row r="544" spans="1:6" x14ac:dyDescent="0.2">
      <c r="A544" s="131" t="s">
        <v>434</v>
      </c>
      <c r="B544" s="131" t="s">
        <v>147</v>
      </c>
      <c r="C544" s="131" t="s">
        <v>145</v>
      </c>
      <c r="D544" s="132">
        <v>0</v>
      </c>
      <c r="E544" s="132">
        <v>5000</v>
      </c>
      <c r="F544" s="132">
        <v>3.88</v>
      </c>
    </row>
    <row r="545" spans="1:6" x14ac:dyDescent="0.2">
      <c r="A545" s="131" t="s">
        <v>434</v>
      </c>
      <c r="B545" s="131" t="s">
        <v>220</v>
      </c>
      <c r="C545" s="131" t="s">
        <v>140</v>
      </c>
      <c r="D545" s="132">
        <v>5000</v>
      </c>
      <c r="E545" s="132">
        <v>0</v>
      </c>
      <c r="F545" s="132">
        <v>3.77</v>
      </c>
    </row>
    <row r="546" spans="1:6" x14ac:dyDescent="0.2">
      <c r="A546" s="131" t="s">
        <v>434</v>
      </c>
      <c r="B546" s="131" t="s">
        <v>390</v>
      </c>
      <c r="C546" s="131" t="s">
        <v>140</v>
      </c>
      <c r="D546" s="132">
        <v>2500</v>
      </c>
      <c r="E546" s="132">
        <v>0</v>
      </c>
      <c r="F546" s="132">
        <v>3.7650000000000001</v>
      </c>
    </row>
    <row r="547" spans="1:6" x14ac:dyDescent="0.2">
      <c r="A547" s="131" t="s">
        <v>434</v>
      </c>
      <c r="B547" s="131" t="s">
        <v>204</v>
      </c>
      <c r="C547" s="131" t="s">
        <v>140</v>
      </c>
      <c r="D547" s="132">
        <v>12500</v>
      </c>
      <c r="E547" s="132">
        <v>0</v>
      </c>
      <c r="F547" s="132">
        <v>3.7650000000000001</v>
      </c>
    </row>
    <row r="548" spans="1:6" x14ac:dyDescent="0.2">
      <c r="A548" s="131" t="s">
        <v>434</v>
      </c>
      <c r="B548" s="131" t="s">
        <v>200</v>
      </c>
      <c r="C548" s="131" t="s">
        <v>140</v>
      </c>
      <c r="D548" s="132">
        <v>0</v>
      </c>
      <c r="E548" s="132">
        <v>10000</v>
      </c>
      <c r="F548" s="132">
        <v>3.7749999999999999</v>
      </c>
    </row>
    <row r="549" spans="1:6" x14ac:dyDescent="0.2">
      <c r="A549" s="131" t="s">
        <v>434</v>
      </c>
      <c r="B549" s="131" t="s">
        <v>144</v>
      </c>
      <c r="C549" s="131" t="s">
        <v>140</v>
      </c>
      <c r="D549" s="132">
        <v>0</v>
      </c>
      <c r="E549" s="132">
        <v>10000</v>
      </c>
      <c r="F549" s="132">
        <v>3.7749999999999999</v>
      </c>
    </row>
    <row r="550" spans="1:6" x14ac:dyDescent="0.2">
      <c r="A550" s="131" t="s">
        <v>434</v>
      </c>
      <c r="B550" s="131" t="s">
        <v>144</v>
      </c>
      <c r="C550" s="131" t="s">
        <v>140</v>
      </c>
      <c r="D550" s="132">
        <v>0</v>
      </c>
      <c r="E550" s="132">
        <v>10000</v>
      </c>
      <c r="F550" s="132">
        <v>3.7749999999999999</v>
      </c>
    </row>
    <row r="551" spans="1:6" x14ac:dyDescent="0.2">
      <c r="A551" s="131" t="s">
        <v>435</v>
      </c>
      <c r="B551" s="131" t="s">
        <v>167</v>
      </c>
      <c r="C551" s="131" t="s">
        <v>197</v>
      </c>
      <c r="D551" s="132">
        <v>0</v>
      </c>
      <c r="E551" s="132">
        <v>5000</v>
      </c>
      <c r="F551" s="132">
        <v>3.91</v>
      </c>
    </row>
    <row r="552" spans="1:6" x14ac:dyDescent="0.2">
      <c r="A552" s="131" t="s">
        <v>435</v>
      </c>
      <c r="B552" s="131" t="s">
        <v>248</v>
      </c>
      <c r="C552" s="131" t="s">
        <v>140</v>
      </c>
      <c r="D552" s="132">
        <v>0</v>
      </c>
      <c r="E552" s="132">
        <v>5000</v>
      </c>
      <c r="F552" s="132">
        <v>3.7749999999999999</v>
      </c>
    </row>
    <row r="553" spans="1:6" x14ac:dyDescent="0.2">
      <c r="A553" s="131" t="s">
        <v>435</v>
      </c>
      <c r="B553" s="131" t="s">
        <v>144</v>
      </c>
      <c r="C553" s="131" t="s">
        <v>164</v>
      </c>
      <c r="D553" s="132">
        <v>0</v>
      </c>
      <c r="E553" s="132">
        <v>15000</v>
      </c>
      <c r="F553" s="132">
        <v>3.8725000000000001</v>
      </c>
    </row>
    <row r="554" spans="1:6" x14ac:dyDescent="0.2">
      <c r="A554" s="131" t="s">
        <v>436</v>
      </c>
      <c r="B554" s="131" t="s">
        <v>158</v>
      </c>
      <c r="C554" s="131" t="s">
        <v>140</v>
      </c>
      <c r="D554" s="132">
        <v>0</v>
      </c>
      <c r="E554" s="132">
        <v>20000</v>
      </c>
      <c r="F554" s="132">
        <v>3.7749999999999999</v>
      </c>
    </row>
    <row r="555" spans="1:6" x14ac:dyDescent="0.2">
      <c r="A555" s="131" t="s">
        <v>436</v>
      </c>
      <c r="B555" s="131" t="s">
        <v>173</v>
      </c>
      <c r="C555" s="131" t="s">
        <v>150</v>
      </c>
      <c r="D555" s="132">
        <v>0</v>
      </c>
      <c r="E555" s="132">
        <v>5000</v>
      </c>
      <c r="F555" s="132">
        <v>3.95</v>
      </c>
    </row>
    <row r="556" spans="1:6" x14ac:dyDescent="0.2">
      <c r="A556" s="131" t="s">
        <v>436</v>
      </c>
      <c r="B556" s="131" t="s">
        <v>437</v>
      </c>
      <c r="C556" s="131" t="s">
        <v>197</v>
      </c>
      <c r="D556" s="132">
        <v>5000</v>
      </c>
      <c r="E556" s="132">
        <v>0</v>
      </c>
      <c r="F556" s="132">
        <v>3.9049999999999998</v>
      </c>
    </row>
    <row r="557" spans="1:6" x14ac:dyDescent="0.2">
      <c r="A557" s="131" t="s">
        <v>438</v>
      </c>
      <c r="B557" s="131" t="s">
        <v>200</v>
      </c>
      <c r="C557" s="131" t="s">
        <v>140</v>
      </c>
      <c r="D557" s="132">
        <v>0</v>
      </c>
      <c r="E557" s="132">
        <v>20000</v>
      </c>
      <c r="F557" s="132">
        <v>3.78</v>
      </c>
    </row>
    <row r="558" spans="1:6" x14ac:dyDescent="0.2">
      <c r="A558" s="131" t="s">
        <v>439</v>
      </c>
      <c r="B558" s="131" t="s">
        <v>217</v>
      </c>
      <c r="C558" s="131" t="s">
        <v>140</v>
      </c>
      <c r="D558" s="132">
        <v>0</v>
      </c>
      <c r="E558" s="132">
        <v>20000</v>
      </c>
      <c r="F558" s="132">
        <v>3.7749999999999999</v>
      </c>
    </row>
    <row r="559" spans="1:6" x14ac:dyDescent="0.2">
      <c r="A559" s="131" t="s">
        <v>439</v>
      </c>
      <c r="B559" s="131" t="s">
        <v>218</v>
      </c>
      <c r="C559" s="131" t="s">
        <v>154</v>
      </c>
      <c r="D559" s="132">
        <v>0</v>
      </c>
      <c r="E559" s="132">
        <v>2500</v>
      </c>
      <c r="F559" s="132">
        <v>4.2699999999999996</v>
      </c>
    </row>
    <row r="560" spans="1:6" x14ac:dyDescent="0.2">
      <c r="A560" s="131" t="s">
        <v>439</v>
      </c>
      <c r="B560" s="131" t="s">
        <v>440</v>
      </c>
      <c r="C560" s="131" t="s">
        <v>140</v>
      </c>
      <c r="D560" s="132">
        <v>0</v>
      </c>
      <c r="E560" s="132">
        <v>20000</v>
      </c>
      <c r="F560" s="132">
        <v>3.78</v>
      </c>
    </row>
    <row r="561" spans="1:6" x14ac:dyDescent="0.2">
      <c r="A561" s="131" t="s">
        <v>439</v>
      </c>
      <c r="B561" s="131" t="s">
        <v>380</v>
      </c>
      <c r="C561" s="131" t="s">
        <v>140</v>
      </c>
      <c r="D561" s="132">
        <v>20000</v>
      </c>
      <c r="E561" s="132">
        <v>0</v>
      </c>
      <c r="F561" s="132">
        <v>3.77</v>
      </c>
    </row>
    <row r="562" spans="1:6" x14ac:dyDescent="0.2">
      <c r="A562" s="131" t="s">
        <v>439</v>
      </c>
      <c r="B562" s="131" t="s">
        <v>308</v>
      </c>
      <c r="C562" s="131" t="s">
        <v>197</v>
      </c>
      <c r="D562" s="132">
        <v>15000</v>
      </c>
      <c r="E562" s="132">
        <v>0</v>
      </c>
      <c r="F562" s="132">
        <v>3.91</v>
      </c>
    </row>
    <row r="563" spans="1:6" x14ac:dyDescent="0.2">
      <c r="A563" s="131" t="s">
        <v>441</v>
      </c>
      <c r="B563" s="131" t="s">
        <v>229</v>
      </c>
      <c r="C563" s="131" t="s">
        <v>140</v>
      </c>
      <c r="D563" s="132">
        <v>10000</v>
      </c>
      <c r="E563" s="132">
        <v>0</v>
      </c>
      <c r="F563" s="132">
        <v>3.78</v>
      </c>
    </row>
    <row r="564" spans="1:6" x14ac:dyDescent="0.2">
      <c r="A564" s="131" t="s">
        <v>441</v>
      </c>
      <c r="B564" s="131" t="s">
        <v>220</v>
      </c>
      <c r="C564" s="131" t="s">
        <v>164</v>
      </c>
      <c r="D564" s="132">
        <v>10000</v>
      </c>
      <c r="E564" s="132">
        <v>0</v>
      </c>
      <c r="F564" s="132">
        <v>3.8725000000000001</v>
      </c>
    </row>
    <row r="565" spans="1:6" x14ac:dyDescent="0.2">
      <c r="A565" s="131" t="s">
        <v>441</v>
      </c>
      <c r="B565" s="131" t="s">
        <v>248</v>
      </c>
      <c r="C565" s="131" t="s">
        <v>140</v>
      </c>
      <c r="D565" s="132">
        <v>0</v>
      </c>
      <c r="E565" s="132">
        <v>10000</v>
      </c>
      <c r="F565" s="132">
        <v>3.7850000000000001</v>
      </c>
    </row>
    <row r="566" spans="1:6" x14ac:dyDescent="0.2">
      <c r="A566" s="131" t="s">
        <v>441</v>
      </c>
      <c r="B566" s="131" t="s">
        <v>200</v>
      </c>
      <c r="C566" s="131" t="s">
        <v>140</v>
      </c>
      <c r="D566" s="132">
        <v>0</v>
      </c>
      <c r="E566" s="132">
        <v>5000</v>
      </c>
      <c r="F566" s="132">
        <v>3.7850000000000001</v>
      </c>
    </row>
    <row r="567" spans="1:6" x14ac:dyDescent="0.2">
      <c r="A567" s="131" t="s">
        <v>441</v>
      </c>
      <c r="B567" s="131" t="s">
        <v>173</v>
      </c>
      <c r="C567" s="131" t="s">
        <v>150</v>
      </c>
      <c r="D567" s="132">
        <v>0</v>
      </c>
      <c r="E567" s="132">
        <v>5000</v>
      </c>
      <c r="F567" s="132">
        <v>3.9550000000000001</v>
      </c>
    </row>
    <row r="568" spans="1:6" x14ac:dyDescent="0.2">
      <c r="A568" s="131" t="s">
        <v>441</v>
      </c>
      <c r="B568" s="131" t="s">
        <v>156</v>
      </c>
      <c r="C568" s="131" t="s">
        <v>197</v>
      </c>
      <c r="D568" s="132">
        <v>0</v>
      </c>
      <c r="E568" s="132">
        <v>5000</v>
      </c>
      <c r="F568" s="132">
        <v>3.92</v>
      </c>
    </row>
    <row r="569" spans="1:6" x14ac:dyDescent="0.2">
      <c r="A569" s="131" t="s">
        <v>442</v>
      </c>
      <c r="B569" s="131" t="s">
        <v>440</v>
      </c>
      <c r="C569" s="131" t="s">
        <v>164</v>
      </c>
      <c r="D569" s="132">
        <v>0</v>
      </c>
      <c r="E569" s="132">
        <v>20000</v>
      </c>
      <c r="F569" s="132">
        <v>3.8774999999999999</v>
      </c>
    </row>
    <row r="570" spans="1:6" x14ac:dyDescent="0.2">
      <c r="A570" s="131" t="s">
        <v>442</v>
      </c>
      <c r="B570" s="131" t="s">
        <v>204</v>
      </c>
      <c r="C570" s="131" t="s">
        <v>140</v>
      </c>
      <c r="D570" s="132">
        <v>20000</v>
      </c>
      <c r="E570" s="132">
        <v>0</v>
      </c>
      <c r="F570" s="132">
        <v>3.78</v>
      </c>
    </row>
    <row r="571" spans="1:6" x14ac:dyDescent="0.2">
      <c r="A571" s="131" t="s">
        <v>442</v>
      </c>
      <c r="B571" s="131" t="s">
        <v>187</v>
      </c>
      <c r="C571" s="131" t="s">
        <v>145</v>
      </c>
      <c r="D571" s="132">
        <v>0</v>
      </c>
      <c r="E571" s="132">
        <v>5000</v>
      </c>
      <c r="F571" s="132">
        <v>3.8849999999999998</v>
      </c>
    </row>
    <row r="572" spans="1:6" x14ac:dyDescent="0.2">
      <c r="A572" s="131" t="s">
        <v>443</v>
      </c>
      <c r="B572" s="131" t="s">
        <v>202</v>
      </c>
      <c r="C572" s="131" t="s">
        <v>197</v>
      </c>
      <c r="D572" s="132">
        <v>0</v>
      </c>
      <c r="E572" s="132">
        <v>20000</v>
      </c>
      <c r="F572" s="132">
        <v>3.9249999999999998</v>
      </c>
    </row>
    <row r="573" spans="1:6" x14ac:dyDescent="0.2">
      <c r="A573" s="131" t="s">
        <v>443</v>
      </c>
      <c r="B573" s="131" t="s">
        <v>160</v>
      </c>
      <c r="C573" s="131" t="s">
        <v>154</v>
      </c>
      <c r="D573" s="132">
        <v>0</v>
      </c>
      <c r="E573" s="132">
        <v>5000</v>
      </c>
      <c r="F573" s="132">
        <v>4.2750000000000004</v>
      </c>
    </row>
    <row r="574" spans="1:6" x14ac:dyDescent="0.2">
      <c r="A574" s="131" t="s">
        <v>443</v>
      </c>
      <c r="B574" s="131" t="s">
        <v>168</v>
      </c>
      <c r="C574" s="131" t="s">
        <v>140</v>
      </c>
      <c r="D574" s="132">
        <v>10000</v>
      </c>
      <c r="E574" s="132">
        <v>0</v>
      </c>
      <c r="F574" s="132">
        <v>3.7850000000000001</v>
      </c>
    </row>
    <row r="575" spans="1:6" x14ac:dyDescent="0.2">
      <c r="A575" s="131" t="s">
        <v>443</v>
      </c>
      <c r="B575" s="131" t="s">
        <v>444</v>
      </c>
      <c r="C575" s="131" t="s">
        <v>140</v>
      </c>
      <c r="D575" s="132">
        <v>10000</v>
      </c>
      <c r="E575" s="132">
        <v>0</v>
      </c>
      <c r="F575" s="132">
        <v>3.7850000000000001</v>
      </c>
    </row>
    <row r="576" spans="1:6" x14ac:dyDescent="0.2">
      <c r="A576" s="131" t="s">
        <v>443</v>
      </c>
      <c r="B576" s="131" t="s">
        <v>333</v>
      </c>
      <c r="C576" s="131" t="s">
        <v>140</v>
      </c>
      <c r="D576" s="132">
        <v>20000</v>
      </c>
      <c r="E576" s="132">
        <v>0</v>
      </c>
      <c r="F576" s="132">
        <v>3.78</v>
      </c>
    </row>
    <row r="577" spans="1:6" x14ac:dyDescent="0.2">
      <c r="A577" s="131" t="s">
        <v>443</v>
      </c>
      <c r="B577" s="131" t="s">
        <v>174</v>
      </c>
      <c r="C577" s="131" t="s">
        <v>164</v>
      </c>
      <c r="D577" s="132">
        <v>0</v>
      </c>
      <c r="E577" s="132">
        <v>20000</v>
      </c>
      <c r="F577" s="132">
        <v>3.8774999999999999</v>
      </c>
    </row>
    <row r="578" spans="1:6" x14ac:dyDescent="0.2">
      <c r="A578" s="131" t="s">
        <v>445</v>
      </c>
      <c r="B578" s="131" t="s">
        <v>167</v>
      </c>
      <c r="C578" s="131" t="s">
        <v>140</v>
      </c>
      <c r="D578" s="132">
        <v>0</v>
      </c>
      <c r="E578" s="132">
        <v>5000</v>
      </c>
      <c r="F578" s="132">
        <v>3.7850000000000001</v>
      </c>
    </row>
    <row r="579" spans="1:6" x14ac:dyDescent="0.2">
      <c r="A579" s="131" t="s">
        <v>445</v>
      </c>
      <c r="B579" s="131" t="s">
        <v>346</v>
      </c>
      <c r="C579" s="131" t="s">
        <v>140</v>
      </c>
      <c r="D579" s="132">
        <v>0</v>
      </c>
      <c r="E579" s="132">
        <v>10000</v>
      </c>
      <c r="F579" s="132">
        <v>3.7850000000000001</v>
      </c>
    </row>
    <row r="580" spans="1:6" x14ac:dyDescent="0.2">
      <c r="A580" s="131" t="s">
        <v>445</v>
      </c>
      <c r="B580" s="131" t="s">
        <v>174</v>
      </c>
      <c r="C580" s="131" t="s">
        <v>145</v>
      </c>
      <c r="D580" s="132">
        <v>0</v>
      </c>
      <c r="E580" s="132">
        <v>5000</v>
      </c>
      <c r="F580" s="132">
        <v>3.89</v>
      </c>
    </row>
    <row r="581" spans="1:6" x14ac:dyDescent="0.2">
      <c r="A581" s="131" t="s">
        <v>445</v>
      </c>
      <c r="B581" s="131" t="s">
        <v>174</v>
      </c>
      <c r="C581" s="131" t="s">
        <v>145</v>
      </c>
      <c r="D581" s="132">
        <v>0</v>
      </c>
      <c r="E581" s="132">
        <v>5000</v>
      </c>
      <c r="F581" s="132">
        <v>3.895</v>
      </c>
    </row>
    <row r="582" spans="1:6" x14ac:dyDescent="0.2">
      <c r="A582" s="131" t="s">
        <v>445</v>
      </c>
      <c r="B582" s="131" t="s">
        <v>144</v>
      </c>
      <c r="C582" s="131" t="s">
        <v>140</v>
      </c>
      <c r="D582" s="132">
        <v>0</v>
      </c>
      <c r="E582" s="132">
        <v>5000</v>
      </c>
      <c r="F582" s="132">
        <v>3.7850000000000001</v>
      </c>
    </row>
    <row r="583" spans="1:6" x14ac:dyDescent="0.2">
      <c r="A583" s="131" t="s">
        <v>446</v>
      </c>
      <c r="B583" s="131" t="s">
        <v>152</v>
      </c>
      <c r="C583" s="131" t="s">
        <v>140</v>
      </c>
      <c r="D583" s="132">
        <v>0</v>
      </c>
      <c r="E583" s="132">
        <v>5000</v>
      </c>
      <c r="F583" s="132">
        <v>3.79</v>
      </c>
    </row>
    <row r="584" spans="1:6" x14ac:dyDescent="0.2">
      <c r="A584" s="131" t="s">
        <v>446</v>
      </c>
      <c r="B584" s="131" t="s">
        <v>229</v>
      </c>
      <c r="C584" s="131" t="s">
        <v>140</v>
      </c>
      <c r="D584" s="132">
        <v>0</v>
      </c>
      <c r="E584" s="132">
        <v>12500</v>
      </c>
      <c r="F584" s="132">
        <v>3.79</v>
      </c>
    </row>
    <row r="585" spans="1:6" x14ac:dyDescent="0.2">
      <c r="A585" s="131" t="s">
        <v>446</v>
      </c>
      <c r="B585" s="131" t="s">
        <v>217</v>
      </c>
      <c r="C585" s="131" t="s">
        <v>140</v>
      </c>
      <c r="D585" s="132">
        <v>5000</v>
      </c>
      <c r="E585" s="132">
        <v>0</v>
      </c>
      <c r="F585" s="132">
        <v>3.7850000000000001</v>
      </c>
    </row>
    <row r="586" spans="1:6" x14ac:dyDescent="0.2">
      <c r="A586" s="131" t="s">
        <v>446</v>
      </c>
      <c r="B586" s="131" t="s">
        <v>440</v>
      </c>
      <c r="C586" s="131" t="s">
        <v>145</v>
      </c>
      <c r="D586" s="132">
        <v>0</v>
      </c>
      <c r="E586" s="132">
        <v>5000</v>
      </c>
      <c r="F586" s="132">
        <v>3.895</v>
      </c>
    </row>
    <row r="587" spans="1:6" x14ac:dyDescent="0.2">
      <c r="A587" s="131" t="s">
        <v>446</v>
      </c>
      <c r="B587" s="131" t="s">
        <v>144</v>
      </c>
      <c r="C587" s="131" t="s">
        <v>145</v>
      </c>
      <c r="D587" s="132">
        <v>5000</v>
      </c>
      <c r="E587" s="132">
        <v>0</v>
      </c>
      <c r="F587" s="132">
        <v>3.89</v>
      </c>
    </row>
    <row r="588" spans="1:6" x14ac:dyDescent="0.2">
      <c r="A588" s="131" t="s">
        <v>446</v>
      </c>
      <c r="B588" s="131" t="s">
        <v>144</v>
      </c>
      <c r="C588" s="131" t="s">
        <v>140</v>
      </c>
      <c r="D588" s="132">
        <v>0</v>
      </c>
      <c r="E588" s="132">
        <v>7500</v>
      </c>
      <c r="F588" s="132">
        <v>3.79</v>
      </c>
    </row>
    <row r="589" spans="1:6" x14ac:dyDescent="0.2">
      <c r="A589" s="131" t="s">
        <v>446</v>
      </c>
      <c r="B589" s="131" t="s">
        <v>215</v>
      </c>
      <c r="C589" s="131" t="s">
        <v>140</v>
      </c>
      <c r="D589" s="132">
        <v>15000</v>
      </c>
      <c r="E589" s="132">
        <v>0</v>
      </c>
      <c r="F589" s="132">
        <v>3.7850000000000001</v>
      </c>
    </row>
    <row r="590" spans="1:6" x14ac:dyDescent="0.2">
      <c r="A590" s="131" t="s">
        <v>447</v>
      </c>
      <c r="B590" s="131" t="s">
        <v>178</v>
      </c>
      <c r="C590" s="131" t="s">
        <v>140</v>
      </c>
      <c r="D590" s="132">
        <v>20000</v>
      </c>
      <c r="E590" s="132">
        <v>0</v>
      </c>
      <c r="F590" s="132">
        <v>3.7850000000000001</v>
      </c>
    </row>
    <row r="591" spans="1:6" x14ac:dyDescent="0.2">
      <c r="A591" s="131" t="s">
        <v>447</v>
      </c>
      <c r="B591" s="131" t="s">
        <v>169</v>
      </c>
      <c r="C591" s="131" t="s">
        <v>140</v>
      </c>
      <c r="D591" s="132">
        <v>0</v>
      </c>
      <c r="E591" s="132">
        <v>20000</v>
      </c>
      <c r="F591" s="132">
        <v>3.79</v>
      </c>
    </row>
    <row r="592" spans="1:6" x14ac:dyDescent="0.2">
      <c r="A592" s="131" t="s">
        <v>447</v>
      </c>
      <c r="B592" s="131" t="s">
        <v>144</v>
      </c>
      <c r="C592" s="131" t="s">
        <v>140</v>
      </c>
      <c r="D592" s="132">
        <v>0</v>
      </c>
      <c r="E592" s="132">
        <v>15000</v>
      </c>
      <c r="F592" s="132">
        <v>3.79</v>
      </c>
    </row>
    <row r="593" spans="1:6" x14ac:dyDescent="0.2">
      <c r="A593" s="131" t="s">
        <v>448</v>
      </c>
      <c r="B593" s="131" t="s">
        <v>189</v>
      </c>
      <c r="C593" s="131" t="s">
        <v>154</v>
      </c>
      <c r="D593" s="132">
        <v>0</v>
      </c>
      <c r="E593" s="132">
        <v>2500</v>
      </c>
      <c r="F593" s="132">
        <v>4.28</v>
      </c>
    </row>
    <row r="594" spans="1:6" x14ac:dyDescent="0.2">
      <c r="A594" s="131" t="s">
        <v>448</v>
      </c>
      <c r="B594" s="131" t="s">
        <v>144</v>
      </c>
      <c r="C594" s="131" t="s">
        <v>164</v>
      </c>
      <c r="D594" s="132">
        <v>20000</v>
      </c>
      <c r="E594" s="132">
        <v>0</v>
      </c>
      <c r="F594" s="132">
        <v>3.8774999999999999</v>
      </c>
    </row>
    <row r="595" spans="1:6" x14ac:dyDescent="0.2">
      <c r="A595" s="131" t="s">
        <v>449</v>
      </c>
      <c r="B595" s="131" t="s">
        <v>147</v>
      </c>
      <c r="C595" s="131" t="s">
        <v>164</v>
      </c>
      <c r="D595" s="132">
        <v>20000</v>
      </c>
      <c r="E595" s="132">
        <v>0</v>
      </c>
      <c r="F595" s="132">
        <v>3.8774999999999999</v>
      </c>
    </row>
    <row r="596" spans="1:6" x14ac:dyDescent="0.2">
      <c r="A596" s="131" t="s">
        <v>449</v>
      </c>
      <c r="B596" s="131" t="s">
        <v>440</v>
      </c>
      <c r="C596" s="131" t="s">
        <v>145</v>
      </c>
      <c r="D596" s="132">
        <v>0</v>
      </c>
      <c r="E596" s="132">
        <v>5000</v>
      </c>
      <c r="F596" s="132">
        <v>3.895</v>
      </c>
    </row>
    <row r="597" spans="1:6" x14ac:dyDescent="0.2">
      <c r="A597" s="131" t="s">
        <v>449</v>
      </c>
      <c r="B597" s="131" t="s">
        <v>200</v>
      </c>
      <c r="C597" s="131" t="s">
        <v>140</v>
      </c>
      <c r="D597" s="132">
        <v>0</v>
      </c>
      <c r="E597" s="132">
        <v>10000</v>
      </c>
      <c r="F597" s="132">
        <v>3.79</v>
      </c>
    </row>
    <row r="598" spans="1:6" x14ac:dyDescent="0.2">
      <c r="A598" s="131" t="s">
        <v>449</v>
      </c>
      <c r="B598" s="131" t="s">
        <v>144</v>
      </c>
      <c r="C598" s="131" t="s">
        <v>140</v>
      </c>
      <c r="D598" s="132">
        <v>0</v>
      </c>
      <c r="E598" s="132">
        <v>10000</v>
      </c>
      <c r="F598" s="132">
        <v>3.79</v>
      </c>
    </row>
    <row r="599" spans="1:6" x14ac:dyDescent="0.2">
      <c r="A599" s="131" t="s">
        <v>449</v>
      </c>
      <c r="B599" s="131" t="s">
        <v>144</v>
      </c>
      <c r="C599" s="131" t="s">
        <v>140</v>
      </c>
      <c r="D599" s="132">
        <v>0</v>
      </c>
      <c r="E599" s="132">
        <v>20000</v>
      </c>
      <c r="F599" s="132">
        <v>3.79</v>
      </c>
    </row>
    <row r="600" spans="1:6" x14ac:dyDescent="0.2">
      <c r="A600" s="131" t="s">
        <v>450</v>
      </c>
      <c r="B600" s="131" t="s">
        <v>386</v>
      </c>
      <c r="C600" s="131" t="s">
        <v>140</v>
      </c>
      <c r="D600" s="132">
        <v>0</v>
      </c>
      <c r="E600" s="132">
        <v>5000</v>
      </c>
      <c r="F600" s="132">
        <v>3.7949999999999999</v>
      </c>
    </row>
    <row r="601" spans="1:6" x14ac:dyDescent="0.2">
      <c r="A601" s="131" t="s">
        <v>450</v>
      </c>
      <c r="B601" s="131" t="s">
        <v>183</v>
      </c>
      <c r="C601" s="131" t="s">
        <v>145</v>
      </c>
      <c r="D601" s="132">
        <v>0</v>
      </c>
      <c r="E601" s="132">
        <v>5000</v>
      </c>
      <c r="F601" s="132">
        <v>3.9</v>
      </c>
    </row>
    <row r="602" spans="1:6" x14ac:dyDescent="0.2">
      <c r="A602" s="131" t="s">
        <v>451</v>
      </c>
      <c r="B602" s="131" t="s">
        <v>452</v>
      </c>
      <c r="C602" s="131" t="s">
        <v>140</v>
      </c>
      <c r="D602" s="132">
        <v>10000</v>
      </c>
      <c r="E602" s="132">
        <v>0</v>
      </c>
      <c r="F602" s="132">
        <v>3.7850000000000001</v>
      </c>
    </row>
    <row r="603" spans="1:6" x14ac:dyDescent="0.2">
      <c r="A603" s="131" t="s">
        <v>451</v>
      </c>
      <c r="B603" s="131" t="s">
        <v>162</v>
      </c>
      <c r="C603" s="131" t="s">
        <v>140</v>
      </c>
      <c r="D603" s="132">
        <v>10000</v>
      </c>
      <c r="E603" s="132">
        <v>0</v>
      </c>
      <c r="F603" s="132">
        <v>3.7850000000000001</v>
      </c>
    </row>
    <row r="604" spans="1:6" x14ac:dyDescent="0.2">
      <c r="A604" s="131" t="s">
        <v>453</v>
      </c>
      <c r="B604" s="131" t="s">
        <v>217</v>
      </c>
      <c r="C604" s="131" t="s">
        <v>154</v>
      </c>
      <c r="D604" s="132">
        <v>5000</v>
      </c>
      <c r="E604" s="132">
        <v>0</v>
      </c>
      <c r="F604" s="132">
        <v>4.2699999999999996</v>
      </c>
    </row>
    <row r="605" spans="1:6" x14ac:dyDescent="0.2">
      <c r="A605" s="131" t="s">
        <v>454</v>
      </c>
      <c r="B605" s="131" t="s">
        <v>163</v>
      </c>
      <c r="C605" s="131" t="s">
        <v>140</v>
      </c>
      <c r="D605" s="132">
        <v>0</v>
      </c>
      <c r="E605" s="132">
        <v>15000</v>
      </c>
      <c r="F605" s="132">
        <v>3.79</v>
      </c>
    </row>
    <row r="606" spans="1:6" x14ac:dyDescent="0.2">
      <c r="A606" s="131" t="s">
        <v>454</v>
      </c>
      <c r="B606" s="131" t="s">
        <v>163</v>
      </c>
      <c r="C606" s="131" t="s">
        <v>150</v>
      </c>
      <c r="D606" s="132">
        <v>2500</v>
      </c>
      <c r="E606" s="132">
        <v>0</v>
      </c>
      <c r="F606" s="132">
        <v>3.9550000000000001</v>
      </c>
    </row>
    <row r="607" spans="1:6" x14ac:dyDescent="0.2">
      <c r="A607" s="131" t="s">
        <v>454</v>
      </c>
      <c r="B607" s="131" t="s">
        <v>144</v>
      </c>
      <c r="C607" s="131" t="s">
        <v>164</v>
      </c>
      <c r="D607" s="132">
        <v>20000</v>
      </c>
      <c r="E607" s="132">
        <v>0</v>
      </c>
      <c r="F607" s="132">
        <v>3.8774999999999999</v>
      </c>
    </row>
    <row r="608" spans="1:6" x14ac:dyDescent="0.2">
      <c r="A608" s="131" t="s">
        <v>455</v>
      </c>
      <c r="B608" s="131" t="s">
        <v>183</v>
      </c>
      <c r="C608" s="131" t="s">
        <v>145</v>
      </c>
      <c r="D608" s="132">
        <v>0</v>
      </c>
      <c r="E608" s="132">
        <v>5000</v>
      </c>
      <c r="F608" s="132">
        <v>3.895</v>
      </c>
    </row>
    <row r="609" spans="1:6" x14ac:dyDescent="0.2">
      <c r="A609" s="131" t="s">
        <v>456</v>
      </c>
      <c r="B609" s="131" t="s">
        <v>416</v>
      </c>
      <c r="C609" s="131" t="s">
        <v>164</v>
      </c>
      <c r="D609" s="132">
        <v>0</v>
      </c>
      <c r="E609" s="132">
        <v>20000</v>
      </c>
      <c r="F609" s="132">
        <v>3.8824999999999998</v>
      </c>
    </row>
    <row r="610" spans="1:6" x14ac:dyDescent="0.2">
      <c r="A610" s="131" t="s">
        <v>456</v>
      </c>
      <c r="B610" s="131" t="s">
        <v>204</v>
      </c>
      <c r="C610" s="131" t="s">
        <v>140</v>
      </c>
      <c r="D610" s="132">
        <v>20000</v>
      </c>
      <c r="E610" s="132">
        <v>0</v>
      </c>
      <c r="F610" s="132">
        <v>3.7850000000000001</v>
      </c>
    </row>
    <row r="611" spans="1:6" x14ac:dyDescent="0.2">
      <c r="A611" s="131" t="s">
        <v>456</v>
      </c>
      <c r="B611" s="131" t="s">
        <v>149</v>
      </c>
      <c r="C611" s="131" t="s">
        <v>145</v>
      </c>
      <c r="D611" s="132">
        <v>2500</v>
      </c>
      <c r="E611" s="132">
        <v>0</v>
      </c>
      <c r="F611" s="132">
        <v>3.8849999999999998</v>
      </c>
    </row>
    <row r="612" spans="1:6" x14ac:dyDescent="0.2">
      <c r="A612" s="131" t="s">
        <v>457</v>
      </c>
      <c r="B612" s="131" t="s">
        <v>158</v>
      </c>
      <c r="C612" s="131" t="s">
        <v>140</v>
      </c>
      <c r="D612" s="132">
        <v>5000</v>
      </c>
      <c r="E612" s="132">
        <v>0</v>
      </c>
      <c r="F612" s="132">
        <v>3.78</v>
      </c>
    </row>
    <row r="613" spans="1:6" x14ac:dyDescent="0.2">
      <c r="A613" s="131" t="s">
        <v>457</v>
      </c>
      <c r="B613" s="131" t="s">
        <v>156</v>
      </c>
      <c r="C613" s="131" t="s">
        <v>140</v>
      </c>
      <c r="D613" s="132">
        <v>10000</v>
      </c>
      <c r="E613" s="132">
        <v>0</v>
      </c>
      <c r="F613" s="132">
        <v>3.78</v>
      </c>
    </row>
    <row r="614" spans="1:6" x14ac:dyDescent="0.2">
      <c r="A614" s="131" t="s">
        <v>458</v>
      </c>
      <c r="B614" s="131" t="s">
        <v>333</v>
      </c>
      <c r="C614" s="131" t="s">
        <v>140</v>
      </c>
      <c r="D614" s="132">
        <v>20000</v>
      </c>
      <c r="E614" s="132">
        <v>0</v>
      </c>
      <c r="F614" s="132">
        <v>3.78</v>
      </c>
    </row>
    <row r="615" spans="1:6" x14ac:dyDescent="0.2">
      <c r="A615" s="131" t="s">
        <v>459</v>
      </c>
      <c r="B615" s="131" t="s">
        <v>220</v>
      </c>
      <c r="C615" s="131" t="s">
        <v>154</v>
      </c>
      <c r="D615" s="132">
        <v>0</v>
      </c>
      <c r="E615" s="132">
        <v>5000</v>
      </c>
      <c r="F615" s="132">
        <v>4.28</v>
      </c>
    </row>
    <row r="616" spans="1:6" x14ac:dyDescent="0.2">
      <c r="A616" s="131" t="s">
        <v>459</v>
      </c>
      <c r="B616" s="131" t="s">
        <v>440</v>
      </c>
      <c r="C616" s="131" t="s">
        <v>140</v>
      </c>
      <c r="D616" s="132">
        <v>0</v>
      </c>
      <c r="E616" s="132">
        <v>10000</v>
      </c>
      <c r="F616" s="132">
        <v>3.7850000000000001</v>
      </c>
    </row>
    <row r="617" spans="1:6" x14ac:dyDescent="0.2">
      <c r="A617" s="131" t="s">
        <v>459</v>
      </c>
      <c r="B617" s="131" t="s">
        <v>440</v>
      </c>
      <c r="C617" s="131" t="s">
        <v>164</v>
      </c>
      <c r="D617" s="132">
        <v>0</v>
      </c>
      <c r="E617" s="132">
        <v>10000</v>
      </c>
      <c r="F617" s="132">
        <v>3.8774999999999999</v>
      </c>
    </row>
    <row r="618" spans="1:6" x14ac:dyDescent="0.2">
      <c r="A618" s="131" t="s">
        <v>459</v>
      </c>
      <c r="B618" s="131" t="s">
        <v>248</v>
      </c>
      <c r="C618" s="131" t="s">
        <v>140</v>
      </c>
      <c r="D618" s="132">
        <v>15000</v>
      </c>
      <c r="E618" s="132">
        <v>0</v>
      </c>
      <c r="F618" s="132">
        <v>3.78</v>
      </c>
    </row>
    <row r="619" spans="1:6" x14ac:dyDescent="0.2">
      <c r="A619" s="131" t="s">
        <v>460</v>
      </c>
      <c r="B619" s="131" t="s">
        <v>416</v>
      </c>
      <c r="C619" s="131" t="s">
        <v>164</v>
      </c>
      <c r="D619" s="132">
        <v>0</v>
      </c>
      <c r="E619" s="132">
        <v>12500</v>
      </c>
      <c r="F619" s="132">
        <v>3.8774999999999999</v>
      </c>
    </row>
    <row r="620" spans="1:6" x14ac:dyDescent="0.2">
      <c r="A620" s="131" t="s">
        <v>460</v>
      </c>
      <c r="B620" s="131" t="s">
        <v>220</v>
      </c>
      <c r="C620" s="131" t="s">
        <v>154</v>
      </c>
      <c r="D620" s="132">
        <v>0</v>
      </c>
      <c r="E620" s="132">
        <v>5000</v>
      </c>
      <c r="F620" s="132">
        <v>4.28</v>
      </c>
    </row>
    <row r="621" spans="1:6" x14ac:dyDescent="0.2">
      <c r="A621" s="131" t="s">
        <v>460</v>
      </c>
      <c r="B621" s="131" t="s">
        <v>440</v>
      </c>
      <c r="C621" s="131" t="s">
        <v>197</v>
      </c>
      <c r="D621" s="132">
        <v>0</v>
      </c>
      <c r="E621" s="132">
        <v>5000</v>
      </c>
      <c r="F621" s="132">
        <v>3.9275000000000002</v>
      </c>
    </row>
    <row r="622" spans="1:6" x14ac:dyDescent="0.2">
      <c r="A622" s="131" t="s">
        <v>460</v>
      </c>
      <c r="B622" s="131" t="s">
        <v>171</v>
      </c>
      <c r="C622" s="131" t="s">
        <v>145</v>
      </c>
      <c r="D622" s="132">
        <v>5000</v>
      </c>
      <c r="E622" s="132">
        <v>0</v>
      </c>
      <c r="F622" s="132">
        <v>3.8849999999999998</v>
      </c>
    </row>
    <row r="623" spans="1:6" x14ac:dyDescent="0.2">
      <c r="A623" s="131" t="s">
        <v>460</v>
      </c>
      <c r="B623" s="131" t="s">
        <v>189</v>
      </c>
      <c r="C623" s="131" t="s">
        <v>140</v>
      </c>
      <c r="D623" s="132">
        <v>5000</v>
      </c>
      <c r="E623" s="132">
        <v>0</v>
      </c>
      <c r="F623" s="132">
        <v>3.78</v>
      </c>
    </row>
    <row r="624" spans="1:6" x14ac:dyDescent="0.2">
      <c r="A624" s="131" t="s">
        <v>460</v>
      </c>
      <c r="B624" s="131" t="s">
        <v>163</v>
      </c>
      <c r="C624" s="131" t="s">
        <v>140</v>
      </c>
      <c r="D624" s="132">
        <v>0</v>
      </c>
      <c r="E624" s="132">
        <v>7500</v>
      </c>
      <c r="F624" s="132">
        <v>3.7850000000000001</v>
      </c>
    </row>
    <row r="625" spans="1:6" x14ac:dyDescent="0.2">
      <c r="A625" s="131" t="s">
        <v>460</v>
      </c>
      <c r="B625" s="131" t="s">
        <v>156</v>
      </c>
      <c r="C625" s="131" t="s">
        <v>140</v>
      </c>
      <c r="D625" s="132">
        <v>20000</v>
      </c>
      <c r="E625" s="132">
        <v>0</v>
      </c>
      <c r="F625" s="132">
        <v>3.78</v>
      </c>
    </row>
    <row r="626" spans="1:6" x14ac:dyDescent="0.2">
      <c r="A626" s="131" t="s">
        <v>461</v>
      </c>
      <c r="B626" s="131" t="s">
        <v>416</v>
      </c>
      <c r="C626" s="131" t="s">
        <v>164</v>
      </c>
      <c r="D626" s="132">
        <v>0</v>
      </c>
      <c r="E626" s="132">
        <v>2500</v>
      </c>
      <c r="F626" s="132">
        <v>3.8774999999999999</v>
      </c>
    </row>
    <row r="627" spans="1:6" x14ac:dyDescent="0.2">
      <c r="A627" s="131" t="s">
        <v>461</v>
      </c>
      <c r="B627" s="131" t="s">
        <v>204</v>
      </c>
      <c r="C627" s="131" t="s">
        <v>140</v>
      </c>
      <c r="D627" s="132">
        <v>10000</v>
      </c>
      <c r="E627" s="132">
        <v>0</v>
      </c>
      <c r="F627" s="132">
        <v>3.78</v>
      </c>
    </row>
    <row r="628" spans="1:6" x14ac:dyDescent="0.2">
      <c r="A628" s="131" t="s">
        <v>461</v>
      </c>
      <c r="B628" s="131" t="s">
        <v>156</v>
      </c>
      <c r="C628" s="131" t="s">
        <v>140</v>
      </c>
      <c r="D628" s="132">
        <v>10000</v>
      </c>
      <c r="E628" s="132">
        <v>0</v>
      </c>
      <c r="F628" s="132">
        <v>3.78</v>
      </c>
    </row>
    <row r="629" spans="1:6" x14ac:dyDescent="0.2">
      <c r="A629" s="131" t="s">
        <v>461</v>
      </c>
      <c r="B629" s="131" t="s">
        <v>144</v>
      </c>
      <c r="C629" s="131" t="s">
        <v>140</v>
      </c>
      <c r="D629" s="132">
        <v>0</v>
      </c>
      <c r="E629" s="132">
        <v>12500</v>
      </c>
      <c r="F629" s="132">
        <v>3.7850000000000001</v>
      </c>
    </row>
    <row r="630" spans="1:6" x14ac:dyDescent="0.2">
      <c r="A630" s="131" t="s">
        <v>462</v>
      </c>
      <c r="B630" s="131" t="s">
        <v>416</v>
      </c>
      <c r="C630" s="131" t="s">
        <v>197</v>
      </c>
      <c r="D630" s="132">
        <v>0</v>
      </c>
      <c r="E630" s="132">
        <v>20000</v>
      </c>
      <c r="F630" s="132">
        <v>3.9224999999999999</v>
      </c>
    </row>
    <row r="631" spans="1:6" x14ac:dyDescent="0.2">
      <c r="A631" s="131" t="s">
        <v>462</v>
      </c>
      <c r="B631" s="131" t="s">
        <v>350</v>
      </c>
      <c r="C631" s="131" t="s">
        <v>140</v>
      </c>
      <c r="D631" s="132">
        <v>10000</v>
      </c>
      <c r="E631" s="132">
        <v>0</v>
      </c>
      <c r="F631" s="132">
        <v>3.78</v>
      </c>
    </row>
    <row r="632" spans="1:6" x14ac:dyDescent="0.2">
      <c r="A632" s="131" t="s">
        <v>463</v>
      </c>
      <c r="B632" s="131" t="s">
        <v>318</v>
      </c>
      <c r="C632" s="131" t="s">
        <v>140</v>
      </c>
      <c r="D632" s="132">
        <v>10000</v>
      </c>
      <c r="E632" s="132">
        <v>0</v>
      </c>
      <c r="F632" s="132">
        <v>3.78</v>
      </c>
    </row>
    <row r="633" spans="1:6" x14ac:dyDescent="0.2">
      <c r="A633" s="131" t="s">
        <v>464</v>
      </c>
      <c r="B633" s="131" t="s">
        <v>465</v>
      </c>
      <c r="C633" s="131" t="s">
        <v>197</v>
      </c>
      <c r="D633" s="132">
        <v>5000</v>
      </c>
      <c r="E633" s="132">
        <v>0</v>
      </c>
      <c r="F633" s="132">
        <v>3.9175</v>
      </c>
    </row>
    <row r="634" spans="1:6" x14ac:dyDescent="0.2">
      <c r="A634" s="131" t="s">
        <v>464</v>
      </c>
      <c r="B634" s="131" t="s">
        <v>380</v>
      </c>
      <c r="C634" s="131" t="s">
        <v>140</v>
      </c>
      <c r="D634" s="132">
        <v>15000</v>
      </c>
      <c r="E634" s="132">
        <v>0</v>
      </c>
      <c r="F634" s="132">
        <v>3.78</v>
      </c>
    </row>
    <row r="635" spans="1:6" x14ac:dyDescent="0.2">
      <c r="A635" s="131" t="s">
        <v>466</v>
      </c>
      <c r="B635" s="131" t="s">
        <v>144</v>
      </c>
      <c r="C635" s="131" t="s">
        <v>140</v>
      </c>
      <c r="D635" s="132">
        <v>0</v>
      </c>
      <c r="E635" s="132">
        <v>10000</v>
      </c>
      <c r="F635" s="132">
        <v>3.7875000000000001</v>
      </c>
    </row>
    <row r="636" spans="1:6" x14ac:dyDescent="0.2">
      <c r="A636" s="131" t="s">
        <v>467</v>
      </c>
      <c r="B636" s="131" t="s">
        <v>204</v>
      </c>
      <c r="C636" s="131" t="s">
        <v>197</v>
      </c>
      <c r="D636" s="132">
        <v>0</v>
      </c>
      <c r="E636" s="132">
        <v>10000</v>
      </c>
      <c r="F636" s="132">
        <v>3.9275000000000002</v>
      </c>
    </row>
    <row r="637" spans="1:6" x14ac:dyDescent="0.2">
      <c r="A637" s="131" t="s">
        <v>467</v>
      </c>
      <c r="B637" s="131" t="s">
        <v>174</v>
      </c>
      <c r="C637" s="131" t="s">
        <v>145</v>
      </c>
      <c r="D637" s="132">
        <v>0</v>
      </c>
      <c r="E637" s="132">
        <v>5000</v>
      </c>
      <c r="F637" s="132">
        <v>3.895</v>
      </c>
    </row>
    <row r="638" spans="1:6" x14ac:dyDescent="0.2">
      <c r="A638" s="131" t="s">
        <v>467</v>
      </c>
      <c r="B638" s="131" t="s">
        <v>174</v>
      </c>
      <c r="C638" s="131" t="s">
        <v>145</v>
      </c>
      <c r="D638" s="132">
        <v>0</v>
      </c>
      <c r="E638" s="132">
        <v>5000</v>
      </c>
      <c r="F638" s="132">
        <v>3.9</v>
      </c>
    </row>
    <row r="639" spans="1:6" x14ac:dyDescent="0.2">
      <c r="A639" s="131" t="s">
        <v>468</v>
      </c>
      <c r="B639" s="131" t="s">
        <v>158</v>
      </c>
      <c r="C639" s="131" t="s">
        <v>150</v>
      </c>
      <c r="D639" s="132">
        <v>0</v>
      </c>
      <c r="E639" s="132">
        <v>5000</v>
      </c>
      <c r="F639" s="132">
        <v>3.9649999999999999</v>
      </c>
    </row>
    <row r="640" spans="1:6" x14ac:dyDescent="0.2">
      <c r="A640" s="131" t="s">
        <v>468</v>
      </c>
      <c r="B640" s="131" t="s">
        <v>181</v>
      </c>
      <c r="C640" s="131" t="s">
        <v>154</v>
      </c>
      <c r="D640" s="132">
        <v>5000</v>
      </c>
      <c r="E640" s="132">
        <v>0</v>
      </c>
      <c r="F640" s="132">
        <v>4.28</v>
      </c>
    </row>
    <row r="641" spans="1:6" x14ac:dyDescent="0.2">
      <c r="A641" s="131" t="s">
        <v>468</v>
      </c>
      <c r="B641" s="131" t="s">
        <v>144</v>
      </c>
      <c r="C641" s="131" t="s">
        <v>164</v>
      </c>
      <c r="D641" s="132">
        <v>10000</v>
      </c>
      <c r="E641" s="132">
        <v>0</v>
      </c>
      <c r="F641" s="132">
        <v>3.8774999999999999</v>
      </c>
    </row>
    <row r="642" spans="1:6" x14ac:dyDescent="0.2">
      <c r="A642" s="131" t="s">
        <v>469</v>
      </c>
      <c r="B642" s="131" t="s">
        <v>220</v>
      </c>
      <c r="C642" s="131" t="s">
        <v>140</v>
      </c>
      <c r="D642" s="132">
        <v>10000</v>
      </c>
      <c r="E642" s="132">
        <v>0</v>
      </c>
      <c r="F642" s="132">
        <v>3.79</v>
      </c>
    </row>
    <row r="643" spans="1:6" x14ac:dyDescent="0.2">
      <c r="A643" s="131" t="s">
        <v>469</v>
      </c>
      <c r="B643" s="131" t="s">
        <v>204</v>
      </c>
      <c r="C643" s="131" t="s">
        <v>197</v>
      </c>
      <c r="D643" s="132">
        <v>0</v>
      </c>
      <c r="E643" s="132">
        <v>10000</v>
      </c>
      <c r="F643" s="132">
        <v>3.9275000000000002</v>
      </c>
    </row>
    <row r="644" spans="1:6" x14ac:dyDescent="0.2">
      <c r="A644" s="131" t="s">
        <v>469</v>
      </c>
      <c r="B644" s="131" t="s">
        <v>204</v>
      </c>
      <c r="C644" s="131" t="s">
        <v>197</v>
      </c>
      <c r="D644" s="132">
        <v>0</v>
      </c>
      <c r="E644" s="132">
        <v>10000</v>
      </c>
      <c r="F644" s="132">
        <v>3.93</v>
      </c>
    </row>
    <row r="645" spans="1:6" x14ac:dyDescent="0.2">
      <c r="A645" s="131" t="s">
        <v>470</v>
      </c>
      <c r="B645" s="131" t="s">
        <v>416</v>
      </c>
      <c r="C645" s="131" t="s">
        <v>197</v>
      </c>
      <c r="D645" s="132">
        <v>0</v>
      </c>
      <c r="E645" s="132">
        <v>5000</v>
      </c>
      <c r="F645" s="132">
        <v>3.93</v>
      </c>
    </row>
    <row r="646" spans="1:6" x14ac:dyDescent="0.2">
      <c r="A646" s="131" t="s">
        <v>470</v>
      </c>
      <c r="B646" s="131" t="s">
        <v>440</v>
      </c>
      <c r="C646" s="131" t="s">
        <v>164</v>
      </c>
      <c r="D646" s="132">
        <v>0</v>
      </c>
      <c r="E646" s="132">
        <v>5000</v>
      </c>
      <c r="F646" s="132">
        <v>3.8849999999999998</v>
      </c>
    </row>
    <row r="647" spans="1:6" x14ac:dyDescent="0.2">
      <c r="A647" s="131" t="s">
        <v>470</v>
      </c>
      <c r="B647" s="131" t="s">
        <v>241</v>
      </c>
      <c r="C647" s="131" t="s">
        <v>140</v>
      </c>
      <c r="D647" s="132">
        <v>10000</v>
      </c>
      <c r="E647" s="132">
        <v>0</v>
      </c>
      <c r="F647" s="132">
        <v>3.7875000000000001</v>
      </c>
    </row>
    <row r="648" spans="1:6" x14ac:dyDescent="0.2">
      <c r="A648" s="131" t="s">
        <v>471</v>
      </c>
      <c r="B648" s="131" t="s">
        <v>144</v>
      </c>
      <c r="C648" s="131" t="s">
        <v>164</v>
      </c>
      <c r="D648" s="132">
        <v>10000</v>
      </c>
      <c r="E648" s="132">
        <v>0</v>
      </c>
      <c r="F648" s="132">
        <v>3.8774999999999999</v>
      </c>
    </row>
    <row r="649" spans="1:6" x14ac:dyDescent="0.2">
      <c r="A649" s="131" t="s">
        <v>472</v>
      </c>
      <c r="B649" s="131" t="s">
        <v>416</v>
      </c>
      <c r="C649" s="131" t="s">
        <v>197</v>
      </c>
      <c r="D649" s="132">
        <v>0</v>
      </c>
      <c r="E649" s="132">
        <v>10000</v>
      </c>
      <c r="F649" s="132">
        <v>3.93</v>
      </c>
    </row>
    <row r="650" spans="1:6" x14ac:dyDescent="0.2">
      <c r="A650" s="131" t="s">
        <v>472</v>
      </c>
      <c r="B650" s="131" t="s">
        <v>220</v>
      </c>
      <c r="C650" s="131" t="s">
        <v>145</v>
      </c>
      <c r="D650" s="132">
        <v>5000</v>
      </c>
      <c r="E650" s="132">
        <v>0</v>
      </c>
      <c r="F650" s="132">
        <v>3.89</v>
      </c>
    </row>
    <row r="651" spans="1:6" x14ac:dyDescent="0.2">
      <c r="A651" s="131" t="s">
        <v>473</v>
      </c>
      <c r="B651" s="131" t="s">
        <v>158</v>
      </c>
      <c r="C651" s="131" t="s">
        <v>150</v>
      </c>
      <c r="D651" s="132">
        <v>5000</v>
      </c>
      <c r="E651" s="132">
        <v>0</v>
      </c>
      <c r="F651" s="132">
        <v>3.9649999999999999</v>
      </c>
    </row>
    <row r="652" spans="1:6" x14ac:dyDescent="0.2">
      <c r="A652" s="131" t="s">
        <v>474</v>
      </c>
      <c r="B652" s="131" t="s">
        <v>178</v>
      </c>
      <c r="C652" s="131" t="s">
        <v>140</v>
      </c>
      <c r="D652" s="132">
        <v>0</v>
      </c>
      <c r="E652" s="132">
        <v>10000</v>
      </c>
      <c r="F652" s="132">
        <v>3.7925</v>
      </c>
    </row>
    <row r="653" spans="1:6" x14ac:dyDescent="0.2">
      <c r="A653" s="131" t="s">
        <v>474</v>
      </c>
      <c r="B653" s="131" t="s">
        <v>167</v>
      </c>
      <c r="C653" s="131" t="s">
        <v>145</v>
      </c>
      <c r="D653" s="132">
        <v>0</v>
      </c>
      <c r="E653" s="132">
        <v>2500</v>
      </c>
      <c r="F653" s="132">
        <v>3.9</v>
      </c>
    </row>
    <row r="654" spans="1:6" x14ac:dyDescent="0.2">
      <c r="A654" s="131" t="s">
        <v>474</v>
      </c>
      <c r="B654" s="131" t="s">
        <v>156</v>
      </c>
      <c r="C654" s="131" t="s">
        <v>150</v>
      </c>
      <c r="D654" s="132">
        <v>0</v>
      </c>
      <c r="E654" s="132">
        <v>2500</v>
      </c>
      <c r="F654" s="132">
        <v>3.97</v>
      </c>
    </row>
    <row r="655" spans="1:6" x14ac:dyDescent="0.2">
      <c r="A655" s="131" t="s">
        <v>475</v>
      </c>
      <c r="B655" s="131" t="s">
        <v>220</v>
      </c>
      <c r="C655" s="131" t="s">
        <v>140</v>
      </c>
      <c r="D655" s="132">
        <v>0</v>
      </c>
      <c r="E655" s="132">
        <v>10000</v>
      </c>
      <c r="F655" s="132">
        <v>3.7925</v>
      </c>
    </row>
    <row r="656" spans="1:6" x14ac:dyDescent="0.2">
      <c r="A656" s="131" t="s">
        <v>475</v>
      </c>
      <c r="B656" s="131" t="s">
        <v>183</v>
      </c>
      <c r="C656" s="131" t="s">
        <v>140</v>
      </c>
      <c r="D656" s="132">
        <v>0</v>
      </c>
      <c r="E656" s="132">
        <v>10000</v>
      </c>
      <c r="F656" s="132">
        <v>3.7949999999999999</v>
      </c>
    </row>
    <row r="657" spans="1:6" x14ac:dyDescent="0.2">
      <c r="A657" s="131" t="s">
        <v>475</v>
      </c>
      <c r="B657" s="131" t="s">
        <v>221</v>
      </c>
      <c r="C657" s="131" t="s">
        <v>140</v>
      </c>
      <c r="D657" s="132">
        <v>0</v>
      </c>
      <c r="E657" s="132">
        <v>10000</v>
      </c>
      <c r="F657" s="132">
        <v>3.7925</v>
      </c>
    </row>
    <row r="658" spans="1:6" x14ac:dyDescent="0.2">
      <c r="A658" s="131" t="s">
        <v>475</v>
      </c>
      <c r="B658" s="131" t="s">
        <v>250</v>
      </c>
      <c r="C658" s="131" t="s">
        <v>140</v>
      </c>
      <c r="D658" s="132">
        <v>10000</v>
      </c>
      <c r="E658" s="132">
        <v>0</v>
      </c>
      <c r="F658" s="132">
        <v>3.7925</v>
      </c>
    </row>
    <row r="659" spans="1:6" x14ac:dyDescent="0.2">
      <c r="A659" s="131" t="s">
        <v>475</v>
      </c>
      <c r="B659" s="131" t="s">
        <v>250</v>
      </c>
      <c r="C659" s="131" t="s">
        <v>164</v>
      </c>
      <c r="D659" s="132">
        <v>10000</v>
      </c>
      <c r="E659" s="132">
        <v>0</v>
      </c>
      <c r="F659" s="132">
        <v>3.88</v>
      </c>
    </row>
    <row r="660" spans="1:6" x14ac:dyDescent="0.2">
      <c r="A660" s="131" t="s">
        <v>475</v>
      </c>
      <c r="B660" s="131" t="s">
        <v>250</v>
      </c>
      <c r="C660" s="131" t="s">
        <v>197</v>
      </c>
      <c r="D660" s="132">
        <v>10000</v>
      </c>
      <c r="E660" s="132">
        <v>0</v>
      </c>
      <c r="F660" s="132">
        <v>3.9275000000000002</v>
      </c>
    </row>
    <row r="661" spans="1:6" x14ac:dyDescent="0.2">
      <c r="A661" s="131" t="s">
        <v>475</v>
      </c>
      <c r="B661" s="131" t="s">
        <v>266</v>
      </c>
      <c r="C661" s="131" t="s">
        <v>154</v>
      </c>
      <c r="D661" s="132">
        <v>5000</v>
      </c>
      <c r="E661" s="132">
        <v>0</v>
      </c>
      <c r="F661" s="132">
        <v>4.28</v>
      </c>
    </row>
    <row r="662" spans="1:6" x14ac:dyDescent="0.2">
      <c r="A662" s="131" t="s">
        <v>475</v>
      </c>
      <c r="B662" s="131" t="s">
        <v>174</v>
      </c>
      <c r="C662" s="131" t="s">
        <v>150</v>
      </c>
      <c r="D662" s="132">
        <v>0</v>
      </c>
      <c r="E662" s="132">
        <v>5000</v>
      </c>
      <c r="F662" s="132">
        <v>3.97</v>
      </c>
    </row>
    <row r="663" spans="1:6" x14ac:dyDescent="0.2">
      <c r="A663" s="131" t="s">
        <v>476</v>
      </c>
      <c r="B663" s="131" t="s">
        <v>465</v>
      </c>
      <c r="C663" s="131" t="s">
        <v>197</v>
      </c>
      <c r="D663" s="132">
        <v>5000</v>
      </c>
      <c r="E663" s="132">
        <v>0</v>
      </c>
      <c r="F663" s="132">
        <v>3.93</v>
      </c>
    </row>
    <row r="664" spans="1:6" x14ac:dyDescent="0.2">
      <c r="A664" s="131" t="s">
        <v>476</v>
      </c>
      <c r="B664" s="131" t="s">
        <v>248</v>
      </c>
      <c r="C664" s="131" t="s">
        <v>140</v>
      </c>
      <c r="D664" s="132">
        <v>0</v>
      </c>
      <c r="E664" s="132">
        <v>10000</v>
      </c>
      <c r="F664" s="132">
        <v>3.7974999999999999</v>
      </c>
    </row>
    <row r="665" spans="1:6" x14ac:dyDescent="0.2">
      <c r="A665" s="131" t="s">
        <v>476</v>
      </c>
      <c r="B665" s="131" t="s">
        <v>156</v>
      </c>
      <c r="C665" s="131" t="s">
        <v>140</v>
      </c>
      <c r="D665" s="132">
        <v>0</v>
      </c>
      <c r="E665" s="132">
        <v>10000</v>
      </c>
      <c r="F665" s="132">
        <v>3.7949999999999999</v>
      </c>
    </row>
    <row r="666" spans="1:6" x14ac:dyDescent="0.2">
      <c r="A666" s="131" t="s">
        <v>477</v>
      </c>
      <c r="B666" s="131" t="s">
        <v>147</v>
      </c>
      <c r="C666" s="131" t="s">
        <v>140</v>
      </c>
      <c r="D666" s="132">
        <v>5000</v>
      </c>
      <c r="E666" s="132">
        <v>0</v>
      </c>
      <c r="F666" s="132">
        <v>3.7949999999999999</v>
      </c>
    </row>
    <row r="667" spans="1:6" x14ac:dyDescent="0.2">
      <c r="A667" s="131" t="s">
        <v>477</v>
      </c>
      <c r="B667" s="131" t="s">
        <v>147</v>
      </c>
      <c r="C667" s="131" t="s">
        <v>140</v>
      </c>
      <c r="D667" s="132">
        <v>10000</v>
      </c>
      <c r="E667" s="132">
        <v>0</v>
      </c>
      <c r="F667" s="132">
        <v>3.7925</v>
      </c>
    </row>
    <row r="668" spans="1:6" x14ac:dyDescent="0.2">
      <c r="A668" s="131" t="s">
        <v>477</v>
      </c>
      <c r="B668" s="131" t="s">
        <v>200</v>
      </c>
      <c r="C668" s="131" t="s">
        <v>140</v>
      </c>
      <c r="D668" s="132">
        <v>0</v>
      </c>
      <c r="E668" s="132">
        <v>10000</v>
      </c>
      <c r="F668" s="132">
        <v>3.7949999999999999</v>
      </c>
    </row>
    <row r="669" spans="1:6" x14ac:dyDescent="0.2">
      <c r="A669" s="131" t="s">
        <v>478</v>
      </c>
      <c r="B669" s="131" t="s">
        <v>202</v>
      </c>
      <c r="C669" s="131" t="s">
        <v>164</v>
      </c>
      <c r="D669" s="132">
        <v>5000</v>
      </c>
      <c r="E669" s="132">
        <v>0</v>
      </c>
      <c r="F669" s="132">
        <v>3.8824999999999998</v>
      </c>
    </row>
    <row r="670" spans="1:6" x14ac:dyDescent="0.2">
      <c r="A670" s="131" t="s">
        <v>478</v>
      </c>
      <c r="B670" s="131" t="s">
        <v>152</v>
      </c>
      <c r="C670" s="131" t="s">
        <v>140</v>
      </c>
      <c r="D670" s="132">
        <v>5000</v>
      </c>
      <c r="E670" s="132">
        <v>0</v>
      </c>
      <c r="F670" s="132">
        <v>3.7925</v>
      </c>
    </row>
    <row r="671" spans="1:6" x14ac:dyDescent="0.2">
      <c r="A671" s="131" t="s">
        <v>478</v>
      </c>
      <c r="B671" s="131" t="s">
        <v>174</v>
      </c>
      <c r="C671" s="131" t="s">
        <v>145</v>
      </c>
      <c r="D671" s="132">
        <v>0</v>
      </c>
      <c r="E671" s="132">
        <v>5000</v>
      </c>
      <c r="F671" s="132">
        <v>3.9</v>
      </c>
    </row>
    <row r="672" spans="1:6" x14ac:dyDescent="0.2">
      <c r="A672" s="131" t="s">
        <v>479</v>
      </c>
      <c r="B672" s="131" t="s">
        <v>158</v>
      </c>
      <c r="C672" s="131" t="s">
        <v>140</v>
      </c>
      <c r="D672" s="132">
        <v>5000</v>
      </c>
      <c r="E672" s="132">
        <v>0</v>
      </c>
      <c r="F672" s="132">
        <v>3.7875000000000001</v>
      </c>
    </row>
    <row r="673" spans="1:6" x14ac:dyDescent="0.2">
      <c r="A673" s="131" t="s">
        <v>479</v>
      </c>
      <c r="B673" s="131" t="s">
        <v>220</v>
      </c>
      <c r="C673" s="131" t="s">
        <v>140</v>
      </c>
      <c r="D673" s="132">
        <v>5000</v>
      </c>
      <c r="E673" s="132">
        <v>0</v>
      </c>
      <c r="F673" s="132">
        <v>3.7875000000000001</v>
      </c>
    </row>
    <row r="674" spans="1:6" x14ac:dyDescent="0.2">
      <c r="A674" s="131" t="s">
        <v>479</v>
      </c>
      <c r="B674" s="131" t="s">
        <v>189</v>
      </c>
      <c r="C674" s="131" t="s">
        <v>150</v>
      </c>
      <c r="D674" s="132">
        <v>500</v>
      </c>
      <c r="E674" s="132">
        <v>0</v>
      </c>
      <c r="F674" s="132">
        <v>3.9750000000000001</v>
      </c>
    </row>
    <row r="675" spans="1:6" x14ac:dyDescent="0.2">
      <c r="A675" s="131" t="s">
        <v>479</v>
      </c>
      <c r="B675" s="131" t="s">
        <v>189</v>
      </c>
      <c r="C675" s="131" t="s">
        <v>150</v>
      </c>
      <c r="D675" s="132">
        <v>500</v>
      </c>
      <c r="E675" s="132">
        <v>0</v>
      </c>
      <c r="F675" s="132">
        <v>3.9750000000000001</v>
      </c>
    </row>
    <row r="676" spans="1:6" x14ac:dyDescent="0.2">
      <c r="A676" s="131" t="s">
        <v>479</v>
      </c>
      <c r="B676" s="131" t="s">
        <v>352</v>
      </c>
      <c r="C676" s="131" t="s">
        <v>140</v>
      </c>
      <c r="D676" s="132">
        <v>10000</v>
      </c>
      <c r="E676" s="132">
        <v>0</v>
      </c>
      <c r="F676" s="132">
        <v>3.79</v>
      </c>
    </row>
    <row r="677" spans="1:6" x14ac:dyDescent="0.2">
      <c r="A677" s="131" t="s">
        <v>480</v>
      </c>
      <c r="B677" s="131" t="s">
        <v>481</v>
      </c>
      <c r="C677" s="131" t="s">
        <v>140</v>
      </c>
      <c r="D677" s="132">
        <v>10000</v>
      </c>
      <c r="E677" s="132">
        <v>0</v>
      </c>
      <c r="F677" s="132">
        <v>3.7850000000000001</v>
      </c>
    </row>
    <row r="678" spans="1:6" x14ac:dyDescent="0.2">
      <c r="A678" s="131" t="s">
        <v>480</v>
      </c>
      <c r="B678" s="131" t="s">
        <v>481</v>
      </c>
      <c r="C678" s="131" t="s">
        <v>140</v>
      </c>
      <c r="D678" s="132">
        <v>10000</v>
      </c>
      <c r="E678" s="132">
        <v>0</v>
      </c>
      <c r="F678" s="132">
        <v>3.7825000000000002</v>
      </c>
    </row>
    <row r="679" spans="1:6" x14ac:dyDescent="0.2">
      <c r="A679" s="131" t="s">
        <v>480</v>
      </c>
      <c r="B679" s="131" t="s">
        <v>331</v>
      </c>
      <c r="C679" s="131" t="s">
        <v>150</v>
      </c>
      <c r="D679" s="132">
        <v>5000</v>
      </c>
      <c r="E679" s="132">
        <v>0</v>
      </c>
      <c r="F679" s="132">
        <v>3.97</v>
      </c>
    </row>
    <row r="680" spans="1:6" x14ac:dyDescent="0.2">
      <c r="A680" s="131" t="s">
        <v>482</v>
      </c>
      <c r="B680" s="131" t="s">
        <v>152</v>
      </c>
      <c r="C680" s="131" t="s">
        <v>140</v>
      </c>
      <c r="D680" s="132">
        <v>10000</v>
      </c>
      <c r="E680" s="132">
        <v>0</v>
      </c>
      <c r="F680" s="132">
        <v>3.7850000000000001</v>
      </c>
    </row>
    <row r="681" spans="1:6" x14ac:dyDescent="0.2">
      <c r="A681" s="131" t="s">
        <v>483</v>
      </c>
      <c r="B681" s="131" t="s">
        <v>152</v>
      </c>
      <c r="C681" s="131" t="s">
        <v>140</v>
      </c>
      <c r="D681" s="132">
        <v>10000</v>
      </c>
      <c r="E681" s="132">
        <v>0</v>
      </c>
      <c r="F681" s="132">
        <v>3.7825000000000002</v>
      </c>
    </row>
    <row r="682" spans="1:6" x14ac:dyDescent="0.2">
      <c r="A682" s="131" t="s">
        <v>483</v>
      </c>
      <c r="B682" s="131" t="s">
        <v>156</v>
      </c>
      <c r="C682" s="131" t="s">
        <v>150</v>
      </c>
      <c r="D682" s="132">
        <v>5000</v>
      </c>
      <c r="E682" s="132">
        <v>0</v>
      </c>
      <c r="F682" s="132">
        <v>3.97</v>
      </c>
    </row>
    <row r="683" spans="1:6" x14ac:dyDescent="0.2">
      <c r="A683" s="131" t="s">
        <v>484</v>
      </c>
      <c r="B683" s="131" t="s">
        <v>158</v>
      </c>
      <c r="C683" s="131" t="s">
        <v>150</v>
      </c>
      <c r="D683" s="132">
        <v>5000</v>
      </c>
      <c r="E683" s="132">
        <v>0</v>
      </c>
      <c r="F683" s="132">
        <v>3.9649999999999999</v>
      </c>
    </row>
    <row r="684" spans="1:6" x14ac:dyDescent="0.2">
      <c r="A684" s="131" t="s">
        <v>484</v>
      </c>
      <c r="B684" s="131" t="s">
        <v>189</v>
      </c>
      <c r="C684" s="131" t="s">
        <v>164</v>
      </c>
      <c r="D684" s="132">
        <v>10000</v>
      </c>
      <c r="E684" s="132">
        <v>0</v>
      </c>
      <c r="F684" s="132">
        <v>3.87</v>
      </c>
    </row>
    <row r="685" spans="1:6" x14ac:dyDescent="0.2">
      <c r="A685" s="131" t="s">
        <v>485</v>
      </c>
      <c r="B685" s="131" t="s">
        <v>162</v>
      </c>
      <c r="C685" s="131" t="s">
        <v>140</v>
      </c>
      <c r="D685" s="132">
        <v>0</v>
      </c>
      <c r="E685" s="132">
        <v>10000</v>
      </c>
      <c r="F685" s="132">
        <v>3.7825000000000002</v>
      </c>
    </row>
    <row r="686" spans="1:6" x14ac:dyDescent="0.2">
      <c r="A686" s="131" t="s">
        <v>486</v>
      </c>
      <c r="B686" s="131" t="s">
        <v>220</v>
      </c>
      <c r="C686" s="131" t="s">
        <v>140</v>
      </c>
      <c r="D686" s="132">
        <v>10000</v>
      </c>
      <c r="E686" s="132">
        <v>0</v>
      </c>
      <c r="F686" s="132">
        <v>3.78</v>
      </c>
    </row>
    <row r="687" spans="1:6" x14ac:dyDescent="0.2">
      <c r="A687" s="131" t="s">
        <v>487</v>
      </c>
      <c r="B687" s="131" t="s">
        <v>158</v>
      </c>
      <c r="C687" s="131" t="s">
        <v>140</v>
      </c>
      <c r="D687" s="132">
        <v>5000</v>
      </c>
      <c r="E687" s="132">
        <v>0</v>
      </c>
      <c r="F687" s="132">
        <v>3.7774999999999999</v>
      </c>
    </row>
    <row r="688" spans="1:6" x14ac:dyDescent="0.2">
      <c r="A688" s="131" t="s">
        <v>488</v>
      </c>
      <c r="B688" s="131" t="s">
        <v>220</v>
      </c>
      <c r="C688" s="131" t="s">
        <v>154</v>
      </c>
      <c r="D688" s="132">
        <v>0</v>
      </c>
      <c r="E688" s="132">
        <v>5000</v>
      </c>
      <c r="F688" s="132">
        <v>4.2750000000000004</v>
      </c>
    </row>
    <row r="689" spans="1:6" x14ac:dyDescent="0.2">
      <c r="A689" s="131" t="s">
        <v>489</v>
      </c>
      <c r="B689" s="131" t="s">
        <v>409</v>
      </c>
      <c r="C689" s="131" t="s">
        <v>150</v>
      </c>
      <c r="D689" s="132">
        <v>0</v>
      </c>
      <c r="E689" s="132">
        <v>2500</v>
      </c>
      <c r="F689" s="132">
        <v>3.97</v>
      </c>
    </row>
    <row r="690" spans="1:6" x14ac:dyDescent="0.2">
      <c r="A690" s="131" t="s">
        <v>489</v>
      </c>
      <c r="B690" s="131" t="s">
        <v>308</v>
      </c>
      <c r="C690" s="131" t="s">
        <v>145</v>
      </c>
      <c r="D690" s="132">
        <v>0</v>
      </c>
      <c r="E690" s="132">
        <v>5000</v>
      </c>
      <c r="F690" s="132">
        <v>3.895</v>
      </c>
    </row>
    <row r="691" spans="1:6" x14ac:dyDescent="0.2">
      <c r="A691" s="131" t="s">
        <v>490</v>
      </c>
      <c r="B691" s="131" t="s">
        <v>409</v>
      </c>
      <c r="C691" s="131" t="s">
        <v>154</v>
      </c>
      <c r="D691" s="132">
        <v>0</v>
      </c>
      <c r="E691" s="132">
        <v>2500</v>
      </c>
      <c r="F691" s="132">
        <v>4.28</v>
      </c>
    </row>
    <row r="692" spans="1:6" x14ac:dyDescent="0.2">
      <c r="A692" s="131" t="s">
        <v>491</v>
      </c>
      <c r="B692" s="131" t="s">
        <v>230</v>
      </c>
      <c r="C692" s="131" t="s">
        <v>301</v>
      </c>
      <c r="D692" s="132">
        <v>5000</v>
      </c>
      <c r="E692" s="132">
        <v>0</v>
      </c>
      <c r="F692" s="132">
        <v>3.7725</v>
      </c>
    </row>
    <row r="693" spans="1:6" x14ac:dyDescent="0.2">
      <c r="A693" s="131" t="s">
        <v>491</v>
      </c>
      <c r="B693" s="131" t="s">
        <v>248</v>
      </c>
      <c r="C693" s="131" t="s">
        <v>140</v>
      </c>
      <c r="D693" s="132">
        <v>5000</v>
      </c>
      <c r="E693" s="132">
        <v>0</v>
      </c>
      <c r="F693" s="132">
        <v>3.78</v>
      </c>
    </row>
    <row r="694" spans="1:6" x14ac:dyDescent="0.2">
      <c r="A694" s="131" t="s">
        <v>492</v>
      </c>
      <c r="B694" s="131" t="s">
        <v>384</v>
      </c>
      <c r="C694" s="131" t="s">
        <v>140</v>
      </c>
      <c r="D694" s="132">
        <v>0</v>
      </c>
      <c r="E694" s="132">
        <v>10000</v>
      </c>
      <c r="F694" s="132">
        <v>3.7850000000000001</v>
      </c>
    </row>
    <row r="695" spans="1:6" x14ac:dyDescent="0.2">
      <c r="A695" s="131" t="s">
        <v>492</v>
      </c>
      <c r="B695" s="131" t="s">
        <v>169</v>
      </c>
      <c r="C695" s="131" t="s">
        <v>140</v>
      </c>
      <c r="D695" s="132">
        <v>5000</v>
      </c>
      <c r="E695" s="132">
        <v>0</v>
      </c>
      <c r="F695" s="132">
        <v>3.78</v>
      </c>
    </row>
    <row r="696" spans="1:6" x14ac:dyDescent="0.2">
      <c r="A696" s="131" t="s">
        <v>493</v>
      </c>
      <c r="B696" s="131" t="s">
        <v>384</v>
      </c>
      <c r="C696" s="131" t="s">
        <v>140</v>
      </c>
      <c r="D696" s="132">
        <v>0</v>
      </c>
      <c r="E696" s="132">
        <v>5000</v>
      </c>
      <c r="F696" s="132">
        <v>3.7875000000000001</v>
      </c>
    </row>
    <row r="697" spans="1:6" x14ac:dyDescent="0.2">
      <c r="A697" s="131" t="s">
        <v>493</v>
      </c>
      <c r="B697" s="131" t="s">
        <v>292</v>
      </c>
      <c r="C697" s="131" t="s">
        <v>140</v>
      </c>
      <c r="D697" s="132">
        <v>0</v>
      </c>
      <c r="E697" s="132">
        <v>5000</v>
      </c>
      <c r="F697" s="132">
        <v>3.7875000000000001</v>
      </c>
    </row>
    <row r="698" spans="1:6" x14ac:dyDescent="0.2">
      <c r="A698" s="131" t="s">
        <v>494</v>
      </c>
      <c r="B698" s="131" t="s">
        <v>495</v>
      </c>
      <c r="C698" s="131" t="s">
        <v>301</v>
      </c>
      <c r="D698" s="132">
        <v>0</v>
      </c>
      <c r="E698" s="132">
        <v>5000</v>
      </c>
      <c r="F698" s="132">
        <v>3.78</v>
      </c>
    </row>
    <row r="699" spans="1:6" x14ac:dyDescent="0.2">
      <c r="A699" s="131" t="s">
        <v>494</v>
      </c>
      <c r="B699" s="131" t="s">
        <v>346</v>
      </c>
      <c r="C699" s="131" t="s">
        <v>140</v>
      </c>
      <c r="D699" s="132">
        <v>10000</v>
      </c>
      <c r="E699" s="132">
        <v>0</v>
      </c>
      <c r="F699" s="132">
        <v>3.7850000000000001</v>
      </c>
    </row>
    <row r="700" spans="1:6" x14ac:dyDescent="0.2">
      <c r="A700" s="131" t="s">
        <v>496</v>
      </c>
      <c r="B700" s="131" t="s">
        <v>384</v>
      </c>
      <c r="C700" s="131" t="s">
        <v>150</v>
      </c>
      <c r="D700" s="132">
        <v>0</v>
      </c>
      <c r="E700" s="132">
        <v>5000</v>
      </c>
      <c r="F700" s="132">
        <v>3.9750000000000001</v>
      </c>
    </row>
    <row r="701" spans="1:6" x14ac:dyDescent="0.2">
      <c r="A701" s="131" t="s">
        <v>496</v>
      </c>
      <c r="B701" s="131" t="s">
        <v>152</v>
      </c>
      <c r="C701" s="131" t="s">
        <v>140</v>
      </c>
      <c r="D701" s="132">
        <v>0</v>
      </c>
      <c r="E701" s="132">
        <v>10000</v>
      </c>
      <c r="F701" s="132">
        <v>3.79</v>
      </c>
    </row>
    <row r="702" spans="1:6" x14ac:dyDescent="0.2">
      <c r="A702" s="131" t="s">
        <v>496</v>
      </c>
      <c r="B702" s="131" t="s">
        <v>152</v>
      </c>
      <c r="C702" s="131" t="s">
        <v>140</v>
      </c>
      <c r="D702" s="132">
        <v>0</v>
      </c>
      <c r="E702" s="132">
        <v>10000</v>
      </c>
      <c r="F702" s="132">
        <v>3.7925</v>
      </c>
    </row>
    <row r="703" spans="1:6" x14ac:dyDescent="0.2">
      <c r="A703" s="131" t="s">
        <v>496</v>
      </c>
      <c r="B703" s="131" t="s">
        <v>149</v>
      </c>
      <c r="C703" s="131" t="s">
        <v>140</v>
      </c>
      <c r="D703" s="132">
        <v>0</v>
      </c>
      <c r="E703" s="132">
        <v>5000</v>
      </c>
      <c r="F703" s="132">
        <v>3.7875000000000001</v>
      </c>
    </row>
    <row r="704" spans="1:6" x14ac:dyDescent="0.2">
      <c r="A704" s="131" t="s">
        <v>497</v>
      </c>
      <c r="B704" s="131" t="s">
        <v>147</v>
      </c>
      <c r="C704" s="131" t="s">
        <v>140</v>
      </c>
      <c r="D704" s="132">
        <v>10000</v>
      </c>
      <c r="E704" s="132">
        <v>0</v>
      </c>
      <c r="F704" s="132">
        <v>3.7925</v>
      </c>
    </row>
    <row r="705" spans="1:6" x14ac:dyDescent="0.2">
      <c r="A705" s="131" t="s">
        <v>497</v>
      </c>
      <c r="B705" s="131" t="s">
        <v>152</v>
      </c>
      <c r="C705" s="131" t="s">
        <v>140</v>
      </c>
      <c r="D705" s="132">
        <v>0</v>
      </c>
      <c r="E705" s="132">
        <v>10000</v>
      </c>
      <c r="F705" s="132">
        <v>3.7949999999999999</v>
      </c>
    </row>
    <row r="706" spans="1:6" x14ac:dyDescent="0.2">
      <c r="A706" s="131" t="s">
        <v>497</v>
      </c>
      <c r="B706" s="131" t="s">
        <v>152</v>
      </c>
      <c r="C706" s="131" t="s">
        <v>140</v>
      </c>
      <c r="D706" s="132">
        <v>0</v>
      </c>
      <c r="E706" s="132">
        <v>10000</v>
      </c>
      <c r="F706" s="132">
        <v>3.7974999999999999</v>
      </c>
    </row>
    <row r="707" spans="1:6" x14ac:dyDescent="0.2">
      <c r="A707" s="131" t="s">
        <v>497</v>
      </c>
      <c r="B707" s="131" t="s">
        <v>139</v>
      </c>
      <c r="C707" s="131" t="s">
        <v>154</v>
      </c>
      <c r="D707" s="132">
        <v>0</v>
      </c>
      <c r="E707" s="132">
        <v>2500</v>
      </c>
      <c r="F707" s="132">
        <v>4.29</v>
      </c>
    </row>
    <row r="708" spans="1:6" x14ac:dyDescent="0.2">
      <c r="A708" s="131" t="s">
        <v>497</v>
      </c>
      <c r="B708" s="131" t="s">
        <v>333</v>
      </c>
      <c r="C708" s="131" t="s">
        <v>140</v>
      </c>
      <c r="D708" s="132">
        <v>10000</v>
      </c>
      <c r="E708" s="132">
        <v>0</v>
      </c>
      <c r="F708" s="132">
        <v>3.7949999999999999</v>
      </c>
    </row>
    <row r="709" spans="1:6" x14ac:dyDescent="0.2">
      <c r="A709" s="131" t="s">
        <v>498</v>
      </c>
      <c r="B709" s="131" t="s">
        <v>152</v>
      </c>
      <c r="C709" s="131" t="s">
        <v>140</v>
      </c>
      <c r="D709" s="132">
        <v>7500</v>
      </c>
      <c r="E709" s="132">
        <v>0</v>
      </c>
      <c r="F709" s="132">
        <v>3.79</v>
      </c>
    </row>
    <row r="710" spans="1:6" x14ac:dyDescent="0.2">
      <c r="A710" s="131" t="s">
        <v>498</v>
      </c>
      <c r="B710" s="131" t="s">
        <v>217</v>
      </c>
      <c r="C710" s="131" t="s">
        <v>140</v>
      </c>
      <c r="D710" s="132">
        <v>2500</v>
      </c>
      <c r="E710" s="132">
        <v>0</v>
      </c>
      <c r="F710" s="132">
        <v>3.79</v>
      </c>
    </row>
    <row r="711" spans="1:6" x14ac:dyDescent="0.2">
      <c r="A711" s="131" t="s">
        <v>499</v>
      </c>
      <c r="B711" s="131" t="s">
        <v>170</v>
      </c>
      <c r="C711" s="131" t="s">
        <v>140</v>
      </c>
      <c r="D711" s="132">
        <v>10000</v>
      </c>
      <c r="E711" s="132">
        <v>0</v>
      </c>
      <c r="F711" s="132">
        <v>3.7875000000000001</v>
      </c>
    </row>
    <row r="712" spans="1:6" x14ac:dyDescent="0.2">
      <c r="A712" s="131" t="s">
        <v>499</v>
      </c>
      <c r="B712" s="131" t="s">
        <v>170</v>
      </c>
      <c r="C712" s="131" t="s">
        <v>140</v>
      </c>
      <c r="D712" s="132">
        <v>10000</v>
      </c>
      <c r="E712" s="132">
        <v>0</v>
      </c>
      <c r="F712" s="132">
        <v>3.7850000000000001</v>
      </c>
    </row>
    <row r="713" spans="1:6" x14ac:dyDescent="0.2">
      <c r="A713" s="131" t="s">
        <v>500</v>
      </c>
      <c r="B713" s="131" t="s">
        <v>212</v>
      </c>
      <c r="C713" s="131" t="s">
        <v>140</v>
      </c>
      <c r="D713" s="132">
        <v>0</v>
      </c>
      <c r="E713" s="132">
        <v>5000</v>
      </c>
      <c r="F713" s="132">
        <v>3.79</v>
      </c>
    </row>
    <row r="714" spans="1:6" x14ac:dyDescent="0.2">
      <c r="A714" s="131" t="s">
        <v>501</v>
      </c>
      <c r="B714" s="131" t="s">
        <v>162</v>
      </c>
      <c r="C714" s="131" t="s">
        <v>140</v>
      </c>
      <c r="D714" s="132">
        <v>0</v>
      </c>
      <c r="E714" s="132">
        <v>5000</v>
      </c>
      <c r="F714" s="132">
        <v>3.79</v>
      </c>
    </row>
    <row r="715" spans="1:6" x14ac:dyDescent="0.2">
      <c r="A715" s="131" t="s">
        <v>502</v>
      </c>
      <c r="B715" s="131" t="s">
        <v>152</v>
      </c>
      <c r="C715" s="131" t="s">
        <v>150</v>
      </c>
      <c r="D715" s="132">
        <v>2000</v>
      </c>
      <c r="E715" s="132">
        <v>0</v>
      </c>
      <c r="F715" s="132">
        <v>3.97</v>
      </c>
    </row>
    <row r="716" spans="1:6" x14ac:dyDescent="0.2">
      <c r="A716" s="131" t="s">
        <v>503</v>
      </c>
      <c r="B716" s="131" t="s">
        <v>158</v>
      </c>
      <c r="C716" s="131" t="s">
        <v>150</v>
      </c>
      <c r="D716" s="132">
        <v>5000</v>
      </c>
      <c r="E716" s="132">
        <v>0</v>
      </c>
      <c r="F716" s="132">
        <v>3.97</v>
      </c>
    </row>
    <row r="717" spans="1:6" x14ac:dyDescent="0.2">
      <c r="A717" s="131" t="s">
        <v>503</v>
      </c>
      <c r="B717" s="131" t="s">
        <v>368</v>
      </c>
      <c r="C717" s="131" t="s">
        <v>140</v>
      </c>
      <c r="D717" s="132">
        <v>10000</v>
      </c>
      <c r="E717" s="132">
        <v>0</v>
      </c>
      <c r="F717" s="132">
        <v>3.7875000000000001</v>
      </c>
    </row>
    <row r="718" spans="1:6" x14ac:dyDescent="0.2">
      <c r="A718" s="131" t="s">
        <v>504</v>
      </c>
      <c r="B718" s="131" t="s">
        <v>384</v>
      </c>
      <c r="C718" s="131" t="s">
        <v>140</v>
      </c>
      <c r="D718" s="132">
        <v>0</v>
      </c>
      <c r="E718" s="132">
        <v>10000</v>
      </c>
      <c r="F718" s="132">
        <v>3.79</v>
      </c>
    </row>
    <row r="719" spans="1:6" x14ac:dyDescent="0.2">
      <c r="A719" s="131" t="s">
        <v>504</v>
      </c>
      <c r="B719" s="131" t="s">
        <v>175</v>
      </c>
      <c r="C719" s="131" t="s">
        <v>154</v>
      </c>
      <c r="D719" s="132">
        <v>5000</v>
      </c>
      <c r="E719" s="132">
        <v>0</v>
      </c>
      <c r="F719" s="132">
        <v>4.28</v>
      </c>
    </row>
    <row r="720" spans="1:6" x14ac:dyDescent="0.2">
      <c r="A720" s="131" t="s">
        <v>505</v>
      </c>
      <c r="B720" s="131" t="s">
        <v>220</v>
      </c>
      <c r="C720" s="131" t="s">
        <v>154</v>
      </c>
      <c r="D720" s="132">
        <v>0</v>
      </c>
      <c r="E720" s="132">
        <v>5000</v>
      </c>
      <c r="F720" s="132">
        <v>4.29</v>
      </c>
    </row>
    <row r="721" spans="1:6" x14ac:dyDescent="0.2">
      <c r="A721" s="131" t="s">
        <v>506</v>
      </c>
      <c r="B721" s="131" t="s">
        <v>202</v>
      </c>
      <c r="C721" s="131" t="s">
        <v>150</v>
      </c>
      <c r="D721" s="132">
        <v>0</v>
      </c>
      <c r="E721" s="132">
        <v>5000</v>
      </c>
      <c r="F721" s="132">
        <v>3.98</v>
      </c>
    </row>
    <row r="722" spans="1:6" x14ac:dyDescent="0.2">
      <c r="A722" s="131" t="s">
        <v>506</v>
      </c>
      <c r="B722" s="131" t="s">
        <v>171</v>
      </c>
      <c r="C722" s="131" t="s">
        <v>197</v>
      </c>
      <c r="D722" s="132">
        <v>0</v>
      </c>
      <c r="E722" s="132">
        <v>10000</v>
      </c>
      <c r="F722" s="132">
        <v>3.9350000000000001</v>
      </c>
    </row>
    <row r="723" spans="1:6" x14ac:dyDescent="0.2">
      <c r="A723" s="131" t="s">
        <v>507</v>
      </c>
      <c r="B723" s="131" t="s">
        <v>152</v>
      </c>
      <c r="C723" s="131" t="s">
        <v>140</v>
      </c>
      <c r="D723" s="132">
        <v>10000</v>
      </c>
      <c r="E723" s="132">
        <v>0</v>
      </c>
      <c r="F723" s="132">
        <v>3.7925</v>
      </c>
    </row>
    <row r="724" spans="1:6" x14ac:dyDescent="0.2">
      <c r="A724" s="131" t="s">
        <v>507</v>
      </c>
      <c r="B724" s="131" t="s">
        <v>220</v>
      </c>
      <c r="C724" s="131" t="s">
        <v>154</v>
      </c>
      <c r="D724" s="132">
        <v>0</v>
      </c>
      <c r="E724" s="132">
        <v>5000</v>
      </c>
      <c r="F724" s="132">
        <v>4.2949999999999999</v>
      </c>
    </row>
    <row r="725" spans="1:6" x14ac:dyDescent="0.2">
      <c r="A725" s="131" t="s">
        <v>507</v>
      </c>
      <c r="B725" s="131" t="s">
        <v>183</v>
      </c>
      <c r="C725" s="131" t="s">
        <v>140</v>
      </c>
      <c r="D725" s="132">
        <v>0</v>
      </c>
      <c r="E725" s="132">
        <v>10000</v>
      </c>
      <c r="F725" s="132">
        <v>3.7949999999999999</v>
      </c>
    </row>
    <row r="726" spans="1:6" x14ac:dyDescent="0.2">
      <c r="A726" s="131" t="s">
        <v>507</v>
      </c>
      <c r="B726" s="131" t="s">
        <v>189</v>
      </c>
      <c r="C726" s="131" t="s">
        <v>140</v>
      </c>
      <c r="D726" s="132">
        <v>0</v>
      </c>
      <c r="E726" s="132">
        <v>5000</v>
      </c>
      <c r="F726" s="132">
        <v>3.7949999999999999</v>
      </c>
    </row>
    <row r="727" spans="1:6" x14ac:dyDescent="0.2">
      <c r="A727" s="131" t="s">
        <v>508</v>
      </c>
      <c r="B727" s="131" t="s">
        <v>169</v>
      </c>
      <c r="C727" s="131" t="s">
        <v>145</v>
      </c>
      <c r="D727" s="132">
        <v>0</v>
      </c>
      <c r="E727" s="132">
        <v>5000</v>
      </c>
      <c r="F727" s="132">
        <v>3.91</v>
      </c>
    </row>
    <row r="728" spans="1:6" x14ac:dyDescent="0.2">
      <c r="A728" s="131" t="s">
        <v>508</v>
      </c>
      <c r="B728" s="131" t="s">
        <v>183</v>
      </c>
      <c r="C728" s="131" t="s">
        <v>140</v>
      </c>
      <c r="D728" s="132">
        <v>0</v>
      </c>
      <c r="E728" s="132">
        <v>10000</v>
      </c>
      <c r="F728" s="132">
        <v>3.7974999999999999</v>
      </c>
    </row>
    <row r="729" spans="1:6" x14ac:dyDescent="0.2">
      <c r="A729" s="131" t="s">
        <v>508</v>
      </c>
      <c r="B729" s="131" t="s">
        <v>191</v>
      </c>
      <c r="C729" s="131" t="s">
        <v>150</v>
      </c>
      <c r="D729" s="132">
        <v>0</v>
      </c>
      <c r="E729" s="132">
        <v>5000</v>
      </c>
      <c r="F729" s="132">
        <v>3.9849999999999999</v>
      </c>
    </row>
    <row r="730" spans="1:6" x14ac:dyDescent="0.2">
      <c r="A730" s="131" t="s">
        <v>508</v>
      </c>
      <c r="B730" s="131" t="s">
        <v>156</v>
      </c>
      <c r="C730" s="131" t="s">
        <v>140</v>
      </c>
      <c r="D730" s="132">
        <v>0</v>
      </c>
      <c r="E730" s="132">
        <v>5000</v>
      </c>
      <c r="F730" s="132">
        <v>3.7949999999999999</v>
      </c>
    </row>
    <row r="731" spans="1:6" x14ac:dyDescent="0.2">
      <c r="A731" s="131" t="s">
        <v>509</v>
      </c>
      <c r="B731" s="131" t="s">
        <v>217</v>
      </c>
      <c r="C731" s="131" t="s">
        <v>140</v>
      </c>
      <c r="D731" s="132">
        <v>5000</v>
      </c>
      <c r="E731" s="132">
        <v>0</v>
      </c>
      <c r="F731" s="132">
        <v>3.7974999999999999</v>
      </c>
    </row>
    <row r="732" spans="1:6" x14ac:dyDescent="0.2">
      <c r="A732" s="131" t="s">
        <v>509</v>
      </c>
      <c r="B732" s="131" t="s">
        <v>156</v>
      </c>
      <c r="C732" s="131" t="s">
        <v>140</v>
      </c>
      <c r="D732" s="132">
        <v>0</v>
      </c>
      <c r="E732" s="132">
        <v>10000</v>
      </c>
      <c r="F732" s="132">
        <v>3.8</v>
      </c>
    </row>
    <row r="733" spans="1:6" x14ac:dyDescent="0.2">
      <c r="A733" s="131" t="s">
        <v>510</v>
      </c>
      <c r="B733" s="131" t="s">
        <v>202</v>
      </c>
      <c r="C733" s="131" t="s">
        <v>140</v>
      </c>
      <c r="D733" s="132">
        <v>0</v>
      </c>
      <c r="E733" s="132">
        <v>10000</v>
      </c>
      <c r="F733" s="132">
        <v>3.8025000000000002</v>
      </c>
    </row>
    <row r="734" spans="1:6" x14ac:dyDescent="0.2">
      <c r="A734" s="131" t="s">
        <v>510</v>
      </c>
      <c r="B734" s="131" t="s">
        <v>171</v>
      </c>
      <c r="C734" s="131" t="s">
        <v>164</v>
      </c>
      <c r="D734" s="132">
        <v>0</v>
      </c>
      <c r="E734" s="132">
        <v>10000</v>
      </c>
      <c r="F734" s="132">
        <v>3.9</v>
      </c>
    </row>
    <row r="735" spans="1:6" x14ac:dyDescent="0.2">
      <c r="A735" s="131" t="s">
        <v>511</v>
      </c>
      <c r="B735" s="131" t="s">
        <v>171</v>
      </c>
      <c r="C735" s="131" t="s">
        <v>164</v>
      </c>
      <c r="D735" s="132">
        <v>0</v>
      </c>
      <c r="E735" s="132">
        <v>10000</v>
      </c>
      <c r="F735" s="132">
        <v>3.9</v>
      </c>
    </row>
    <row r="736" spans="1:6" x14ac:dyDescent="0.2">
      <c r="A736" s="131" t="s">
        <v>511</v>
      </c>
      <c r="B736" s="131" t="s">
        <v>248</v>
      </c>
      <c r="C736" s="131" t="s">
        <v>140</v>
      </c>
      <c r="D736" s="132">
        <v>5000</v>
      </c>
      <c r="E736" s="132">
        <v>0</v>
      </c>
      <c r="F736" s="132">
        <v>3.8025000000000002</v>
      </c>
    </row>
    <row r="737" spans="1:6" x14ac:dyDescent="0.2">
      <c r="A737" s="131" t="s">
        <v>511</v>
      </c>
      <c r="B737" s="131" t="s">
        <v>241</v>
      </c>
      <c r="C737" s="131" t="s">
        <v>145</v>
      </c>
      <c r="D737" s="132">
        <v>0</v>
      </c>
      <c r="E737" s="132">
        <v>5000</v>
      </c>
      <c r="F737" s="132">
        <v>3.915</v>
      </c>
    </row>
    <row r="738" spans="1:6" x14ac:dyDescent="0.2">
      <c r="A738" s="131" t="s">
        <v>511</v>
      </c>
      <c r="B738" s="131" t="s">
        <v>189</v>
      </c>
      <c r="C738" s="131" t="s">
        <v>164</v>
      </c>
      <c r="D738" s="132">
        <v>10000</v>
      </c>
      <c r="E738" s="132">
        <v>0</v>
      </c>
      <c r="F738" s="132">
        <v>3.8975</v>
      </c>
    </row>
    <row r="739" spans="1:6" x14ac:dyDescent="0.2">
      <c r="A739" s="131" t="s">
        <v>511</v>
      </c>
      <c r="B739" s="131" t="s">
        <v>215</v>
      </c>
      <c r="C739" s="131" t="s">
        <v>140</v>
      </c>
      <c r="D739" s="132">
        <v>0</v>
      </c>
      <c r="E739" s="132">
        <v>10000</v>
      </c>
      <c r="F739" s="132">
        <v>3.8075000000000001</v>
      </c>
    </row>
    <row r="740" spans="1:6" x14ac:dyDescent="0.2">
      <c r="A740" s="131" t="s">
        <v>512</v>
      </c>
      <c r="B740" s="131" t="s">
        <v>152</v>
      </c>
      <c r="C740" s="131" t="s">
        <v>140</v>
      </c>
      <c r="D740" s="132">
        <v>10000</v>
      </c>
      <c r="E740" s="132">
        <v>0</v>
      </c>
      <c r="F740" s="132">
        <v>3.8025000000000002</v>
      </c>
    </row>
    <row r="741" spans="1:6" x14ac:dyDescent="0.2">
      <c r="A741" s="131" t="s">
        <v>512</v>
      </c>
      <c r="B741" s="131" t="s">
        <v>292</v>
      </c>
      <c r="C741" s="131" t="s">
        <v>140</v>
      </c>
      <c r="D741" s="132">
        <v>0</v>
      </c>
      <c r="E741" s="132">
        <v>10000</v>
      </c>
      <c r="F741" s="132">
        <v>3.8050000000000002</v>
      </c>
    </row>
    <row r="742" spans="1:6" x14ac:dyDescent="0.2">
      <c r="A742" s="131" t="s">
        <v>512</v>
      </c>
      <c r="B742" s="131" t="s">
        <v>217</v>
      </c>
      <c r="C742" s="131" t="s">
        <v>154</v>
      </c>
      <c r="D742" s="132">
        <v>5000</v>
      </c>
      <c r="E742" s="132">
        <v>0</v>
      </c>
      <c r="F742" s="132">
        <v>4.3049999999999997</v>
      </c>
    </row>
    <row r="743" spans="1:6" x14ac:dyDescent="0.2">
      <c r="A743" s="131" t="s">
        <v>512</v>
      </c>
      <c r="B743" s="131" t="s">
        <v>181</v>
      </c>
      <c r="C743" s="131" t="s">
        <v>154</v>
      </c>
      <c r="D743" s="132">
        <v>0</v>
      </c>
      <c r="E743" s="132">
        <v>5000</v>
      </c>
      <c r="F743" s="132">
        <v>4.3099999999999996</v>
      </c>
    </row>
    <row r="744" spans="1:6" x14ac:dyDescent="0.2">
      <c r="A744" s="131" t="s">
        <v>512</v>
      </c>
      <c r="B744" s="131" t="s">
        <v>241</v>
      </c>
      <c r="C744" s="131" t="s">
        <v>145</v>
      </c>
      <c r="D744" s="132">
        <v>0</v>
      </c>
      <c r="E744" s="132">
        <v>5000</v>
      </c>
      <c r="F744" s="132">
        <v>3.92</v>
      </c>
    </row>
    <row r="745" spans="1:6" x14ac:dyDescent="0.2">
      <c r="A745" s="131" t="s">
        <v>513</v>
      </c>
      <c r="B745" s="131" t="s">
        <v>232</v>
      </c>
      <c r="C745" s="131" t="s">
        <v>145</v>
      </c>
      <c r="D745" s="132">
        <v>0</v>
      </c>
      <c r="E745" s="132">
        <v>5000</v>
      </c>
      <c r="F745" s="132">
        <v>3.9249999999999998</v>
      </c>
    </row>
    <row r="746" spans="1:6" x14ac:dyDescent="0.2">
      <c r="A746" s="131" t="s">
        <v>513</v>
      </c>
      <c r="B746" s="131" t="s">
        <v>178</v>
      </c>
      <c r="C746" s="131" t="s">
        <v>140</v>
      </c>
      <c r="D746" s="132">
        <v>0</v>
      </c>
      <c r="E746" s="132">
        <v>10000</v>
      </c>
      <c r="F746" s="132">
        <v>3.81</v>
      </c>
    </row>
    <row r="747" spans="1:6" x14ac:dyDescent="0.2">
      <c r="A747" s="131" t="s">
        <v>513</v>
      </c>
      <c r="B747" s="131" t="s">
        <v>241</v>
      </c>
      <c r="C747" s="131" t="s">
        <v>154</v>
      </c>
      <c r="D747" s="132">
        <v>0</v>
      </c>
      <c r="E747" s="132">
        <v>5000</v>
      </c>
      <c r="F747" s="132">
        <v>4.3099999999999996</v>
      </c>
    </row>
    <row r="748" spans="1:6" x14ac:dyDescent="0.2">
      <c r="A748" s="131" t="s">
        <v>514</v>
      </c>
      <c r="B748" s="131" t="s">
        <v>178</v>
      </c>
      <c r="C748" s="131" t="s">
        <v>145</v>
      </c>
      <c r="D748" s="132">
        <v>0</v>
      </c>
      <c r="E748" s="132">
        <v>5000</v>
      </c>
      <c r="F748" s="132">
        <v>3.9249999999999998</v>
      </c>
    </row>
    <row r="749" spans="1:6" x14ac:dyDescent="0.2">
      <c r="A749" s="131" t="s">
        <v>514</v>
      </c>
      <c r="B749" s="131" t="s">
        <v>178</v>
      </c>
      <c r="C749" s="131" t="s">
        <v>140</v>
      </c>
      <c r="D749" s="132">
        <v>0</v>
      </c>
      <c r="E749" s="132">
        <v>10000</v>
      </c>
      <c r="F749" s="132">
        <v>3.8125</v>
      </c>
    </row>
    <row r="750" spans="1:6" x14ac:dyDescent="0.2">
      <c r="A750" s="131" t="s">
        <v>514</v>
      </c>
      <c r="B750" s="131" t="s">
        <v>152</v>
      </c>
      <c r="C750" s="131" t="s">
        <v>140</v>
      </c>
      <c r="D750" s="132">
        <v>0</v>
      </c>
      <c r="E750" s="132">
        <v>10000</v>
      </c>
      <c r="F750" s="132">
        <v>3.8174999999999999</v>
      </c>
    </row>
    <row r="751" spans="1:6" x14ac:dyDescent="0.2">
      <c r="A751" s="131" t="s">
        <v>514</v>
      </c>
      <c r="B751" s="131" t="s">
        <v>229</v>
      </c>
      <c r="C751" s="131" t="s">
        <v>140</v>
      </c>
      <c r="D751" s="132">
        <v>10000</v>
      </c>
      <c r="E751" s="132">
        <v>0</v>
      </c>
      <c r="F751" s="132">
        <v>3.8125</v>
      </c>
    </row>
    <row r="752" spans="1:6" x14ac:dyDescent="0.2">
      <c r="A752" s="131" t="s">
        <v>514</v>
      </c>
      <c r="B752" s="131" t="s">
        <v>220</v>
      </c>
      <c r="C752" s="131" t="s">
        <v>154</v>
      </c>
      <c r="D752" s="132">
        <v>0</v>
      </c>
      <c r="E752" s="132">
        <v>5000</v>
      </c>
      <c r="F752" s="132">
        <v>4.3250000000000002</v>
      </c>
    </row>
    <row r="753" spans="1:6" x14ac:dyDescent="0.2">
      <c r="A753" s="131" t="s">
        <v>514</v>
      </c>
      <c r="B753" s="131" t="s">
        <v>169</v>
      </c>
      <c r="C753" s="131" t="s">
        <v>140</v>
      </c>
      <c r="D753" s="132">
        <v>0</v>
      </c>
      <c r="E753" s="132">
        <v>7500</v>
      </c>
      <c r="F753" s="132">
        <v>3.82</v>
      </c>
    </row>
    <row r="754" spans="1:6" x14ac:dyDescent="0.2">
      <c r="A754" s="131" t="s">
        <v>514</v>
      </c>
      <c r="B754" s="131" t="s">
        <v>241</v>
      </c>
      <c r="C754" s="131" t="s">
        <v>154</v>
      </c>
      <c r="D754" s="132">
        <v>0</v>
      </c>
      <c r="E754" s="132">
        <v>5000</v>
      </c>
      <c r="F754" s="132">
        <v>4.32</v>
      </c>
    </row>
    <row r="755" spans="1:6" x14ac:dyDescent="0.2">
      <c r="A755" s="131" t="s">
        <v>514</v>
      </c>
      <c r="B755" s="131" t="s">
        <v>241</v>
      </c>
      <c r="C755" s="131" t="s">
        <v>154</v>
      </c>
      <c r="D755" s="132">
        <v>0</v>
      </c>
      <c r="E755" s="132">
        <v>5000</v>
      </c>
      <c r="F755" s="132">
        <v>4.3250000000000002</v>
      </c>
    </row>
    <row r="756" spans="1:6" x14ac:dyDescent="0.2">
      <c r="A756" s="131" t="s">
        <v>514</v>
      </c>
      <c r="B756" s="131" t="s">
        <v>346</v>
      </c>
      <c r="C756" s="131" t="s">
        <v>140</v>
      </c>
      <c r="D756" s="132">
        <v>0</v>
      </c>
      <c r="E756" s="132">
        <v>2500</v>
      </c>
      <c r="F756" s="132">
        <v>3.82</v>
      </c>
    </row>
    <row r="757" spans="1:6" x14ac:dyDescent="0.2">
      <c r="A757" s="131" t="s">
        <v>515</v>
      </c>
      <c r="B757" s="131" t="s">
        <v>152</v>
      </c>
      <c r="C757" s="131" t="s">
        <v>140</v>
      </c>
      <c r="D757" s="132">
        <v>0</v>
      </c>
      <c r="E757" s="132">
        <v>10000</v>
      </c>
      <c r="F757" s="132">
        <v>3.8275000000000001</v>
      </c>
    </row>
    <row r="758" spans="1:6" x14ac:dyDescent="0.2">
      <c r="A758" s="131" t="s">
        <v>515</v>
      </c>
      <c r="B758" s="131" t="s">
        <v>167</v>
      </c>
      <c r="C758" s="131" t="s">
        <v>140</v>
      </c>
      <c r="D758" s="132">
        <v>0</v>
      </c>
      <c r="E758" s="132">
        <v>5000</v>
      </c>
      <c r="F758" s="132">
        <v>3.8325</v>
      </c>
    </row>
    <row r="759" spans="1:6" x14ac:dyDescent="0.2">
      <c r="A759" s="131" t="s">
        <v>515</v>
      </c>
      <c r="B759" s="131" t="s">
        <v>495</v>
      </c>
      <c r="C759" s="131" t="s">
        <v>301</v>
      </c>
      <c r="D759" s="132">
        <v>0</v>
      </c>
      <c r="E759" s="132">
        <v>10000</v>
      </c>
      <c r="F759" s="132">
        <v>3.8224999999999998</v>
      </c>
    </row>
    <row r="760" spans="1:6" x14ac:dyDescent="0.2">
      <c r="A760" s="131" t="s">
        <v>515</v>
      </c>
      <c r="B760" s="131" t="s">
        <v>162</v>
      </c>
      <c r="C760" s="131" t="s">
        <v>145</v>
      </c>
      <c r="D760" s="132">
        <v>0</v>
      </c>
      <c r="E760" s="132">
        <v>5000</v>
      </c>
      <c r="F760" s="132">
        <v>3.9550000000000001</v>
      </c>
    </row>
    <row r="761" spans="1:6" x14ac:dyDescent="0.2">
      <c r="A761" s="131" t="s">
        <v>515</v>
      </c>
      <c r="B761" s="131" t="s">
        <v>241</v>
      </c>
      <c r="C761" s="131" t="s">
        <v>154</v>
      </c>
      <c r="D761" s="132">
        <v>0</v>
      </c>
      <c r="E761" s="132">
        <v>5000</v>
      </c>
      <c r="F761" s="132">
        <v>4.33</v>
      </c>
    </row>
    <row r="762" spans="1:6" x14ac:dyDescent="0.2">
      <c r="A762" s="131" t="s">
        <v>515</v>
      </c>
      <c r="B762" s="131" t="s">
        <v>241</v>
      </c>
      <c r="C762" s="131" t="s">
        <v>154</v>
      </c>
      <c r="D762" s="132">
        <v>0</v>
      </c>
      <c r="E762" s="132">
        <v>5000</v>
      </c>
      <c r="F762" s="132">
        <v>4.335</v>
      </c>
    </row>
    <row r="763" spans="1:6" x14ac:dyDescent="0.2">
      <c r="A763" s="131" t="s">
        <v>516</v>
      </c>
      <c r="B763" s="131" t="s">
        <v>178</v>
      </c>
      <c r="C763" s="131" t="s">
        <v>140</v>
      </c>
      <c r="D763" s="132">
        <v>0</v>
      </c>
      <c r="E763" s="132">
        <v>5000</v>
      </c>
      <c r="F763" s="132">
        <v>3.8325</v>
      </c>
    </row>
    <row r="764" spans="1:6" x14ac:dyDescent="0.2">
      <c r="A764" s="131" t="s">
        <v>516</v>
      </c>
      <c r="B764" s="131" t="s">
        <v>300</v>
      </c>
      <c r="C764" s="131" t="s">
        <v>140</v>
      </c>
      <c r="D764" s="132">
        <v>5000</v>
      </c>
      <c r="E764" s="132">
        <v>0</v>
      </c>
      <c r="F764" s="132">
        <v>3.83</v>
      </c>
    </row>
    <row r="765" spans="1:6" x14ac:dyDescent="0.2">
      <c r="A765" s="131" t="s">
        <v>516</v>
      </c>
      <c r="B765" s="131" t="s">
        <v>241</v>
      </c>
      <c r="C765" s="131" t="s">
        <v>140</v>
      </c>
      <c r="D765" s="132">
        <v>0</v>
      </c>
      <c r="E765" s="132">
        <v>20000</v>
      </c>
      <c r="F765" s="132">
        <v>3.835</v>
      </c>
    </row>
    <row r="766" spans="1:6" x14ac:dyDescent="0.2">
      <c r="A766" s="131" t="s">
        <v>516</v>
      </c>
      <c r="B766" s="131" t="s">
        <v>333</v>
      </c>
      <c r="C766" s="131" t="s">
        <v>140</v>
      </c>
      <c r="D766" s="132">
        <v>10000</v>
      </c>
      <c r="E766" s="132">
        <v>0</v>
      </c>
      <c r="F766" s="132">
        <v>3.8325</v>
      </c>
    </row>
    <row r="767" spans="1:6" x14ac:dyDescent="0.2">
      <c r="A767" s="131" t="s">
        <v>516</v>
      </c>
      <c r="B767" s="131" t="s">
        <v>333</v>
      </c>
      <c r="C767" s="131" t="s">
        <v>140</v>
      </c>
      <c r="D767" s="132">
        <v>15000</v>
      </c>
      <c r="E767" s="132">
        <v>0</v>
      </c>
      <c r="F767" s="132">
        <v>3.83</v>
      </c>
    </row>
    <row r="768" spans="1:6" x14ac:dyDescent="0.2">
      <c r="A768" s="131" t="s">
        <v>517</v>
      </c>
      <c r="B768" s="131" t="s">
        <v>202</v>
      </c>
      <c r="C768" s="131" t="s">
        <v>140</v>
      </c>
      <c r="D768" s="132">
        <v>0</v>
      </c>
      <c r="E768" s="132">
        <v>10000</v>
      </c>
      <c r="F768" s="132">
        <v>3.835</v>
      </c>
    </row>
    <row r="769" spans="1:6" x14ac:dyDescent="0.2">
      <c r="A769" s="131" t="s">
        <v>517</v>
      </c>
      <c r="B769" s="131" t="s">
        <v>158</v>
      </c>
      <c r="C769" s="131" t="s">
        <v>140</v>
      </c>
      <c r="D769" s="132">
        <v>10000</v>
      </c>
      <c r="E769" s="132">
        <v>0</v>
      </c>
      <c r="F769" s="132">
        <v>3.83</v>
      </c>
    </row>
    <row r="770" spans="1:6" x14ac:dyDescent="0.2">
      <c r="A770" s="131" t="s">
        <v>517</v>
      </c>
      <c r="B770" s="131" t="s">
        <v>518</v>
      </c>
      <c r="C770" s="131" t="s">
        <v>140</v>
      </c>
      <c r="D770" s="132">
        <v>0</v>
      </c>
      <c r="E770" s="132">
        <v>10000</v>
      </c>
      <c r="F770" s="132">
        <v>3.835</v>
      </c>
    </row>
    <row r="771" spans="1:6" x14ac:dyDescent="0.2">
      <c r="A771" s="131" t="s">
        <v>519</v>
      </c>
      <c r="B771" s="131" t="s">
        <v>232</v>
      </c>
      <c r="C771" s="131" t="s">
        <v>145</v>
      </c>
      <c r="D771" s="132">
        <v>5000</v>
      </c>
      <c r="E771" s="132">
        <v>0</v>
      </c>
      <c r="F771" s="132">
        <v>3.94</v>
      </c>
    </row>
    <row r="772" spans="1:6" x14ac:dyDescent="0.2">
      <c r="A772" s="131" t="s">
        <v>519</v>
      </c>
      <c r="B772" s="131" t="s">
        <v>162</v>
      </c>
      <c r="C772" s="131" t="s">
        <v>140</v>
      </c>
      <c r="D772" s="132">
        <v>10000</v>
      </c>
      <c r="E772" s="132">
        <v>0</v>
      </c>
      <c r="F772" s="132">
        <v>3.83</v>
      </c>
    </row>
    <row r="773" spans="1:6" x14ac:dyDescent="0.2">
      <c r="A773" s="131" t="s">
        <v>519</v>
      </c>
      <c r="B773" s="131" t="s">
        <v>437</v>
      </c>
      <c r="C773" s="131" t="s">
        <v>197</v>
      </c>
      <c r="D773" s="132">
        <v>5000</v>
      </c>
      <c r="E773" s="132">
        <v>0</v>
      </c>
      <c r="F773" s="132">
        <v>3.97</v>
      </c>
    </row>
    <row r="774" spans="1:6" x14ac:dyDescent="0.2">
      <c r="A774" s="131" t="s">
        <v>519</v>
      </c>
      <c r="B774" s="131" t="s">
        <v>215</v>
      </c>
      <c r="C774" s="131" t="s">
        <v>140</v>
      </c>
      <c r="D774" s="132">
        <v>0</v>
      </c>
      <c r="E774" s="132">
        <v>20000</v>
      </c>
      <c r="F774" s="132">
        <v>3.835</v>
      </c>
    </row>
    <row r="775" spans="1:6" x14ac:dyDescent="0.2">
      <c r="A775" s="131" t="s">
        <v>520</v>
      </c>
      <c r="B775" s="131" t="s">
        <v>362</v>
      </c>
      <c r="C775" s="131" t="s">
        <v>140</v>
      </c>
      <c r="D775" s="132">
        <v>0</v>
      </c>
      <c r="E775" s="132">
        <v>10000</v>
      </c>
      <c r="F775" s="132">
        <v>3.835</v>
      </c>
    </row>
    <row r="776" spans="1:6" x14ac:dyDescent="0.2">
      <c r="A776" s="131" t="s">
        <v>520</v>
      </c>
      <c r="B776" s="131" t="s">
        <v>230</v>
      </c>
      <c r="C776" s="131" t="s">
        <v>140</v>
      </c>
      <c r="D776" s="132">
        <v>20000</v>
      </c>
      <c r="E776" s="132">
        <v>0</v>
      </c>
      <c r="F776" s="132">
        <v>3.8250000000000002</v>
      </c>
    </row>
    <row r="777" spans="1:6" x14ac:dyDescent="0.2">
      <c r="A777" s="131" t="s">
        <v>520</v>
      </c>
      <c r="B777" s="131" t="s">
        <v>171</v>
      </c>
      <c r="C777" s="131" t="s">
        <v>140</v>
      </c>
      <c r="D777" s="132">
        <v>10000</v>
      </c>
      <c r="E777" s="132">
        <v>0</v>
      </c>
      <c r="F777" s="132">
        <v>3.83</v>
      </c>
    </row>
    <row r="778" spans="1:6" x14ac:dyDescent="0.2">
      <c r="A778" s="131" t="s">
        <v>520</v>
      </c>
      <c r="B778" s="131" t="s">
        <v>521</v>
      </c>
      <c r="C778" s="131" t="s">
        <v>145</v>
      </c>
      <c r="D778" s="132">
        <v>5000</v>
      </c>
      <c r="E778" s="132">
        <v>0</v>
      </c>
      <c r="F778" s="132">
        <v>3.9350000000000001</v>
      </c>
    </row>
    <row r="779" spans="1:6" x14ac:dyDescent="0.2">
      <c r="A779" s="131" t="s">
        <v>520</v>
      </c>
      <c r="B779" s="131" t="s">
        <v>191</v>
      </c>
      <c r="C779" s="131" t="s">
        <v>140</v>
      </c>
      <c r="D779" s="132">
        <v>20000</v>
      </c>
      <c r="E779" s="132">
        <v>0</v>
      </c>
      <c r="F779" s="132">
        <v>3.82</v>
      </c>
    </row>
    <row r="780" spans="1:6" x14ac:dyDescent="0.2">
      <c r="A780" s="131" t="s">
        <v>520</v>
      </c>
      <c r="B780" s="131" t="s">
        <v>149</v>
      </c>
      <c r="C780" s="131" t="s">
        <v>140</v>
      </c>
      <c r="D780" s="132">
        <v>5000</v>
      </c>
      <c r="E780" s="132">
        <v>0</v>
      </c>
      <c r="F780" s="132">
        <v>3.83</v>
      </c>
    </row>
    <row r="781" spans="1:6" x14ac:dyDescent="0.2">
      <c r="A781" s="131" t="s">
        <v>522</v>
      </c>
      <c r="B781" s="131" t="s">
        <v>218</v>
      </c>
      <c r="C781" s="131" t="s">
        <v>140</v>
      </c>
      <c r="D781" s="132">
        <v>0</v>
      </c>
      <c r="E781" s="132">
        <v>10000</v>
      </c>
      <c r="F781" s="132">
        <v>3.8250000000000002</v>
      </c>
    </row>
    <row r="782" spans="1:6" x14ac:dyDescent="0.2">
      <c r="A782" s="131" t="s">
        <v>522</v>
      </c>
      <c r="B782" s="131" t="s">
        <v>444</v>
      </c>
      <c r="C782" s="131" t="s">
        <v>140</v>
      </c>
      <c r="D782" s="132">
        <v>2500</v>
      </c>
      <c r="E782" s="132">
        <v>0</v>
      </c>
      <c r="F782" s="132">
        <v>3.8149999999999999</v>
      </c>
    </row>
    <row r="783" spans="1:6" x14ac:dyDescent="0.2">
      <c r="A783" s="131" t="s">
        <v>522</v>
      </c>
      <c r="B783" s="131" t="s">
        <v>215</v>
      </c>
      <c r="C783" s="131" t="s">
        <v>140</v>
      </c>
      <c r="D783" s="132">
        <v>0</v>
      </c>
      <c r="E783" s="132">
        <v>20000</v>
      </c>
      <c r="F783" s="132">
        <v>3.83</v>
      </c>
    </row>
    <row r="784" spans="1:6" x14ac:dyDescent="0.2">
      <c r="A784" s="131" t="s">
        <v>523</v>
      </c>
      <c r="B784" s="131" t="s">
        <v>220</v>
      </c>
      <c r="C784" s="131" t="s">
        <v>154</v>
      </c>
      <c r="D784" s="132">
        <v>0</v>
      </c>
      <c r="E784" s="132">
        <v>5000</v>
      </c>
      <c r="F784" s="132">
        <v>4.335</v>
      </c>
    </row>
    <row r="785" spans="1:6" x14ac:dyDescent="0.2">
      <c r="A785" s="131" t="s">
        <v>523</v>
      </c>
      <c r="B785" s="131" t="s">
        <v>350</v>
      </c>
      <c r="C785" s="131" t="s">
        <v>140</v>
      </c>
      <c r="D785" s="132">
        <v>10000</v>
      </c>
      <c r="E785" s="132">
        <v>0</v>
      </c>
      <c r="F785" s="132">
        <v>3.83</v>
      </c>
    </row>
    <row r="786" spans="1:6" x14ac:dyDescent="0.2">
      <c r="A786" s="131" t="s">
        <v>523</v>
      </c>
      <c r="B786" s="131" t="s">
        <v>174</v>
      </c>
      <c r="C786" s="131" t="s">
        <v>140</v>
      </c>
      <c r="D786" s="132">
        <v>0</v>
      </c>
      <c r="E786" s="132">
        <v>20000</v>
      </c>
      <c r="F786" s="132">
        <v>3.835</v>
      </c>
    </row>
    <row r="787" spans="1:6" x14ac:dyDescent="0.2">
      <c r="A787" s="131" t="s">
        <v>524</v>
      </c>
      <c r="B787" s="131" t="s">
        <v>147</v>
      </c>
      <c r="C787" s="131" t="s">
        <v>140</v>
      </c>
      <c r="D787" s="132">
        <v>2500</v>
      </c>
      <c r="E787" s="132">
        <v>0</v>
      </c>
      <c r="F787" s="132">
        <v>3.835</v>
      </c>
    </row>
    <row r="788" spans="1:6" x14ac:dyDescent="0.2">
      <c r="A788" s="131" t="s">
        <v>524</v>
      </c>
      <c r="B788" s="131" t="s">
        <v>152</v>
      </c>
      <c r="C788" s="131" t="s">
        <v>140</v>
      </c>
      <c r="D788" s="132">
        <v>0</v>
      </c>
      <c r="E788" s="132">
        <v>20000</v>
      </c>
      <c r="F788" s="132">
        <v>3.84</v>
      </c>
    </row>
    <row r="789" spans="1:6" x14ac:dyDescent="0.2">
      <c r="A789" s="131" t="s">
        <v>524</v>
      </c>
      <c r="B789" s="131" t="s">
        <v>248</v>
      </c>
      <c r="C789" s="131" t="s">
        <v>140</v>
      </c>
      <c r="D789" s="132">
        <v>5000</v>
      </c>
      <c r="E789" s="132">
        <v>0</v>
      </c>
      <c r="F789" s="132">
        <v>3.83</v>
      </c>
    </row>
    <row r="790" spans="1:6" x14ac:dyDescent="0.2">
      <c r="A790" s="131" t="s">
        <v>524</v>
      </c>
      <c r="B790" s="131" t="s">
        <v>156</v>
      </c>
      <c r="C790" s="131" t="s">
        <v>140</v>
      </c>
      <c r="D790" s="132">
        <v>0</v>
      </c>
      <c r="E790" s="132">
        <v>15000</v>
      </c>
      <c r="F790" s="132">
        <v>3.84</v>
      </c>
    </row>
    <row r="791" spans="1:6" x14ac:dyDescent="0.2">
      <c r="A791" s="131" t="s">
        <v>525</v>
      </c>
      <c r="B791" s="131" t="s">
        <v>217</v>
      </c>
      <c r="C791" s="131" t="s">
        <v>150</v>
      </c>
      <c r="D791" s="132">
        <v>0</v>
      </c>
      <c r="E791" s="132">
        <v>5000</v>
      </c>
      <c r="F791" s="132">
        <v>4.01</v>
      </c>
    </row>
    <row r="792" spans="1:6" x14ac:dyDescent="0.2">
      <c r="A792" s="131" t="s">
        <v>525</v>
      </c>
      <c r="B792" s="131" t="s">
        <v>139</v>
      </c>
      <c r="C792" s="131" t="s">
        <v>140</v>
      </c>
      <c r="D792" s="132">
        <v>0</v>
      </c>
      <c r="E792" s="132">
        <v>5000</v>
      </c>
      <c r="F792" s="132">
        <v>3.85</v>
      </c>
    </row>
    <row r="793" spans="1:6" x14ac:dyDescent="0.2">
      <c r="A793" s="131" t="s">
        <v>525</v>
      </c>
      <c r="B793" s="131" t="s">
        <v>162</v>
      </c>
      <c r="C793" s="131" t="s">
        <v>140</v>
      </c>
      <c r="D793" s="132">
        <v>0</v>
      </c>
      <c r="E793" s="132">
        <v>15000</v>
      </c>
      <c r="F793" s="132">
        <v>3.85</v>
      </c>
    </row>
    <row r="794" spans="1:6" x14ac:dyDescent="0.2">
      <c r="A794" s="131" t="s">
        <v>525</v>
      </c>
      <c r="B794" s="131" t="s">
        <v>204</v>
      </c>
      <c r="C794" s="131" t="s">
        <v>197</v>
      </c>
      <c r="D794" s="132">
        <v>7500</v>
      </c>
      <c r="E794" s="132">
        <v>0</v>
      </c>
      <c r="F794" s="132">
        <v>3.98</v>
      </c>
    </row>
    <row r="795" spans="1:6" x14ac:dyDescent="0.2">
      <c r="A795" s="131" t="s">
        <v>525</v>
      </c>
      <c r="B795" s="131" t="s">
        <v>175</v>
      </c>
      <c r="C795" s="131" t="s">
        <v>140</v>
      </c>
      <c r="D795" s="132">
        <v>10000</v>
      </c>
      <c r="E795" s="132">
        <v>0</v>
      </c>
      <c r="F795" s="132">
        <v>3.84</v>
      </c>
    </row>
    <row r="796" spans="1:6" x14ac:dyDescent="0.2">
      <c r="A796" s="131" t="s">
        <v>525</v>
      </c>
      <c r="B796" s="131" t="s">
        <v>156</v>
      </c>
      <c r="C796" s="131" t="s">
        <v>154</v>
      </c>
      <c r="D796" s="132">
        <v>0</v>
      </c>
      <c r="E796" s="132">
        <v>2500</v>
      </c>
      <c r="F796" s="132">
        <v>4.3449999999999998</v>
      </c>
    </row>
    <row r="797" spans="1:6" x14ac:dyDescent="0.2">
      <c r="A797" s="131" t="s">
        <v>525</v>
      </c>
      <c r="B797" s="131" t="s">
        <v>156</v>
      </c>
      <c r="C797" s="131" t="s">
        <v>145</v>
      </c>
      <c r="D797" s="132">
        <v>0</v>
      </c>
      <c r="E797" s="132">
        <v>2500</v>
      </c>
      <c r="F797" s="132">
        <v>3.96</v>
      </c>
    </row>
    <row r="798" spans="1:6" x14ac:dyDescent="0.2">
      <c r="A798" s="131" t="s">
        <v>525</v>
      </c>
      <c r="B798" s="131" t="s">
        <v>215</v>
      </c>
      <c r="C798" s="131" t="s">
        <v>140</v>
      </c>
      <c r="D798" s="132">
        <v>0</v>
      </c>
      <c r="E798" s="132">
        <v>5000</v>
      </c>
      <c r="F798" s="132">
        <v>3.84</v>
      </c>
    </row>
    <row r="799" spans="1:6" x14ac:dyDescent="0.2">
      <c r="A799" s="131" t="s">
        <v>525</v>
      </c>
      <c r="B799" s="131" t="s">
        <v>215</v>
      </c>
      <c r="C799" s="131" t="s">
        <v>140</v>
      </c>
      <c r="D799" s="132">
        <v>0</v>
      </c>
      <c r="E799" s="132">
        <v>20000</v>
      </c>
      <c r="F799" s="132">
        <v>3.8450000000000002</v>
      </c>
    </row>
    <row r="800" spans="1:6" x14ac:dyDescent="0.2">
      <c r="A800" s="131" t="s">
        <v>526</v>
      </c>
      <c r="B800" s="131" t="s">
        <v>230</v>
      </c>
      <c r="C800" s="131" t="s">
        <v>140</v>
      </c>
      <c r="D800" s="132">
        <v>20000</v>
      </c>
      <c r="E800" s="132">
        <v>0</v>
      </c>
      <c r="F800" s="132">
        <v>3.8450000000000002</v>
      </c>
    </row>
    <row r="801" spans="1:6" x14ac:dyDescent="0.2">
      <c r="A801" s="131" t="s">
        <v>526</v>
      </c>
      <c r="B801" s="131" t="s">
        <v>174</v>
      </c>
      <c r="C801" s="131" t="s">
        <v>140</v>
      </c>
      <c r="D801" s="132">
        <v>0</v>
      </c>
      <c r="E801" s="132">
        <v>20000</v>
      </c>
      <c r="F801" s="132">
        <v>3.85</v>
      </c>
    </row>
    <row r="802" spans="1:6" x14ac:dyDescent="0.2">
      <c r="A802" s="131" t="s">
        <v>526</v>
      </c>
      <c r="B802" s="131" t="s">
        <v>191</v>
      </c>
      <c r="C802" s="131" t="s">
        <v>150</v>
      </c>
      <c r="D802" s="132">
        <v>0</v>
      </c>
      <c r="E802" s="132">
        <v>5000</v>
      </c>
      <c r="F802" s="132">
        <v>4.0250000000000004</v>
      </c>
    </row>
    <row r="803" spans="1:6" x14ac:dyDescent="0.2">
      <c r="A803" s="131" t="s">
        <v>526</v>
      </c>
      <c r="B803" s="131" t="s">
        <v>156</v>
      </c>
      <c r="C803" s="131" t="s">
        <v>140</v>
      </c>
      <c r="D803" s="132">
        <v>2500</v>
      </c>
      <c r="E803" s="132">
        <v>0</v>
      </c>
      <c r="F803" s="132">
        <v>3.8450000000000002</v>
      </c>
    </row>
    <row r="804" spans="1:6" x14ac:dyDescent="0.2">
      <c r="A804" s="131" t="s">
        <v>527</v>
      </c>
      <c r="B804" s="131" t="s">
        <v>158</v>
      </c>
      <c r="C804" s="131" t="s">
        <v>140</v>
      </c>
      <c r="D804" s="132">
        <v>10000</v>
      </c>
      <c r="E804" s="132">
        <v>0</v>
      </c>
      <c r="F804" s="132">
        <v>3.8450000000000002</v>
      </c>
    </row>
    <row r="805" spans="1:6" x14ac:dyDescent="0.2">
      <c r="A805" s="131" t="s">
        <v>527</v>
      </c>
      <c r="B805" s="131" t="s">
        <v>218</v>
      </c>
      <c r="C805" s="131" t="s">
        <v>140</v>
      </c>
      <c r="D805" s="132">
        <v>0</v>
      </c>
      <c r="E805" s="132">
        <v>20000</v>
      </c>
      <c r="F805" s="132">
        <v>3.85</v>
      </c>
    </row>
    <row r="806" spans="1:6" x14ac:dyDescent="0.2">
      <c r="A806" s="131" t="s">
        <v>527</v>
      </c>
      <c r="B806" s="131" t="s">
        <v>169</v>
      </c>
      <c r="C806" s="131" t="s">
        <v>140</v>
      </c>
      <c r="D806" s="132">
        <v>0</v>
      </c>
      <c r="E806" s="132">
        <v>10000</v>
      </c>
      <c r="F806" s="132">
        <v>3.85</v>
      </c>
    </row>
    <row r="807" spans="1:6" x14ac:dyDescent="0.2">
      <c r="A807" s="131" t="s">
        <v>527</v>
      </c>
      <c r="B807" s="131" t="s">
        <v>230</v>
      </c>
      <c r="C807" s="131" t="s">
        <v>140</v>
      </c>
      <c r="D807" s="132">
        <v>10000</v>
      </c>
      <c r="E807" s="132">
        <v>0</v>
      </c>
      <c r="F807" s="132">
        <v>3.8450000000000002</v>
      </c>
    </row>
    <row r="808" spans="1:6" x14ac:dyDescent="0.2">
      <c r="A808" s="131" t="s">
        <v>527</v>
      </c>
      <c r="B808" s="131" t="s">
        <v>246</v>
      </c>
      <c r="C808" s="131" t="s">
        <v>140</v>
      </c>
      <c r="D808" s="132">
        <v>10000</v>
      </c>
      <c r="E808" s="132">
        <v>0</v>
      </c>
      <c r="F808" s="132">
        <v>3.8450000000000002</v>
      </c>
    </row>
    <row r="809" spans="1:6" x14ac:dyDescent="0.2">
      <c r="A809" s="131" t="s">
        <v>527</v>
      </c>
      <c r="B809" s="131" t="s">
        <v>204</v>
      </c>
      <c r="C809" s="131" t="s">
        <v>197</v>
      </c>
      <c r="D809" s="132">
        <v>0</v>
      </c>
      <c r="E809" s="132">
        <v>17500</v>
      </c>
      <c r="F809" s="132">
        <v>3.9925000000000002</v>
      </c>
    </row>
    <row r="810" spans="1:6" x14ac:dyDescent="0.2">
      <c r="A810" s="131" t="s">
        <v>527</v>
      </c>
      <c r="B810" s="131" t="s">
        <v>204</v>
      </c>
      <c r="C810" s="131" t="s">
        <v>197</v>
      </c>
      <c r="D810" s="132">
        <v>0</v>
      </c>
      <c r="E810" s="132">
        <v>17500</v>
      </c>
      <c r="F810" s="132">
        <v>3.9925000000000002</v>
      </c>
    </row>
    <row r="811" spans="1:6" x14ac:dyDescent="0.2">
      <c r="A811" s="131" t="s">
        <v>527</v>
      </c>
      <c r="B811" s="131" t="s">
        <v>204</v>
      </c>
      <c r="C811" s="131" t="s">
        <v>140</v>
      </c>
      <c r="D811" s="132">
        <v>10000</v>
      </c>
      <c r="E811" s="132">
        <v>0</v>
      </c>
      <c r="F811" s="132">
        <v>3.84</v>
      </c>
    </row>
    <row r="812" spans="1:6" x14ac:dyDescent="0.2">
      <c r="A812" s="131" t="s">
        <v>527</v>
      </c>
      <c r="B812" s="131" t="s">
        <v>226</v>
      </c>
      <c r="C812" s="131" t="s">
        <v>164</v>
      </c>
      <c r="D812" s="132">
        <v>0</v>
      </c>
      <c r="E812" s="132">
        <v>2500</v>
      </c>
      <c r="F812" s="132">
        <v>3.9449999999999998</v>
      </c>
    </row>
    <row r="813" spans="1:6" x14ac:dyDescent="0.2">
      <c r="A813" s="131" t="s">
        <v>527</v>
      </c>
      <c r="B813" s="131" t="s">
        <v>144</v>
      </c>
      <c r="C813" s="131" t="s">
        <v>145</v>
      </c>
      <c r="D813" s="132">
        <v>5000</v>
      </c>
      <c r="E813" s="132">
        <v>0</v>
      </c>
      <c r="F813" s="132">
        <v>3.9449999999999998</v>
      </c>
    </row>
    <row r="814" spans="1:6" x14ac:dyDescent="0.2">
      <c r="A814" s="131" t="s">
        <v>528</v>
      </c>
      <c r="B814" s="131" t="s">
        <v>232</v>
      </c>
      <c r="C814" s="131" t="s">
        <v>140</v>
      </c>
      <c r="D814" s="132">
        <v>10000</v>
      </c>
      <c r="E814" s="132">
        <v>0</v>
      </c>
      <c r="F814" s="132">
        <v>3.8450000000000002</v>
      </c>
    </row>
    <row r="815" spans="1:6" x14ac:dyDescent="0.2">
      <c r="A815" s="131" t="s">
        <v>528</v>
      </c>
      <c r="B815" s="131" t="s">
        <v>158</v>
      </c>
      <c r="C815" s="131" t="s">
        <v>140</v>
      </c>
      <c r="D815" s="132">
        <v>10000</v>
      </c>
      <c r="E815" s="132">
        <v>0</v>
      </c>
      <c r="F815" s="132">
        <v>3.84</v>
      </c>
    </row>
    <row r="816" spans="1:6" x14ac:dyDescent="0.2">
      <c r="A816" s="131" t="s">
        <v>528</v>
      </c>
      <c r="B816" s="131" t="s">
        <v>167</v>
      </c>
      <c r="C816" s="131" t="s">
        <v>140</v>
      </c>
      <c r="D816" s="132">
        <v>5000</v>
      </c>
      <c r="E816" s="132">
        <v>0</v>
      </c>
      <c r="F816" s="132">
        <v>3.84</v>
      </c>
    </row>
    <row r="817" spans="1:6" x14ac:dyDescent="0.2">
      <c r="A817" s="131" t="s">
        <v>528</v>
      </c>
      <c r="B817" s="131" t="s">
        <v>169</v>
      </c>
      <c r="C817" s="131" t="s">
        <v>140</v>
      </c>
      <c r="D817" s="132">
        <v>5000</v>
      </c>
      <c r="E817" s="132">
        <v>0</v>
      </c>
      <c r="F817" s="132">
        <v>3.84</v>
      </c>
    </row>
    <row r="818" spans="1:6" x14ac:dyDescent="0.2">
      <c r="A818" s="131" t="s">
        <v>529</v>
      </c>
      <c r="B818" s="131" t="s">
        <v>202</v>
      </c>
      <c r="C818" s="131" t="s">
        <v>154</v>
      </c>
      <c r="D818" s="132">
        <v>5000</v>
      </c>
      <c r="E818" s="132">
        <v>0</v>
      </c>
      <c r="F818" s="132">
        <v>4.33</v>
      </c>
    </row>
    <row r="819" spans="1:6" x14ac:dyDescent="0.2">
      <c r="A819" s="131" t="s">
        <v>529</v>
      </c>
      <c r="B819" s="131" t="s">
        <v>152</v>
      </c>
      <c r="C819" s="131" t="s">
        <v>140</v>
      </c>
      <c r="D819" s="132">
        <v>10000</v>
      </c>
      <c r="E819" s="132">
        <v>0</v>
      </c>
      <c r="F819" s="132">
        <v>3.835</v>
      </c>
    </row>
    <row r="820" spans="1:6" x14ac:dyDescent="0.2">
      <c r="A820" s="131" t="s">
        <v>529</v>
      </c>
      <c r="B820" s="131" t="s">
        <v>229</v>
      </c>
      <c r="C820" s="131" t="s">
        <v>150</v>
      </c>
      <c r="D820" s="132">
        <v>5000</v>
      </c>
      <c r="E820" s="132">
        <v>0</v>
      </c>
      <c r="F820" s="132">
        <v>4.0049999999999999</v>
      </c>
    </row>
    <row r="821" spans="1:6" x14ac:dyDescent="0.2">
      <c r="A821" s="131" t="s">
        <v>529</v>
      </c>
      <c r="B821" s="131" t="s">
        <v>218</v>
      </c>
      <c r="C821" s="131" t="s">
        <v>140</v>
      </c>
      <c r="D821" s="132">
        <v>0</v>
      </c>
      <c r="E821" s="132">
        <v>10000</v>
      </c>
      <c r="F821" s="132">
        <v>3.84</v>
      </c>
    </row>
    <row r="822" spans="1:6" x14ac:dyDescent="0.2">
      <c r="A822" s="131" t="s">
        <v>529</v>
      </c>
      <c r="B822" s="131" t="s">
        <v>248</v>
      </c>
      <c r="C822" s="131" t="s">
        <v>140</v>
      </c>
      <c r="D822" s="132">
        <v>10000</v>
      </c>
      <c r="E822" s="132">
        <v>0</v>
      </c>
      <c r="F822" s="132">
        <v>3.835</v>
      </c>
    </row>
    <row r="823" spans="1:6" x14ac:dyDescent="0.2">
      <c r="A823" s="131" t="s">
        <v>529</v>
      </c>
      <c r="B823" s="131" t="s">
        <v>331</v>
      </c>
      <c r="C823" s="131" t="s">
        <v>150</v>
      </c>
      <c r="D823" s="132">
        <v>5000</v>
      </c>
      <c r="E823" s="132">
        <v>0</v>
      </c>
      <c r="F823" s="132">
        <v>4.01</v>
      </c>
    </row>
    <row r="824" spans="1:6" x14ac:dyDescent="0.2">
      <c r="A824" s="131" t="s">
        <v>530</v>
      </c>
      <c r="B824" s="131" t="s">
        <v>218</v>
      </c>
      <c r="C824" s="131" t="s">
        <v>140</v>
      </c>
      <c r="D824" s="132">
        <v>0</v>
      </c>
      <c r="E824" s="132">
        <v>10000</v>
      </c>
      <c r="F824" s="132">
        <v>3.84</v>
      </c>
    </row>
    <row r="825" spans="1:6" x14ac:dyDescent="0.2">
      <c r="A825" s="131" t="s">
        <v>530</v>
      </c>
      <c r="B825" s="131" t="s">
        <v>163</v>
      </c>
      <c r="C825" s="131" t="s">
        <v>140</v>
      </c>
      <c r="D825" s="132">
        <v>10000</v>
      </c>
      <c r="E825" s="132">
        <v>0</v>
      </c>
      <c r="F825" s="132">
        <v>3.835</v>
      </c>
    </row>
    <row r="826" spans="1:6" x14ac:dyDescent="0.2">
      <c r="A826" s="131" t="s">
        <v>530</v>
      </c>
      <c r="B826" s="131" t="s">
        <v>144</v>
      </c>
      <c r="C826" s="131" t="s">
        <v>197</v>
      </c>
      <c r="D826" s="132">
        <v>10000</v>
      </c>
      <c r="E826" s="132">
        <v>0</v>
      </c>
      <c r="F826" s="132">
        <v>3.9775</v>
      </c>
    </row>
    <row r="827" spans="1:6" x14ac:dyDescent="0.2">
      <c r="A827" s="131" t="s">
        <v>531</v>
      </c>
      <c r="B827" s="131" t="s">
        <v>346</v>
      </c>
      <c r="C827" s="131" t="s">
        <v>140</v>
      </c>
      <c r="D827" s="132">
        <v>0</v>
      </c>
      <c r="E827" s="132">
        <v>2500</v>
      </c>
      <c r="F827" s="132">
        <v>3.84</v>
      </c>
    </row>
    <row r="828" spans="1:6" x14ac:dyDescent="0.2">
      <c r="A828" s="131" t="s">
        <v>531</v>
      </c>
      <c r="B828" s="131" t="s">
        <v>174</v>
      </c>
      <c r="C828" s="131" t="s">
        <v>140</v>
      </c>
      <c r="D828" s="132">
        <v>0</v>
      </c>
      <c r="E828" s="132">
        <v>20000</v>
      </c>
      <c r="F828" s="132">
        <v>3.84</v>
      </c>
    </row>
    <row r="829" spans="1:6" x14ac:dyDescent="0.2">
      <c r="A829" s="131" t="s">
        <v>531</v>
      </c>
      <c r="B829" s="131" t="s">
        <v>144</v>
      </c>
      <c r="C829" s="131" t="s">
        <v>197</v>
      </c>
      <c r="D829" s="132">
        <v>10000</v>
      </c>
      <c r="E829" s="132">
        <v>0</v>
      </c>
      <c r="F829" s="132">
        <v>3.9775</v>
      </c>
    </row>
    <row r="830" spans="1:6" x14ac:dyDescent="0.2">
      <c r="A830" s="131" t="s">
        <v>532</v>
      </c>
      <c r="B830" s="131" t="s">
        <v>495</v>
      </c>
      <c r="C830" s="131" t="s">
        <v>301</v>
      </c>
      <c r="D830" s="132">
        <v>10000</v>
      </c>
      <c r="E830" s="132">
        <v>0</v>
      </c>
      <c r="F830" s="132">
        <v>3.8224999999999998</v>
      </c>
    </row>
    <row r="831" spans="1:6" x14ac:dyDescent="0.2">
      <c r="A831" s="131" t="s">
        <v>532</v>
      </c>
      <c r="B831" s="131" t="s">
        <v>333</v>
      </c>
      <c r="C831" s="131" t="s">
        <v>150</v>
      </c>
      <c r="D831" s="132">
        <v>5000</v>
      </c>
      <c r="E831" s="132">
        <v>0</v>
      </c>
      <c r="F831" s="132">
        <v>4</v>
      </c>
    </row>
    <row r="832" spans="1:6" x14ac:dyDescent="0.2">
      <c r="A832" s="131" t="s">
        <v>533</v>
      </c>
      <c r="B832" s="131" t="s">
        <v>144</v>
      </c>
      <c r="C832" s="131" t="s">
        <v>197</v>
      </c>
      <c r="D832" s="132">
        <v>10000</v>
      </c>
      <c r="E832" s="132">
        <v>0</v>
      </c>
      <c r="F832" s="132">
        <v>3.9725000000000001</v>
      </c>
    </row>
    <row r="833" spans="1:6" x14ac:dyDescent="0.2">
      <c r="A833" s="131" t="s">
        <v>534</v>
      </c>
      <c r="B833" s="131" t="s">
        <v>139</v>
      </c>
      <c r="C833" s="131" t="s">
        <v>140</v>
      </c>
      <c r="D833" s="132">
        <v>0</v>
      </c>
      <c r="E833" s="132">
        <v>17500</v>
      </c>
      <c r="F833" s="132">
        <v>3.83</v>
      </c>
    </row>
    <row r="834" spans="1:6" x14ac:dyDescent="0.2">
      <c r="A834" s="131" t="s">
        <v>534</v>
      </c>
      <c r="B834" s="131" t="s">
        <v>323</v>
      </c>
      <c r="C834" s="131" t="s">
        <v>154</v>
      </c>
      <c r="D834" s="132">
        <v>5000</v>
      </c>
      <c r="E834" s="132">
        <v>0</v>
      </c>
      <c r="F834" s="132">
        <v>4.32</v>
      </c>
    </row>
    <row r="835" spans="1:6" x14ac:dyDescent="0.2">
      <c r="A835" s="131" t="s">
        <v>534</v>
      </c>
      <c r="B835" s="131" t="s">
        <v>495</v>
      </c>
      <c r="C835" s="131" t="s">
        <v>301</v>
      </c>
      <c r="D835" s="132">
        <v>10000</v>
      </c>
      <c r="E835" s="132">
        <v>0</v>
      </c>
      <c r="F835" s="132">
        <v>3.8174999999999999</v>
      </c>
    </row>
    <row r="836" spans="1:6" x14ac:dyDescent="0.2">
      <c r="A836" s="131" t="s">
        <v>534</v>
      </c>
      <c r="B836" s="131" t="s">
        <v>191</v>
      </c>
      <c r="C836" s="131" t="s">
        <v>140</v>
      </c>
      <c r="D836" s="132">
        <v>10000</v>
      </c>
      <c r="E836" s="132">
        <v>0</v>
      </c>
      <c r="F836" s="132">
        <v>3.8250000000000002</v>
      </c>
    </row>
    <row r="837" spans="1:6" x14ac:dyDescent="0.2">
      <c r="A837" s="131" t="s">
        <v>535</v>
      </c>
      <c r="B837" s="131" t="s">
        <v>204</v>
      </c>
      <c r="C837" s="131" t="s">
        <v>140</v>
      </c>
      <c r="D837" s="132">
        <v>0</v>
      </c>
      <c r="E837" s="132">
        <v>7500</v>
      </c>
      <c r="F837" s="132">
        <v>3.83</v>
      </c>
    </row>
    <row r="838" spans="1:6" x14ac:dyDescent="0.2">
      <c r="A838" s="131" t="s">
        <v>535</v>
      </c>
      <c r="B838" s="131" t="s">
        <v>333</v>
      </c>
      <c r="C838" s="131" t="s">
        <v>140</v>
      </c>
      <c r="D838" s="132">
        <v>20000</v>
      </c>
      <c r="E838" s="132">
        <v>0</v>
      </c>
      <c r="F838" s="132">
        <v>3.8250000000000002</v>
      </c>
    </row>
    <row r="839" spans="1:6" x14ac:dyDescent="0.2">
      <c r="A839" s="131" t="s">
        <v>536</v>
      </c>
      <c r="B839" s="131" t="s">
        <v>169</v>
      </c>
      <c r="C839" s="131" t="s">
        <v>140</v>
      </c>
      <c r="D839" s="132">
        <v>0</v>
      </c>
      <c r="E839" s="132">
        <v>12500</v>
      </c>
      <c r="F839" s="132">
        <v>3.83</v>
      </c>
    </row>
    <row r="840" spans="1:6" x14ac:dyDescent="0.2">
      <c r="A840" s="131" t="s">
        <v>537</v>
      </c>
      <c r="B840" s="131" t="s">
        <v>158</v>
      </c>
      <c r="C840" s="131" t="s">
        <v>150</v>
      </c>
      <c r="D840" s="132">
        <v>5000</v>
      </c>
      <c r="E840" s="132">
        <v>0</v>
      </c>
      <c r="F840" s="132">
        <v>3.99</v>
      </c>
    </row>
    <row r="841" spans="1:6" x14ac:dyDescent="0.2">
      <c r="A841" s="131" t="s">
        <v>537</v>
      </c>
      <c r="B841" s="131" t="s">
        <v>144</v>
      </c>
      <c r="C841" s="131" t="s">
        <v>197</v>
      </c>
      <c r="D841" s="132">
        <v>20000</v>
      </c>
      <c r="E841" s="132">
        <v>0</v>
      </c>
      <c r="F841" s="132">
        <v>3.9674999999999998</v>
      </c>
    </row>
    <row r="842" spans="1:6" x14ac:dyDescent="0.2">
      <c r="A842" s="131" t="s">
        <v>538</v>
      </c>
      <c r="B842" s="131" t="s">
        <v>292</v>
      </c>
      <c r="C842" s="131" t="s">
        <v>140</v>
      </c>
      <c r="D842" s="132">
        <v>2500</v>
      </c>
      <c r="E842" s="132">
        <v>0</v>
      </c>
      <c r="F842" s="132">
        <v>3.8250000000000002</v>
      </c>
    </row>
    <row r="843" spans="1:6" x14ac:dyDescent="0.2">
      <c r="A843" s="131" t="s">
        <v>538</v>
      </c>
      <c r="B843" s="131" t="s">
        <v>169</v>
      </c>
      <c r="C843" s="131" t="s">
        <v>140</v>
      </c>
      <c r="D843" s="132">
        <v>0</v>
      </c>
      <c r="E843" s="132">
        <v>20000</v>
      </c>
      <c r="F843" s="132">
        <v>3.83</v>
      </c>
    </row>
    <row r="844" spans="1:6" x14ac:dyDescent="0.2">
      <c r="A844" s="131" t="s">
        <v>538</v>
      </c>
      <c r="B844" s="131" t="s">
        <v>156</v>
      </c>
      <c r="C844" s="131" t="s">
        <v>140</v>
      </c>
      <c r="D844" s="132">
        <v>0</v>
      </c>
      <c r="E844" s="132">
        <v>2500</v>
      </c>
      <c r="F844" s="132">
        <v>3.835</v>
      </c>
    </row>
    <row r="845" spans="1:6" x14ac:dyDescent="0.2">
      <c r="A845" s="131" t="s">
        <v>538</v>
      </c>
      <c r="B845" s="131" t="s">
        <v>144</v>
      </c>
      <c r="C845" s="131" t="s">
        <v>145</v>
      </c>
      <c r="D845" s="132">
        <v>0</v>
      </c>
      <c r="E845" s="132">
        <v>5000</v>
      </c>
      <c r="F845" s="132">
        <v>3.94</v>
      </c>
    </row>
    <row r="846" spans="1:6" x14ac:dyDescent="0.2">
      <c r="A846" s="131" t="s">
        <v>539</v>
      </c>
      <c r="B846" s="131" t="s">
        <v>218</v>
      </c>
      <c r="C846" s="131" t="s">
        <v>154</v>
      </c>
      <c r="D846" s="132">
        <v>0</v>
      </c>
      <c r="E846" s="132">
        <v>2500</v>
      </c>
      <c r="F846" s="132">
        <v>4.335</v>
      </c>
    </row>
    <row r="847" spans="1:6" x14ac:dyDescent="0.2">
      <c r="A847" s="131" t="s">
        <v>540</v>
      </c>
      <c r="B847" s="131" t="s">
        <v>139</v>
      </c>
      <c r="C847" s="131" t="s">
        <v>140</v>
      </c>
      <c r="D847" s="132">
        <v>0</v>
      </c>
      <c r="E847" s="132">
        <v>20000</v>
      </c>
      <c r="F847" s="132">
        <v>3.84</v>
      </c>
    </row>
    <row r="848" spans="1:6" x14ac:dyDescent="0.2">
      <c r="A848" s="131" t="s">
        <v>540</v>
      </c>
      <c r="B848" s="131" t="s">
        <v>144</v>
      </c>
      <c r="C848" s="131" t="s">
        <v>145</v>
      </c>
      <c r="D848" s="132">
        <v>0</v>
      </c>
      <c r="E848" s="132">
        <v>2500</v>
      </c>
      <c r="F848" s="132">
        <v>3.9449999999999998</v>
      </c>
    </row>
    <row r="849" spans="1:6" x14ac:dyDescent="0.2">
      <c r="A849" s="131" t="s">
        <v>540</v>
      </c>
      <c r="B849" s="131" t="s">
        <v>237</v>
      </c>
      <c r="C849" s="131" t="s">
        <v>140</v>
      </c>
      <c r="D849" s="132">
        <v>2500</v>
      </c>
      <c r="E849" s="132">
        <v>0</v>
      </c>
      <c r="F849" s="132">
        <v>3.835</v>
      </c>
    </row>
    <row r="850" spans="1:6" x14ac:dyDescent="0.2">
      <c r="A850" s="131" t="s">
        <v>540</v>
      </c>
      <c r="B850" s="131" t="s">
        <v>541</v>
      </c>
      <c r="C850" s="131" t="s">
        <v>140</v>
      </c>
      <c r="D850" s="132">
        <v>17500</v>
      </c>
      <c r="E850" s="132">
        <v>0</v>
      </c>
      <c r="F850" s="132">
        <v>3.835</v>
      </c>
    </row>
    <row r="851" spans="1:6" x14ac:dyDescent="0.2">
      <c r="A851" s="131" t="s">
        <v>542</v>
      </c>
      <c r="B851" s="131" t="s">
        <v>235</v>
      </c>
      <c r="C851" s="131" t="s">
        <v>154</v>
      </c>
      <c r="D851" s="132">
        <v>5000</v>
      </c>
      <c r="E851" s="132">
        <v>0</v>
      </c>
      <c r="F851" s="132">
        <v>4.33</v>
      </c>
    </row>
    <row r="852" spans="1:6" x14ac:dyDescent="0.2">
      <c r="A852" s="131" t="s">
        <v>543</v>
      </c>
      <c r="B852" s="131" t="s">
        <v>218</v>
      </c>
      <c r="C852" s="131" t="s">
        <v>145</v>
      </c>
      <c r="D852" s="132">
        <v>2500</v>
      </c>
      <c r="E852" s="132">
        <v>0</v>
      </c>
      <c r="F852" s="132">
        <v>3.9350000000000001</v>
      </c>
    </row>
    <row r="853" spans="1:6" x14ac:dyDescent="0.2">
      <c r="A853" s="131" t="s">
        <v>543</v>
      </c>
      <c r="B853" s="131" t="s">
        <v>218</v>
      </c>
      <c r="C853" s="131" t="s">
        <v>140</v>
      </c>
      <c r="D853" s="132">
        <v>0</v>
      </c>
      <c r="E853" s="132">
        <v>10000</v>
      </c>
      <c r="F853" s="132">
        <v>3.835</v>
      </c>
    </row>
    <row r="854" spans="1:6" x14ac:dyDescent="0.2">
      <c r="A854" s="131" t="s">
        <v>544</v>
      </c>
      <c r="B854" s="131" t="s">
        <v>400</v>
      </c>
      <c r="C854" s="131" t="s">
        <v>140</v>
      </c>
      <c r="D854" s="132">
        <v>0</v>
      </c>
      <c r="E854" s="132">
        <v>10000</v>
      </c>
      <c r="F854" s="132">
        <v>3.835</v>
      </c>
    </row>
    <row r="855" spans="1:6" x14ac:dyDescent="0.2">
      <c r="A855" s="131" t="s">
        <v>545</v>
      </c>
      <c r="B855" s="131" t="s">
        <v>171</v>
      </c>
      <c r="C855" s="131" t="s">
        <v>164</v>
      </c>
      <c r="D855" s="132">
        <v>20000</v>
      </c>
      <c r="E855" s="132">
        <v>0</v>
      </c>
      <c r="F855" s="132">
        <v>3.9249999999999998</v>
      </c>
    </row>
    <row r="856" spans="1:6" x14ac:dyDescent="0.2">
      <c r="A856" s="131" t="s">
        <v>546</v>
      </c>
      <c r="B856" s="131" t="s">
        <v>169</v>
      </c>
      <c r="C856" s="131" t="s">
        <v>140</v>
      </c>
      <c r="D856" s="132">
        <v>0</v>
      </c>
      <c r="E856" s="132">
        <v>5000</v>
      </c>
      <c r="F856" s="132">
        <v>3.84</v>
      </c>
    </row>
    <row r="857" spans="1:6" x14ac:dyDescent="0.2">
      <c r="A857" s="131" t="s">
        <v>546</v>
      </c>
      <c r="B857" s="131" t="s">
        <v>139</v>
      </c>
      <c r="C857" s="131" t="s">
        <v>140</v>
      </c>
      <c r="D857" s="132">
        <v>0</v>
      </c>
      <c r="E857" s="132">
        <v>20000</v>
      </c>
      <c r="F857" s="132">
        <v>3.835</v>
      </c>
    </row>
    <row r="858" spans="1:6" x14ac:dyDescent="0.2">
      <c r="A858" s="131" t="s">
        <v>547</v>
      </c>
      <c r="B858" s="131" t="s">
        <v>400</v>
      </c>
      <c r="C858" s="131" t="s">
        <v>140</v>
      </c>
      <c r="D858" s="132">
        <v>0</v>
      </c>
      <c r="E858" s="132">
        <v>20000</v>
      </c>
      <c r="F858" s="132">
        <v>3.8450000000000002</v>
      </c>
    </row>
    <row r="859" spans="1:6" x14ac:dyDescent="0.2">
      <c r="A859" s="131" t="s">
        <v>547</v>
      </c>
      <c r="B859" s="131" t="s">
        <v>241</v>
      </c>
      <c r="C859" s="131" t="s">
        <v>154</v>
      </c>
      <c r="D859" s="132">
        <v>0</v>
      </c>
      <c r="E859" s="132">
        <v>5000</v>
      </c>
      <c r="F859" s="132">
        <v>4.3449999999999998</v>
      </c>
    </row>
    <row r="860" spans="1:6" x14ac:dyDescent="0.2">
      <c r="A860" s="131" t="s">
        <v>548</v>
      </c>
      <c r="B860" s="131" t="s">
        <v>167</v>
      </c>
      <c r="C860" s="131" t="s">
        <v>140</v>
      </c>
      <c r="D860" s="132">
        <v>0</v>
      </c>
      <c r="E860" s="132">
        <v>20000</v>
      </c>
      <c r="F860" s="132">
        <v>3.85</v>
      </c>
    </row>
    <row r="861" spans="1:6" x14ac:dyDescent="0.2">
      <c r="A861" s="131" t="s">
        <v>548</v>
      </c>
      <c r="B861" s="131" t="s">
        <v>181</v>
      </c>
      <c r="C861" s="131" t="s">
        <v>154</v>
      </c>
      <c r="D861" s="132">
        <v>0</v>
      </c>
      <c r="E861" s="132">
        <v>5000</v>
      </c>
      <c r="F861" s="132">
        <v>4.3499999999999996</v>
      </c>
    </row>
    <row r="862" spans="1:6" x14ac:dyDescent="0.2">
      <c r="A862" s="131" t="s">
        <v>548</v>
      </c>
      <c r="B862" s="131" t="s">
        <v>444</v>
      </c>
      <c r="C862" s="131" t="s">
        <v>140</v>
      </c>
      <c r="D862" s="132">
        <v>0</v>
      </c>
      <c r="E862" s="132">
        <v>20000</v>
      </c>
      <c r="F862" s="132">
        <v>3.855</v>
      </c>
    </row>
    <row r="863" spans="1:6" x14ac:dyDescent="0.2">
      <c r="A863" s="131" t="s">
        <v>549</v>
      </c>
      <c r="B863" s="131" t="s">
        <v>271</v>
      </c>
      <c r="C863" s="131" t="s">
        <v>140</v>
      </c>
      <c r="D863" s="132">
        <v>10000</v>
      </c>
      <c r="E863" s="132">
        <v>0</v>
      </c>
      <c r="F863" s="132">
        <v>3.85</v>
      </c>
    </row>
    <row r="864" spans="1:6" x14ac:dyDescent="0.2">
      <c r="A864" s="131" t="s">
        <v>549</v>
      </c>
      <c r="B864" s="131" t="s">
        <v>518</v>
      </c>
      <c r="C864" s="131" t="s">
        <v>140</v>
      </c>
      <c r="D864" s="132">
        <v>0</v>
      </c>
      <c r="E864" s="132">
        <v>2500</v>
      </c>
      <c r="F864" s="132">
        <v>3.86</v>
      </c>
    </row>
    <row r="865" spans="1:6" x14ac:dyDescent="0.2">
      <c r="A865" s="131" t="s">
        <v>549</v>
      </c>
      <c r="B865" s="131" t="s">
        <v>518</v>
      </c>
      <c r="C865" s="131" t="s">
        <v>140</v>
      </c>
      <c r="D865" s="132">
        <v>0</v>
      </c>
      <c r="E865" s="132">
        <v>2500</v>
      </c>
      <c r="F865" s="132">
        <v>3.86</v>
      </c>
    </row>
    <row r="866" spans="1:6" x14ac:dyDescent="0.2">
      <c r="A866" s="131" t="s">
        <v>549</v>
      </c>
      <c r="B866" s="131" t="s">
        <v>308</v>
      </c>
      <c r="C866" s="131" t="s">
        <v>140</v>
      </c>
      <c r="D866" s="132">
        <v>0</v>
      </c>
      <c r="E866" s="132">
        <v>5000</v>
      </c>
      <c r="F866" s="132">
        <v>3.86</v>
      </c>
    </row>
    <row r="867" spans="1:6" x14ac:dyDescent="0.2">
      <c r="A867" s="131" t="s">
        <v>549</v>
      </c>
      <c r="B867" s="131" t="s">
        <v>156</v>
      </c>
      <c r="C867" s="131" t="s">
        <v>145</v>
      </c>
      <c r="D867" s="132">
        <v>5000</v>
      </c>
      <c r="E867" s="132">
        <v>0</v>
      </c>
      <c r="F867" s="132">
        <v>3.9550000000000001</v>
      </c>
    </row>
    <row r="868" spans="1:6" x14ac:dyDescent="0.2">
      <c r="A868" s="131" t="s">
        <v>550</v>
      </c>
      <c r="B868" s="131" t="s">
        <v>384</v>
      </c>
      <c r="C868" s="131" t="s">
        <v>150</v>
      </c>
      <c r="D868" s="132">
        <v>0</v>
      </c>
      <c r="E868" s="132">
        <v>5000</v>
      </c>
      <c r="F868" s="132">
        <v>4.0199999999999996</v>
      </c>
    </row>
    <row r="869" spans="1:6" x14ac:dyDescent="0.2">
      <c r="A869" s="131" t="s">
        <v>550</v>
      </c>
      <c r="B869" s="131" t="s">
        <v>217</v>
      </c>
      <c r="C869" s="131" t="s">
        <v>140</v>
      </c>
      <c r="D869" s="132">
        <v>0</v>
      </c>
      <c r="E869" s="132">
        <v>20000</v>
      </c>
      <c r="F869" s="132">
        <v>3.8650000000000002</v>
      </c>
    </row>
    <row r="870" spans="1:6" x14ac:dyDescent="0.2">
      <c r="A870" s="131" t="s">
        <v>550</v>
      </c>
      <c r="B870" s="131" t="s">
        <v>218</v>
      </c>
      <c r="C870" s="131" t="s">
        <v>140</v>
      </c>
      <c r="D870" s="132">
        <v>0</v>
      </c>
      <c r="E870" s="132">
        <v>20000</v>
      </c>
      <c r="F870" s="132">
        <v>3.87</v>
      </c>
    </row>
    <row r="871" spans="1:6" x14ac:dyDescent="0.2">
      <c r="A871" s="131" t="s">
        <v>550</v>
      </c>
      <c r="B871" s="131" t="s">
        <v>241</v>
      </c>
      <c r="C871" s="131" t="s">
        <v>140</v>
      </c>
      <c r="D871" s="132">
        <v>0</v>
      </c>
      <c r="E871" s="132">
        <v>10000</v>
      </c>
      <c r="F871" s="132">
        <v>3.86</v>
      </c>
    </row>
    <row r="872" spans="1:6" x14ac:dyDescent="0.2">
      <c r="A872" s="131" t="s">
        <v>550</v>
      </c>
      <c r="B872" s="131" t="s">
        <v>281</v>
      </c>
      <c r="C872" s="131" t="s">
        <v>140</v>
      </c>
      <c r="D872" s="132">
        <v>5000</v>
      </c>
      <c r="E872" s="132">
        <v>0</v>
      </c>
      <c r="F872" s="132">
        <v>3.8650000000000002</v>
      </c>
    </row>
    <row r="873" spans="1:6" x14ac:dyDescent="0.2">
      <c r="A873" s="131" t="s">
        <v>550</v>
      </c>
      <c r="B873" s="131" t="s">
        <v>156</v>
      </c>
      <c r="C873" s="131" t="s">
        <v>140</v>
      </c>
      <c r="D873" s="132">
        <v>0</v>
      </c>
      <c r="E873" s="132">
        <v>10000</v>
      </c>
      <c r="F873" s="132">
        <v>3.86</v>
      </c>
    </row>
    <row r="874" spans="1:6" x14ac:dyDescent="0.2">
      <c r="A874" s="131" t="s">
        <v>550</v>
      </c>
      <c r="B874" s="131" t="s">
        <v>187</v>
      </c>
      <c r="C874" s="131" t="s">
        <v>154</v>
      </c>
      <c r="D874" s="132">
        <v>0</v>
      </c>
      <c r="E874" s="132">
        <v>2500</v>
      </c>
      <c r="F874" s="132">
        <v>4.3600000000000003</v>
      </c>
    </row>
    <row r="875" spans="1:6" x14ac:dyDescent="0.2">
      <c r="A875" s="131" t="s">
        <v>550</v>
      </c>
      <c r="B875" s="131" t="s">
        <v>239</v>
      </c>
      <c r="C875" s="131" t="s">
        <v>140</v>
      </c>
      <c r="D875" s="132">
        <v>5000</v>
      </c>
      <c r="E875" s="132">
        <v>0</v>
      </c>
      <c r="F875" s="132">
        <v>3.8650000000000002</v>
      </c>
    </row>
    <row r="876" spans="1:6" x14ac:dyDescent="0.2">
      <c r="A876" s="131" t="s">
        <v>551</v>
      </c>
      <c r="B876" s="131" t="s">
        <v>232</v>
      </c>
      <c r="C876" s="131" t="s">
        <v>140</v>
      </c>
      <c r="D876" s="132">
        <v>0</v>
      </c>
      <c r="E876" s="132">
        <v>20000</v>
      </c>
      <c r="F876" s="132">
        <v>3.875</v>
      </c>
    </row>
    <row r="877" spans="1:6" x14ac:dyDescent="0.2">
      <c r="A877" s="131" t="s">
        <v>551</v>
      </c>
      <c r="B877" s="131" t="s">
        <v>139</v>
      </c>
      <c r="C877" s="131" t="s">
        <v>145</v>
      </c>
      <c r="D877" s="132">
        <v>0</v>
      </c>
      <c r="E877" s="132">
        <v>2500</v>
      </c>
      <c r="F877" s="132">
        <v>3.98</v>
      </c>
    </row>
    <row r="878" spans="1:6" x14ac:dyDescent="0.2">
      <c r="A878" s="131" t="s">
        <v>551</v>
      </c>
      <c r="B878" s="131" t="s">
        <v>139</v>
      </c>
      <c r="C878" s="131" t="s">
        <v>145</v>
      </c>
      <c r="D878" s="132">
        <v>0</v>
      </c>
      <c r="E878" s="132">
        <v>2500</v>
      </c>
      <c r="F878" s="132">
        <v>3.98</v>
      </c>
    </row>
    <row r="879" spans="1:6" x14ac:dyDescent="0.2">
      <c r="A879" s="131" t="s">
        <v>551</v>
      </c>
      <c r="B879" s="131" t="s">
        <v>271</v>
      </c>
      <c r="C879" s="131" t="s">
        <v>140</v>
      </c>
      <c r="D879" s="132">
        <v>10000</v>
      </c>
      <c r="E879" s="132">
        <v>0</v>
      </c>
      <c r="F879" s="132">
        <v>3.87</v>
      </c>
    </row>
    <row r="880" spans="1:6" x14ac:dyDescent="0.2">
      <c r="A880" s="131" t="s">
        <v>551</v>
      </c>
      <c r="B880" s="131" t="s">
        <v>444</v>
      </c>
      <c r="C880" s="131" t="s">
        <v>140</v>
      </c>
      <c r="D880" s="132">
        <v>10000</v>
      </c>
      <c r="E880" s="132">
        <v>0</v>
      </c>
      <c r="F880" s="132">
        <v>3.87</v>
      </c>
    </row>
    <row r="881" spans="1:6" x14ac:dyDescent="0.2">
      <c r="A881" s="131" t="s">
        <v>551</v>
      </c>
      <c r="B881" s="131" t="s">
        <v>241</v>
      </c>
      <c r="C881" s="131" t="s">
        <v>140</v>
      </c>
      <c r="D881" s="132">
        <v>0</v>
      </c>
      <c r="E881" s="132">
        <v>20000</v>
      </c>
      <c r="F881" s="132">
        <v>3.87</v>
      </c>
    </row>
    <row r="882" spans="1:6" x14ac:dyDescent="0.2">
      <c r="A882" s="131" t="s">
        <v>551</v>
      </c>
      <c r="B882" s="131" t="s">
        <v>308</v>
      </c>
      <c r="C882" s="131" t="s">
        <v>140</v>
      </c>
      <c r="D882" s="132">
        <v>0</v>
      </c>
      <c r="E882" s="132">
        <v>20000</v>
      </c>
      <c r="F882" s="132">
        <v>3.875</v>
      </c>
    </row>
    <row r="883" spans="1:6" x14ac:dyDescent="0.2">
      <c r="A883" s="131" t="s">
        <v>551</v>
      </c>
      <c r="B883" s="131" t="s">
        <v>175</v>
      </c>
      <c r="C883" s="131" t="s">
        <v>140</v>
      </c>
      <c r="D883" s="132">
        <v>10000</v>
      </c>
      <c r="E883" s="132">
        <v>0</v>
      </c>
      <c r="F883" s="132">
        <v>3.87</v>
      </c>
    </row>
    <row r="884" spans="1:6" x14ac:dyDescent="0.2">
      <c r="A884" s="131" t="s">
        <v>551</v>
      </c>
      <c r="B884" s="131" t="s">
        <v>156</v>
      </c>
      <c r="C884" s="131" t="s">
        <v>140</v>
      </c>
      <c r="D884" s="132">
        <v>0</v>
      </c>
      <c r="E884" s="132">
        <v>20000</v>
      </c>
      <c r="F884" s="132">
        <v>3.88</v>
      </c>
    </row>
    <row r="885" spans="1:6" x14ac:dyDescent="0.2">
      <c r="A885" s="131" t="s">
        <v>551</v>
      </c>
      <c r="B885" s="131" t="s">
        <v>144</v>
      </c>
      <c r="C885" s="131" t="s">
        <v>197</v>
      </c>
      <c r="D885" s="132">
        <v>10000</v>
      </c>
      <c r="E885" s="132">
        <v>0</v>
      </c>
      <c r="F885" s="132">
        <v>4.0175000000000001</v>
      </c>
    </row>
    <row r="886" spans="1:6" x14ac:dyDescent="0.2">
      <c r="A886" s="131" t="s">
        <v>552</v>
      </c>
      <c r="B886" s="131" t="s">
        <v>232</v>
      </c>
      <c r="C886" s="131" t="s">
        <v>140</v>
      </c>
      <c r="D886" s="132">
        <v>0</v>
      </c>
      <c r="E886" s="132">
        <v>15000</v>
      </c>
      <c r="F886" s="132">
        <v>3.88</v>
      </c>
    </row>
    <row r="887" spans="1:6" x14ac:dyDescent="0.2">
      <c r="A887" s="131" t="s">
        <v>552</v>
      </c>
      <c r="B887" s="131" t="s">
        <v>178</v>
      </c>
      <c r="C887" s="131" t="s">
        <v>140</v>
      </c>
      <c r="D887" s="132">
        <v>5000</v>
      </c>
      <c r="E887" s="132">
        <v>0</v>
      </c>
      <c r="F887" s="132">
        <v>3.875</v>
      </c>
    </row>
    <row r="888" spans="1:6" x14ac:dyDescent="0.2">
      <c r="A888" s="131" t="s">
        <v>552</v>
      </c>
      <c r="B888" s="131" t="s">
        <v>178</v>
      </c>
      <c r="C888" s="131" t="s">
        <v>145</v>
      </c>
      <c r="D888" s="132">
        <v>2500</v>
      </c>
      <c r="E888" s="132">
        <v>0</v>
      </c>
      <c r="F888" s="132">
        <v>3.9750000000000001</v>
      </c>
    </row>
    <row r="889" spans="1:6" x14ac:dyDescent="0.2">
      <c r="A889" s="131" t="s">
        <v>552</v>
      </c>
      <c r="B889" s="131" t="s">
        <v>147</v>
      </c>
      <c r="C889" s="131" t="s">
        <v>164</v>
      </c>
      <c r="D889" s="132">
        <v>5000</v>
      </c>
      <c r="E889" s="132">
        <v>0</v>
      </c>
      <c r="F889" s="132">
        <v>3.97</v>
      </c>
    </row>
    <row r="890" spans="1:6" x14ac:dyDescent="0.2">
      <c r="A890" s="131" t="s">
        <v>552</v>
      </c>
      <c r="B890" s="131" t="s">
        <v>147</v>
      </c>
      <c r="C890" s="131" t="s">
        <v>164</v>
      </c>
      <c r="D890" s="132">
        <v>10000</v>
      </c>
      <c r="E890" s="132">
        <v>0</v>
      </c>
      <c r="F890" s="132">
        <v>3.97</v>
      </c>
    </row>
    <row r="891" spans="1:6" x14ac:dyDescent="0.2">
      <c r="A891" s="131" t="s">
        <v>552</v>
      </c>
      <c r="B891" s="131" t="s">
        <v>218</v>
      </c>
      <c r="C891" s="131" t="s">
        <v>140</v>
      </c>
      <c r="D891" s="132">
        <v>0</v>
      </c>
      <c r="E891" s="132">
        <v>15000</v>
      </c>
      <c r="F891" s="132">
        <v>3.88</v>
      </c>
    </row>
    <row r="892" spans="1:6" x14ac:dyDescent="0.2">
      <c r="A892" s="131" t="s">
        <v>552</v>
      </c>
      <c r="B892" s="131" t="s">
        <v>300</v>
      </c>
      <c r="C892" s="131" t="s">
        <v>301</v>
      </c>
      <c r="D892" s="132">
        <v>10000</v>
      </c>
      <c r="E892" s="132">
        <v>0</v>
      </c>
      <c r="F892" s="132">
        <v>3.8624999999999998</v>
      </c>
    </row>
    <row r="893" spans="1:6" x14ac:dyDescent="0.2">
      <c r="A893" s="131" t="s">
        <v>552</v>
      </c>
      <c r="B893" s="131" t="s">
        <v>156</v>
      </c>
      <c r="C893" s="131" t="s">
        <v>140</v>
      </c>
      <c r="D893" s="132">
        <v>0</v>
      </c>
      <c r="E893" s="132">
        <v>15000</v>
      </c>
      <c r="F893" s="132">
        <v>3.88</v>
      </c>
    </row>
    <row r="894" spans="1:6" x14ac:dyDescent="0.2">
      <c r="A894" s="131" t="s">
        <v>552</v>
      </c>
      <c r="B894" s="131" t="s">
        <v>156</v>
      </c>
      <c r="C894" s="131" t="s">
        <v>145</v>
      </c>
      <c r="D894" s="132">
        <v>0</v>
      </c>
      <c r="E894" s="132">
        <v>5000</v>
      </c>
      <c r="F894" s="132">
        <v>3.9849999999999999</v>
      </c>
    </row>
    <row r="895" spans="1:6" x14ac:dyDescent="0.2">
      <c r="A895" s="131" t="s">
        <v>553</v>
      </c>
      <c r="B895" s="131" t="s">
        <v>139</v>
      </c>
      <c r="C895" s="131" t="s">
        <v>154</v>
      </c>
      <c r="D895" s="132">
        <v>0</v>
      </c>
      <c r="E895" s="132">
        <v>2500</v>
      </c>
      <c r="F895" s="132">
        <v>4.38</v>
      </c>
    </row>
    <row r="896" spans="1:6" x14ac:dyDescent="0.2">
      <c r="A896" s="131" t="s">
        <v>553</v>
      </c>
      <c r="B896" s="131" t="s">
        <v>139</v>
      </c>
      <c r="C896" s="131" t="s">
        <v>145</v>
      </c>
      <c r="D896" s="132">
        <v>0</v>
      </c>
      <c r="E896" s="132">
        <v>2500</v>
      </c>
      <c r="F896" s="132">
        <v>3.99</v>
      </c>
    </row>
    <row r="897" spans="1:6" x14ac:dyDescent="0.2">
      <c r="A897" s="131" t="s">
        <v>553</v>
      </c>
      <c r="B897" s="131" t="s">
        <v>554</v>
      </c>
      <c r="C897" s="131" t="s">
        <v>140</v>
      </c>
      <c r="D897" s="132">
        <v>17500</v>
      </c>
      <c r="E897" s="132">
        <v>0</v>
      </c>
      <c r="F897" s="132">
        <v>3.88</v>
      </c>
    </row>
    <row r="898" spans="1:6" x14ac:dyDescent="0.2">
      <c r="A898" s="131" t="s">
        <v>553</v>
      </c>
      <c r="B898" s="131" t="s">
        <v>554</v>
      </c>
      <c r="C898" s="131" t="s">
        <v>150</v>
      </c>
      <c r="D898" s="132">
        <v>5000</v>
      </c>
      <c r="E898" s="132">
        <v>0</v>
      </c>
      <c r="F898" s="132">
        <v>4.0250000000000004</v>
      </c>
    </row>
    <row r="899" spans="1:6" x14ac:dyDescent="0.2">
      <c r="A899" s="131" t="s">
        <v>553</v>
      </c>
      <c r="B899" s="131" t="s">
        <v>204</v>
      </c>
      <c r="C899" s="131" t="s">
        <v>140</v>
      </c>
      <c r="D899" s="132">
        <v>17500</v>
      </c>
      <c r="E899" s="132">
        <v>0</v>
      </c>
      <c r="F899" s="132">
        <v>3.8849999999999998</v>
      </c>
    </row>
    <row r="900" spans="1:6" x14ac:dyDescent="0.2">
      <c r="A900" s="131" t="s">
        <v>553</v>
      </c>
      <c r="B900" s="131" t="s">
        <v>196</v>
      </c>
      <c r="C900" s="131" t="s">
        <v>145</v>
      </c>
      <c r="D900" s="132">
        <v>5000</v>
      </c>
      <c r="E900" s="132">
        <v>0</v>
      </c>
      <c r="F900" s="132">
        <v>3.9750000000000001</v>
      </c>
    </row>
    <row r="901" spans="1:6" x14ac:dyDescent="0.2">
      <c r="A901" s="131" t="s">
        <v>553</v>
      </c>
      <c r="B901" s="131" t="s">
        <v>555</v>
      </c>
      <c r="C901" s="131" t="s">
        <v>140</v>
      </c>
      <c r="D901" s="132">
        <v>0</v>
      </c>
      <c r="E901" s="132">
        <v>20000</v>
      </c>
      <c r="F901" s="132">
        <v>3.8849999999999998</v>
      </c>
    </row>
    <row r="902" spans="1:6" x14ac:dyDescent="0.2">
      <c r="A902" s="131" t="s">
        <v>553</v>
      </c>
      <c r="B902" s="131" t="s">
        <v>555</v>
      </c>
      <c r="C902" s="131" t="s">
        <v>140</v>
      </c>
      <c r="D902" s="132">
        <v>0</v>
      </c>
      <c r="E902" s="132">
        <v>20000</v>
      </c>
      <c r="F902" s="132">
        <v>3.89</v>
      </c>
    </row>
    <row r="903" spans="1:6" x14ac:dyDescent="0.2">
      <c r="A903" s="131" t="s">
        <v>553</v>
      </c>
      <c r="B903" s="131" t="s">
        <v>237</v>
      </c>
      <c r="C903" s="131" t="s">
        <v>140</v>
      </c>
      <c r="D903" s="132">
        <v>2500</v>
      </c>
      <c r="E903" s="132">
        <v>0</v>
      </c>
      <c r="F903" s="132">
        <v>3.88</v>
      </c>
    </row>
    <row r="904" spans="1:6" x14ac:dyDescent="0.2">
      <c r="A904" s="131" t="s">
        <v>556</v>
      </c>
      <c r="B904" s="131" t="s">
        <v>214</v>
      </c>
      <c r="C904" s="131" t="s">
        <v>140</v>
      </c>
      <c r="D904" s="132">
        <v>10000</v>
      </c>
      <c r="E904" s="132">
        <v>0</v>
      </c>
      <c r="F904" s="132">
        <v>3.875</v>
      </c>
    </row>
    <row r="905" spans="1:6" x14ac:dyDescent="0.2">
      <c r="A905" s="131" t="s">
        <v>556</v>
      </c>
      <c r="B905" s="131" t="s">
        <v>308</v>
      </c>
      <c r="C905" s="131" t="s">
        <v>140</v>
      </c>
      <c r="D905" s="132">
        <v>2500</v>
      </c>
      <c r="E905" s="132">
        <v>0</v>
      </c>
      <c r="F905" s="132">
        <v>3.88</v>
      </c>
    </row>
    <row r="906" spans="1:6" x14ac:dyDescent="0.2">
      <c r="A906" s="131" t="s">
        <v>556</v>
      </c>
      <c r="B906" s="131" t="s">
        <v>212</v>
      </c>
      <c r="C906" s="131" t="s">
        <v>140</v>
      </c>
      <c r="D906" s="132">
        <v>10000</v>
      </c>
      <c r="E906" s="132">
        <v>0</v>
      </c>
      <c r="F906" s="132">
        <v>3.875</v>
      </c>
    </row>
    <row r="907" spans="1:6" x14ac:dyDescent="0.2">
      <c r="A907" s="131" t="s">
        <v>557</v>
      </c>
      <c r="B907" s="131" t="s">
        <v>181</v>
      </c>
      <c r="C907" s="131" t="s">
        <v>145</v>
      </c>
      <c r="D907" s="132">
        <v>2500</v>
      </c>
      <c r="E907" s="132">
        <v>0</v>
      </c>
      <c r="F907" s="132">
        <v>3.97</v>
      </c>
    </row>
    <row r="908" spans="1:6" x14ac:dyDescent="0.2">
      <c r="A908" s="131" t="s">
        <v>557</v>
      </c>
      <c r="B908" s="131" t="s">
        <v>162</v>
      </c>
      <c r="C908" s="131" t="s">
        <v>145</v>
      </c>
      <c r="D908" s="132">
        <v>2500</v>
      </c>
      <c r="E908" s="132">
        <v>0</v>
      </c>
      <c r="F908" s="132">
        <v>3.97</v>
      </c>
    </row>
    <row r="909" spans="1:6" x14ac:dyDescent="0.2">
      <c r="A909" s="131" t="s">
        <v>557</v>
      </c>
      <c r="B909" s="131" t="s">
        <v>191</v>
      </c>
      <c r="C909" s="131" t="s">
        <v>140</v>
      </c>
      <c r="D909" s="132">
        <v>10000</v>
      </c>
      <c r="E909" s="132">
        <v>0</v>
      </c>
      <c r="F909" s="132">
        <v>3.87</v>
      </c>
    </row>
    <row r="910" spans="1:6" x14ac:dyDescent="0.2">
      <c r="A910" s="131" t="s">
        <v>557</v>
      </c>
      <c r="B910" s="131" t="s">
        <v>156</v>
      </c>
      <c r="C910" s="131" t="s">
        <v>140</v>
      </c>
      <c r="D910" s="132">
        <v>0</v>
      </c>
      <c r="E910" s="132">
        <v>10000</v>
      </c>
      <c r="F910" s="132">
        <v>3.88</v>
      </c>
    </row>
    <row r="911" spans="1:6" x14ac:dyDescent="0.2">
      <c r="A911" s="131" t="s">
        <v>557</v>
      </c>
      <c r="B911" s="131" t="s">
        <v>156</v>
      </c>
      <c r="C911" s="131" t="s">
        <v>140</v>
      </c>
      <c r="D911" s="132">
        <v>10000</v>
      </c>
      <c r="E911" s="132">
        <v>0</v>
      </c>
      <c r="F911" s="132">
        <v>3.87</v>
      </c>
    </row>
    <row r="912" spans="1:6" x14ac:dyDescent="0.2">
      <c r="A912" s="131" t="s">
        <v>558</v>
      </c>
      <c r="B912" s="131" t="s">
        <v>163</v>
      </c>
      <c r="C912" s="131" t="s">
        <v>140</v>
      </c>
      <c r="D912" s="132">
        <v>10000</v>
      </c>
      <c r="E912" s="132">
        <v>0</v>
      </c>
      <c r="F912" s="132">
        <v>3.8650000000000002</v>
      </c>
    </row>
    <row r="913" spans="1:6" x14ac:dyDescent="0.2">
      <c r="A913" s="131" t="s">
        <v>559</v>
      </c>
      <c r="B913" s="131" t="s">
        <v>152</v>
      </c>
      <c r="C913" s="131" t="s">
        <v>140</v>
      </c>
      <c r="D913" s="132">
        <v>10000</v>
      </c>
      <c r="E913" s="132">
        <v>0</v>
      </c>
      <c r="F913" s="132">
        <v>3.8650000000000002</v>
      </c>
    </row>
    <row r="914" spans="1:6" x14ac:dyDescent="0.2">
      <c r="A914" s="131" t="s">
        <v>559</v>
      </c>
      <c r="B914" s="131" t="s">
        <v>248</v>
      </c>
      <c r="C914" s="131" t="s">
        <v>140</v>
      </c>
      <c r="D914" s="132">
        <v>10000</v>
      </c>
      <c r="E914" s="132">
        <v>0</v>
      </c>
      <c r="F914" s="132">
        <v>3.8650000000000002</v>
      </c>
    </row>
    <row r="915" spans="1:6" x14ac:dyDescent="0.2">
      <c r="A915" s="131" t="s">
        <v>559</v>
      </c>
      <c r="B915" s="131" t="s">
        <v>144</v>
      </c>
      <c r="C915" s="131" t="s">
        <v>145</v>
      </c>
      <c r="D915" s="132">
        <v>5000</v>
      </c>
      <c r="E915" s="132">
        <v>0</v>
      </c>
      <c r="F915" s="132">
        <v>3.97</v>
      </c>
    </row>
    <row r="916" spans="1:6" x14ac:dyDescent="0.2">
      <c r="A916" s="131" t="s">
        <v>560</v>
      </c>
      <c r="B916" s="131" t="s">
        <v>232</v>
      </c>
      <c r="C916" s="131" t="s">
        <v>140</v>
      </c>
      <c r="D916" s="132">
        <v>20000</v>
      </c>
      <c r="E916" s="132">
        <v>0</v>
      </c>
      <c r="F916" s="132">
        <v>3.855</v>
      </c>
    </row>
    <row r="917" spans="1:6" x14ac:dyDescent="0.2">
      <c r="A917" s="131" t="s">
        <v>560</v>
      </c>
      <c r="B917" s="131" t="s">
        <v>232</v>
      </c>
      <c r="C917" s="131" t="s">
        <v>140</v>
      </c>
      <c r="D917" s="132">
        <v>20000</v>
      </c>
      <c r="E917" s="132">
        <v>0</v>
      </c>
      <c r="F917" s="132">
        <v>3.85</v>
      </c>
    </row>
    <row r="918" spans="1:6" x14ac:dyDescent="0.2">
      <c r="A918" s="131" t="s">
        <v>560</v>
      </c>
      <c r="B918" s="131" t="s">
        <v>178</v>
      </c>
      <c r="C918" s="131" t="s">
        <v>140</v>
      </c>
      <c r="D918" s="132">
        <v>0</v>
      </c>
      <c r="E918" s="132">
        <v>5000</v>
      </c>
      <c r="F918" s="132">
        <v>3.855</v>
      </c>
    </row>
    <row r="919" spans="1:6" x14ac:dyDescent="0.2">
      <c r="A919" s="131" t="s">
        <v>560</v>
      </c>
      <c r="B919" s="131" t="s">
        <v>147</v>
      </c>
      <c r="C919" s="131" t="s">
        <v>140</v>
      </c>
      <c r="D919" s="132">
        <v>0</v>
      </c>
      <c r="E919" s="132">
        <v>12500</v>
      </c>
      <c r="F919" s="132">
        <v>3.855</v>
      </c>
    </row>
    <row r="920" spans="1:6" x14ac:dyDescent="0.2">
      <c r="A920" s="131" t="s">
        <v>560</v>
      </c>
      <c r="B920" s="131" t="s">
        <v>218</v>
      </c>
      <c r="C920" s="131" t="s">
        <v>145</v>
      </c>
      <c r="D920" s="132">
        <v>2500</v>
      </c>
      <c r="E920" s="132">
        <v>0</v>
      </c>
      <c r="F920" s="132">
        <v>3.96</v>
      </c>
    </row>
    <row r="921" spans="1:6" x14ac:dyDescent="0.2">
      <c r="A921" s="131" t="s">
        <v>560</v>
      </c>
      <c r="B921" s="131" t="s">
        <v>377</v>
      </c>
      <c r="C921" s="131" t="s">
        <v>140</v>
      </c>
      <c r="D921" s="132">
        <v>0</v>
      </c>
      <c r="E921" s="132">
        <v>2500</v>
      </c>
      <c r="F921" s="132">
        <v>3.86</v>
      </c>
    </row>
    <row r="922" spans="1:6" x14ac:dyDescent="0.2">
      <c r="A922" s="131" t="s">
        <v>560</v>
      </c>
      <c r="B922" s="131" t="s">
        <v>200</v>
      </c>
      <c r="C922" s="131" t="s">
        <v>140</v>
      </c>
      <c r="D922" s="132">
        <v>20000</v>
      </c>
      <c r="E922" s="132">
        <v>0</v>
      </c>
      <c r="F922" s="132">
        <v>3.86</v>
      </c>
    </row>
    <row r="923" spans="1:6" x14ac:dyDescent="0.2">
      <c r="A923" s="131" t="s">
        <v>560</v>
      </c>
      <c r="B923" s="131" t="s">
        <v>189</v>
      </c>
      <c r="C923" s="131" t="s">
        <v>140</v>
      </c>
      <c r="D923" s="132">
        <v>0</v>
      </c>
      <c r="E923" s="132">
        <v>2500</v>
      </c>
      <c r="F923" s="132">
        <v>3.855</v>
      </c>
    </row>
    <row r="924" spans="1:6" x14ac:dyDescent="0.2">
      <c r="A924" s="131" t="s">
        <v>560</v>
      </c>
      <c r="B924" s="131" t="s">
        <v>555</v>
      </c>
      <c r="C924" s="131" t="s">
        <v>140</v>
      </c>
      <c r="D924" s="132">
        <v>0</v>
      </c>
      <c r="E924" s="132">
        <v>17500</v>
      </c>
      <c r="F924" s="132">
        <v>3.86</v>
      </c>
    </row>
    <row r="925" spans="1:6" x14ac:dyDescent="0.2">
      <c r="A925" s="131" t="s">
        <v>561</v>
      </c>
      <c r="B925" s="131" t="s">
        <v>232</v>
      </c>
      <c r="C925" s="131" t="s">
        <v>140</v>
      </c>
      <c r="D925" s="132">
        <v>5000</v>
      </c>
      <c r="E925" s="132">
        <v>0</v>
      </c>
      <c r="F925" s="132">
        <v>3.85</v>
      </c>
    </row>
    <row r="926" spans="1:6" x14ac:dyDescent="0.2">
      <c r="A926" s="131" t="s">
        <v>561</v>
      </c>
      <c r="B926" s="131" t="s">
        <v>214</v>
      </c>
      <c r="C926" s="131" t="s">
        <v>140</v>
      </c>
      <c r="D926" s="132">
        <v>10000</v>
      </c>
      <c r="E926" s="132">
        <v>0</v>
      </c>
      <c r="F926" s="132">
        <v>3.8450000000000002</v>
      </c>
    </row>
    <row r="927" spans="1:6" x14ac:dyDescent="0.2">
      <c r="A927" s="131" t="s">
        <v>561</v>
      </c>
      <c r="B927" s="131" t="s">
        <v>158</v>
      </c>
      <c r="C927" s="131" t="s">
        <v>140</v>
      </c>
      <c r="D927" s="132">
        <v>10000</v>
      </c>
      <c r="E927" s="132">
        <v>0</v>
      </c>
      <c r="F927" s="132">
        <v>3.855</v>
      </c>
    </row>
    <row r="928" spans="1:6" x14ac:dyDescent="0.2">
      <c r="A928" s="131" t="s">
        <v>561</v>
      </c>
      <c r="B928" s="131" t="s">
        <v>350</v>
      </c>
      <c r="C928" s="131" t="s">
        <v>140</v>
      </c>
      <c r="D928" s="132">
        <v>10000</v>
      </c>
      <c r="E928" s="132">
        <v>0</v>
      </c>
      <c r="F928" s="132">
        <v>3.855</v>
      </c>
    </row>
    <row r="929" spans="1:6" x14ac:dyDescent="0.2">
      <c r="A929" s="131" t="s">
        <v>561</v>
      </c>
      <c r="B929" s="131" t="s">
        <v>248</v>
      </c>
      <c r="C929" s="131" t="s">
        <v>140</v>
      </c>
      <c r="D929" s="132">
        <v>15000</v>
      </c>
      <c r="E929" s="132">
        <v>0</v>
      </c>
      <c r="F929" s="132">
        <v>3.85</v>
      </c>
    </row>
    <row r="930" spans="1:6" x14ac:dyDescent="0.2">
      <c r="A930" s="131" t="s">
        <v>561</v>
      </c>
      <c r="B930" s="131" t="s">
        <v>144</v>
      </c>
      <c r="C930" s="131" t="s">
        <v>145</v>
      </c>
      <c r="D930" s="132">
        <v>5000</v>
      </c>
      <c r="E930" s="132">
        <v>0</v>
      </c>
      <c r="F930" s="132">
        <v>3.96</v>
      </c>
    </row>
    <row r="931" spans="1:6" x14ac:dyDescent="0.2">
      <c r="A931" s="131" t="s">
        <v>562</v>
      </c>
      <c r="B931" s="131" t="s">
        <v>495</v>
      </c>
      <c r="C931" s="131" t="s">
        <v>301</v>
      </c>
      <c r="D931" s="132">
        <v>5000</v>
      </c>
      <c r="E931" s="132">
        <v>0</v>
      </c>
      <c r="F931" s="132">
        <v>3.8374999999999999</v>
      </c>
    </row>
    <row r="932" spans="1:6" x14ac:dyDescent="0.2">
      <c r="A932" s="131" t="s">
        <v>562</v>
      </c>
      <c r="B932" s="131" t="s">
        <v>144</v>
      </c>
      <c r="C932" s="131" t="s">
        <v>145</v>
      </c>
      <c r="D932" s="132">
        <v>5000</v>
      </c>
      <c r="E932" s="132">
        <v>0</v>
      </c>
      <c r="F932" s="132">
        <v>3.9550000000000001</v>
      </c>
    </row>
    <row r="933" spans="1:6" x14ac:dyDescent="0.2">
      <c r="A933" s="131" t="s">
        <v>563</v>
      </c>
      <c r="B933" s="131" t="s">
        <v>158</v>
      </c>
      <c r="C933" s="131" t="s">
        <v>140</v>
      </c>
      <c r="D933" s="132">
        <v>0</v>
      </c>
      <c r="E933" s="132">
        <v>5000</v>
      </c>
      <c r="F933" s="132">
        <v>3.86</v>
      </c>
    </row>
    <row r="934" spans="1:6" x14ac:dyDescent="0.2">
      <c r="A934" s="131" t="s">
        <v>563</v>
      </c>
      <c r="B934" s="131" t="s">
        <v>178</v>
      </c>
      <c r="C934" s="131" t="s">
        <v>140</v>
      </c>
      <c r="D934" s="132">
        <v>0</v>
      </c>
      <c r="E934" s="132">
        <v>20000</v>
      </c>
      <c r="F934" s="132">
        <v>3.855</v>
      </c>
    </row>
    <row r="935" spans="1:6" x14ac:dyDescent="0.2">
      <c r="A935" s="131" t="s">
        <v>563</v>
      </c>
      <c r="B935" s="131" t="s">
        <v>178</v>
      </c>
      <c r="C935" s="131" t="s">
        <v>140</v>
      </c>
      <c r="D935" s="132">
        <v>15000</v>
      </c>
      <c r="E935" s="132">
        <v>0</v>
      </c>
      <c r="F935" s="132">
        <v>3.85</v>
      </c>
    </row>
    <row r="936" spans="1:6" x14ac:dyDescent="0.2">
      <c r="A936" s="131" t="s">
        <v>564</v>
      </c>
      <c r="B936" s="131" t="s">
        <v>162</v>
      </c>
      <c r="C936" s="131" t="s">
        <v>140</v>
      </c>
      <c r="D936" s="132">
        <v>0</v>
      </c>
      <c r="E936" s="132">
        <v>10000</v>
      </c>
      <c r="F936" s="132">
        <v>3.855</v>
      </c>
    </row>
    <row r="937" spans="1:6" x14ac:dyDescent="0.2">
      <c r="A937" s="131" t="s">
        <v>564</v>
      </c>
      <c r="B937" s="131" t="s">
        <v>212</v>
      </c>
      <c r="C937" s="131" t="s">
        <v>140</v>
      </c>
      <c r="D937" s="132">
        <v>0</v>
      </c>
      <c r="E937" s="132">
        <v>5000</v>
      </c>
      <c r="F937" s="132">
        <v>3.855</v>
      </c>
    </row>
    <row r="938" spans="1:6" x14ac:dyDescent="0.2">
      <c r="A938" s="131" t="s">
        <v>565</v>
      </c>
      <c r="B938" s="131" t="s">
        <v>178</v>
      </c>
      <c r="C938" s="131" t="s">
        <v>145</v>
      </c>
      <c r="D938" s="132">
        <v>0</v>
      </c>
      <c r="E938" s="132">
        <v>2500</v>
      </c>
      <c r="F938" s="132">
        <v>3.9649999999999999</v>
      </c>
    </row>
    <row r="939" spans="1:6" x14ac:dyDescent="0.2">
      <c r="A939" s="131" t="s">
        <v>565</v>
      </c>
      <c r="B939" s="131" t="s">
        <v>156</v>
      </c>
      <c r="C939" s="131" t="s">
        <v>140</v>
      </c>
      <c r="D939" s="132">
        <v>0</v>
      </c>
      <c r="E939" s="132">
        <v>10000</v>
      </c>
      <c r="F939" s="132">
        <v>3.86</v>
      </c>
    </row>
    <row r="940" spans="1:6" x14ac:dyDescent="0.2">
      <c r="A940" s="131" t="s">
        <v>565</v>
      </c>
      <c r="B940" s="131" t="s">
        <v>156</v>
      </c>
      <c r="C940" s="131" t="s">
        <v>150</v>
      </c>
      <c r="D940" s="132">
        <v>0</v>
      </c>
      <c r="E940" s="132">
        <v>5000</v>
      </c>
      <c r="F940" s="132">
        <v>4.0250000000000004</v>
      </c>
    </row>
    <row r="941" spans="1:6" x14ac:dyDescent="0.2">
      <c r="A941" s="131" t="s">
        <v>566</v>
      </c>
      <c r="B941" s="131" t="s">
        <v>214</v>
      </c>
      <c r="C941" s="131" t="s">
        <v>140</v>
      </c>
      <c r="D941" s="132">
        <v>10000</v>
      </c>
      <c r="E941" s="132">
        <v>0</v>
      </c>
      <c r="F941" s="132">
        <v>3.855</v>
      </c>
    </row>
    <row r="942" spans="1:6" x14ac:dyDescent="0.2">
      <c r="A942" s="131" t="s">
        <v>566</v>
      </c>
      <c r="B942" s="131" t="s">
        <v>178</v>
      </c>
      <c r="C942" s="131" t="s">
        <v>140</v>
      </c>
      <c r="D942" s="132">
        <v>0</v>
      </c>
      <c r="E942" s="132">
        <v>10000</v>
      </c>
      <c r="F942" s="132">
        <v>3.86</v>
      </c>
    </row>
    <row r="943" spans="1:6" x14ac:dyDescent="0.2">
      <c r="A943" s="131" t="s">
        <v>566</v>
      </c>
      <c r="B943" s="131" t="s">
        <v>169</v>
      </c>
      <c r="C943" s="131" t="s">
        <v>164</v>
      </c>
      <c r="D943" s="132">
        <v>10000</v>
      </c>
      <c r="E943" s="132">
        <v>0</v>
      </c>
      <c r="F943" s="132">
        <v>3.95</v>
      </c>
    </row>
    <row r="944" spans="1:6" x14ac:dyDescent="0.2">
      <c r="A944" s="131" t="s">
        <v>567</v>
      </c>
      <c r="B944" s="131" t="s">
        <v>152</v>
      </c>
      <c r="C944" s="131" t="s">
        <v>140</v>
      </c>
      <c r="D944" s="132">
        <v>20000</v>
      </c>
      <c r="E944" s="132">
        <v>0</v>
      </c>
      <c r="F944" s="132">
        <v>3.855</v>
      </c>
    </row>
    <row r="945" spans="1:6" x14ac:dyDescent="0.2">
      <c r="A945" s="131" t="s">
        <v>567</v>
      </c>
      <c r="B945" s="131" t="s">
        <v>144</v>
      </c>
      <c r="C945" s="131" t="s">
        <v>145</v>
      </c>
      <c r="D945" s="132">
        <v>5000</v>
      </c>
      <c r="E945" s="132">
        <v>0</v>
      </c>
      <c r="F945" s="132">
        <v>3.96</v>
      </c>
    </row>
    <row r="946" spans="1:6" x14ac:dyDescent="0.2">
      <c r="A946" s="131" t="s">
        <v>568</v>
      </c>
      <c r="B946" s="131" t="s">
        <v>495</v>
      </c>
      <c r="C946" s="131" t="s">
        <v>301</v>
      </c>
      <c r="D946" s="132">
        <v>5000</v>
      </c>
      <c r="E946" s="132">
        <v>0</v>
      </c>
      <c r="F946" s="132">
        <v>3.8374999999999999</v>
      </c>
    </row>
    <row r="947" spans="1:6" x14ac:dyDescent="0.2">
      <c r="A947" s="131" t="s">
        <v>568</v>
      </c>
      <c r="B947" s="131" t="s">
        <v>196</v>
      </c>
      <c r="C947" s="131" t="s">
        <v>140</v>
      </c>
      <c r="D947" s="132">
        <v>20000</v>
      </c>
      <c r="E947" s="132">
        <v>0</v>
      </c>
      <c r="F947" s="132">
        <v>3.85</v>
      </c>
    </row>
    <row r="948" spans="1:6" x14ac:dyDescent="0.2">
      <c r="A948" s="131" t="s">
        <v>569</v>
      </c>
      <c r="B948" s="131" t="s">
        <v>178</v>
      </c>
      <c r="C948" s="131" t="s">
        <v>140</v>
      </c>
      <c r="D948" s="132">
        <v>0</v>
      </c>
      <c r="E948" s="132">
        <v>10000</v>
      </c>
      <c r="F948" s="132">
        <v>3.855</v>
      </c>
    </row>
    <row r="949" spans="1:6" x14ac:dyDescent="0.2">
      <c r="A949" s="131" t="s">
        <v>569</v>
      </c>
      <c r="B949" s="131" t="s">
        <v>409</v>
      </c>
      <c r="C949" s="131" t="s">
        <v>140</v>
      </c>
      <c r="D949" s="132">
        <v>20000</v>
      </c>
      <c r="E949" s="132">
        <v>0</v>
      </c>
      <c r="F949" s="132">
        <v>3.85</v>
      </c>
    </row>
    <row r="950" spans="1:6" x14ac:dyDescent="0.2">
      <c r="A950" s="131" t="s">
        <v>569</v>
      </c>
      <c r="B950" s="131" t="s">
        <v>181</v>
      </c>
      <c r="C950" s="131" t="s">
        <v>154</v>
      </c>
      <c r="D950" s="132">
        <v>0</v>
      </c>
      <c r="E950" s="132">
        <v>2500</v>
      </c>
      <c r="F950" s="132">
        <v>4.3550000000000004</v>
      </c>
    </row>
    <row r="951" spans="1:6" x14ac:dyDescent="0.2">
      <c r="A951" s="131" t="s">
        <v>569</v>
      </c>
      <c r="B951" s="131" t="s">
        <v>196</v>
      </c>
      <c r="C951" s="131" t="s">
        <v>140</v>
      </c>
      <c r="D951" s="132">
        <v>20000</v>
      </c>
      <c r="E951" s="132">
        <v>0</v>
      </c>
      <c r="F951" s="132">
        <v>3.8450000000000002</v>
      </c>
    </row>
    <row r="952" spans="1:6" x14ac:dyDescent="0.2">
      <c r="A952" s="131" t="s">
        <v>570</v>
      </c>
      <c r="B952" s="131" t="s">
        <v>220</v>
      </c>
      <c r="C952" s="131" t="s">
        <v>140</v>
      </c>
      <c r="D952" s="132">
        <v>0</v>
      </c>
      <c r="E952" s="132">
        <v>10000</v>
      </c>
      <c r="F952" s="132">
        <v>3.855</v>
      </c>
    </row>
    <row r="953" spans="1:6" x14ac:dyDescent="0.2">
      <c r="A953" s="131" t="s">
        <v>570</v>
      </c>
      <c r="B953" s="131" t="s">
        <v>248</v>
      </c>
      <c r="C953" s="131" t="s">
        <v>140</v>
      </c>
      <c r="D953" s="132">
        <v>10000</v>
      </c>
      <c r="E953" s="132">
        <v>0</v>
      </c>
      <c r="F953" s="132">
        <v>3.84</v>
      </c>
    </row>
    <row r="954" spans="1:6" x14ac:dyDescent="0.2">
      <c r="A954" s="131" t="s">
        <v>570</v>
      </c>
      <c r="B954" s="131" t="s">
        <v>144</v>
      </c>
      <c r="C954" s="131" t="s">
        <v>145</v>
      </c>
      <c r="D954" s="132">
        <v>5000</v>
      </c>
      <c r="E954" s="132">
        <v>0</v>
      </c>
      <c r="F954" s="132">
        <v>3.9550000000000001</v>
      </c>
    </row>
    <row r="955" spans="1:6" x14ac:dyDescent="0.2">
      <c r="A955" s="131" t="s">
        <v>571</v>
      </c>
      <c r="B955" s="131" t="s">
        <v>139</v>
      </c>
      <c r="C955" s="131" t="s">
        <v>154</v>
      </c>
      <c r="D955" s="132">
        <v>2500</v>
      </c>
      <c r="E955" s="132">
        <v>0</v>
      </c>
      <c r="F955" s="132">
        <v>4.34</v>
      </c>
    </row>
    <row r="956" spans="1:6" x14ac:dyDescent="0.2">
      <c r="A956" s="131" t="s">
        <v>571</v>
      </c>
      <c r="B956" s="131" t="s">
        <v>156</v>
      </c>
      <c r="C956" s="131" t="s">
        <v>164</v>
      </c>
      <c r="D956" s="132">
        <v>15000</v>
      </c>
      <c r="E956" s="132">
        <v>0</v>
      </c>
      <c r="F956" s="132">
        <v>3.9449999999999998</v>
      </c>
    </row>
    <row r="957" spans="1:6" x14ac:dyDescent="0.2">
      <c r="A957" s="131" t="s">
        <v>571</v>
      </c>
      <c r="B957" s="131" t="s">
        <v>144</v>
      </c>
      <c r="C957" s="131" t="s">
        <v>145</v>
      </c>
      <c r="D957" s="132">
        <v>2500</v>
      </c>
      <c r="E957" s="132">
        <v>0</v>
      </c>
      <c r="F957" s="132">
        <v>3.95</v>
      </c>
    </row>
    <row r="958" spans="1:6" x14ac:dyDescent="0.2">
      <c r="A958" s="131" t="s">
        <v>572</v>
      </c>
      <c r="B958" s="131" t="s">
        <v>156</v>
      </c>
      <c r="C958" s="131" t="s">
        <v>140</v>
      </c>
      <c r="D958" s="132">
        <v>5000</v>
      </c>
      <c r="E958" s="132">
        <v>0</v>
      </c>
      <c r="F958" s="132">
        <v>3.8450000000000002</v>
      </c>
    </row>
    <row r="959" spans="1:6" x14ac:dyDescent="0.2">
      <c r="A959" s="131" t="s">
        <v>573</v>
      </c>
      <c r="B959" s="131" t="s">
        <v>574</v>
      </c>
      <c r="C959" s="131" t="s">
        <v>140</v>
      </c>
      <c r="D959" s="132">
        <v>0</v>
      </c>
      <c r="E959" s="132">
        <v>20000</v>
      </c>
      <c r="F959" s="132">
        <v>3.855</v>
      </c>
    </row>
    <row r="960" spans="1:6" x14ac:dyDescent="0.2">
      <c r="A960" s="131" t="s">
        <v>573</v>
      </c>
      <c r="B960" s="131" t="s">
        <v>230</v>
      </c>
      <c r="C960" s="131" t="s">
        <v>140</v>
      </c>
      <c r="D960" s="132">
        <v>15000</v>
      </c>
      <c r="E960" s="132">
        <v>0</v>
      </c>
      <c r="F960" s="132">
        <v>3.85</v>
      </c>
    </row>
    <row r="961" spans="1:6" x14ac:dyDescent="0.2">
      <c r="A961" s="131" t="s">
        <v>575</v>
      </c>
      <c r="B961" s="131" t="s">
        <v>217</v>
      </c>
      <c r="C961" s="131" t="s">
        <v>164</v>
      </c>
      <c r="D961" s="132">
        <v>0</v>
      </c>
      <c r="E961" s="132">
        <v>15000</v>
      </c>
      <c r="F961" s="132">
        <v>3.9550000000000001</v>
      </c>
    </row>
    <row r="962" spans="1:6" x14ac:dyDescent="0.2">
      <c r="A962" s="131" t="s">
        <v>575</v>
      </c>
      <c r="B962" s="131" t="s">
        <v>169</v>
      </c>
      <c r="C962" s="131" t="s">
        <v>140</v>
      </c>
      <c r="D962" s="132">
        <v>0</v>
      </c>
      <c r="E962" s="132">
        <v>5000</v>
      </c>
      <c r="F962" s="132">
        <v>3.86</v>
      </c>
    </row>
    <row r="963" spans="1:6" x14ac:dyDescent="0.2">
      <c r="A963" s="131" t="s">
        <v>575</v>
      </c>
      <c r="B963" s="131" t="s">
        <v>169</v>
      </c>
      <c r="C963" s="131" t="s">
        <v>140</v>
      </c>
      <c r="D963" s="132">
        <v>0</v>
      </c>
      <c r="E963" s="132">
        <v>20000</v>
      </c>
      <c r="F963" s="132">
        <v>3.8650000000000002</v>
      </c>
    </row>
    <row r="964" spans="1:6" x14ac:dyDescent="0.2">
      <c r="A964" s="131" t="s">
        <v>575</v>
      </c>
      <c r="B964" s="131" t="s">
        <v>169</v>
      </c>
      <c r="C964" s="131" t="s">
        <v>164</v>
      </c>
      <c r="D964" s="132">
        <v>0</v>
      </c>
      <c r="E964" s="132">
        <v>20000</v>
      </c>
      <c r="F964" s="132">
        <v>3.9649999999999999</v>
      </c>
    </row>
    <row r="965" spans="1:6" x14ac:dyDescent="0.2">
      <c r="A965" s="131" t="s">
        <v>575</v>
      </c>
      <c r="B965" s="131" t="s">
        <v>181</v>
      </c>
      <c r="C965" s="131" t="s">
        <v>154</v>
      </c>
      <c r="D965" s="132">
        <v>0</v>
      </c>
      <c r="E965" s="132">
        <v>5000</v>
      </c>
      <c r="F965" s="132">
        <v>4.3600000000000003</v>
      </c>
    </row>
    <row r="966" spans="1:6" x14ac:dyDescent="0.2">
      <c r="A966" s="131" t="s">
        <v>576</v>
      </c>
      <c r="B966" s="131" t="s">
        <v>230</v>
      </c>
      <c r="C966" s="131" t="s">
        <v>140</v>
      </c>
      <c r="D966" s="132">
        <v>7500</v>
      </c>
      <c r="E966" s="132">
        <v>0</v>
      </c>
      <c r="F966" s="132">
        <v>3.8650000000000002</v>
      </c>
    </row>
    <row r="967" spans="1:6" x14ac:dyDescent="0.2">
      <c r="A967" s="131" t="s">
        <v>576</v>
      </c>
      <c r="B967" s="131" t="s">
        <v>444</v>
      </c>
      <c r="C967" s="131" t="s">
        <v>140</v>
      </c>
      <c r="D967" s="132">
        <v>12500</v>
      </c>
      <c r="E967" s="132">
        <v>0</v>
      </c>
      <c r="F967" s="132">
        <v>3.8650000000000002</v>
      </c>
    </row>
    <row r="968" spans="1:6" x14ac:dyDescent="0.2">
      <c r="A968" s="131" t="s">
        <v>576</v>
      </c>
      <c r="B968" s="131" t="s">
        <v>144</v>
      </c>
      <c r="C968" s="131" t="s">
        <v>145</v>
      </c>
      <c r="D968" s="132">
        <v>5000</v>
      </c>
      <c r="E968" s="132">
        <v>0</v>
      </c>
      <c r="F968" s="132">
        <v>3.9649999999999999</v>
      </c>
    </row>
    <row r="969" spans="1:6" x14ac:dyDescent="0.2">
      <c r="A969" s="131" t="s">
        <v>577</v>
      </c>
      <c r="B969" s="131" t="s">
        <v>155</v>
      </c>
      <c r="C969" s="131" t="s">
        <v>154</v>
      </c>
      <c r="D969" s="132">
        <v>5000</v>
      </c>
      <c r="E969" s="132">
        <v>0</v>
      </c>
      <c r="F969" s="132">
        <v>4.3550000000000004</v>
      </c>
    </row>
    <row r="970" spans="1:6" x14ac:dyDescent="0.2">
      <c r="A970" s="131" t="s">
        <v>578</v>
      </c>
      <c r="B970" s="131" t="s">
        <v>169</v>
      </c>
      <c r="C970" s="131" t="s">
        <v>164</v>
      </c>
      <c r="D970" s="132">
        <v>0</v>
      </c>
      <c r="E970" s="132">
        <v>20000</v>
      </c>
      <c r="F970" s="132">
        <v>3.9649999999999999</v>
      </c>
    </row>
    <row r="971" spans="1:6" x14ac:dyDescent="0.2">
      <c r="A971" s="131" t="s">
        <v>578</v>
      </c>
      <c r="B971" s="131" t="s">
        <v>156</v>
      </c>
      <c r="C971" s="131" t="s">
        <v>154</v>
      </c>
      <c r="D971" s="132">
        <v>0</v>
      </c>
      <c r="E971" s="132">
        <v>5000</v>
      </c>
      <c r="F971" s="132">
        <v>4.3600000000000003</v>
      </c>
    </row>
    <row r="972" spans="1:6" x14ac:dyDescent="0.2">
      <c r="A972" s="131" t="s">
        <v>579</v>
      </c>
      <c r="B972" s="131" t="s">
        <v>174</v>
      </c>
      <c r="C972" s="131" t="s">
        <v>145</v>
      </c>
      <c r="D972" s="132">
        <v>0</v>
      </c>
      <c r="E972" s="132">
        <v>5000</v>
      </c>
      <c r="F972" s="132">
        <v>3.98</v>
      </c>
    </row>
    <row r="973" spans="1:6" x14ac:dyDescent="0.2">
      <c r="A973" s="131" t="s">
        <v>579</v>
      </c>
      <c r="B973" s="131" t="s">
        <v>174</v>
      </c>
      <c r="C973" s="131" t="s">
        <v>140</v>
      </c>
      <c r="D973" s="132">
        <v>0</v>
      </c>
      <c r="E973" s="132">
        <v>20000</v>
      </c>
      <c r="F973" s="132">
        <v>3.875</v>
      </c>
    </row>
    <row r="974" spans="1:6" x14ac:dyDescent="0.2">
      <c r="A974" s="131" t="s">
        <v>579</v>
      </c>
      <c r="B974" s="131" t="s">
        <v>144</v>
      </c>
      <c r="C974" s="131" t="s">
        <v>145</v>
      </c>
      <c r="D974" s="132">
        <v>5000</v>
      </c>
      <c r="E974" s="132">
        <v>0</v>
      </c>
      <c r="F974" s="132">
        <v>3.9750000000000001</v>
      </c>
    </row>
    <row r="975" spans="1:6" x14ac:dyDescent="0.2">
      <c r="A975" s="131" t="s">
        <v>580</v>
      </c>
      <c r="B975" s="131" t="s">
        <v>144</v>
      </c>
      <c r="C975" s="131" t="s">
        <v>145</v>
      </c>
      <c r="D975" s="132">
        <v>5000</v>
      </c>
      <c r="E975" s="132">
        <v>0</v>
      </c>
      <c r="F975" s="132">
        <v>3.9750000000000001</v>
      </c>
    </row>
    <row r="976" spans="1:6" x14ac:dyDescent="0.2">
      <c r="A976" s="131" t="s">
        <v>581</v>
      </c>
      <c r="B976" s="131" t="s">
        <v>336</v>
      </c>
      <c r="C976" s="131" t="s">
        <v>154</v>
      </c>
      <c r="D976" s="132">
        <v>0</v>
      </c>
      <c r="E976" s="132">
        <v>5000</v>
      </c>
      <c r="F976" s="132">
        <v>4.375</v>
      </c>
    </row>
    <row r="977" spans="1:6" x14ac:dyDescent="0.2">
      <c r="A977" s="131" t="s">
        <v>582</v>
      </c>
      <c r="B977" s="131" t="s">
        <v>169</v>
      </c>
      <c r="C977" s="131" t="s">
        <v>154</v>
      </c>
      <c r="D977" s="132">
        <v>0</v>
      </c>
      <c r="E977" s="132">
        <v>5000</v>
      </c>
      <c r="F977" s="132">
        <v>4.375</v>
      </c>
    </row>
    <row r="978" spans="1:6" x14ac:dyDescent="0.2">
      <c r="A978" s="131" t="s">
        <v>582</v>
      </c>
      <c r="B978" s="131" t="s">
        <v>144</v>
      </c>
      <c r="C978" s="131" t="s">
        <v>145</v>
      </c>
      <c r="D978" s="132">
        <v>5000</v>
      </c>
      <c r="E978" s="132">
        <v>0</v>
      </c>
      <c r="F978" s="132">
        <v>3.98</v>
      </c>
    </row>
    <row r="979" spans="1:6" x14ac:dyDescent="0.2">
      <c r="A979" s="131" t="s">
        <v>583</v>
      </c>
      <c r="B979" s="131" t="s">
        <v>230</v>
      </c>
      <c r="C979" s="131" t="s">
        <v>140</v>
      </c>
      <c r="D979" s="132">
        <v>20000</v>
      </c>
      <c r="E979" s="132">
        <v>0</v>
      </c>
      <c r="F979" s="132">
        <v>3.87</v>
      </c>
    </row>
    <row r="980" spans="1:6" x14ac:dyDescent="0.2">
      <c r="A980" s="131" t="s">
        <v>583</v>
      </c>
      <c r="B980" s="131" t="s">
        <v>308</v>
      </c>
      <c r="C980" s="131" t="s">
        <v>140</v>
      </c>
      <c r="D980" s="132">
        <v>0</v>
      </c>
      <c r="E980" s="132">
        <v>10000</v>
      </c>
      <c r="F980" s="132">
        <v>3.875</v>
      </c>
    </row>
    <row r="981" spans="1:6" x14ac:dyDescent="0.2">
      <c r="A981" s="131" t="s">
        <v>583</v>
      </c>
      <c r="B981" s="131" t="s">
        <v>296</v>
      </c>
      <c r="C981" s="131" t="s">
        <v>140</v>
      </c>
      <c r="D981" s="132">
        <v>0</v>
      </c>
      <c r="E981" s="132">
        <v>10000</v>
      </c>
      <c r="F981" s="132">
        <v>3.875</v>
      </c>
    </row>
    <row r="982" spans="1:6" x14ac:dyDescent="0.2">
      <c r="A982" s="131" t="s">
        <v>584</v>
      </c>
      <c r="B982" s="131" t="s">
        <v>217</v>
      </c>
      <c r="C982" s="131" t="s">
        <v>140</v>
      </c>
      <c r="D982" s="132">
        <v>0</v>
      </c>
      <c r="E982" s="132">
        <v>20000</v>
      </c>
      <c r="F982" s="132">
        <v>3.875</v>
      </c>
    </row>
    <row r="983" spans="1:6" x14ac:dyDescent="0.2">
      <c r="A983" s="131" t="s">
        <v>584</v>
      </c>
      <c r="B983" s="131" t="s">
        <v>169</v>
      </c>
      <c r="C983" s="131" t="s">
        <v>164</v>
      </c>
      <c r="D983" s="132">
        <v>0</v>
      </c>
      <c r="E983" s="132">
        <v>5000</v>
      </c>
      <c r="F983" s="132">
        <v>3.97</v>
      </c>
    </row>
    <row r="984" spans="1:6" x14ac:dyDescent="0.2">
      <c r="A984" s="131" t="s">
        <v>584</v>
      </c>
      <c r="B984" s="131" t="s">
        <v>333</v>
      </c>
      <c r="C984" s="131" t="s">
        <v>140</v>
      </c>
      <c r="D984" s="132">
        <v>10000</v>
      </c>
      <c r="E984" s="132">
        <v>0</v>
      </c>
      <c r="F984" s="132">
        <v>3.87</v>
      </c>
    </row>
    <row r="985" spans="1:6" x14ac:dyDescent="0.2">
      <c r="A985" s="131" t="s">
        <v>584</v>
      </c>
      <c r="B985" s="131" t="s">
        <v>333</v>
      </c>
      <c r="C985" s="131" t="s">
        <v>140</v>
      </c>
      <c r="D985" s="132">
        <v>20000</v>
      </c>
      <c r="E985" s="132">
        <v>0</v>
      </c>
      <c r="F985" s="132">
        <v>3.87</v>
      </c>
    </row>
    <row r="986" spans="1:6" x14ac:dyDescent="0.2">
      <c r="A986" s="131" t="s">
        <v>585</v>
      </c>
      <c r="B986" s="131" t="s">
        <v>144</v>
      </c>
      <c r="C986" s="131" t="s">
        <v>145</v>
      </c>
      <c r="D986" s="132">
        <v>5000</v>
      </c>
      <c r="E986" s="132">
        <v>0</v>
      </c>
      <c r="F986" s="132">
        <v>3.9750000000000001</v>
      </c>
    </row>
    <row r="987" spans="1:6" x14ac:dyDescent="0.2">
      <c r="A987" s="131" t="s">
        <v>586</v>
      </c>
      <c r="B987" s="131" t="s">
        <v>139</v>
      </c>
      <c r="C987" s="131" t="s">
        <v>140</v>
      </c>
      <c r="D987" s="132">
        <v>0</v>
      </c>
      <c r="E987" s="132">
        <v>15000</v>
      </c>
      <c r="F987" s="132">
        <v>3.875</v>
      </c>
    </row>
    <row r="988" spans="1:6" x14ac:dyDescent="0.2">
      <c r="A988" s="131" t="s">
        <v>587</v>
      </c>
      <c r="B988" s="131" t="s">
        <v>196</v>
      </c>
      <c r="C988" s="131" t="s">
        <v>140</v>
      </c>
      <c r="D988" s="132">
        <v>20000</v>
      </c>
      <c r="E988" s="132">
        <v>0</v>
      </c>
      <c r="F988" s="132">
        <v>3.87</v>
      </c>
    </row>
    <row r="989" spans="1:6" x14ac:dyDescent="0.2">
      <c r="A989" s="131" t="s">
        <v>588</v>
      </c>
      <c r="B989" s="131" t="s">
        <v>377</v>
      </c>
      <c r="C989" s="131" t="s">
        <v>154</v>
      </c>
      <c r="D989" s="132">
        <v>0</v>
      </c>
      <c r="E989" s="132">
        <v>2500</v>
      </c>
      <c r="F989" s="132">
        <v>4.375</v>
      </c>
    </row>
    <row r="990" spans="1:6" x14ac:dyDescent="0.2">
      <c r="A990" s="131" t="s">
        <v>589</v>
      </c>
      <c r="B990" s="131" t="s">
        <v>189</v>
      </c>
      <c r="C990" s="131" t="s">
        <v>164</v>
      </c>
      <c r="D990" s="132">
        <v>0</v>
      </c>
      <c r="E990" s="132">
        <v>20000</v>
      </c>
      <c r="F990" s="132">
        <v>3.9725000000000001</v>
      </c>
    </row>
    <row r="991" spans="1:6" x14ac:dyDescent="0.2">
      <c r="A991" s="131" t="s">
        <v>590</v>
      </c>
      <c r="B991" s="131" t="s">
        <v>152</v>
      </c>
      <c r="C991" s="131" t="s">
        <v>140</v>
      </c>
      <c r="D991" s="132">
        <v>0</v>
      </c>
      <c r="E991" s="132">
        <v>5000</v>
      </c>
      <c r="F991" s="132">
        <v>3.8849999999999998</v>
      </c>
    </row>
    <row r="992" spans="1:6" x14ac:dyDescent="0.2">
      <c r="A992" s="131" t="s">
        <v>590</v>
      </c>
      <c r="B992" s="131" t="s">
        <v>308</v>
      </c>
      <c r="C992" s="131" t="s">
        <v>140</v>
      </c>
      <c r="D992" s="132">
        <v>0</v>
      </c>
      <c r="E992" s="132">
        <v>20000</v>
      </c>
      <c r="F992" s="132">
        <v>3.88</v>
      </c>
    </row>
    <row r="993" spans="1:6" x14ac:dyDescent="0.2">
      <c r="A993" s="131" t="s">
        <v>591</v>
      </c>
      <c r="B993" s="131" t="s">
        <v>158</v>
      </c>
      <c r="C993" s="131" t="s">
        <v>140</v>
      </c>
      <c r="D993" s="132">
        <v>0</v>
      </c>
      <c r="E993" s="132">
        <v>5000</v>
      </c>
      <c r="F993" s="132">
        <v>3.8849999999999998</v>
      </c>
    </row>
    <row r="994" spans="1:6" x14ac:dyDescent="0.2">
      <c r="A994" s="131" t="s">
        <v>591</v>
      </c>
      <c r="B994" s="131" t="s">
        <v>384</v>
      </c>
      <c r="C994" s="131" t="s">
        <v>150</v>
      </c>
      <c r="D994" s="132">
        <v>0</v>
      </c>
      <c r="E994" s="132">
        <v>5000</v>
      </c>
      <c r="F994" s="132">
        <v>4.04</v>
      </c>
    </row>
    <row r="995" spans="1:6" x14ac:dyDescent="0.2">
      <c r="A995" s="131" t="s">
        <v>591</v>
      </c>
      <c r="B995" s="131" t="s">
        <v>204</v>
      </c>
      <c r="C995" s="131" t="s">
        <v>140</v>
      </c>
      <c r="D995" s="132">
        <v>0</v>
      </c>
      <c r="E995" s="132">
        <v>5000</v>
      </c>
      <c r="F995" s="132">
        <v>3.8849999999999998</v>
      </c>
    </row>
    <row r="996" spans="1:6" x14ac:dyDescent="0.2">
      <c r="A996" s="131" t="s">
        <v>591</v>
      </c>
      <c r="B996" s="131" t="s">
        <v>156</v>
      </c>
      <c r="C996" s="131" t="s">
        <v>154</v>
      </c>
      <c r="D996" s="132">
        <v>0</v>
      </c>
      <c r="E996" s="132">
        <v>5000</v>
      </c>
      <c r="F996" s="132">
        <v>4.3849999999999998</v>
      </c>
    </row>
    <row r="997" spans="1:6" x14ac:dyDescent="0.2">
      <c r="A997" s="131" t="s">
        <v>591</v>
      </c>
      <c r="B997" s="131" t="s">
        <v>156</v>
      </c>
      <c r="C997" s="131" t="s">
        <v>140</v>
      </c>
      <c r="D997" s="132">
        <v>0</v>
      </c>
      <c r="E997" s="132">
        <v>5000</v>
      </c>
      <c r="F997" s="132">
        <v>3.8849999999999998</v>
      </c>
    </row>
    <row r="998" spans="1:6" x14ac:dyDescent="0.2">
      <c r="A998" s="131" t="s">
        <v>592</v>
      </c>
      <c r="B998" s="131" t="s">
        <v>384</v>
      </c>
      <c r="C998" s="131" t="s">
        <v>140</v>
      </c>
      <c r="D998" s="132">
        <v>0</v>
      </c>
      <c r="E998" s="132">
        <v>20000</v>
      </c>
      <c r="F998" s="132">
        <v>3.895</v>
      </c>
    </row>
    <row r="999" spans="1:6" x14ac:dyDescent="0.2">
      <c r="A999" s="131" t="s">
        <v>592</v>
      </c>
      <c r="B999" s="131" t="s">
        <v>574</v>
      </c>
      <c r="C999" s="131" t="s">
        <v>140</v>
      </c>
      <c r="D999" s="132">
        <v>0</v>
      </c>
      <c r="E999" s="132">
        <v>10000</v>
      </c>
      <c r="F999" s="132">
        <v>3.89</v>
      </c>
    </row>
    <row r="1000" spans="1:6" x14ac:dyDescent="0.2">
      <c r="A1000" s="131" t="s">
        <v>592</v>
      </c>
      <c r="B1000" s="131" t="s">
        <v>390</v>
      </c>
      <c r="C1000" s="131" t="s">
        <v>140</v>
      </c>
      <c r="D1000" s="132">
        <v>0</v>
      </c>
      <c r="E1000" s="132">
        <v>10000</v>
      </c>
      <c r="F1000" s="132">
        <v>3.89</v>
      </c>
    </row>
    <row r="1001" spans="1:6" x14ac:dyDescent="0.2">
      <c r="A1001" s="131" t="s">
        <v>592</v>
      </c>
      <c r="B1001" s="131" t="s">
        <v>241</v>
      </c>
      <c r="C1001" s="131" t="s">
        <v>154</v>
      </c>
      <c r="D1001" s="132">
        <v>0</v>
      </c>
      <c r="E1001" s="132">
        <v>5000</v>
      </c>
      <c r="F1001" s="132">
        <v>4.3949999999999996</v>
      </c>
    </row>
    <row r="1002" spans="1:6" x14ac:dyDescent="0.2">
      <c r="A1002" s="131" t="s">
        <v>593</v>
      </c>
      <c r="B1002" s="131" t="s">
        <v>235</v>
      </c>
      <c r="C1002" s="131" t="s">
        <v>140</v>
      </c>
      <c r="D1002" s="132">
        <v>0</v>
      </c>
      <c r="E1002" s="132">
        <v>20000</v>
      </c>
      <c r="F1002" s="132">
        <v>3.9049999999999998</v>
      </c>
    </row>
    <row r="1003" spans="1:6" x14ac:dyDescent="0.2">
      <c r="A1003" s="131" t="s">
        <v>593</v>
      </c>
      <c r="B1003" s="131" t="s">
        <v>271</v>
      </c>
      <c r="C1003" s="131" t="s">
        <v>140</v>
      </c>
      <c r="D1003" s="132">
        <v>10000</v>
      </c>
      <c r="E1003" s="132">
        <v>0</v>
      </c>
      <c r="F1003" s="132">
        <v>3.9</v>
      </c>
    </row>
    <row r="1004" spans="1:6" x14ac:dyDescent="0.2">
      <c r="A1004" s="131" t="s">
        <v>593</v>
      </c>
      <c r="B1004" s="131" t="s">
        <v>323</v>
      </c>
      <c r="C1004" s="131" t="s">
        <v>140</v>
      </c>
      <c r="D1004" s="132">
        <v>10000</v>
      </c>
      <c r="E1004" s="132">
        <v>0</v>
      </c>
      <c r="F1004" s="132">
        <v>3.8975</v>
      </c>
    </row>
    <row r="1005" spans="1:6" x14ac:dyDescent="0.2">
      <c r="A1005" s="131" t="s">
        <v>593</v>
      </c>
      <c r="B1005" s="131" t="s">
        <v>390</v>
      </c>
      <c r="C1005" s="131" t="s">
        <v>140</v>
      </c>
      <c r="D1005" s="132">
        <v>0</v>
      </c>
      <c r="E1005" s="132">
        <v>10000</v>
      </c>
      <c r="F1005" s="132">
        <v>3.9</v>
      </c>
    </row>
    <row r="1006" spans="1:6" x14ac:dyDescent="0.2">
      <c r="A1006" s="131" t="s">
        <v>593</v>
      </c>
      <c r="B1006" s="131" t="s">
        <v>156</v>
      </c>
      <c r="C1006" s="131" t="s">
        <v>140</v>
      </c>
      <c r="D1006" s="132">
        <v>0</v>
      </c>
      <c r="E1006" s="132">
        <v>10000</v>
      </c>
      <c r="F1006" s="132">
        <v>3.9</v>
      </c>
    </row>
    <row r="1007" spans="1:6" x14ac:dyDescent="0.2">
      <c r="A1007" s="131" t="s">
        <v>594</v>
      </c>
      <c r="B1007" s="131" t="s">
        <v>147</v>
      </c>
      <c r="C1007" s="131" t="s">
        <v>197</v>
      </c>
      <c r="D1007" s="132">
        <v>20000</v>
      </c>
      <c r="E1007" s="132">
        <v>0</v>
      </c>
      <c r="F1007" s="132">
        <v>4.0350000000000001</v>
      </c>
    </row>
    <row r="1008" spans="1:6" x14ac:dyDescent="0.2">
      <c r="A1008" s="131" t="s">
        <v>594</v>
      </c>
      <c r="B1008" s="131" t="s">
        <v>156</v>
      </c>
      <c r="C1008" s="131" t="s">
        <v>140</v>
      </c>
      <c r="D1008" s="132">
        <v>0</v>
      </c>
      <c r="E1008" s="132">
        <v>15000</v>
      </c>
      <c r="F1008" s="132">
        <v>3.9</v>
      </c>
    </row>
    <row r="1009" spans="1:6" x14ac:dyDescent="0.2">
      <c r="A1009" s="131" t="s">
        <v>594</v>
      </c>
      <c r="B1009" s="131" t="s">
        <v>144</v>
      </c>
      <c r="C1009" s="131" t="s">
        <v>197</v>
      </c>
      <c r="D1009" s="132">
        <v>20000</v>
      </c>
      <c r="E1009" s="132">
        <v>0</v>
      </c>
      <c r="F1009" s="132">
        <v>4.04</v>
      </c>
    </row>
    <row r="1010" spans="1:6" x14ac:dyDescent="0.2">
      <c r="A1010" s="131" t="s">
        <v>594</v>
      </c>
      <c r="B1010" s="131" t="s">
        <v>187</v>
      </c>
      <c r="C1010" s="131" t="s">
        <v>140</v>
      </c>
      <c r="D1010" s="132">
        <v>0</v>
      </c>
      <c r="E1010" s="132">
        <v>5000</v>
      </c>
      <c r="F1010" s="132">
        <v>3.9</v>
      </c>
    </row>
    <row r="1011" spans="1:6" x14ac:dyDescent="0.2">
      <c r="A1011" s="131" t="s">
        <v>595</v>
      </c>
      <c r="B1011" s="131" t="s">
        <v>232</v>
      </c>
      <c r="C1011" s="131" t="s">
        <v>140</v>
      </c>
      <c r="D1011" s="132">
        <v>0</v>
      </c>
      <c r="E1011" s="132">
        <v>10000</v>
      </c>
      <c r="F1011" s="132">
        <v>3.9</v>
      </c>
    </row>
    <row r="1012" spans="1:6" x14ac:dyDescent="0.2">
      <c r="A1012" s="131" t="s">
        <v>595</v>
      </c>
      <c r="B1012" s="131" t="s">
        <v>226</v>
      </c>
      <c r="C1012" s="131" t="s">
        <v>140</v>
      </c>
      <c r="D1012" s="132">
        <v>0</v>
      </c>
      <c r="E1012" s="132">
        <v>5000</v>
      </c>
      <c r="F1012" s="132">
        <v>3.9</v>
      </c>
    </row>
    <row r="1013" spans="1:6" x14ac:dyDescent="0.2">
      <c r="A1013" s="131" t="s">
        <v>595</v>
      </c>
      <c r="B1013" s="131" t="s">
        <v>156</v>
      </c>
      <c r="C1013" s="131" t="s">
        <v>140</v>
      </c>
      <c r="D1013" s="132">
        <v>20000</v>
      </c>
      <c r="E1013" s="132">
        <v>0</v>
      </c>
      <c r="F1013" s="132">
        <v>3.895</v>
      </c>
    </row>
    <row r="1014" spans="1:6" x14ac:dyDescent="0.2">
      <c r="A1014" s="131" t="s">
        <v>596</v>
      </c>
      <c r="B1014" s="131" t="s">
        <v>346</v>
      </c>
      <c r="C1014" s="131" t="s">
        <v>140</v>
      </c>
      <c r="D1014" s="132">
        <v>2500</v>
      </c>
      <c r="E1014" s="132">
        <v>0</v>
      </c>
      <c r="F1014" s="132">
        <v>3.89</v>
      </c>
    </row>
    <row r="1015" spans="1:6" x14ac:dyDescent="0.2">
      <c r="A1015" s="131" t="s">
        <v>596</v>
      </c>
      <c r="B1015" s="131" t="s">
        <v>296</v>
      </c>
      <c r="C1015" s="131" t="s">
        <v>140</v>
      </c>
      <c r="D1015" s="132">
        <v>0</v>
      </c>
      <c r="E1015" s="132">
        <v>5000</v>
      </c>
      <c r="F1015" s="132">
        <v>3.9</v>
      </c>
    </row>
    <row r="1016" spans="1:6" x14ac:dyDescent="0.2">
      <c r="A1016" s="131" t="s">
        <v>596</v>
      </c>
      <c r="B1016" s="131" t="s">
        <v>144</v>
      </c>
      <c r="C1016" s="131" t="s">
        <v>197</v>
      </c>
      <c r="D1016" s="132">
        <v>17500</v>
      </c>
      <c r="E1016" s="132">
        <v>0</v>
      </c>
      <c r="F1016" s="132">
        <v>4.04</v>
      </c>
    </row>
    <row r="1017" spans="1:6" x14ac:dyDescent="0.2">
      <c r="A1017" s="131" t="s">
        <v>597</v>
      </c>
      <c r="B1017" s="131" t="s">
        <v>204</v>
      </c>
      <c r="C1017" s="131" t="s">
        <v>140</v>
      </c>
      <c r="D1017" s="132">
        <v>0</v>
      </c>
      <c r="E1017" s="132">
        <v>5000</v>
      </c>
      <c r="F1017" s="132">
        <v>3.9</v>
      </c>
    </row>
    <row r="1018" spans="1:6" x14ac:dyDescent="0.2">
      <c r="A1018" s="131" t="s">
        <v>597</v>
      </c>
      <c r="B1018" s="131" t="s">
        <v>300</v>
      </c>
      <c r="C1018" s="131" t="s">
        <v>140</v>
      </c>
      <c r="D1018" s="132">
        <v>20000</v>
      </c>
      <c r="E1018" s="132">
        <v>0</v>
      </c>
      <c r="F1018" s="132">
        <v>3.89</v>
      </c>
    </row>
    <row r="1019" spans="1:6" x14ac:dyDescent="0.2">
      <c r="A1019" s="131" t="s">
        <v>598</v>
      </c>
      <c r="B1019" s="131" t="s">
        <v>163</v>
      </c>
      <c r="C1019" s="131" t="s">
        <v>140</v>
      </c>
      <c r="D1019" s="132">
        <v>0</v>
      </c>
      <c r="E1019" s="132">
        <v>15000</v>
      </c>
      <c r="F1019" s="132">
        <v>3.895</v>
      </c>
    </row>
    <row r="1020" spans="1:6" x14ac:dyDescent="0.2">
      <c r="A1020" s="131" t="s">
        <v>598</v>
      </c>
      <c r="B1020" s="131" t="s">
        <v>215</v>
      </c>
      <c r="C1020" s="131" t="s">
        <v>140</v>
      </c>
      <c r="D1020" s="132">
        <v>5000</v>
      </c>
      <c r="E1020" s="132">
        <v>0</v>
      </c>
      <c r="F1020" s="132">
        <v>3.89</v>
      </c>
    </row>
    <row r="1021" spans="1:6" x14ac:dyDescent="0.2">
      <c r="A1021" s="131" t="s">
        <v>599</v>
      </c>
      <c r="B1021" s="131" t="s">
        <v>232</v>
      </c>
      <c r="C1021" s="131" t="s">
        <v>140</v>
      </c>
      <c r="D1021" s="132">
        <v>0</v>
      </c>
      <c r="E1021" s="132">
        <v>10000</v>
      </c>
      <c r="F1021" s="132">
        <v>3.9</v>
      </c>
    </row>
    <row r="1022" spans="1:6" x14ac:dyDescent="0.2">
      <c r="A1022" s="131" t="s">
        <v>599</v>
      </c>
      <c r="B1022" s="131" t="s">
        <v>158</v>
      </c>
      <c r="C1022" s="131" t="s">
        <v>140</v>
      </c>
      <c r="D1022" s="132">
        <v>0</v>
      </c>
      <c r="E1022" s="132">
        <v>2500</v>
      </c>
      <c r="F1022" s="132">
        <v>3.9</v>
      </c>
    </row>
    <row r="1023" spans="1:6" x14ac:dyDescent="0.2">
      <c r="A1023" s="131" t="s">
        <v>599</v>
      </c>
      <c r="B1023" s="131" t="s">
        <v>217</v>
      </c>
      <c r="C1023" s="131" t="s">
        <v>140</v>
      </c>
      <c r="D1023" s="132">
        <v>0</v>
      </c>
      <c r="E1023" s="132">
        <v>5000</v>
      </c>
      <c r="F1023" s="132">
        <v>3.9</v>
      </c>
    </row>
    <row r="1024" spans="1:6" x14ac:dyDescent="0.2">
      <c r="A1024" s="131" t="s">
        <v>599</v>
      </c>
      <c r="B1024" s="131" t="s">
        <v>181</v>
      </c>
      <c r="C1024" s="131" t="s">
        <v>140</v>
      </c>
      <c r="D1024" s="132">
        <v>0</v>
      </c>
      <c r="E1024" s="132">
        <v>2500</v>
      </c>
      <c r="F1024" s="132">
        <v>3.9</v>
      </c>
    </row>
    <row r="1025" spans="1:6" x14ac:dyDescent="0.2">
      <c r="A1025" s="131" t="s">
        <v>599</v>
      </c>
      <c r="B1025" s="131" t="s">
        <v>204</v>
      </c>
      <c r="C1025" s="131" t="s">
        <v>140</v>
      </c>
      <c r="D1025" s="132">
        <v>15000</v>
      </c>
      <c r="E1025" s="132">
        <v>0</v>
      </c>
      <c r="F1025" s="132">
        <v>3.895</v>
      </c>
    </row>
    <row r="1026" spans="1:6" x14ac:dyDescent="0.2">
      <c r="A1026" s="131" t="s">
        <v>599</v>
      </c>
      <c r="B1026" s="131" t="s">
        <v>163</v>
      </c>
      <c r="C1026" s="131" t="s">
        <v>140</v>
      </c>
      <c r="D1026" s="132">
        <v>0</v>
      </c>
      <c r="E1026" s="132">
        <v>5000</v>
      </c>
      <c r="F1026" s="132">
        <v>3.9</v>
      </c>
    </row>
    <row r="1027" spans="1:6" x14ac:dyDescent="0.2">
      <c r="A1027" s="131" t="s">
        <v>600</v>
      </c>
      <c r="B1027" s="131" t="s">
        <v>232</v>
      </c>
      <c r="C1027" s="131" t="s">
        <v>140</v>
      </c>
      <c r="D1027" s="132">
        <v>0</v>
      </c>
      <c r="E1027" s="132">
        <v>7500</v>
      </c>
      <c r="F1027" s="132">
        <v>3.9</v>
      </c>
    </row>
    <row r="1028" spans="1:6" x14ac:dyDescent="0.2">
      <c r="A1028" s="131" t="s">
        <v>600</v>
      </c>
      <c r="B1028" s="131" t="s">
        <v>158</v>
      </c>
      <c r="C1028" s="131" t="s">
        <v>140</v>
      </c>
      <c r="D1028" s="132">
        <v>0</v>
      </c>
      <c r="E1028" s="132">
        <v>7500</v>
      </c>
      <c r="F1028" s="132">
        <v>3.9</v>
      </c>
    </row>
    <row r="1029" spans="1:6" x14ac:dyDescent="0.2">
      <c r="A1029" s="131" t="s">
        <v>600</v>
      </c>
      <c r="B1029" s="131" t="s">
        <v>384</v>
      </c>
      <c r="C1029" s="131" t="s">
        <v>145</v>
      </c>
      <c r="D1029" s="132">
        <v>0</v>
      </c>
      <c r="E1029" s="132">
        <v>5000</v>
      </c>
      <c r="F1029" s="132">
        <v>4.0149999999999997</v>
      </c>
    </row>
    <row r="1030" spans="1:6" x14ac:dyDescent="0.2">
      <c r="A1030" s="131" t="s">
        <v>601</v>
      </c>
      <c r="B1030" s="131" t="s">
        <v>232</v>
      </c>
      <c r="C1030" s="131" t="s">
        <v>140</v>
      </c>
      <c r="D1030" s="132">
        <v>0</v>
      </c>
      <c r="E1030" s="132">
        <v>2500</v>
      </c>
      <c r="F1030" s="132">
        <v>3.91</v>
      </c>
    </row>
    <row r="1031" spans="1:6" x14ac:dyDescent="0.2">
      <c r="A1031" s="131" t="s">
        <v>601</v>
      </c>
      <c r="B1031" s="131" t="s">
        <v>139</v>
      </c>
      <c r="C1031" s="131" t="s">
        <v>145</v>
      </c>
      <c r="D1031" s="132">
        <v>0</v>
      </c>
      <c r="E1031" s="132">
        <v>2500</v>
      </c>
      <c r="F1031" s="132">
        <v>4.0199999999999996</v>
      </c>
    </row>
    <row r="1032" spans="1:6" x14ac:dyDescent="0.2">
      <c r="A1032" s="131" t="s">
        <v>601</v>
      </c>
      <c r="B1032" s="131" t="s">
        <v>225</v>
      </c>
      <c r="C1032" s="131" t="s">
        <v>140</v>
      </c>
      <c r="D1032" s="132">
        <v>0</v>
      </c>
      <c r="E1032" s="132">
        <v>17500</v>
      </c>
      <c r="F1032" s="132">
        <v>3.91</v>
      </c>
    </row>
    <row r="1033" spans="1:6" x14ac:dyDescent="0.2">
      <c r="A1033" s="131" t="s">
        <v>602</v>
      </c>
      <c r="B1033" s="131" t="s">
        <v>202</v>
      </c>
      <c r="C1033" s="131" t="s">
        <v>145</v>
      </c>
      <c r="D1033" s="132">
        <v>0</v>
      </c>
      <c r="E1033" s="132">
        <v>2500</v>
      </c>
      <c r="F1033" s="132">
        <v>4.0199999999999996</v>
      </c>
    </row>
    <row r="1034" spans="1:6" x14ac:dyDescent="0.2">
      <c r="A1034" s="131" t="s">
        <v>602</v>
      </c>
      <c r="B1034" s="131" t="s">
        <v>235</v>
      </c>
      <c r="C1034" s="131" t="s">
        <v>140</v>
      </c>
      <c r="D1034" s="132">
        <v>0</v>
      </c>
      <c r="E1034" s="132">
        <v>20000</v>
      </c>
      <c r="F1034" s="132">
        <v>3.915</v>
      </c>
    </row>
    <row r="1035" spans="1:6" x14ac:dyDescent="0.2">
      <c r="A1035" s="131" t="s">
        <v>602</v>
      </c>
      <c r="B1035" s="131" t="s">
        <v>204</v>
      </c>
      <c r="C1035" s="131" t="s">
        <v>164</v>
      </c>
      <c r="D1035" s="132">
        <v>5000</v>
      </c>
      <c r="E1035" s="132">
        <v>0</v>
      </c>
      <c r="F1035" s="132">
        <v>4.0025000000000004</v>
      </c>
    </row>
    <row r="1036" spans="1:6" x14ac:dyDescent="0.2">
      <c r="A1036" s="131" t="s">
        <v>602</v>
      </c>
      <c r="B1036" s="131" t="s">
        <v>346</v>
      </c>
      <c r="C1036" s="131" t="s">
        <v>140</v>
      </c>
      <c r="D1036" s="132">
        <v>5000</v>
      </c>
      <c r="E1036" s="132">
        <v>0</v>
      </c>
      <c r="F1036" s="132">
        <v>3.9049999999999998</v>
      </c>
    </row>
    <row r="1037" spans="1:6" x14ac:dyDescent="0.2">
      <c r="A1037" s="131" t="s">
        <v>603</v>
      </c>
      <c r="B1037" s="131" t="s">
        <v>246</v>
      </c>
      <c r="C1037" s="131" t="s">
        <v>140</v>
      </c>
      <c r="D1037" s="132">
        <v>10000</v>
      </c>
      <c r="E1037" s="132">
        <v>0</v>
      </c>
      <c r="F1037" s="132">
        <v>3.9049999999999998</v>
      </c>
    </row>
    <row r="1038" spans="1:6" x14ac:dyDescent="0.2">
      <c r="A1038" s="131" t="s">
        <v>603</v>
      </c>
      <c r="B1038" s="131" t="s">
        <v>204</v>
      </c>
      <c r="C1038" s="131" t="s">
        <v>164</v>
      </c>
      <c r="D1038" s="132">
        <v>5000</v>
      </c>
      <c r="E1038" s="132">
        <v>0</v>
      </c>
      <c r="F1038" s="132">
        <v>3.9975000000000001</v>
      </c>
    </row>
    <row r="1039" spans="1:6" x14ac:dyDescent="0.2">
      <c r="A1039" s="131" t="s">
        <v>603</v>
      </c>
      <c r="B1039" s="131" t="s">
        <v>204</v>
      </c>
      <c r="C1039" s="131" t="s">
        <v>164</v>
      </c>
      <c r="D1039" s="132">
        <v>7500</v>
      </c>
      <c r="E1039" s="132">
        <v>0</v>
      </c>
      <c r="F1039" s="132">
        <v>4.0025000000000004</v>
      </c>
    </row>
    <row r="1040" spans="1:6" x14ac:dyDescent="0.2">
      <c r="A1040" s="131" t="s">
        <v>603</v>
      </c>
      <c r="B1040" s="131" t="s">
        <v>204</v>
      </c>
      <c r="C1040" s="131" t="s">
        <v>164</v>
      </c>
      <c r="D1040" s="132">
        <v>7500</v>
      </c>
      <c r="E1040" s="132">
        <v>0</v>
      </c>
      <c r="F1040" s="132">
        <v>4.0025000000000004</v>
      </c>
    </row>
    <row r="1041" spans="1:6" x14ac:dyDescent="0.2">
      <c r="A1041" s="131" t="s">
        <v>603</v>
      </c>
      <c r="B1041" s="131" t="s">
        <v>171</v>
      </c>
      <c r="C1041" s="131" t="s">
        <v>140</v>
      </c>
      <c r="D1041" s="132">
        <v>0</v>
      </c>
      <c r="E1041" s="132">
        <v>20000</v>
      </c>
      <c r="F1041" s="132">
        <v>3.91</v>
      </c>
    </row>
    <row r="1042" spans="1:6" x14ac:dyDescent="0.2">
      <c r="A1042" s="131" t="s">
        <v>603</v>
      </c>
      <c r="B1042" s="131" t="s">
        <v>144</v>
      </c>
      <c r="C1042" s="131" t="s">
        <v>197</v>
      </c>
      <c r="D1042" s="132">
        <v>10000</v>
      </c>
      <c r="E1042" s="132">
        <v>0</v>
      </c>
      <c r="F1042" s="132">
        <v>4.05</v>
      </c>
    </row>
    <row r="1043" spans="1:6" x14ac:dyDescent="0.2">
      <c r="A1043" s="131" t="s">
        <v>604</v>
      </c>
      <c r="B1043" s="131" t="s">
        <v>158</v>
      </c>
      <c r="C1043" s="131" t="s">
        <v>164</v>
      </c>
      <c r="D1043" s="132">
        <v>2500</v>
      </c>
      <c r="E1043" s="132">
        <v>0</v>
      </c>
      <c r="F1043" s="132">
        <v>3.9925000000000002</v>
      </c>
    </row>
    <row r="1044" spans="1:6" x14ac:dyDescent="0.2">
      <c r="A1044" s="131" t="s">
        <v>604</v>
      </c>
      <c r="B1044" s="131" t="s">
        <v>229</v>
      </c>
      <c r="C1044" s="131" t="s">
        <v>140</v>
      </c>
      <c r="D1044" s="132">
        <v>10000</v>
      </c>
      <c r="E1044" s="132">
        <v>0</v>
      </c>
      <c r="F1044" s="132">
        <v>3.9</v>
      </c>
    </row>
    <row r="1045" spans="1:6" x14ac:dyDescent="0.2">
      <c r="A1045" s="131" t="s">
        <v>604</v>
      </c>
      <c r="B1045" s="131" t="s">
        <v>218</v>
      </c>
      <c r="C1045" s="131" t="s">
        <v>140</v>
      </c>
      <c r="D1045" s="132">
        <v>5000</v>
      </c>
      <c r="E1045" s="132">
        <v>0</v>
      </c>
      <c r="F1045" s="132">
        <v>3.9</v>
      </c>
    </row>
    <row r="1046" spans="1:6" x14ac:dyDescent="0.2">
      <c r="A1046" s="131" t="s">
        <v>604</v>
      </c>
      <c r="B1046" s="131" t="s">
        <v>162</v>
      </c>
      <c r="C1046" s="131" t="s">
        <v>145</v>
      </c>
      <c r="D1046" s="132">
        <v>2500</v>
      </c>
      <c r="E1046" s="132">
        <v>0</v>
      </c>
      <c r="F1046" s="132">
        <v>4.0049999999999999</v>
      </c>
    </row>
    <row r="1047" spans="1:6" x14ac:dyDescent="0.2">
      <c r="A1047" s="131" t="s">
        <v>604</v>
      </c>
      <c r="B1047" s="131" t="s">
        <v>346</v>
      </c>
      <c r="C1047" s="131" t="s">
        <v>164</v>
      </c>
      <c r="D1047" s="132">
        <v>5000</v>
      </c>
      <c r="E1047" s="132">
        <v>0</v>
      </c>
      <c r="F1047" s="132">
        <v>3.9975000000000001</v>
      </c>
    </row>
    <row r="1048" spans="1:6" x14ac:dyDescent="0.2">
      <c r="A1048" s="131" t="s">
        <v>604</v>
      </c>
      <c r="B1048" s="131" t="s">
        <v>156</v>
      </c>
      <c r="C1048" s="131" t="s">
        <v>150</v>
      </c>
      <c r="D1048" s="132">
        <v>5000</v>
      </c>
      <c r="E1048" s="132">
        <v>0</v>
      </c>
      <c r="F1048" s="132">
        <v>4.05</v>
      </c>
    </row>
    <row r="1049" spans="1:6" x14ac:dyDescent="0.2">
      <c r="A1049" s="131" t="s">
        <v>605</v>
      </c>
      <c r="B1049" s="131" t="s">
        <v>229</v>
      </c>
      <c r="C1049" s="131" t="s">
        <v>150</v>
      </c>
      <c r="D1049" s="132">
        <v>2500</v>
      </c>
      <c r="E1049" s="132">
        <v>0</v>
      </c>
      <c r="F1049" s="132">
        <v>4.04</v>
      </c>
    </row>
    <row r="1050" spans="1:6" x14ac:dyDescent="0.2">
      <c r="A1050" s="131" t="s">
        <v>605</v>
      </c>
      <c r="B1050" s="131" t="s">
        <v>218</v>
      </c>
      <c r="C1050" s="131" t="s">
        <v>140</v>
      </c>
      <c r="D1050" s="132">
        <v>5000</v>
      </c>
      <c r="E1050" s="132">
        <v>0</v>
      </c>
      <c r="F1050" s="132">
        <v>3.895</v>
      </c>
    </row>
    <row r="1051" spans="1:6" x14ac:dyDescent="0.2">
      <c r="A1051" s="131" t="s">
        <v>605</v>
      </c>
      <c r="B1051" s="131" t="s">
        <v>390</v>
      </c>
      <c r="C1051" s="131" t="s">
        <v>140</v>
      </c>
      <c r="D1051" s="132">
        <v>5000</v>
      </c>
      <c r="E1051" s="132">
        <v>0</v>
      </c>
      <c r="F1051" s="132">
        <v>3.895</v>
      </c>
    </row>
    <row r="1052" spans="1:6" x14ac:dyDescent="0.2">
      <c r="A1052" s="131" t="s">
        <v>605</v>
      </c>
      <c r="B1052" s="131" t="s">
        <v>380</v>
      </c>
      <c r="C1052" s="131" t="s">
        <v>140</v>
      </c>
      <c r="D1052" s="132">
        <v>20000</v>
      </c>
      <c r="E1052" s="132">
        <v>0</v>
      </c>
      <c r="F1052" s="132">
        <v>3.89</v>
      </c>
    </row>
    <row r="1053" spans="1:6" x14ac:dyDescent="0.2">
      <c r="A1053" s="131" t="s">
        <v>605</v>
      </c>
      <c r="B1053" s="131" t="s">
        <v>308</v>
      </c>
      <c r="C1053" s="131" t="s">
        <v>140</v>
      </c>
      <c r="D1053" s="132">
        <v>5000</v>
      </c>
      <c r="E1053" s="132">
        <v>0</v>
      </c>
      <c r="F1053" s="132">
        <v>3.895</v>
      </c>
    </row>
    <row r="1054" spans="1:6" x14ac:dyDescent="0.2">
      <c r="A1054" s="131" t="s">
        <v>605</v>
      </c>
      <c r="B1054" s="131" t="s">
        <v>156</v>
      </c>
      <c r="C1054" s="131" t="s">
        <v>140</v>
      </c>
      <c r="D1054" s="132">
        <v>2500</v>
      </c>
      <c r="E1054" s="132">
        <v>0</v>
      </c>
      <c r="F1054" s="132">
        <v>3.895</v>
      </c>
    </row>
    <row r="1055" spans="1:6" x14ac:dyDescent="0.2">
      <c r="A1055" s="131" t="s">
        <v>605</v>
      </c>
      <c r="B1055" s="131" t="s">
        <v>156</v>
      </c>
      <c r="C1055" s="131" t="s">
        <v>140</v>
      </c>
      <c r="D1055" s="132">
        <v>20000</v>
      </c>
      <c r="E1055" s="132">
        <v>0</v>
      </c>
      <c r="F1055" s="132">
        <v>3.8849999999999998</v>
      </c>
    </row>
    <row r="1056" spans="1:6" x14ac:dyDescent="0.2">
      <c r="A1056" s="131" t="s">
        <v>606</v>
      </c>
      <c r="B1056" s="131" t="s">
        <v>218</v>
      </c>
      <c r="C1056" s="131" t="s">
        <v>145</v>
      </c>
      <c r="D1056" s="132">
        <v>5000</v>
      </c>
      <c r="E1056" s="132">
        <v>0</v>
      </c>
      <c r="F1056" s="132">
        <v>3.99</v>
      </c>
    </row>
    <row r="1057" spans="1:6" x14ac:dyDescent="0.2">
      <c r="A1057" s="131" t="s">
        <v>606</v>
      </c>
      <c r="B1057" s="131" t="s">
        <v>200</v>
      </c>
      <c r="C1057" s="131" t="s">
        <v>145</v>
      </c>
      <c r="D1057" s="132">
        <v>2500</v>
      </c>
      <c r="E1057" s="132">
        <v>0</v>
      </c>
      <c r="F1057" s="132">
        <v>3.9849999999999999</v>
      </c>
    </row>
    <row r="1058" spans="1:6" x14ac:dyDescent="0.2">
      <c r="A1058" s="131" t="s">
        <v>606</v>
      </c>
      <c r="B1058" s="131" t="s">
        <v>331</v>
      </c>
      <c r="C1058" s="131" t="s">
        <v>154</v>
      </c>
      <c r="D1058" s="132">
        <v>5000</v>
      </c>
      <c r="E1058" s="132">
        <v>0</v>
      </c>
      <c r="F1058" s="132">
        <v>4.375</v>
      </c>
    </row>
    <row r="1059" spans="1:6" x14ac:dyDescent="0.2">
      <c r="A1059" s="131" t="s">
        <v>606</v>
      </c>
      <c r="B1059" s="131" t="s">
        <v>156</v>
      </c>
      <c r="C1059" s="131" t="s">
        <v>145</v>
      </c>
      <c r="D1059" s="132">
        <v>5000</v>
      </c>
      <c r="E1059" s="132">
        <v>0</v>
      </c>
      <c r="F1059" s="132">
        <v>3.9950000000000001</v>
      </c>
    </row>
    <row r="1060" spans="1:6" x14ac:dyDescent="0.2">
      <c r="A1060" s="131" t="s">
        <v>606</v>
      </c>
      <c r="B1060" s="131" t="s">
        <v>156</v>
      </c>
      <c r="C1060" s="131" t="s">
        <v>140</v>
      </c>
      <c r="D1060" s="132">
        <v>20000</v>
      </c>
      <c r="E1060" s="132">
        <v>0</v>
      </c>
      <c r="F1060" s="132">
        <v>3.88</v>
      </c>
    </row>
    <row r="1061" spans="1:6" x14ac:dyDescent="0.2">
      <c r="A1061" s="131" t="s">
        <v>607</v>
      </c>
      <c r="B1061" s="131" t="s">
        <v>158</v>
      </c>
      <c r="C1061" s="131" t="s">
        <v>150</v>
      </c>
      <c r="D1061" s="132">
        <v>5000</v>
      </c>
      <c r="E1061" s="132">
        <v>0</v>
      </c>
      <c r="F1061" s="132">
        <v>4.0350000000000001</v>
      </c>
    </row>
    <row r="1062" spans="1:6" x14ac:dyDescent="0.2">
      <c r="A1062" s="131" t="s">
        <v>607</v>
      </c>
      <c r="B1062" s="131" t="s">
        <v>171</v>
      </c>
      <c r="C1062" s="131" t="s">
        <v>140</v>
      </c>
      <c r="D1062" s="132">
        <v>0</v>
      </c>
      <c r="E1062" s="132">
        <v>20000</v>
      </c>
      <c r="F1062" s="132">
        <v>3.88</v>
      </c>
    </row>
    <row r="1063" spans="1:6" x14ac:dyDescent="0.2">
      <c r="A1063" s="131" t="s">
        <v>607</v>
      </c>
      <c r="B1063" s="131" t="s">
        <v>608</v>
      </c>
      <c r="C1063" s="131" t="s">
        <v>404</v>
      </c>
      <c r="D1063" s="132">
        <v>0</v>
      </c>
      <c r="E1063" s="132">
        <v>50</v>
      </c>
      <c r="F1063" s="132">
        <v>3.875</v>
      </c>
    </row>
    <row r="1064" spans="1:6" x14ac:dyDescent="0.2">
      <c r="A1064" s="131" t="s">
        <v>607</v>
      </c>
      <c r="B1064" s="131" t="s">
        <v>608</v>
      </c>
      <c r="C1064" s="131" t="s">
        <v>374</v>
      </c>
      <c r="D1064" s="132">
        <v>50</v>
      </c>
      <c r="E1064" s="132">
        <v>0</v>
      </c>
      <c r="F1064" s="132">
        <v>3.97</v>
      </c>
    </row>
    <row r="1065" spans="1:6" x14ac:dyDescent="0.2">
      <c r="A1065" s="131" t="s">
        <v>607</v>
      </c>
      <c r="B1065" s="131" t="s">
        <v>156</v>
      </c>
      <c r="C1065" s="131" t="s">
        <v>140</v>
      </c>
      <c r="D1065" s="132">
        <v>20000</v>
      </c>
      <c r="E1065" s="132">
        <v>0</v>
      </c>
      <c r="F1065" s="132">
        <v>3.875</v>
      </c>
    </row>
    <row r="1066" spans="1:6" x14ac:dyDescent="0.2">
      <c r="A1066" s="131" t="s">
        <v>609</v>
      </c>
      <c r="B1066" s="131" t="s">
        <v>144</v>
      </c>
      <c r="C1066" s="131" t="s">
        <v>197</v>
      </c>
      <c r="D1066" s="132">
        <v>0</v>
      </c>
      <c r="E1066" s="132">
        <v>20000</v>
      </c>
      <c r="F1066" s="132">
        <v>4.0274999999999999</v>
      </c>
    </row>
    <row r="1067" spans="1:6" x14ac:dyDescent="0.2">
      <c r="A1067" s="131" t="s">
        <v>610</v>
      </c>
      <c r="B1067" s="131" t="s">
        <v>350</v>
      </c>
      <c r="C1067" s="131" t="s">
        <v>140</v>
      </c>
      <c r="D1067" s="132">
        <v>10000</v>
      </c>
      <c r="E1067" s="132">
        <v>0</v>
      </c>
      <c r="F1067" s="132">
        <v>3.88</v>
      </c>
    </row>
    <row r="1068" spans="1:6" x14ac:dyDescent="0.2">
      <c r="A1068" s="131" t="s">
        <v>610</v>
      </c>
      <c r="B1068" s="131" t="s">
        <v>390</v>
      </c>
      <c r="C1068" s="131" t="s">
        <v>140</v>
      </c>
      <c r="D1068" s="132">
        <v>5000</v>
      </c>
      <c r="E1068" s="132">
        <v>0</v>
      </c>
      <c r="F1068" s="132">
        <v>3.88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6"/>
  <sheetViews>
    <sheetView topLeftCell="A13" zoomScale="85" workbookViewId="0">
      <selection activeCell="I11" sqref="I11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5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5" x14ac:dyDescent="0.2">
      <c r="A2" s="20"/>
      <c r="B2" s="15"/>
      <c r="C2" s="16">
        <f t="shared" ref="C2:C38" si="0">A2*B2*10000</f>
        <v>0</v>
      </c>
      <c r="D2" s="17"/>
      <c r="E2" s="21"/>
      <c r="F2" s="22"/>
      <c r="G2" s="23">
        <f t="shared" ref="G2:G38" si="1">E2*F2*10000</f>
        <v>0</v>
      </c>
      <c r="I2" s="24"/>
    </row>
    <row r="3" spans="1:15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5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5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5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 t="s">
        <v>100</v>
      </c>
      <c r="J6" s="28"/>
      <c r="K6" s="17"/>
    </row>
    <row r="7" spans="1:15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M7">
        <v>15</v>
      </c>
      <c r="N7">
        <v>3.9950000000000001</v>
      </c>
      <c r="O7">
        <f>M7*N7</f>
        <v>59.925000000000004</v>
      </c>
    </row>
    <row r="8" spans="1:15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M8">
        <v>30</v>
      </c>
      <c r="N8">
        <v>4.0199999999999996</v>
      </c>
      <c r="O8">
        <f>M8*N8</f>
        <v>120.6</v>
      </c>
    </row>
    <row r="9" spans="1:15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f>1250*30</f>
        <v>37500</v>
      </c>
      <c r="M9">
        <f>SUM(M7:M8)</f>
        <v>45</v>
      </c>
      <c r="O9">
        <f>SUM(O7:O8)</f>
        <v>180.52500000000001</v>
      </c>
    </row>
    <row r="10" spans="1:15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O10">
        <f>O9/M9</f>
        <v>4.0116666666666667</v>
      </c>
    </row>
    <row r="11" spans="1:15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5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5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5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5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5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12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12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12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7500*30</f>
        <v>225000</v>
      </c>
    </row>
    <row r="27" spans="1:11" ht="12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1" ht="6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1" ht="6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1" ht="6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0.5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31"/>
    </row>
    <row r="36" spans="1:13" ht="10.5" customHeight="1" x14ac:dyDescent="0.2">
      <c r="A36" s="25"/>
      <c r="B36" s="15"/>
      <c r="C36" s="16">
        <f t="shared" si="0"/>
        <v>0</v>
      </c>
      <c r="D36" s="17"/>
      <c r="E36" s="21"/>
      <c r="F36" s="22"/>
      <c r="G36" s="23">
        <f t="shared" si="1"/>
        <v>0</v>
      </c>
      <c r="I36" s="31"/>
    </row>
    <row r="37" spans="1:13" ht="10.5" customHeight="1" x14ac:dyDescent="0.2">
      <c r="A37" s="25"/>
      <c r="B37" s="15"/>
      <c r="C37" s="16">
        <f t="shared" si="0"/>
        <v>0</v>
      </c>
      <c r="D37" s="17"/>
      <c r="E37" s="21"/>
      <c r="F37" s="22"/>
      <c r="G37" s="23">
        <f t="shared" si="1"/>
        <v>0</v>
      </c>
      <c r="I37" s="31"/>
    </row>
    <row r="38" spans="1:13" ht="12" customHeight="1" x14ac:dyDescent="0.2">
      <c r="A38" s="25"/>
      <c r="B38" s="15"/>
      <c r="C38" s="16">
        <f t="shared" si="0"/>
        <v>0</v>
      </c>
      <c r="D38" s="17"/>
      <c r="E38" s="21"/>
      <c r="F38" s="22"/>
      <c r="G38" s="23">
        <f t="shared" si="1"/>
        <v>0</v>
      </c>
      <c r="I38" s="31"/>
    </row>
    <row r="39" spans="1:13" x14ac:dyDescent="0.2">
      <c r="E39" s="32"/>
      <c r="G39" s="34"/>
    </row>
    <row r="40" spans="1:13" x14ac:dyDescent="0.2">
      <c r="A40" s="25">
        <f>SUM(A1:A39)</f>
        <v>0</v>
      </c>
      <c r="B40" s="15">
        <f>IF(A40=0, 0, C40/A40/10000)</f>
        <v>0</v>
      </c>
      <c r="C40" s="16">
        <f>SUM(C1:C39)</f>
        <v>0</v>
      </c>
      <c r="E40" s="25">
        <f>SUM(E1:E39)</f>
        <v>0</v>
      </c>
      <c r="F40" s="15">
        <f>IF(E40=0, 0, G40/E40/10000)</f>
        <v>0</v>
      </c>
      <c r="G40" s="23">
        <f>SUM(G1:G39)</f>
        <v>0</v>
      </c>
      <c r="I40" s="36">
        <f>MIN(A40,E40)*(B40-F40)*10000</f>
        <v>0</v>
      </c>
      <c r="J40" s="37"/>
      <c r="K40" s="37" t="s">
        <v>8</v>
      </c>
      <c r="L40" s="17"/>
      <c r="M40" s="17"/>
    </row>
    <row r="41" spans="1:13" x14ac:dyDescent="0.2">
      <c r="I41" s="36"/>
      <c r="J41" s="37"/>
      <c r="K41" s="37"/>
      <c r="L41" s="17"/>
      <c r="M41" s="17"/>
    </row>
    <row r="42" spans="1:13" x14ac:dyDescent="0.2">
      <c r="E42" s="38">
        <f>-A40+E40</f>
        <v>0</v>
      </c>
      <c r="F42">
        <f>IF(E42&lt;0,B40,F40)</f>
        <v>0</v>
      </c>
      <c r="G42" s="39">
        <f>IF(E42&lt;0, (F42-B45)*ABS(E42)*10000, -1*(F42-B45)*ABS(E42)*10000)</f>
        <v>0</v>
      </c>
      <c r="I42" s="36">
        <f>G42</f>
        <v>0</v>
      </c>
      <c r="J42" s="37"/>
      <c r="K42" s="37" t="s">
        <v>9</v>
      </c>
      <c r="L42" s="17"/>
      <c r="M42" s="17" t="s">
        <v>10</v>
      </c>
    </row>
    <row r="43" spans="1:13" x14ac:dyDescent="0.2">
      <c r="L43" s="17"/>
      <c r="M43" s="17"/>
    </row>
    <row r="44" spans="1:13" x14ac:dyDescent="0.2">
      <c r="E44" s="38">
        <f>-A40+E40</f>
        <v>0</v>
      </c>
      <c r="F44">
        <f>IF(E44&lt;0, (B40+(I40/(ABS(E44)*10000))), IF(E44 = 0, 0, (F40-(I40/(ABS(E44)*10000)))))</f>
        <v>0</v>
      </c>
      <c r="G44" s="39">
        <f>IF(E44&lt;0, (F44-B45)*ABS(E44)*10000, IF(E44 = 0, 0, -1*(F44-B45)*ABS(E44)*10000))</f>
        <v>0</v>
      </c>
      <c r="I44" s="40">
        <f>G44</f>
        <v>0</v>
      </c>
      <c r="J44" s="41"/>
      <c r="K44" s="41" t="s">
        <v>11</v>
      </c>
      <c r="L44" s="17"/>
      <c r="M44" s="17" t="s">
        <v>12</v>
      </c>
    </row>
    <row r="45" spans="1:13" x14ac:dyDescent="0.2">
      <c r="B45">
        <f>IF(ISBLANK(B46),'[1]Nymex Prices'!B10,B46)</f>
        <v>3.9220000000000002</v>
      </c>
      <c r="C45" s="42" t="s">
        <v>13</v>
      </c>
      <c r="L45" s="17"/>
      <c r="M45" s="17"/>
    </row>
    <row r="46" spans="1:13" x14ac:dyDescent="0.2">
      <c r="B46">
        <f>Summary!B5</f>
        <v>3.9220000000000002</v>
      </c>
      <c r="C46" s="42" t="s">
        <v>14</v>
      </c>
      <c r="I46" s="43">
        <f>I40+I42</f>
        <v>0</v>
      </c>
      <c r="J46" s="44"/>
      <c r="K46" s="44" t="s">
        <v>15</v>
      </c>
      <c r="L46" s="17"/>
      <c r="M46" s="17"/>
    </row>
    <row r="49" spans="1:3" x14ac:dyDescent="0.2">
      <c r="A49" s="45"/>
    </row>
    <row r="50" spans="1:3" x14ac:dyDescent="0.2">
      <c r="A50" s="45"/>
      <c r="C50" s="42"/>
    </row>
    <row r="51" spans="1:3" x14ac:dyDescent="0.2">
      <c r="A51" s="45"/>
    </row>
    <row r="52" spans="1:3" x14ac:dyDescent="0.2">
      <c r="A52" s="45"/>
    </row>
    <row r="53" spans="1:3" x14ac:dyDescent="0.2">
      <c r="A53" s="38"/>
    </row>
    <row r="54" spans="1:3" x14ac:dyDescent="0.2">
      <c r="A54" s="46"/>
    </row>
    <row r="55" spans="1:3" x14ac:dyDescent="0.2">
      <c r="A55" s="46"/>
    </row>
    <row r="56" spans="1:3" x14ac:dyDescent="0.2">
      <c r="A56" s="38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49"/>
  <sheetViews>
    <sheetView zoomScale="80" workbookViewId="0">
      <selection activeCell="B2" sqref="B2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1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1" x14ac:dyDescent="0.2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 t="s">
        <v>16</v>
      </c>
    </row>
    <row r="3" spans="1:11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 t="s">
        <v>34</v>
      </c>
      <c r="K3" s="26"/>
    </row>
    <row r="4" spans="1:11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7500*31</f>
        <v>232500</v>
      </c>
    </row>
    <row r="5" spans="1:11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>
        <f>15000*31</f>
        <v>465000</v>
      </c>
    </row>
    <row r="6" spans="1:11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1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</row>
    <row r="8" spans="1:11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1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1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1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1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1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1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1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1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3.9220000000000002</v>
      </c>
      <c r="C38" s="42" t="s">
        <v>13</v>
      </c>
      <c r="L38" s="17"/>
      <c r="M38" s="17"/>
    </row>
    <row r="39" spans="1:13" x14ac:dyDescent="0.2">
      <c r="B39">
        <f>Summary!B5</f>
        <v>3.9220000000000002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55"/>
  <sheetViews>
    <sheetView zoomScale="80" workbookViewId="0">
      <selection activeCell="B5" sqref="B5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2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2" x14ac:dyDescent="0.2">
      <c r="A2" s="20">
        <v>31</v>
      </c>
      <c r="B2" s="15">
        <v>4.0475000000000003</v>
      </c>
      <c r="C2" s="16">
        <f t="shared" ref="C2:C37" si="0">A2*B2*10000</f>
        <v>1254725</v>
      </c>
      <c r="D2" s="17"/>
      <c r="E2" s="21">
        <v>31</v>
      </c>
      <c r="F2" s="22">
        <v>3.8975</v>
      </c>
      <c r="G2" s="23">
        <f t="shared" ref="G2:G37" si="1">E2*F2*10000</f>
        <v>1208225</v>
      </c>
      <c r="I2" s="24"/>
    </row>
    <row r="3" spans="1:12" x14ac:dyDescent="0.2">
      <c r="A3" s="20">
        <v>15.5</v>
      </c>
      <c r="B3" s="15">
        <v>4.0525000000000002</v>
      </c>
      <c r="C3" s="16">
        <f t="shared" si="0"/>
        <v>628137.50000000012</v>
      </c>
      <c r="D3" s="17"/>
      <c r="E3" s="25"/>
      <c r="F3" s="15"/>
      <c r="G3" s="23">
        <f t="shared" si="1"/>
        <v>0</v>
      </c>
      <c r="I3" s="13"/>
      <c r="K3" s="26"/>
    </row>
    <row r="4" spans="1:12" x14ac:dyDescent="0.2">
      <c r="A4" s="27">
        <v>31</v>
      </c>
      <c r="B4" s="22">
        <v>4</v>
      </c>
      <c r="C4" s="16">
        <f t="shared" si="0"/>
        <v>1240000</v>
      </c>
      <c r="D4" s="17"/>
      <c r="E4" s="25"/>
      <c r="F4" s="15"/>
      <c r="G4" s="23">
        <f t="shared" si="1"/>
        <v>0</v>
      </c>
      <c r="J4" s="24"/>
      <c r="K4" s="17"/>
    </row>
    <row r="5" spans="1:12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2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2" x14ac:dyDescent="0.2">
      <c r="A7" s="25"/>
      <c r="B7" s="15"/>
      <c r="C7" s="16">
        <f t="shared" si="0"/>
        <v>0</v>
      </c>
      <c r="D7" s="17"/>
      <c r="E7" s="114"/>
      <c r="F7" s="115"/>
      <c r="G7" s="116">
        <f t="shared" si="1"/>
        <v>0</v>
      </c>
      <c r="I7" s="24" t="s">
        <v>109</v>
      </c>
    </row>
    <row r="8" spans="1:12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2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2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2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2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2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2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2500*31</f>
        <v>77500</v>
      </c>
    </row>
    <row r="15" spans="1:12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5000*31</f>
        <v>155000</v>
      </c>
    </row>
    <row r="16" spans="1:12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2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10000*31</f>
        <v>310000</v>
      </c>
    </row>
    <row r="18" spans="1:12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L18">
        <f>12500*31</f>
        <v>387500</v>
      </c>
    </row>
    <row r="19" spans="1:12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>
        <f>15000*31</f>
        <v>465000</v>
      </c>
    </row>
    <row r="20" spans="1:12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2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2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2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2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2" ht="9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2" ht="9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2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2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2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2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2" ht="9" customHeight="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2" ht="9" customHeight="1" x14ac:dyDescent="0.2">
      <c r="A32" s="25"/>
      <c r="B32" s="15"/>
      <c r="C32" s="16">
        <f t="shared" si="0"/>
        <v>0</v>
      </c>
      <c r="D32" s="17"/>
      <c r="E32" s="25"/>
      <c r="F32" s="15"/>
      <c r="G32" s="23">
        <f t="shared" si="1"/>
        <v>0</v>
      </c>
      <c r="I32" s="31"/>
    </row>
    <row r="33" spans="1:13" ht="9" customHeight="1" x14ac:dyDescent="0.2">
      <c r="A33" s="25"/>
      <c r="B33" s="15"/>
      <c r="C33" s="16">
        <f t="shared" si="0"/>
        <v>0</v>
      </c>
      <c r="D33" s="17"/>
      <c r="E33" s="25"/>
      <c r="F33" s="15"/>
      <c r="G33" s="23">
        <f t="shared" si="1"/>
        <v>0</v>
      </c>
      <c r="I33" s="31"/>
    </row>
    <row r="34" spans="1:13" ht="9" customHeight="1" x14ac:dyDescent="0.2">
      <c r="A34" s="25"/>
      <c r="B34" s="15"/>
      <c r="C34" s="16">
        <f t="shared" si="0"/>
        <v>0</v>
      </c>
      <c r="D34" s="17"/>
      <c r="E34" s="25"/>
      <c r="F34" s="15"/>
      <c r="G34" s="23">
        <f t="shared" si="1"/>
        <v>0</v>
      </c>
      <c r="I34" s="31"/>
    </row>
    <row r="35" spans="1:13" ht="9" customHeight="1" x14ac:dyDescent="0.2">
      <c r="A35" s="25"/>
      <c r="B35" s="15"/>
      <c r="C35" s="16"/>
      <c r="D35" s="17"/>
      <c r="E35" s="25"/>
      <c r="F35" s="15"/>
      <c r="G35" s="23">
        <f t="shared" si="1"/>
        <v>0</v>
      </c>
      <c r="I35" s="31"/>
    </row>
    <row r="36" spans="1:13" ht="9" customHeight="1" x14ac:dyDescent="0.2">
      <c r="A36" s="25"/>
      <c r="B36" s="15"/>
      <c r="C36" s="16"/>
      <c r="D36" s="17"/>
      <c r="E36" s="25"/>
      <c r="F36" s="15"/>
      <c r="G36" s="23">
        <f t="shared" si="1"/>
        <v>0</v>
      </c>
      <c r="I36" s="31"/>
    </row>
    <row r="37" spans="1:13" x14ac:dyDescent="0.2">
      <c r="A37" s="25"/>
      <c r="B37" s="15"/>
      <c r="C37" s="16">
        <f t="shared" si="0"/>
        <v>0</v>
      </c>
      <c r="D37" s="17"/>
      <c r="E37" s="25"/>
      <c r="F37" s="15"/>
      <c r="G37" s="23">
        <f t="shared" si="1"/>
        <v>0</v>
      </c>
      <c r="I37" s="31"/>
    </row>
    <row r="38" spans="1:13" x14ac:dyDescent="0.2">
      <c r="E38" s="32"/>
      <c r="G38" s="34"/>
    </row>
    <row r="39" spans="1:13" x14ac:dyDescent="0.2">
      <c r="A39" s="25">
        <f>SUM(A1:A38)</f>
        <v>77.5</v>
      </c>
      <c r="B39" s="15">
        <f>IF(A39=0, 0, C39/A39/10000)</f>
        <v>4.0294999999999996</v>
      </c>
      <c r="C39" s="16">
        <f>SUM(C1:C38)</f>
        <v>3122862.5</v>
      </c>
      <c r="E39" s="25">
        <f>SUM(E1:E38)</f>
        <v>31</v>
      </c>
      <c r="F39" s="15">
        <f>IF(E39=0, 0, G39/E39/10000)</f>
        <v>3.8975</v>
      </c>
      <c r="G39" s="23">
        <f>SUM(G1:G38)</f>
        <v>1208225</v>
      </c>
      <c r="I39" s="36">
        <f>MIN(A39,E39)*(B39-F39)*10000</f>
        <v>40919.999999999898</v>
      </c>
      <c r="J39" s="37"/>
      <c r="K39" s="37" t="s">
        <v>8</v>
      </c>
      <c r="L39" s="17"/>
      <c r="M39" s="17"/>
    </row>
    <row r="40" spans="1:13" x14ac:dyDescent="0.2">
      <c r="I40" s="36"/>
      <c r="J40" s="37"/>
      <c r="K40" s="37"/>
      <c r="L40" s="17"/>
      <c r="M40" s="17"/>
    </row>
    <row r="41" spans="1:13" x14ac:dyDescent="0.2">
      <c r="E41" s="38">
        <f>-A39+E39</f>
        <v>-46.5</v>
      </c>
      <c r="F41">
        <f>IF(E41&lt;0,B39,F39)</f>
        <v>4.0294999999999996</v>
      </c>
      <c r="G41" s="39">
        <f>IF(E41&lt;0, (F41-B44)*ABS(E41)*10000, -1*(F41-B44)*ABS(E41)*10000)</f>
        <v>5347.4999999999272</v>
      </c>
      <c r="I41" s="36">
        <f>G41</f>
        <v>5347.4999999999272</v>
      </c>
      <c r="J41" s="37"/>
      <c r="K41" s="37" t="s">
        <v>9</v>
      </c>
      <c r="L41" s="17"/>
      <c r="M41" s="17" t="s">
        <v>10</v>
      </c>
    </row>
    <row r="42" spans="1:13" x14ac:dyDescent="0.2">
      <c r="L42" s="17"/>
      <c r="M42" s="17"/>
    </row>
    <row r="43" spans="1:13" x14ac:dyDescent="0.2">
      <c r="E43" s="84">
        <f>-A39+E39</f>
        <v>-46.5</v>
      </c>
      <c r="F43">
        <f>IF(E43&lt;0, (B39+(I39/(ABS(E43)*10000))), IF(E43 = 0, 0, (F39-(I39/(ABS(E43)*10000)))))</f>
        <v>4.1174999999999997</v>
      </c>
      <c r="G43" s="39">
        <f>IF(E43&lt;0, (F43-B44)*ABS(E43)*10000, IF(E43 = 0, 0, -1*(F43-B44)*ABS(E43)*10000))</f>
        <v>46267.499999999956</v>
      </c>
      <c r="I43" s="40">
        <f>G43</f>
        <v>46267.499999999956</v>
      </c>
      <c r="J43" s="41"/>
      <c r="K43" s="41" t="s">
        <v>11</v>
      </c>
      <c r="L43" s="17"/>
      <c r="M43" s="17" t="s">
        <v>12</v>
      </c>
    </row>
    <row r="44" spans="1:13" x14ac:dyDescent="0.2">
      <c r="B44">
        <f>IF(ISBLANK(B45),'[1]Nymex Prices'!B10,B45)</f>
        <v>4.0179999999999998</v>
      </c>
      <c r="C44" s="42" t="s">
        <v>13</v>
      </c>
      <c r="L44" s="17"/>
      <c r="M44" s="17"/>
    </row>
    <row r="45" spans="1:13" x14ac:dyDescent="0.2">
      <c r="B45">
        <f>Summary!B6</f>
        <v>4.0179999999999998</v>
      </c>
      <c r="C45" s="42" t="s">
        <v>14</v>
      </c>
      <c r="I45" s="43">
        <f>I39+I41</f>
        <v>46267.499999999825</v>
      </c>
      <c r="J45" s="44"/>
      <c r="K45" s="44" t="s">
        <v>15</v>
      </c>
      <c r="L45" s="17"/>
      <c r="M45" s="17"/>
    </row>
    <row r="48" spans="1:13" x14ac:dyDescent="0.2">
      <c r="A48" s="45"/>
    </row>
    <row r="49" spans="1:3" x14ac:dyDescent="0.2">
      <c r="A49" s="45"/>
      <c r="C49" s="42"/>
    </row>
    <row r="50" spans="1:3" x14ac:dyDescent="0.2">
      <c r="A50" s="45"/>
    </row>
    <row r="51" spans="1:3" x14ac:dyDescent="0.2">
      <c r="A51" s="45"/>
    </row>
    <row r="52" spans="1:3" x14ac:dyDescent="0.2">
      <c r="A52" s="38"/>
    </row>
    <row r="53" spans="1:3" x14ac:dyDescent="0.2">
      <c r="A53" s="46"/>
    </row>
    <row r="54" spans="1:3" x14ac:dyDescent="0.2">
      <c r="A54" s="46"/>
    </row>
    <row r="55" spans="1:3" x14ac:dyDescent="0.2">
      <c r="A55" s="38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56"/>
  <sheetViews>
    <sheetView zoomScale="95" workbookViewId="0">
      <pane xSplit="2" ySplit="3" topLeftCell="S7" activePane="bottomRight" state="frozenSplit"/>
      <selection pane="topRight" activeCell="C1" sqref="C1"/>
      <selection pane="bottomLeft" activeCell="A14" sqref="A14"/>
      <selection pane="bottomRight" activeCell="AF15" sqref="AF15"/>
    </sheetView>
  </sheetViews>
  <sheetFormatPr defaultRowHeight="12.75" x14ac:dyDescent="0.2"/>
  <cols>
    <col min="1" max="1" width="13.5703125" customWidth="1"/>
    <col min="2" max="2" width="0" hidden="1" customWidth="1"/>
    <col min="5" max="5" width="6" customWidth="1"/>
    <col min="7" max="7" width="6" customWidth="1"/>
    <col min="9" max="9" width="6" customWidth="1"/>
    <col min="11" max="11" width="6" customWidth="1"/>
    <col min="13" max="13" width="6" customWidth="1"/>
    <col min="15" max="15" width="6.28515625" customWidth="1"/>
    <col min="17" max="17" width="6" customWidth="1"/>
    <col min="19" max="19" width="6" customWidth="1"/>
    <col min="21" max="21" width="6" customWidth="1"/>
    <col min="23" max="23" width="6" customWidth="1"/>
    <col min="25" max="25" width="6" customWidth="1"/>
    <col min="27" max="27" width="6" customWidth="1"/>
    <col min="29" max="29" width="6" customWidth="1"/>
    <col min="31" max="31" width="6" customWidth="1"/>
    <col min="33" max="33" width="6" customWidth="1"/>
    <col min="35" max="35" width="6" customWidth="1"/>
    <col min="36" max="36" width="10" bestFit="1" customWidth="1"/>
    <col min="37" max="37" width="6" customWidth="1"/>
    <col min="39" max="39" width="6" customWidth="1"/>
    <col min="41" max="41" width="6" customWidth="1"/>
    <col min="43" max="43" width="6" customWidth="1"/>
    <col min="45" max="45" width="6" customWidth="1"/>
    <col min="47" max="47" width="6" customWidth="1"/>
  </cols>
  <sheetData>
    <row r="1" spans="1:47" x14ac:dyDescent="0.2">
      <c r="A1" s="52">
        <v>36770</v>
      </c>
      <c r="B1" s="53"/>
      <c r="C1" s="54" t="s">
        <v>16</v>
      </c>
      <c r="D1" s="54" t="s">
        <v>25</v>
      </c>
      <c r="E1" s="55"/>
      <c r="F1" s="54" t="s">
        <v>26</v>
      </c>
      <c r="G1" s="55"/>
      <c r="H1" s="54" t="s">
        <v>87</v>
      </c>
      <c r="I1" s="55"/>
      <c r="J1" s="54" t="s">
        <v>27</v>
      </c>
      <c r="K1" s="55"/>
      <c r="L1" s="54" t="s">
        <v>28</v>
      </c>
      <c r="M1" s="55"/>
      <c r="N1" s="56" t="s">
        <v>29</v>
      </c>
      <c r="O1" s="55"/>
      <c r="P1" s="54" t="s">
        <v>30</v>
      </c>
      <c r="Q1" s="55"/>
      <c r="R1" s="54" t="s">
        <v>31</v>
      </c>
      <c r="S1" s="55"/>
      <c r="T1" s="54" t="s">
        <v>32</v>
      </c>
      <c r="U1" s="55"/>
      <c r="V1" s="54" t="s">
        <v>112</v>
      </c>
      <c r="W1" s="55"/>
      <c r="X1" s="54" t="s">
        <v>113</v>
      </c>
      <c r="Y1" s="55"/>
      <c r="Z1" s="54" t="s">
        <v>33</v>
      </c>
      <c r="AA1" s="55"/>
      <c r="AB1" s="54">
        <v>500</v>
      </c>
      <c r="AC1" s="55"/>
      <c r="AD1" s="54">
        <v>800</v>
      </c>
      <c r="AE1" s="55"/>
      <c r="AF1" s="57" t="s">
        <v>34</v>
      </c>
      <c r="AG1" s="55"/>
      <c r="AH1" s="54" t="s">
        <v>35</v>
      </c>
      <c r="AI1" s="55"/>
      <c r="AJ1" s="54" t="s">
        <v>36</v>
      </c>
      <c r="AK1" s="55"/>
      <c r="AL1" s="54" t="s">
        <v>37</v>
      </c>
      <c r="AM1" s="55"/>
      <c r="AN1" s="54" t="s">
        <v>94</v>
      </c>
      <c r="AO1" s="55"/>
      <c r="AP1" s="54" t="s">
        <v>95</v>
      </c>
      <c r="AQ1" s="55"/>
      <c r="AR1" s="54" t="s">
        <v>96</v>
      </c>
      <c r="AS1" s="55"/>
      <c r="AT1" s="54" t="s">
        <v>97</v>
      </c>
      <c r="AU1" s="55"/>
    </row>
    <row r="2" spans="1:47" s="75" customFormat="1" x14ac:dyDescent="0.2">
      <c r="A2" s="74"/>
      <c r="C2" s="76"/>
      <c r="D2" s="76" t="s">
        <v>38</v>
      </c>
      <c r="E2" s="77"/>
      <c r="F2" s="76" t="s">
        <v>38</v>
      </c>
      <c r="G2" s="77"/>
      <c r="H2" s="76" t="s">
        <v>88</v>
      </c>
      <c r="I2" s="77"/>
      <c r="J2" s="76" t="s">
        <v>39</v>
      </c>
      <c r="K2" s="77"/>
      <c r="L2" s="76" t="s">
        <v>38</v>
      </c>
      <c r="M2" s="77"/>
      <c r="N2" s="76" t="s">
        <v>38</v>
      </c>
      <c r="O2" s="77"/>
      <c r="P2" s="76" t="s">
        <v>40</v>
      </c>
      <c r="Q2" s="77"/>
      <c r="R2" s="78"/>
      <c r="S2" s="77"/>
      <c r="T2" s="76"/>
      <c r="U2" s="77"/>
      <c r="V2" s="76"/>
      <c r="W2" s="77"/>
      <c r="X2" s="76"/>
      <c r="Y2" s="77"/>
      <c r="Z2" s="76"/>
      <c r="AA2" s="77"/>
      <c r="AB2" s="76"/>
      <c r="AC2" s="77"/>
      <c r="AD2" s="76"/>
      <c r="AE2" s="77"/>
      <c r="AF2" s="76"/>
      <c r="AG2" s="77"/>
      <c r="AH2" s="76"/>
      <c r="AI2" s="77"/>
      <c r="AJ2" s="76"/>
      <c r="AK2" s="77"/>
      <c r="AL2" s="76"/>
      <c r="AM2" s="77"/>
      <c r="AN2" s="76"/>
      <c r="AO2" s="77"/>
      <c r="AP2" s="76"/>
      <c r="AQ2" s="77"/>
      <c r="AR2" s="76"/>
      <c r="AS2" s="77"/>
      <c r="AT2" s="76"/>
      <c r="AU2" s="77"/>
    </row>
    <row r="3" spans="1:47" s="75" customFormat="1" x14ac:dyDescent="0.2">
      <c r="A3" s="74" t="s">
        <v>41</v>
      </c>
      <c r="B3" s="75" t="s">
        <v>42</v>
      </c>
      <c r="C3" s="76">
        <v>3.74</v>
      </c>
      <c r="D3" s="76"/>
      <c r="E3" s="77">
        <f t="shared" ref="E3:E34" si="0">IF(D3-$C3&lt;&gt;0,D3-$C3,"")</f>
        <v>-3.74</v>
      </c>
      <c r="F3" s="76"/>
      <c r="G3" s="77">
        <f t="shared" ref="G3:G34" si="1">IF(F3-$C3&lt;&gt;0,F3-$C3,"")</f>
        <v>-3.74</v>
      </c>
      <c r="H3" s="76"/>
      <c r="I3" s="77">
        <f t="shared" ref="I3:I34" si="2">IF(H3-$C3&lt;&gt;0,H3-$C3,"")</f>
        <v>-3.74</v>
      </c>
      <c r="J3" s="76"/>
      <c r="K3" s="77">
        <f t="shared" ref="K3:K34" si="3">IF(J3-$C3&lt;&gt;0,J3-$C3,"")</f>
        <v>-3.74</v>
      </c>
      <c r="L3" s="76"/>
      <c r="M3" s="77">
        <f t="shared" ref="M3:M34" si="4">IF(L3-$C3&lt;&gt;0,L3-$C3,"")</f>
        <v>-3.74</v>
      </c>
      <c r="N3" s="76"/>
      <c r="O3" s="77">
        <f t="shared" ref="O3:O34" si="5">IF(N3-$C3&lt;&gt;0,N3-$C3,"")</f>
        <v>-3.74</v>
      </c>
      <c r="P3" s="76"/>
      <c r="Q3" s="77">
        <f t="shared" ref="Q3:Q34" si="6">IF(P3-$C3&lt;&gt;0,P3-$C3,"")</f>
        <v>-3.74</v>
      </c>
      <c r="R3" s="121">
        <f>C3+0</f>
        <v>3.74</v>
      </c>
      <c r="S3" s="77" t="str">
        <f t="shared" ref="S3:S34" si="7">IF(R3-$C3&lt;&gt;0,R3-$C3,"")</f>
        <v/>
      </c>
      <c r="T3" s="76"/>
      <c r="U3" s="77">
        <f t="shared" ref="U3:U34" si="8">IF(T3-$C3&lt;&gt;0,T3-$C3,"")</f>
        <v>-3.74</v>
      </c>
      <c r="V3" s="76">
        <f>C3+0.03</f>
        <v>3.77</v>
      </c>
      <c r="W3" s="77">
        <f t="shared" ref="W3:W34" si="9">IF(V3-$C3&lt;&gt;0,V3-$C3,"")</f>
        <v>2.9999999999999805E-2</v>
      </c>
      <c r="X3" s="76"/>
      <c r="Y3" s="77">
        <f t="shared" ref="Y3:Y34" si="10">IF(X3-$C3&lt;&gt;0,X3-$C3,"")</f>
        <v>-3.74</v>
      </c>
      <c r="Z3" s="76"/>
      <c r="AA3" s="77">
        <f t="shared" ref="AA3:AA34" si="11">IF(Z3-$C3&lt;&gt;0,Z3-$C3,"")</f>
        <v>-3.74</v>
      </c>
      <c r="AB3" s="76"/>
      <c r="AC3" s="77">
        <f t="shared" ref="AC3:AC34" si="12">IF(AB3-$C3&lt;&gt;0,AB3-$C3,"")</f>
        <v>-3.74</v>
      </c>
      <c r="AD3" s="76"/>
      <c r="AE3" s="77">
        <f t="shared" ref="AE3:AE34" si="13">IF(AD3-$C3&lt;&gt;0,AD3-$C3,"")</f>
        <v>-3.74</v>
      </c>
      <c r="AF3" s="76">
        <f>C3+0.03</f>
        <v>3.77</v>
      </c>
      <c r="AG3" s="77">
        <f t="shared" ref="AG3:AG34" si="14">IF(AF3-$C3&lt;&gt;0,AF3-$C3,"")</f>
        <v>2.9999999999999805E-2</v>
      </c>
      <c r="AH3" s="76"/>
      <c r="AI3" s="77">
        <f t="shared" ref="AI3:AI34" si="15">IF(AH3-$C3&lt;&gt;0,AH3-$C3,"")</f>
        <v>-3.74</v>
      </c>
      <c r="AJ3" s="76"/>
      <c r="AK3" s="77">
        <f t="shared" ref="AK3:AK34" si="16">IF(AJ3-$C3&lt;&gt;0,AJ3-$C3,"")</f>
        <v>-3.74</v>
      </c>
      <c r="AL3" s="76"/>
      <c r="AM3" s="77">
        <f t="shared" ref="AM3:AO34" si="17">IF(AL3-$C3&lt;&gt;0,AL3-$C3,"")</f>
        <v>-3.74</v>
      </c>
      <c r="AN3" s="76"/>
      <c r="AO3" s="77">
        <f t="shared" si="17"/>
        <v>-3.74</v>
      </c>
      <c r="AP3" s="76"/>
      <c r="AQ3" s="77">
        <f t="shared" ref="AQ3:AQ34" si="18">IF(AP3-$C3&lt;&gt;0,AP3-$C3,"")</f>
        <v>-3.74</v>
      </c>
      <c r="AR3" s="76"/>
      <c r="AS3" s="77">
        <f t="shared" ref="AS3:AU34" si="19">IF(AR3-$C3&lt;&gt;0,AR3-$C3,"")</f>
        <v>-3.74</v>
      </c>
      <c r="AT3" s="76"/>
      <c r="AU3" s="77">
        <f t="shared" si="19"/>
        <v>-3.74</v>
      </c>
    </row>
    <row r="4" spans="1:47" s="118" customFormat="1" x14ac:dyDescent="0.2">
      <c r="A4" s="117" t="s">
        <v>43</v>
      </c>
      <c r="C4" s="119">
        <v>3.73</v>
      </c>
      <c r="D4" s="119"/>
      <c r="E4" s="120">
        <f t="shared" si="0"/>
        <v>-3.73</v>
      </c>
      <c r="F4" s="119"/>
      <c r="G4" s="120">
        <f t="shared" si="1"/>
        <v>-3.73</v>
      </c>
      <c r="H4" s="119"/>
      <c r="I4" s="120">
        <f t="shared" si="2"/>
        <v>-3.73</v>
      </c>
      <c r="J4" s="119"/>
      <c r="K4" s="120">
        <f t="shared" si="3"/>
        <v>-3.73</v>
      </c>
      <c r="L4" s="119"/>
      <c r="M4" s="120">
        <f t="shared" si="4"/>
        <v>-3.73</v>
      </c>
      <c r="N4" s="119"/>
      <c r="O4" s="120">
        <f t="shared" si="5"/>
        <v>-3.73</v>
      </c>
      <c r="P4" s="119"/>
      <c r="Q4" s="120">
        <f t="shared" si="6"/>
        <v>-3.73</v>
      </c>
      <c r="R4" s="122">
        <v>3.83</v>
      </c>
      <c r="S4" s="120">
        <f t="shared" si="7"/>
        <v>0.10000000000000009</v>
      </c>
      <c r="T4" s="119"/>
      <c r="U4" s="120">
        <f t="shared" si="8"/>
        <v>-3.73</v>
      </c>
      <c r="V4" s="119">
        <v>3.63</v>
      </c>
      <c r="W4" s="120">
        <f t="shared" si="9"/>
        <v>-0.10000000000000009</v>
      </c>
      <c r="X4" s="119"/>
      <c r="Y4" s="120">
        <f t="shared" si="10"/>
        <v>-3.73</v>
      </c>
      <c r="Z4" s="119"/>
      <c r="AA4" s="120">
        <f t="shared" si="11"/>
        <v>-3.73</v>
      </c>
      <c r="AB4" s="119"/>
      <c r="AC4" s="120">
        <f t="shared" si="12"/>
        <v>-3.73</v>
      </c>
      <c r="AD4" s="119"/>
      <c r="AE4" s="120">
        <f t="shared" si="13"/>
        <v>-3.73</v>
      </c>
      <c r="AF4" s="76">
        <v>3.83</v>
      </c>
      <c r="AG4" s="120">
        <f t="shared" si="14"/>
        <v>0.10000000000000009</v>
      </c>
      <c r="AH4" s="119"/>
      <c r="AI4" s="120">
        <f t="shared" si="15"/>
        <v>-3.73</v>
      </c>
      <c r="AJ4" s="119"/>
      <c r="AK4" s="120">
        <f t="shared" si="16"/>
        <v>-3.73</v>
      </c>
      <c r="AL4" s="119"/>
      <c r="AM4" s="120">
        <f t="shared" si="17"/>
        <v>-3.73</v>
      </c>
      <c r="AN4" s="119"/>
      <c r="AO4" s="120">
        <f t="shared" si="17"/>
        <v>-3.73</v>
      </c>
      <c r="AP4" s="119"/>
      <c r="AQ4" s="120">
        <f t="shared" si="18"/>
        <v>-3.73</v>
      </c>
      <c r="AR4" s="119"/>
      <c r="AS4" s="120">
        <f t="shared" si="19"/>
        <v>-3.73</v>
      </c>
      <c r="AT4" s="119"/>
      <c r="AU4" s="120">
        <f t="shared" si="19"/>
        <v>-3.73</v>
      </c>
    </row>
    <row r="5" spans="1:47" s="118" customFormat="1" x14ac:dyDescent="0.2">
      <c r="A5" s="117">
        <v>2</v>
      </c>
      <c r="B5" s="118" t="s">
        <v>45</v>
      </c>
      <c r="C5" s="119">
        <v>3.7050000000000001</v>
      </c>
      <c r="D5" s="119">
        <v>3.55</v>
      </c>
      <c r="E5" s="120">
        <f t="shared" si="0"/>
        <v>-0.15500000000000025</v>
      </c>
      <c r="F5" s="119">
        <v>3.65</v>
      </c>
      <c r="G5" s="120">
        <f t="shared" si="1"/>
        <v>-5.500000000000016E-2</v>
      </c>
      <c r="H5" s="119">
        <v>3.64</v>
      </c>
      <c r="I5" s="120">
        <f t="shared" si="2"/>
        <v>-6.4999999999999947E-2</v>
      </c>
      <c r="J5" s="119">
        <v>3.625</v>
      </c>
      <c r="K5" s="120">
        <f t="shared" si="3"/>
        <v>-8.0000000000000071E-2</v>
      </c>
      <c r="L5" s="119">
        <v>3.59</v>
      </c>
      <c r="M5" s="120">
        <f t="shared" si="4"/>
        <v>-0.11500000000000021</v>
      </c>
      <c r="N5" s="119">
        <v>3.5649999999999999</v>
      </c>
      <c r="O5" s="120">
        <f t="shared" si="5"/>
        <v>-0.14000000000000012</v>
      </c>
      <c r="P5" s="119">
        <v>3.585</v>
      </c>
      <c r="Q5" s="120">
        <f t="shared" si="6"/>
        <v>-0.12000000000000011</v>
      </c>
      <c r="R5" s="122">
        <v>3.7250000000000001</v>
      </c>
      <c r="S5" s="120">
        <f t="shared" si="7"/>
        <v>2.0000000000000018E-2</v>
      </c>
      <c r="T5" s="119">
        <v>3.6549999999999998</v>
      </c>
      <c r="U5" s="120">
        <f t="shared" si="8"/>
        <v>-5.0000000000000266E-2</v>
      </c>
      <c r="V5" s="119">
        <v>3.55</v>
      </c>
      <c r="W5" s="120">
        <f t="shared" si="9"/>
        <v>-0.15500000000000025</v>
      </c>
      <c r="X5" s="119">
        <v>3.51</v>
      </c>
      <c r="Y5" s="120">
        <f t="shared" si="10"/>
        <v>-0.19500000000000028</v>
      </c>
      <c r="Z5" s="119">
        <v>3.66</v>
      </c>
      <c r="AA5" s="120">
        <f t="shared" si="11"/>
        <v>-4.4999999999999929E-2</v>
      </c>
      <c r="AB5" s="119">
        <v>3.63</v>
      </c>
      <c r="AC5" s="120">
        <f t="shared" si="12"/>
        <v>-7.5000000000000178E-2</v>
      </c>
      <c r="AD5" s="119">
        <v>3.61</v>
      </c>
      <c r="AE5" s="120">
        <f t="shared" si="13"/>
        <v>-9.5000000000000195E-2</v>
      </c>
      <c r="AF5" s="119">
        <v>3.77</v>
      </c>
      <c r="AG5" s="120">
        <f t="shared" si="14"/>
        <v>6.4999999999999947E-2</v>
      </c>
      <c r="AH5" s="119">
        <v>3.75</v>
      </c>
      <c r="AI5" s="120">
        <f t="shared" si="15"/>
        <v>4.4999999999999929E-2</v>
      </c>
      <c r="AJ5" s="119">
        <v>3.89</v>
      </c>
      <c r="AK5" s="120">
        <f t="shared" si="16"/>
        <v>0.18500000000000005</v>
      </c>
      <c r="AL5" s="119">
        <v>3.93</v>
      </c>
      <c r="AM5" s="120">
        <f t="shared" si="17"/>
        <v>0.22500000000000009</v>
      </c>
      <c r="AN5" s="119">
        <v>3.875</v>
      </c>
      <c r="AO5" s="120">
        <f t="shared" si="17"/>
        <v>0.16999999999999993</v>
      </c>
      <c r="AP5" s="119">
        <v>3.93</v>
      </c>
      <c r="AQ5" s="120">
        <f t="shared" si="18"/>
        <v>0.22500000000000009</v>
      </c>
      <c r="AR5" s="119">
        <v>3.94</v>
      </c>
      <c r="AS5" s="120">
        <f t="shared" si="19"/>
        <v>0.23499999999999988</v>
      </c>
      <c r="AT5" s="119">
        <v>3.7050000000000001</v>
      </c>
      <c r="AU5" s="120" t="str">
        <f t="shared" si="19"/>
        <v/>
      </c>
    </row>
    <row r="6" spans="1:47" s="118" customFormat="1" x14ac:dyDescent="0.2">
      <c r="A6" s="117">
        <v>3</v>
      </c>
      <c r="B6" s="118" t="s">
        <v>45</v>
      </c>
      <c r="C6" s="119">
        <v>3.7050000000000001</v>
      </c>
      <c r="D6" s="119">
        <v>3.55</v>
      </c>
      <c r="E6" s="120">
        <f t="shared" si="0"/>
        <v>-0.15500000000000025</v>
      </c>
      <c r="F6" s="119">
        <v>3.65</v>
      </c>
      <c r="G6" s="120">
        <f t="shared" si="1"/>
        <v>-5.500000000000016E-2</v>
      </c>
      <c r="H6" s="119">
        <v>3.64</v>
      </c>
      <c r="I6" s="120">
        <f t="shared" si="2"/>
        <v>-6.4999999999999947E-2</v>
      </c>
      <c r="J6" s="119">
        <v>3.625</v>
      </c>
      <c r="K6" s="120">
        <f t="shared" si="3"/>
        <v>-8.0000000000000071E-2</v>
      </c>
      <c r="L6" s="119">
        <v>3.59</v>
      </c>
      <c r="M6" s="120">
        <f t="shared" si="4"/>
        <v>-0.11500000000000021</v>
      </c>
      <c r="N6" s="119">
        <v>3.5649999999999999</v>
      </c>
      <c r="O6" s="120">
        <f t="shared" si="5"/>
        <v>-0.14000000000000012</v>
      </c>
      <c r="P6" s="119">
        <v>3.585</v>
      </c>
      <c r="Q6" s="120">
        <f t="shared" si="6"/>
        <v>-0.12000000000000011</v>
      </c>
      <c r="R6" s="122">
        <v>3.7250000000000001</v>
      </c>
      <c r="S6" s="120">
        <f t="shared" si="7"/>
        <v>2.0000000000000018E-2</v>
      </c>
      <c r="T6" s="119">
        <v>3.6549999999999998</v>
      </c>
      <c r="U6" s="120">
        <f t="shared" si="8"/>
        <v>-5.0000000000000266E-2</v>
      </c>
      <c r="V6" s="119">
        <v>3.55</v>
      </c>
      <c r="W6" s="120">
        <f t="shared" si="9"/>
        <v>-0.15500000000000025</v>
      </c>
      <c r="X6" s="119">
        <v>3.51</v>
      </c>
      <c r="Y6" s="120">
        <f t="shared" si="10"/>
        <v>-0.19500000000000028</v>
      </c>
      <c r="Z6" s="119">
        <v>3.66</v>
      </c>
      <c r="AA6" s="120">
        <f t="shared" si="11"/>
        <v>-4.4999999999999929E-2</v>
      </c>
      <c r="AB6" s="119">
        <v>3.63</v>
      </c>
      <c r="AC6" s="120">
        <f t="shared" si="12"/>
        <v>-7.5000000000000178E-2</v>
      </c>
      <c r="AD6" s="119">
        <v>3.61</v>
      </c>
      <c r="AE6" s="120">
        <f t="shared" si="13"/>
        <v>-9.5000000000000195E-2</v>
      </c>
      <c r="AF6" s="119">
        <v>3.77</v>
      </c>
      <c r="AG6" s="120">
        <f t="shared" si="14"/>
        <v>6.4999999999999947E-2</v>
      </c>
      <c r="AH6" s="119">
        <v>3.75</v>
      </c>
      <c r="AI6" s="120">
        <f t="shared" si="15"/>
        <v>4.4999999999999929E-2</v>
      </c>
      <c r="AJ6" s="119">
        <v>3.89</v>
      </c>
      <c r="AK6" s="120">
        <f t="shared" si="16"/>
        <v>0.18500000000000005</v>
      </c>
      <c r="AL6" s="119">
        <v>3.93</v>
      </c>
      <c r="AM6" s="120">
        <f t="shared" si="17"/>
        <v>0.22500000000000009</v>
      </c>
      <c r="AN6" s="119">
        <v>3.875</v>
      </c>
      <c r="AO6" s="120">
        <f t="shared" si="17"/>
        <v>0.16999999999999993</v>
      </c>
      <c r="AP6" s="119">
        <v>3.93</v>
      </c>
      <c r="AQ6" s="120">
        <f t="shared" si="18"/>
        <v>0.22500000000000009</v>
      </c>
      <c r="AR6" s="119">
        <v>3.94</v>
      </c>
      <c r="AS6" s="120">
        <f t="shared" si="19"/>
        <v>0.23499999999999988</v>
      </c>
      <c r="AT6" s="119">
        <v>3.7050000000000001</v>
      </c>
      <c r="AU6" s="120" t="str">
        <f t="shared" si="19"/>
        <v/>
      </c>
    </row>
    <row r="7" spans="1:47" s="118" customFormat="1" x14ac:dyDescent="0.2">
      <c r="A7" s="117">
        <v>4</v>
      </c>
      <c r="B7" s="118" t="s">
        <v>45</v>
      </c>
      <c r="C7" s="119">
        <v>3.7050000000000001</v>
      </c>
      <c r="D7" s="119">
        <v>3.55</v>
      </c>
      <c r="E7" s="120">
        <f t="shared" si="0"/>
        <v>-0.15500000000000025</v>
      </c>
      <c r="F7" s="119">
        <v>3.65</v>
      </c>
      <c r="G7" s="120">
        <f t="shared" si="1"/>
        <v>-5.500000000000016E-2</v>
      </c>
      <c r="H7" s="119">
        <v>3.64</v>
      </c>
      <c r="I7" s="120">
        <f t="shared" si="2"/>
        <v>-6.4999999999999947E-2</v>
      </c>
      <c r="J7" s="119">
        <v>3.625</v>
      </c>
      <c r="K7" s="120">
        <f t="shared" si="3"/>
        <v>-8.0000000000000071E-2</v>
      </c>
      <c r="L7" s="119">
        <v>3.59</v>
      </c>
      <c r="M7" s="120">
        <f t="shared" si="4"/>
        <v>-0.11500000000000021</v>
      </c>
      <c r="N7" s="119">
        <v>3.5649999999999999</v>
      </c>
      <c r="O7" s="120">
        <f t="shared" si="5"/>
        <v>-0.14000000000000012</v>
      </c>
      <c r="P7" s="119">
        <v>3.585</v>
      </c>
      <c r="Q7" s="120">
        <f t="shared" si="6"/>
        <v>-0.12000000000000011</v>
      </c>
      <c r="R7" s="122">
        <v>3.7250000000000001</v>
      </c>
      <c r="S7" s="120">
        <f t="shared" si="7"/>
        <v>2.0000000000000018E-2</v>
      </c>
      <c r="T7" s="119">
        <v>3.6549999999999998</v>
      </c>
      <c r="U7" s="120">
        <f t="shared" si="8"/>
        <v>-5.0000000000000266E-2</v>
      </c>
      <c r="V7" s="119">
        <v>3.55</v>
      </c>
      <c r="W7" s="120">
        <f t="shared" si="9"/>
        <v>-0.15500000000000025</v>
      </c>
      <c r="X7" s="119">
        <v>3.51</v>
      </c>
      <c r="Y7" s="120">
        <f t="shared" si="10"/>
        <v>-0.19500000000000028</v>
      </c>
      <c r="Z7" s="119">
        <v>3.66</v>
      </c>
      <c r="AA7" s="120">
        <f t="shared" si="11"/>
        <v>-4.4999999999999929E-2</v>
      </c>
      <c r="AB7" s="119">
        <v>3.63</v>
      </c>
      <c r="AC7" s="120">
        <f t="shared" si="12"/>
        <v>-7.5000000000000178E-2</v>
      </c>
      <c r="AD7" s="119">
        <v>3.61</v>
      </c>
      <c r="AE7" s="120">
        <f t="shared" si="13"/>
        <v>-9.5000000000000195E-2</v>
      </c>
      <c r="AF7" s="119">
        <v>3.77</v>
      </c>
      <c r="AG7" s="120">
        <f t="shared" si="14"/>
        <v>6.4999999999999947E-2</v>
      </c>
      <c r="AH7" s="119">
        <v>3.75</v>
      </c>
      <c r="AI7" s="120">
        <f t="shared" si="15"/>
        <v>4.4999999999999929E-2</v>
      </c>
      <c r="AJ7" s="119">
        <v>3.89</v>
      </c>
      <c r="AK7" s="120">
        <f t="shared" si="16"/>
        <v>0.18500000000000005</v>
      </c>
      <c r="AL7" s="119">
        <v>3.93</v>
      </c>
      <c r="AM7" s="120">
        <f t="shared" si="17"/>
        <v>0.22500000000000009</v>
      </c>
      <c r="AN7" s="119">
        <v>3.875</v>
      </c>
      <c r="AO7" s="120">
        <f t="shared" si="17"/>
        <v>0.16999999999999993</v>
      </c>
      <c r="AP7" s="119">
        <v>3.93</v>
      </c>
      <c r="AQ7" s="120">
        <f t="shared" si="18"/>
        <v>0.22500000000000009</v>
      </c>
      <c r="AR7" s="119">
        <v>3.94</v>
      </c>
      <c r="AS7" s="120">
        <f t="shared" si="19"/>
        <v>0.23499999999999988</v>
      </c>
      <c r="AT7" s="119">
        <v>3.75</v>
      </c>
      <c r="AU7" s="120">
        <f t="shared" si="19"/>
        <v>4.4999999999999929E-2</v>
      </c>
    </row>
    <row r="8" spans="1:47" s="118" customFormat="1" x14ac:dyDescent="0.2">
      <c r="A8" s="117">
        <v>5</v>
      </c>
      <c r="B8" s="118" t="s">
        <v>45</v>
      </c>
      <c r="C8" s="119">
        <v>3.9449999999999998</v>
      </c>
      <c r="D8" s="119">
        <v>3.8250000000000002</v>
      </c>
      <c r="E8" s="120">
        <f t="shared" si="0"/>
        <v>-0.11999999999999966</v>
      </c>
      <c r="F8" s="119">
        <v>3.91</v>
      </c>
      <c r="G8" s="120">
        <f t="shared" si="1"/>
        <v>-3.4999999999999698E-2</v>
      </c>
      <c r="H8" s="119">
        <v>3.89</v>
      </c>
      <c r="I8" s="120">
        <f t="shared" si="2"/>
        <v>-5.4999999999999716E-2</v>
      </c>
      <c r="J8" s="119">
        <v>3.89</v>
      </c>
      <c r="K8" s="120">
        <f t="shared" si="3"/>
        <v>-5.4999999999999716E-2</v>
      </c>
      <c r="L8" s="119">
        <v>3.855</v>
      </c>
      <c r="M8" s="120">
        <f t="shared" si="4"/>
        <v>-8.9999999999999858E-2</v>
      </c>
      <c r="N8" s="119">
        <v>3.82</v>
      </c>
      <c r="O8" s="120">
        <f t="shared" si="5"/>
        <v>-0.125</v>
      </c>
      <c r="P8" s="119">
        <v>3.83</v>
      </c>
      <c r="Q8" s="120">
        <f t="shared" si="6"/>
        <v>-0.11499999999999977</v>
      </c>
      <c r="R8" s="122">
        <v>3.9649999999999999</v>
      </c>
      <c r="S8" s="120">
        <f t="shared" si="7"/>
        <v>2.0000000000000018E-2</v>
      </c>
      <c r="T8" s="119">
        <v>3.9</v>
      </c>
      <c r="U8" s="120">
        <f t="shared" si="8"/>
        <v>-4.4999999999999929E-2</v>
      </c>
      <c r="V8" s="119">
        <v>3.88</v>
      </c>
      <c r="W8" s="120">
        <f t="shared" si="9"/>
        <v>-6.4999999999999947E-2</v>
      </c>
      <c r="X8" s="119">
        <v>4.0049999999999999</v>
      </c>
      <c r="Y8" s="120">
        <f t="shared" si="10"/>
        <v>6.0000000000000053E-2</v>
      </c>
      <c r="Z8" s="119">
        <v>3.9</v>
      </c>
      <c r="AA8" s="120">
        <f t="shared" si="11"/>
        <v>-4.4999999999999929E-2</v>
      </c>
      <c r="AB8" s="119">
        <v>3.835</v>
      </c>
      <c r="AC8" s="120">
        <f t="shared" si="12"/>
        <v>-0.10999999999999988</v>
      </c>
      <c r="AD8" s="119">
        <v>3.83</v>
      </c>
      <c r="AE8" s="120">
        <f t="shared" si="13"/>
        <v>-0.11499999999999977</v>
      </c>
      <c r="AF8" s="119">
        <v>3.9950000000000001</v>
      </c>
      <c r="AG8" s="120">
        <f t="shared" si="14"/>
        <v>5.0000000000000266E-2</v>
      </c>
      <c r="AH8" s="119">
        <v>4</v>
      </c>
      <c r="AI8" s="120">
        <f t="shared" si="15"/>
        <v>5.500000000000016E-2</v>
      </c>
      <c r="AJ8" s="119">
        <v>4.0949999999999998</v>
      </c>
      <c r="AK8" s="120">
        <f t="shared" si="16"/>
        <v>0.14999999999999991</v>
      </c>
      <c r="AL8" s="119">
        <v>4.1399999999999997</v>
      </c>
      <c r="AM8" s="120">
        <f t="shared" si="17"/>
        <v>0.19499999999999984</v>
      </c>
      <c r="AN8" s="119">
        <v>4.0949999999999998</v>
      </c>
      <c r="AO8" s="120">
        <f t="shared" si="17"/>
        <v>0.14999999999999991</v>
      </c>
      <c r="AP8" s="119">
        <v>4.1550000000000002</v>
      </c>
      <c r="AQ8" s="120">
        <f t="shared" si="18"/>
        <v>0.21000000000000041</v>
      </c>
      <c r="AR8" s="119">
        <v>4.16</v>
      </c>
      <c r="AS8" s="120">
        <f t="shared" si="19"/>
        <v>0.2150000000000003</v>
      </c>
      <c r="AT8" s="119">
        <v>3.9550000000000001</v>
      </c>
      <c r="AU8" s="120">
        <f t="shared" si="19"/>
        <v>1.0000000000000231E-2</v>
      </c>
    </row>
    <row r="9" spans="1:47" s="118" customFormat="1" x14ac:dyDescent="0.2">
      <c r="A9" s="117">
        <v>6</v>
      </c>
      <c r="B9" s="118" t="s">
        <v>45</v>
      </c>
      <c r="C9" s="119">
        <v>3.9849999999999999</v>
      </c>
      <c r="D9" s="119">
        <v>3.89</v>
      </c>
      <c r="E9" s="120">
        <f t="shared" si="0"/>
        <v>-9.4999999999999751E-2</v>
      </c>
      <c r="F9" s="119">
        <v>3.97</v>
      </c>
      <c r="G9" s="120">
        <f t="shared" si="1"/>
        <v>-1.499999999999968E-2</v>
      </c>
      <c r="H9" s="119">
        <v>3.91</v>
      </c>
      <c r="I9" s="120">
        <f t="shared" si="2"/>
        <v>-7.4999999999999734E-2</v>
      </c>
      <c r="J9" s="119">
        <v>3.97</v>
      </c>
      <c r="K9" s="120">
        <f t="shared" si="3"/>
        <v>-1.499999999999968E-2</v>
      </c>
      <c r="L9" s="119">
        <v>3.9350000000000001</v>
      </c>
      <c r="M9" s="120">
        <f t="shared" si="4"/>
        <v>-4.9999999999999822E-2</v>
      </c>
      <c r="N9" s="119">
        <v>3.8650000000000002</v>
      </c>
      <c r="O9" s="120">
        <f t="shared" si="5"/>
        <v>-0.11999999999999966</v>
      </c>
      <c r="P9" s="119">
        <v>3.9</v>
      </c>
      <c r="Q9" s="120">
        <f t="shared" si="6"/>
        <v>-8.4999999999999964E-2</v>
      </c>
      <c r="R9" s="122">
        <v>4.0350000000000001</v>
      </c>
      <c r="S9" s="120">
        <f t="shared" si="7"/>
        <v>5.0000000000000266E-2</v>
      </c>
      <c r="T9" s="119">
        <v>3.92</v>
      </c>
      <c r="U9" s="120">
        <f t="shared" si="8"/>
        <v>-6.4999999999999947E-2</v>
      </c>
      <c r="V9" s="119">
        <v>3.99</v>
      </c>
      <c r="W9" s="120">
        <f t="shared" si="9"/>
        <v>5.0000000000003375E-3</v>
      </c>
      <c r="X9" s="119">
        <v>4.0250000000000004</v>
      </c>
      <c r="Y9" s="120">
        <f t="shared" si="10"/>
        <v>4.000000000000048E-2</v>
      </c>
      <c r="Z9" s="119">
        <v>3.9350000000000001</v>
      </c>
      <c r="AA9" s="120">
        <f t="shared" si="11"/>
        <v>-4.9999999999999822E-2</v>
      </c>
      <c r="AB9" s="119">
        <v>3.86</v>
      </c>
      <c r="AC9" s="120">
        <f t="shared" si="12"/>
        <v>-0.125</v>
      </c>
      <c r="AD9" s="119">
        <v>3.855</v>
      </c>
      <c r="AE9" s="120">
        <f t="shared" si="13"/>
        <v>-0.12999999999999989</v>
      </c>
      <c r="AF9" s="119">
        <v>4.0750000000000002</v>
      </c>
      <c r="AG9" s="120">
        <f t="shared" si="14"/>
        <v>9.0000000000000302E-2</v>
      </c>
      <c r="AH9" s="119">
        <v>4.08</v>
      </c>
      <c r="AI9" s="120">
        <f t="shared" si="15"/>
        <v>9.5000000000000195E-2</v>
      </c>
      <c r="AJ9" s="119">
        <v>4.1449999999999996</v>
      </c>
      <c r="AK9" s="120">
        <f t="shared" si="16"/>
        <v>0.1599999999999997</v>
      </c>
      <c r="AL9" s="119">
        <v>4.1900000000000004</v>
      </c>
      <c r="AM9" s="120">
        <f t="shared" si="17"/>
        <v>0.20500000000000052</v>
      </c>
      <c r="AN9" s="119">
        <v>4.125</v>
      </c>
      <c r="AO9" s="120">
        <f t="shared" si="17"/>
        <v>0.14000000000000012</v>
      </c>
      <c r="AP9" s="119">
        <v>4.1749999999999998</v>
      </c>
      <c r="AQ9" s="120">
        <f t="shared" si="18"/>
        <v>0.18999999999999995</v>
      </c>
      <c r="AR9" s="119">
        <v>4.1900000000000004</v>
      </c>
      <c r="AS9" s="120">
        <f t="shared" si="19"/>
        <v>0.20500000000000052</v>
      </c>
      <c r="AT9" s="119">
        <v>4.0149999999999997</v>
      </c>
      <c r="AU9" s="120">
        <f t="shared" si="19"/>
        <v>2.9999999999999805E-2</v>
      </c>
    </row>
    <row r="10" spans="1:47" s="118" customFormat="1" x14ac:dyDescent="0.2">
      <c r="A10" s="117">
        <v>7</v>
      </c>
      <c r="B10" s="118" t="s">
        <v>45</v>
      </c>
      <c r="C10" s="119">
        <v>3.75</v>
      </c>
      <c r="D10" s="119">
        <v>3.67</v>
      </c>
      <c r="E10" s="120">
        <f t="shared" si="0"/>
        <v>-8.0000000000000071E-2</v>
      </c>
      <c r="F10" s="119">
        <v>3.72</v>
      </c>
      <c r="G10" s="120">
        <f t="shared" si="1"/>
        <v>-2.9999999999999805E-2</v>
      </c>
      <c r="H10" s="119">
        <v>3.7</v>
      </c>
      <c r="I10" s="120">
        <f t="shared" si="2"/>
        <v>-4.9999999999999822E-2</v>
      </c>
      <c r="J10" s="119">
        <v>3.7</v>
      </c>
      <c r="K10" s="120">
        <f t="shared" si="3"/>
        <v>-4.9999999999999822E-2</v>
      </c>
      <c r="L10" s="119">
        <v>3.67</v>
      </c>
      <c r="M10" s="120">
        <f t="shared" si="4"/>
        <v>-8.0000000000000071E-2</v>
      </c>
      <c r="N10" s="119">
        <v>3.645</v>
      </c>
      <c r="O10" s="120">
        <f t="shared" si="5"/>
        <v>-0.10499999999999998</v>
      </c>
      <c r="P10" s="119">
        <v>3.645</v>
      </c>
      <c r="Q10" s="120">
        <f t="shared" si="6"/>
        <v>-0.10499999999999998</v>
      </c>
      <c r="R10" s="122">
        <v>3.76</v>
      </c>
      <c r="S10" s="120">
        <f t="shared" si="7"/>
        <v>9.9999999999997868E-3</v>
      </c>
      <c r="T10" s="119">
        <v>3.6949999999999998</v>
      </c>
      <c r="U10" s="120">
        <f t="shared" si="8"/>
        <v>-5.500000000000016E-2</v>
      </c>
      <c r="V10" s="119">
        <v>3.665</v>
      </c>
      <c r="W10" s="120">
        <f t="shared" si="9"/>
        <v>-8.4999999999999964E-2</v>
      </c>
      <c r="X10" s="119">
        <v>3.6349999999999998</v>
      </c>
      <c r="Y10" s="120">
        <f t="shared" si="10"/>
        <v>-0.11500000000000021</v>
      </c>
      <c r="Z10" s="119">
        <v>3.71</v>
      </c>
      <c r="AA10" s="120">
        <f t="shared" si="11"/>
        <v>-4.0000000000000036E-2</v>
      </c>
      <c r="AB10" s="119">
        <v>3.66</v>
      </c>
      <c r="AC10" s="120">
        <f t="shared" si="12"/>
        <v>-8.9999999999999858E-2</v>
      </c>
      <c r="AD10" s="119">
        <v>3.66</v>
      </c>
      <c r="AE10" s="120">
        <f t="shared" si="13"/>
        <v>-8.9999999999999858E-2</v>
      </c>
      <c r="AF10" s="119">
        <v>3.7949999999999999</v>
      </c>
      <c r="AG10" s="120">
        <f t="shared" si="14"/>
        <v>4.4999999999999929E-2</v>
      </c>
      <c r="AH10" s="119">
        <v>3.84</v>
      </c>
      <c r="AI10" s="120">
        <f t="shared" si="15"/>
        <v>8.9999999999999858E-2</v>
      </c>
      <c r="AJ10" s="119">
        <v>3.88</v>
      </c>
      <c r="AK10" s="120">
        <f t="shared" si="16"/>
        <v>0.12999999999999989</v>
      </c>
      <c r="AL10" s="119">
        <v>3.9049999999999998</v>
      </c>
      <c r="AM10" s="120">
        <f t="shared" si="17"/>
        <v>0.1549999999999998</v>
      </c>
      <c r="AN10" s="119">
        <v>3.875</v>
      </c>
      <c r="AO10" s="120">
        <f t="shared" si="17"/>
        <v>0.125</v>
      </c>
      <c r="AP10" s="119">
        <v>3.96</v>
      </c>
      <c r="AQ10" s="120">
        <f t="shared" si="18"/>
        <v>0.20999999999999996</v>
      </c>
      <c r="AR10" s="119">
        <v>3.9550000000000001</v>
      </c>
      <c r="AS10" s="120">
        <f t="shared" si="19"/>
        <v>0.20500000000000007</v>
      </c>
      <c r="AT10" s="119">
        <v>3.7850000000000001</v>
      </c>
      <c r="AU10" s="120">
        <f t="shared" si="19"/>
        <v>3.5000000000000142E-2</v>
      </c>
    </row>
    <row r="11" spans="1:47" s="75" customFormat="1" x14ac:dyDescent="0.2">
      <c r="A11" s="74">
        <v>8</v>
      </c>
      <c r="B11" s="75" t="s">
        <v>45</v>
      </c>
      <c r="C11" s="76">
        <v>3.68</v>
      </c>
      <c r="D11" s="76"/>
      <c r="E11" s="77">
        <f t="shared" si="0"/>
        <v>-3.68</v>
      </c>
      <c r="F11" s="76"/>
      <c r="G11" s="77">
        <f t="shared" si="1"/>
        <v>-3.68</v>
      </c>
      <c r="H11" s="76"/>
      <c r="I11" s="77">
        <f t="shared" si="2"/>
        <v>-3.68</v>
      </c>
      <c r="J11" s="76"/>
      <c r="K11" s="77">
        <f t="shared" si="3"/>
        <v>-3.68</v>
      </c>
      <c r="L11" s="76"/>
      <c r="M11" s="77">
        <f t="shared" si="4"/>
        <v>-3.68</v>
      </c>
      <c r="N11" s="76"/>
      <c r="O11" s="77">
        <f t="shared" si="5"/>
        <v>-3.68</v>
      </c>
      <c r="P11" s="76"/>
      <c r="Q11" s="77">
        <f t="shared" si="6"/>
        <v>-3.68</v>
      </c>
      <c r="R11" s="121">
        <v>3.6549999999999998</v>
      </c>
      <c r="S11" s="77">
        <f t="shared" si="7"/>
        <v>-2.5000000000000355E-2</v>
      </c>
      <c r="T11" s="76"/>
      <c r="U11" s="77">
        <f t="shared" si="8"/>
        <v>-3.68</v>
      </c>
      <c r="V11" s="76">
        <v>3.5249999999999999</v>
      </c>
      <c r="W11" s="77">
        <f t="shared" si="9"/>
        <v>-0.15500000000000025</v>
      </c>
      <c r="X11" s="76"/>
      <c r="Y11" s="77">
        <f t="shared" si="10"/>
        <v>-3.68</v>
      </c>
      <c r="Z11" s="76"/>
      <c r="AA11" s="77">
        <f t="shared" si="11"/>
        <v>-3.68</v>
      </c>
      <c r="AB11" s="76"/>
      <c r="AC11" s="77">
        <f t="shared" si="12"/>
        <v>-3.68</v>
      </c>
      <c r="AD11" s="76"/>
      <c r="AE11" s="77">
        <f t="shared" si="13"/>
        <v>-3.68</v>
      </c>
      <c r="AF11" s="76">
        <v>3.6850000000000001</v>
      </c>
      <c r="AG11" s="77">
        <f t="shared" si="14"/>
        <v>4.9999999999998934E-3</v>
      </c>
      <c r="AH11" s="76"/>
      <c r="AI11" s="77">
        <f t="shared" si="15"/>
        <v>-3.68</v>
      </c>
      <c r="AJ11" s="76"/>
      <c r="AK11" s="77">
        <f t="shared" si="16"/>
        <v>-3.68</v>
      </c>
      <c r="AL11" s="76"/>
      <c r="AM11" s="77">
        <f t="shared" si="17"/>
        <v>-3.68</v>
      </c>
      <c r="AN11" s="76"/>
      <c r="AO11" s="77">
        <f t="shared" si="17"/>
        <v>-3.68</v>
      </c>
      <c r="AP11" s="76"/>
      <c r="AQ11" s="77">
        <f t="shared" si="18"/>
        <v>-3.68</v>
      </c>
      <c r="AR11" s="76"/>
      <c r="AS11" s="77">
        <f t="shared" si="19"/>
        <v>-3.68</v>
      </c>
      <c r="AT11" s="76"/>
      <c r="AU11" s="77">
        <f t="shared" si="19"/>
        <v>-3.68</v>
      </c>
    </row>
    <row r="12" spans="1:47" s="75" customFormat="1" x14ac:dyDescent="0.2">
      <c r="A12" s="74">
        <v>9</v>
      </c>
      <c r="B12" s="75" t="s">
        <v>45</v>
      </c>
      <c r="C12" s="76">
        <v>3.62</v>
      </c>
      <c r="D12" s="76"/>
      <c r="E12" s="77">
        <f t="shared" si="0"/>
        <v>-3.62</v>
      </c>
      <c r="F12" s="76"/>
      <c r="G12" s="77">
        <f t="shared" si="1"/>
        <v>-3.62</v>
      </c>
      <c r="H12" s="76"/>
      <c r="I12" s="77">
        <f t="shared" si="2"/>
        <v>-3.62</v>
      </c>
      <c r="J12" s="76"/>
      <c r="K12" s="77">
        <f t="shared" si="3"/>
        <v>-3.62</v>
      </c>
      <c r="L12" s="76"/>
      <c r="M12" s="77">
        <f t="shared" si="4"/>
        <v>-3.62</v>
      </c>
      <c r="N12" s="76"/>
      <c r="O12" s="77">
        <f t="shared" si="5"/>
        <v>-3.62</v>
      </c>
      <c r="P12" s="76"/>
      <c r="Q12" s="77">
        <f t="shared" si="6"/>
        <v>-3.62</v>
      </c>
      <c r="R12" s="121">
        <v>3.6</v>
      </c>
      <c r="S12" s="77">
        <f t="shared" si="7"/>
        <v>-2.0000000000000018E-2</v>
      </c>
      <c r="T12" s="76"/>
      <c r="U12" s="77">
        <f t="shared" si="8"/>
        <v>-3.62</v>
      </c>
      <c r="V12" s="76">
        <v>3.35</v>
      </c>
      <c r="W12" s="77">
        <f t="shared" si="9"/>
        <v>-0.27</v>
      </c>
      <c r="X12" s="76">
        <v>3.22</v>
      </c>
      <c r="Y12" s="77">
        <f t="shared" si="10"/>
        <v>-0.39999999999999991</v>
      </c>
      <c r="Z12" s="76"/>
      <c r="AA12" s="77">
        <f t="shared" si="11"/>
        <v>-3.62</v>
      </c>
      <c r="AB12" s="76"/>
      <c r="AC12" s="77">
        <f t="shared" si="12"/>
        <v>-3.62</v>
      </c>
      <c r="AD12" s="76"/>
      <c r="AE12" s="77">
        <f t="shared" si="13"/>
        <v>-3.62</v>
      </c>
      <c r="AF12" s="76">
        <v>3.63</v>
      </c>
      <c r="AG12" s="77">
        <f t="shared" si="14"/>
        <v>9.9999999999997868E-3</v>
      </c>
      <c r="AH12" s="76"/>
      <c r="AI12" s="77">
        <f t="shared" si="15"/>
        <v>-3.62</v>
      </c>
      <c r="AJ12" s="76"/>
      <c r="AK12" s="77">
        <f t="shared" si="16"/>
        <v>-3.62</v>
      </c>
      <c r="AL12" s="76"/>
      <c r="AM12" s="77">
        <f t="shared" si="17"/>
        <v>-3.62</v>
      </c>
      <c r="AN12" s="76"/>
      <c r="AO12" s="77">
        <f t="shared" si="17"/>
        <v>-3.62</v>
      </c>
      <c r="AP12" s="76"/>
      <c r="AQ12" s="77">
        <f t="shared" si="18"/>
        <v>-3.62</v>
      </c>
      <c r="AR12" s="76"/>
      <c r="AS12" s="77">
        <f t="shared" si="19"/>
        <v>-3.62</v>
      </c>
      <c r="AT12" s="76"/>
      <c r="AU12" s="77">
        <f t="shared" si="19"/>
        <v>-3.62</v>
      </c>
    </row>
    <row r="13" spans="1:47" s="75" customFormat="1" x14ac:dyDescent="0.2">
      <c r="A13" s="74">
        <v>10</v>
      </c>
      <c r="B13" s="75" t="s">
        <v>45</v>
      </c>
      <c r="C13" s="76">
        <v>3.62</v>
      </c>
      <c r="D13" s="76"/>
      <c r="E13" s="77">
        <f t="shared" si="0"/>
        <v>-3.62</v>
      </c>
      <c r="F13" s="76"/>
      <c r="G13" s="77">
        <f t="shared" si="1"/>
        <v>-3.62</v>
      </c>
      <c r="H13" s="76"/>
      <c r="I13" s="77">
        <f t="shared" si="2"/>
        <v>-3.62</v>
      </c>
      <c r="J13" s="76"/>
      <c r="K13" s="77">
        <f t="shared" si="3"/>
        <v>-3.62</v>
      </c>
      <c r="L13" s="76"/>
      <c r="M13" s="77">
        <f t="shared" si="4"/>
        <v>-3.62</v>
      </c>
      <c r="N13" s="76"/>
      <c r="O13" s="77">
        <f t="shared" si="5"/>
        <v>-3.62</v>
      </c>
      <c r="P13" s="76"/>
      <c r="Q13" s="77">
        <f t="shared" si="6"/>
        <v>-3.62</v>
      </c>
      <c r="R13" s="121">
        <v>3.6</v>
      </c>
      <c r="S13" s="77">
        <f t="shared" si="7"/>
        <v>-2.0000000000000018E-2</v>
      </c>
      <c r="T13" s="76"/>
      <c r="U13" s="77">
        <f t="shared" si="8"/>
        <v>-3.62</v>
      </c>
      <c r="V13" s="76">
        <v>3.35</v>
      </c>
      <c r="W13" s="77">
        <f t="shared" si="9"/>
        <v>-0.27</v>
      </c>
      <c r="X13" s="76">
        <v>3.22</v>
      </c>
      <c r="Y13" s="77">
        <f t="shared" si="10"/>
        <v>-0.39999999999999991</v>
      </c>
      <c r="Z13" s="76"/>
      <c r="AA13" s="77">
        <f t="shared" si="11"/>
        <v>-3.62</v>
      </c>
      <c r="AB13" s="76"/>
      <c r="AC13" s="77">
        <f t="shared" si="12"/>
        <v>-3.62</v>
      </c>
      <c r="AD13" s="76"/>
      <c r="AE13" s="77">
        <f t="shared" si="13"/>
        <v>-3.62</v>
      </c>
      <c r="AF13" s="76">
        <v>3.64</v>
      </c>
      <c r="AG13" s="77">
        <f t="shared" si="14"/>
        <v>2.0000000000000018E-2</v>
      </c>
      <c r="AH13" s="76"/>
      <c r="AI13" s="77">
        <f t="shared" si="15"/>
        <v>-3.62</v>
      </c>
      <c r="AJ13" s="76"/>
      <c r="AK13" s="77">
        <f t="shared" si="16"/>
        <v>-3.62</v>
      </c>
      <c r="AL13" s="76"/>
      <c r="AM13" s="77">
        <f t="shared" si="17"/>
        <v>-3.62</v>
      </c>
      <c r="AN13" s="76"/>
      <c r="AO13" s="77">
        <f t="shared" si="17"/>
        <v>-3.62</v>
      </c>
      <c r="AP13" s="76"/>
      <c r="AQ13" s="77">
        <f t="shared" si="18"/>
        <v>-3.62</v>
      </c>
      <c r="AR13" s="76"/>
      <c r="AS13" s="77">
        <f t="shared" si="19"/>
        <v>-3.62</v>
      </c>
      <c r="AT13" s="76"/>
      <c r="AU13" s="77">
        <f t="shared" si="19"/>
        <v>-3.62</v>
      </c>
    </row>
    <row r="14" spans="1:47" s="75" customFormat="1" x14ac:dyDescent="0.2">
      <c r="A14" s="74">
        <v>11</v>
      </c>
      <c r="B14" s="75" t="s">
        <v>45</v>
      </c>
      <c r="C14" s="76">
        <v>3.62</v>
      </c>
      <c r="D14" s="76"/>
      <c r="E14" s="77">
        <f t="shared" si="0"/>
        <v>-3.62</v>
      </c>
      <c r="F14" s="76"/>
      <c r="G14" s="77">
        <f t="shared" si="1"/>
        <v>-3.62</v>
      </c>
      <c r="H14" s="76"/>
      <c r="I14" s="77">
        <f t="shared" si="2"/>
        <v>-3.62</v>
      </c>
      <c r="J14" s="76"/>
      <c r="K14" s="77">
        <f t="shared" si="3"/>
        <v>-3.62</v>
      </c>
      <c r="L14" s="76"/>
      <c r="M14" s="77">
        <f t="shared" si="4"/>
        <v>-3.62</v>
      </c>
      <c r="N14" s="76"/>
      <c r="O14" s="77">
        <f t="shared" si="5"/>
        <v>-3.62</v>
      </c>
      <c r="P14" s="76"/>
      <c r="Q14" s="77">
        <f t="shared" si="6"/>
        <v>-3.62</v>
      </c>
      <c r="R14" s="121">
        <v>3.6</v>
      </c>
      <c r="S14" s="77">
        <f t="shared" si="7"/>
        <v>-2.0000000000000018E-2</v>
      </c>
      <c r="T14" s="76"/>
      <c r="U14" s="77">
        <f t="shared" si="8"/>
        <v>-3.62</v>
      </c>
      <c r="V14" s="76">
        <v>3.35</v>
      </c>
      <c r="W14" s="77">
        <f t="shared" si="9"/>
        <v>-0.27</v>
      </c>
      <c r="X14" s="76">
        <v>3.22</v>
      </c>
      <c r="Y14" s="77">
        <f t="shared" si="10"/>
        <v>-0.39999999999999991</v>
      </c>
      <c r="Z14" s="76"/>
      <c r="AA14" s="77">
        <f t="shared" si="11"/>
        <v>-3.62</v>
      </c>
      <c r="AB14" s="76"/>
      <c r="AC14" s="77">
        <f t="shared" si="12"/>
        <v>-3.62</v>
      </c>
      <c r="AD14" s="76"/>
      <c r="AE14" s="77">
        <f t="shared" si="13"/>
        <v>-3.62</v>
      </c>
      <c r="AF14" s="76">
        <v>3.64</v>
      </c>
      <c r="AG14" s="77">
        <f t="shared" si="14"/>
        <v>2.0000000000000018E-2</v>
      </c>
      <c r="AH14" s="76"/>
      <c r="AI14" s="77">
        <f t="shared" si="15"/>
        <v>-3.62</v>
      </c>
      <c r="AJ14" s="76"/>
      <c r="AK14" s="77">
        <f t="shared" si="16"/>
        <v>-3.62</v>
      </c>
      <c r="AL14" s="76"/>
      <c r="AM14" s="77">
        <f t="shared" si="17"/>
        <v>-3.62</v>
      </c>
      <c r="AN14" s="76"/>
      <c r="AO14" s="77">
        <f t="shared" si="17"/>
        <v>-3.62</v>
      </c>
      <c r="AP14" s="76"/>
      <c r="AQ14" s="77">
        <f t="shared" si="18"/>
        <v>-3.62</v>
      </c>
      <c r="AR14" s="76"/>
      <c r="AS14" s="77">
        <f t="shared" si="19"/>
        <v>-3.62</v>
      </c>
      <c r="AT14" s="76"/>
      <c r="AU14" s="77">
        <f t="shared" si="19"/>
        <v>-3.62</v>
      </c>
    </row>
    <row r="15" spans="1:47" s="75" customFormat="1" x14ac:dyDescent="0.2">
      <c r="A15" s="74">
        <v>12</v>
      </c>
      <c r="B15" s="75" t="s">
        <v>45</v>
      </c>
      <c r="C15" s="76">
        <f>Summary!$D$2</f>
        <v>3.77</v>
      </c>
      <c r="D15" s="76"/>
      <c r="E15" s="77">
        <f t="shared" si="0"/>
        <v>-3.77</v>
      </c>
      <c r="F15" s="76"/>
      <c r="G15" s="77">
        <f t="shared" si="1"/>
        <v>-3.77</v>
      </c>
      <c r="H15" s="76"/>
      <c r="I15" s="77">
        <f t="shared" si="2"/>
        <v>-3.77</v>
      </c>
      <c r="J15" s="76"/>
      <c r="K15" s="77">
        <f t="shared" si="3"/>
        <v>-3.77</v>
      </c>
      <c r="L15" s="76"/>
      <c r="M15" s="77">
        <f t="shared" si="4"/>
        <v>-3.77</v>
      </c>
      <c r="N15" s="76"/>
      <c r="O15" s="77">
        <f t="shared" si="5"/>
        <v>-3.77</v>
      </c>
      <c r="P15" s="76"/>
      <c r="Q15" s="77">
        <f t="shared" si="6"/>
        <v>-3.77</v>
      </c>
      <c r="R15" s="121">
        <f>C15+0.02</f>
        <v>3.79</v>
      </c>
      <c r="S15" s="77">
        <f t="shared" si="7"/>
        <v>2.0000000000000018E-2</v>
      </c>
      <c r="T15" s="76"/>
      <c r="U15" s="77">
        <f t="shared" si="8"/>
        <v>-3.77</v>
      </c>
      <c r="V15" s="76">
        <f>C15-0.115</f>
        <v>3.6549999999999998</v>
      </c>
      <c r="W15" s="77">
        <f t="shared" si="9"/>
        <v>-0.11500000000000021</v>
      </c>
      <c r="X15" s="76">
        <f>C15-0.17</f>
        <v>3.6</v>
      </c>
      <c r="Y15" s="77">
        <f t="shared" si="10"/>
        <v>-0.16999999999999993</v>
      </c>
      <c r="Z15" s="76"/>
      <c r="AA15" s="77">
        <f t="shared" si="11"/>
        <v>-3.77</v>
      </c>
      <c r="AB15" s="76"/>
      <c r="AC15" s="77">
        <f t="shared" si="12"/>
        <v>-3.77</v>
      </c>
      <c r="AD15" s="76"/>
      <c r="AE15" s="77">
        <f t="shared" si="13"/>
        <v>-3.77</v>
      </c>
      <c r="AF15" s="76">
        <f t="shared" ref="AF15:AF34" si="20">C15+0.04</f>
        <v>3.81</v>
      </c>
      <c r="AG15" s="77">
        <f t="shared" si="14"/>
        <v>4.0000000000000036E-2</v>
      </c>
      <c r="AH15" s="76"/>
      <c r="AI15" s="77">
        <f t="shared" si="15"/>
        <v>-3.77</v>
      </c>
      <c r="AJ15" s="76"/>
      <c r="AK15" s="77">
        <f t="shared" si="16"/>
        <v>-3.77</v>
      </c>
      <c r="AL15" s="76"/>
      <c r="AM15" s="77">
        <f t="shared" si="17"/>
        <v>-3.77</v>
      </c>
      <c r="AN15" s="76"/>
      <c r="AO15" s="77">
        <f t="shared" si="17"/>
        <v>-3.77</v>
      </c>
      <c r="AP15" s="76"/>
      <c r="AQ15" s="77">
        <f t="shared" si="18"/>
        <v>-3.77</v>
      </c>
      <c r="AR15" s="76"/>
      <c r="AS15" s="77">
        <f t="shared" si="19"/>
        <v>-3.77</v>
      </c>
      <c r="AT15" s="76"/>
      <c r="AU15" s="77">
        <f t="shared" si="19"/>
        <v>-3.77</v>
      </c>
    </row>
    <row r="16" spans="1:47" s="75" customFormat="1" x14ac:dyDescent="0.2">
      <c r="A16" s="74">
        <v>13</v>
      </c>
      <c r="B16" s="75" t="s">
        <v>45</v>
      </c>
      <c r="C16" s="76">
        <f>Summary!$D$2</f>
        <v>3.77</v>
      </c>
      <c r="D16" s="76"/>
      <c r="E16" s="77">
        <f t="shared" si="0"/>
        <v>-3.77</v>
      </c>
      <c r="F16" s="76"/>
      <c r="G16" s="77">
        <f t="shared" si="1"/>
        <v>-3.77</v>
      </c>
      <c r="H16" s="76"/>
      <c r="I16" s="77">
        <f t="shared" si="2"/>
        <v>-3.77</v>
      </c>
      <c r="J16" s="76"/>
      <c r="K16" s="77">
        <f t="shared" si="3"/>
        <v>-3.77</v>
      </c>
      <c r="L16" s="76"/>
      <c r="M16" s="77">
        <f t="shared" si="4"/>
        <v>-3.77</v>
      </c>
      <c r="N16" s="76"/>
      <c r="O16" s="77">
        <f t="shared" si="5"/>
        <v>-3.77</v>
      </c>
      <c r="P16" s="76"/>
      <c r="Q16" s="77">
        <f t="shared" si="6"/>
        <v>-3.77</v>
      </c>
      <c r="R16" s="121">
        <f t="shared" ref="R16:R34" si="21">C16+0.02</f>
        <v>3.79</v>
      </c>
      <c r="S16" s="77">
        <f t="shared" si="7"/>
        <v>2.0000000000000018E-2</v>
      </c>
      <c r="T16" s="76"/>
      <c r="U16" s="77">
        <f t="shared" si="8"/>
        <v>-3.77</v>
      </c>
      <c r="V16" s="76">
        <f t="shared" ref="V16:V34" si="22">C16-0.115</f>
        <v>3.6549999999999998</v>
      </c>
      <c r="W16" s="77">
        <f t="shared" si="9"/>
        <v>-0.11500000000000021</v>
      </c>
      <c r="X16" s="76">
        <f t="shared" ref="X16:X33" si="23">C16-0.17</f>
        <v>3.6</v>
      </c>
      <c r="Y16" s="77">
        <f t="shared" si="10"/>
        <v>-0.16999999999999993</v>
      </c>
      <c r="Z16" s="76"/>
      <c r="AA16" s="77">
        <f t="shared" si="11"/>
        <v>-3.77</v>
      </c>
      <c r="AB16" s="76"/>
      <c r="AC16" s="77">
        <f t="shared" si="12"/>
        <v>-3.77</v>
      </c>
      <c r="AD16" s="76"/>
      <c r="AE16" s="77">
        <f t="shared" si="13"/>
        <v>-3.77</v>
      </c>
      <c r="AF16" s="76">
        <f t="shared" si="20"/>
        <v>3.81</v>
      </c>
      <c r="AG16" s="77">
        <f t="shared" si="14"/>
        <v>4.0000000000000036E-2</v>
      </c>
      <c r="AH16" s="76"/>
      <c r="AI16" s="77">
        <f t="shared" si="15"/>
        <v>-3.77</v>
      </c>
      <c r="AJ16" s="76"/>
      <c r="AK16" s="77">
        <f t="shared" si="16"/>
        <v>-3.77</v>
      </c>
      <c r="AL16" s="76"/>
      <c r="AM16" s="77">
        <f t="shared" si="17"/>
        <v>-3.77</v>
      </c>
      <c r="AN16" s="76"/>
      <c r="AO16" s="77">
        <f t="shared" si="17"/>
        <v>-3.77</v>
      </c>
      <c r="AP16" s="76"/>
      <c r="AQ16" s="77">
        <f t="shared" si="18"/>
        <v>-3.77</v>
      </c>
      <c r="AR16" s="76"/>
      <c r="AS16" s="77">
        <f t="shared" si="19"/>
        <v>-3.77</v>
      </c>
      <c r="AT16" s="76"/>
      <c r="AU16" s="77">
        <f t="shared" si="19"/>
        <v>-3.77</v>
      </c>
    </row>
    <row r="17" spans="1:47" s="75" customFormat="1" x14ac:dyDescent="0.2">
      <c r="A17" s="74">
        <v>14</v>
      </c>
      <c r="B17" s="75" t="s">
        <v>45</v>
      </c>
      <c r="C17" s="76">
        <f>Summary!$D$2</f>
        <v>3.77</v>
      </c>
      <c r="D17" s="76"/>
      <c r="E17" s="77">
        <f t="shared" si="0"/>
        <v>-3.77</v>
      </c>
      <c r="F17" s="76"/>
      <c r="G17" s="77">
        <f t="shared" si="1"/>
        <v>-3.77</v>
      </c>
      <c r="H17" s="76"/>
      <c r="I17" s="77">
        <f t="shared" si="2"/>
        <v>-3.77</v>
      </c>
      <c r="J17" s="76"/>
      <c r="K17" s="77">
        <f t="shared" si="3"/>
        <v>-3.77</v>
      </c>
      <c r="L17" s="76"/>
      <c r="M17" s="77">
        <f t="shared" si="4"/>
        <v>-3.77</v>
      </c>
      <c r="N17" s="76"/>
      <c r="O17" s="77">
        <f t="shared" si="5"/>
        <v>-3.77</v>
      </c>
      <c r="P17" s="76"/>
      <c r="Q17" s="77">
        <f t="shared" si="6"/>
        <v>-3.77</v>
      </c>
      <c r="R17" s="121">
        <f t="shared" si="21"/>
        <v>3.79</v>
      </c>
      <c r="S17" s="77">
        <f t="shared" si="7"/>
        <v>2.0000000000000018E-2</v>
      </c>
      <c r="T17" s="76"/>
      <c r="U17" s="77">
        <f t="shared" si="8"/>
        <v>-3.77</v>
      </c>
      <c r="V17" s="76">
        <f t="shared" si="22"/>
        <v>3.6549999999999998</v>
      </c>
      <c r="W17" s="77">
        <f t="shared" si="9"/>
        <v>-0.11500000000000021</v>
      </c>
      <c r="X17" s="76">
        <f t="shared" si="23"/>
        <v>3.6</v>
      </c>
      <c r="Y17" s="77">
        <f t="shared" si="10"/>
        <v>-0.16999999999999993</v>
      </c>
      <c r="Z17" s="76"/>
      <c r="AA17" s="77">
        <f t="shared" si="11"/>
        <v>-3.77</v>
      </c>
      <c r="AB17" s="76"/>
      <c r="AC17" s="77">
        <f t="shared" si="12"/>
        <v>-3.77</v>
      </c>
      <c r="AD17" s="76"/>
      <c r="AE17" s="77">
        <f t="shared" si="13"/>
        <v>-3.77</v>
      </c>
      <c r="AF17" s="76">
        <f t="shared" si="20"/>
        <v>3.81</v>
      </c>
      <c r="AG17" s="77">
        <f t="shared" si="14"/>
        <v>4.0000000000000036E-2</v>
      </c>
      <c r="AH17" s="76"/>
      <c r="AI17" s="77">
        <f t="shared" si="15"/>
        <v>-3.77</v>
      </c>
      <c r="AJ17" s="76"/>
      <c r="AK17" s="77">
        <f t="shared" si="16"/>
        <v>-3.77</v>
      </c>
      <c r="AL17" s="76"/>
      <c r="AM17" s="77">
        <f t="shared" si="17"/>
        <v>-3.77</v>
      </c>
      <c r="AN17" s="76"/>
      <c r="AO17" s="77">
        <f t="shared" si="17"/>
        <v>-3.77</v>
      </c>
      <c r="AP17" s="76"/>
      <c r="AQ17" s="77">
        <f t="shared" si="18"/>
        <v>-3.77</v>
      </c>
      <c r="AR17" s="76"/>
      <c r="AS17" s="77">
        <f t="shared" si="19"/>
        <v>-3.77</v>
      </c>
      <c r="AT17" s="76"/>
      <c r="AU17" s="77">
        <f t="shared" si="19"/>
        <v>-3.77</v>
      </c>
    </row>
    <row r="18" spans="1:47" s="75" customFormat="1" x14ac:dyDescent="0.2">
      <c r="A18" s="74">
        <v>15</v>
      </c>
      <c r="B18" s="75" t="s">
        <v>45</v>
      </c>
      <c r="C18" s="76">
        <f>Summary!$D$2</f>
        <v>3.77</v>
      </c>
      <c r="D18" s="76"/>
      <c r="E18" s="77">
        <f t="shared" si="0"/>
        <v>-3.77</v>
      </c>
      <c r="F18" s="76"/>
      <c r="G18" s="77">
        <f t="shared" si="1"/>
        <v>-3.77</v>
      </c>
      <c r="H18" s="76"/>
      <c r="I18" s="77">
        <f t="shared" si="2"/>
        <v>-3.77</v>
      </c>
      <c r="J18" s="76"/>
      <c r="K18" s="77">
        <f t="shared" si="3"/>
        <v>-3.77</v>
      </c>
      <c r="L18" s="76"/>
      <c r="M18" s="77">
        <f t="shared" si="4"/>
        <v>-3.77</v>
      </c>
      <c r="N18" s="76"/>
      <c r="O18" s="77">
        <f t="shared" si="5"/>
        <v>-3.77</v>
      </c>
      <c r="P18" s="76"/>
      <c r="Q18" s="77">
        <f t="shared" si="6"/>
        <v>-3.77</v>
      </c>
      <c r="R18" s="121">
        <f t="shared" si="21"/>
        <v>3.79</v>
      </c>
      <c r="S18" s="77">
        <f t="shared" si="7"/>
        <v>2.0000000000000018E-2</v>
      </c>
      <c r="T18" s="76"/>
      <c r="U18" s="77">
        <f t="shared" si="8"/>
        <v>-3.77</v>
      </c>
      <c r="V18" s="76">
        <f t="shared" si="22"/>
        <v>3.6549999999999998</v>
      </c>
      <c r="W18" s="77">
        <f t="shared" si="9"/>
        <v>-0.11500000000000021</v>
      </c>
      <c r="X18" s="76">
        <f t="shared" si="23"/>
        <v>3.6</v>
      </c>
      <c r="Y18" s="77">
        <f t="shared" si="10"/>
        <v>-0.16999999999999993</v>
      </c>
      <c r="Z18" s="76"/>
      <c r="AA18" s="77">
        <f t="shared" si="11"/>
        <v>-3.77</v>
      </c>
      <c r="AB18" s="76"/>
      <c r="AC18" s="77">
        <f t="shared" si="12"/>
        <v>-3.77</v>
      </c>
      <c r="AD18" s="76"/>
      <c r="AE18" s="77">
        <f t="shared" si="13"/>
        <v>-3.77</v>
      </c>
      <c r="AF18" s="76">
        <f t="shared" si="20"/>
        <v>3.81</v>
      </c>
      <c r="AG18" s="77">
        <f t="shared" si="14"/>
        <v>4.0000000000000036E-2</v>
      </c>
      <c r="AH18" s="76"/>
      <c r="AI18" s="77">
        <f t="shared" si="15"/>
        <v>-3.77</v>
      </c>
      <c r="AJ18" s="76"/>
      <c r="AK18" s="77">
        <f t="shared" si="16"/>
        <v>-3.77</v>
      </c>
      <c r="AL18" s="76"/>
      <c r="AM18" s="77">
        <f t="shared" si="17"/>
        <v>-3.77</v>
      </c>
      <c r="AN18" s="76"/>
      <c r="AO18" s="77">
        <f t="shared" si="17"/>
        <v>-3.77</v>
      </c>
      <c r="AP18" s="76"/>
      <c r="AQ18" s="77">
        <f t="shared" si="18"/>
        <v>-3.77</v>
      </c>
      <c r="AR18" s="76"/>
      <c r="AS18" s="77">
        <f t="shared" si="19"/>
        <v>-3.77</v>
      </c>
      <c r="AT18" s="76"/>
      <c r="AU18" s="77">
        <f t="shared" si="19"/>
        <v>-3.77</v>
      </c>
    </row>
    <row r="19" spans="1:47" s="75" customFormat="1" x14ac:dyDescent="0.2">
      <c r="A19" s="74">
        <v>16</v>
      </c>
      <c r="B19" s="75" t="s">
        <v>45</v>
      </c>
      <c r="C19" s="76">
        <f>Summary!$D$2</f>
        <v>3.77</v>
      </c>
      <c r="D19" s="76"/>
      <c r="E19" s="77">
        <f t="shared" si="0"/>
        <v>-3.77</v>
      </c>
      <c r="F19" s="76"/>
      <c r="G19" s="77">
        <f t="shared" si="1"/>
        <v>-3.77</v>
      </c>
      <c r="H19" s="76"/>
      <c r="I19" s="77">
        <f t="shared" si="2"/>
        <v>-3.77</v>
      </c>
      <c r="J19" s="76"/>
      <c r="K19" s="77">
        <f t="shared" si="3"/>
        <v>-3.77</v>
      </c>
      <c r="L19" s="76"/>
      <c r="M19" s="77">
        <f t="shared" si="4"/>
        <v>-3.77</v>
      </c>
      <c r="N19" s="76"/>
      <c r="O19" s="77">
        <f t="shared" si="5"/>
        <v>-3.77</v>
      </c>
      <c r="P19" s="76"/>
      <c r="Q19" s="77">
        <f t="shared" si="6"/>
        <v>-3.77</v>
      </c>
      <c r="R19" s="121">
        <f t="shared" si="21"/>
        <v>3.79</v>
      </c>
      <c r="S19" s="77">
        <f t="shared" si="7"/>
        <v>2.0000000000000018E-2</v>
      </c>
      <c r="T19" s="76"/>
      <c r="U19" s="77">
        <f t="shared" si="8"/>
        <v>-3.77</v>
      </c>
      <c r="V19" s="76">
        <f t="shared" si="22"/>
        <v>3.6549999999999998</v>
      </c>
      <c r="W19" s="77">
        <f t="shared" si="9"/>
        <v>-0.11500000000000021</v>
      </c>
      <c r="X19" s="76">
        <f t="shared" si="23"/>
        <v>3.6</v>
      </c>
      <c r="Y19" s="77">
        <f t="shared" si="10"/>
        <v>-0.16999999999999993</v>
      </c>
      <c r="Z19" s="76"/>
      <c r="AA19" s="77">
        <f t="shared" si="11"/>
        <v>-3.77</v>
      </c>
      <c r="AB19" s="76"/>
      <c r="AC19" s="77">
        <f t="shared" si="12"/>
        <v>-3.77</v>
      </c>
      <c r="AD19" s="76"/>
      <c r="AE19" s="77">
        <f t="shared" si="13"/>
        <v>-3.77</v>
      </c>
      <c r="AF19" s="76">
        <f t="shared" si="20"/>
        <v>3.81</v>
      </c>
      <c r="AG19" s="77">
        <f t="shared" si="14"/>
        <v>4.0000000000000036E-2</v>
      </c>
      <c r="AH19" s="76"/>
      <c r="AI19" s="77">
        <f t="shared" si="15"/>
        <v>-3.77</v>
      </c>
      <c r="AJ19" s="76"/>
      <c r="AK19" s="77">
        <f t="shared" si="16"/>
        <v>-3.77</v>
      </c>
      <c r="AL19" s="76"/>
      <c r="AM19" s="77">
        <f t="shared" si="17"/>
        <v>-3.77</v>
      </c>
      <c r="AN19" s="76"/>
      <c r="AO19" s="77">
        <f t="shared" si="17"/>
        <v>-3.77</v>
      </c>
      <c r="AP19" s="76"/>
      <c r="AQ19" s="77">
        <f t="shared" si="18"/>
        <v>-3.77</v>
      </c>
      <c r="AR19" s="76"/>
      <c r="AS19" s="77">
        <f t="shared" si="19"/>
        <v>-3.77</v>
      </c>
      <c r="AT19" s="76"/>
      <c r="AU19" s="77">
        <f t="shared" si="19"/>
        <v>-3.77</v>
      </c>
    </row>
    <row r="20" spans="1:47" s="75" customFormat="1" x14ac:dyDescent="0.2">
      <c r="A20" s="74">
        <v>17</v>
      </c>
      <c r="B20" s="75" t="s">
        <v>45</v>
      </c>
      <c r="C20" s="76">
        <f>Summary!$D$2</f>
        <v>3.77</v>
      </c>
      <c r="D20" s="76"/>
      <c r="E20" s="77">
        <f t="shared" si="0"/>
        <v>-3.77</v>
      </c>
      <c r="F20" s="76"/>
      <c r="G20" s="77">
        <f t="shared" si="1"/>
        <v>-3.77</v>
      </c>
      <c r="H20" s="76"/>
      <c r="I20" s="77">
        <f t="shared" si="2"/>
        <v>-3.77</v>
      </c>
      <c r="J20" s="76"/>
      <c r="K20" s="77">
        <f t="shared" si="3"/>
        <v>-3.77</v>
      </c>
      <c r="L20" s="76"/>
      <c r="M20" s="77">
        <f t="shared" si="4"/>
        <v>-3.77</v>
      </c>
      <c r="N20" s="76"/>
      <c r="O20" s="77">
        <f t="shared" si="5"/>
        <v>-3.77</v>
      </c>
      <c r="P20" s="76"/>
      <c r="Q20" s="77">
        <f t="shared" si="6"/>
        <v>-3.77</v>
      </c>
      <c r="R20" s="121">
        <f t="shared" si="21"/>
        <v>3.79</v>
      </c>
      <c r="S20" s="77">
        <f t="shared" si="7"/>
        <v>2.0000000000000018E-2</v>
      </c>
      <c r="T20" s="76"/>
      <c r="U20" s="77">
        <f t="shared" si="8"/>
        <v>-3.77</v>
      </c>
      <c r="V20" s="76">
        <f t="shared" si="22"/>
        <v>3.6549999999999998</v>
      </c>
      <c r="W20" s="77">
        <f t="shared" si="9"/>
        <v>-0.11500000000000021</v>
      </c>
      <c r="X20" s="76">
        <f t="shared" si="23"/>
        <v>3.6</v>
      </c>
      <c r="Y20" s="77">
        <f t="shared" si="10"/>
        <v>-0.16999999999999993</v>
      </c>
      <c r="Z20" s="76"/>
      <c r="AA20" s="77">
        <f t="shared" si="11"/>
        <v>-3.77</v>
      </c>
      <c r="AB20" s="76"/>
      <c r="AC20" s="77">
        <f t="shared" si="12"/>
        <v>-3.77</v>
      </c>
      <c r="AD20" s="76"/>
      <c r="AE20" s="77">
        <f t="shared" si="13"/>
        <v>-3.77</v>
      </c>
      <c r="AF20" s="76">
        <f t="shared" si="20"/>
        <v>3.81</v>
      </c>
      <c r="AG20" s="77">
        <f t="shared" si="14"/>
        <v>4.0000000000000036E-2</v>
      </c>
      <c r="AH20" s="76"/>
      <c r="AI20" s="77">
        <f t="shared" si="15"/>
        <v>-3.77</v>
      </c>
      <c r="AJ20" s="76"/>
      <c r="AK20" s="77">
        <f t="shared" si="16"/>
        <v>-3.77</v>
      </c>
      <c r="AL20" s="76"/>
      <c r="AM20" s="77">
        <f t="shared" si="17"/>
        <v>-3.77</v>
      </c>
      <c r="AN20" s="76"/>
      <c r="AO20" s="77">
        <f t="shared" si="17"/>
        <v>-3.77</v>
      </c>
      <c r="AP20" s="76"/>
      <c r="AQ20" s="77">
        <f t="shared" si="18"/>
        <v>-3.77</v>
      </c>
      <c r="AR20" s="76"/>
      <c r="AS20" s="77">
        <f t="shared" si="19"/>
        <v>-3.77</v>
      </c>
      <c r="AT20" s="76"/>
      <c r="AU20" s="77">
        <f t="shared" si="19"/>
        <v>-3.77</v>
      </c>
    </row>
    <row r="21" spans="1:47" s="75" customFormat="1" x14ac:dyDescent="0.2">
      <c r="A21" s="74">
        <v>18</v>
      </c>
      <c r="B21" s="75" t="s">
        <v>45</v>
      </c>
      <c r="C21" s="76">
        <f>Summary!$D$2</f>
        <v>3.77</v>
      </c>
      <c r="D21" s="76"/>
      <c r="E21" s="77">
        <f t="shared" si="0"/>
        <v>-3.77</v>
      </c>
      <c r="F21" s="76"/>
      <c r="G21" s="77">
        <f t="shared" si="1"/>
        <v>-3.77</v>
      </c>
      <c r="H21" s="76"/>
      <c r="I21" s="77">
        <f t="shared" si="2"/>
        <v>-3.77</v>
      </c>
      <c r="J21" s="76"/>
      <c r="K21" s="77">
        <f t="shared" si="3"/>
        <v>-3.77</v>
      </c>
      <c r="L21" s="76"/>
      <c r="M21" s="77">
        <f t="shared" si="4"/>
        <v>-3.77</v>
      </c>
      <c r="N21" s="76"/>
      <c r="O21" s="77">
        <f t="shared" si="5"/>
        <v>-3.77</v>
      </c>
      <c r="P21" s="76"/>
      <c r="Q21" s="77">
        <f t="shared" si="6"/>
        <v>-3.77</v>
      </c>
      <c r="R21" s="121">
        <f t="shared" si="21"/>
        <v>3.79</v>
      </c>
      <c r="S21" s="77">
        <f t="shared" si="7"/>
        <v>2.0000000000000018E-2</v>
      </c>
      <c r="T21" s="76"/>
      <c r="U21" s="77">
        <f t="shared" si="8"/>
        <v>-3.77</v>
      </c>
      <c r="V21" s="76">
        <f t="shared" si="22"/>
        <v>3.6549999999999998</v>
      </c>
      <c r="W21" s="77">
        <f t="shared" si="9"/>
        <v>-0.11500000000000021</v>
      </c>
      <c r="X21" s="76">
        <f t="shared" si="23"/>
        <v>3.6</v>
      </c>
      <c r="Y21" s="77">
        <f t="shared" si="10"/>
        <v>-0.16999999999999993</v>
      </c>
      <c r="Z21" s="76"/>
      <c r="AA21" s="77">
        <f t="shared" si="11"/>
        <v>-3.77</v>
      </c>
      <c r="AB21" s="76"/>
      <c r="AC21" s="77">
        <f t="shared" si="12"/>
        <v>-3.77</v>
      </c>
      <c r="AD21" s="76"/>
      <c r="AE21" s="77">
        <f t="shared" si="13"/>
        <v>-3.77</v>
      </c>
      <c r="AF21" s="76">
        <f t="shared" si="20"/>
        <v>3.81</v>
      </c>
      <c r="AG21" s="77">
        <f t="shared" si="14"/>
        <v>4.0000000000000036E-2</v>
      </c>
      <c r="AH21" s="76"/>
      <c r="AI21" s="77">
        <f t="shared" si="15"/>
        <v>-3.77</v>
      </c>
      <c r="AJ21" s="76"/>
      <c r="AK21" s="77">
        <f t="shared" si="16"/>
        <v>-3.77</v>
      </c>
      <c r="AL21" s="76"/>
      <c r="AM21" s="77">
        <f t="shared" si="17"/>
        <v>-3.77</v>
      </c>
      <c r="AN21" s="76"/>
      <c r="AO21" s="77">
        <f t="shared" si="17"/>
        <v>-3.77</v>
      </c>
      <c r="AP21" s="76"/>
      <c r="AQ21" s="77">
        <f t="shared" si="18"/>
        <v>-3.77</v>
      </c>
      <c r="AR21" s="76"/>
      <c r="AS21" s="77">
        <f t="shared" si="19"/>
        <v>-3.77</v>
      </c>
      <c r="AT21" s="76"/>
      <c r="AU21" s="77">
        <f t="shared" si="19"/>
        <v>-3.77</v>
      </c>
    </row>
    <row r="22" spans="1:47" s="75" customFormat="1" x14ac:dyDescent="0.2">
      <c r="A22" s="74">
        <v>19</v>
      </c>
      <c r="B22" s="75" t="s">
        <v>45</v>
      </c>
      <c r="C22" s="76">
        <f>Summary!$D$2</f>
        <v>3.77</v>
      </c>
      <c r="D22" s="76"/>
      <c r="E22" s="77">
        <f t="shared" si="0"/>
        <v>-3.77</v>
      </c>
      <c r="F22" s="76"/>
      <c r="G22" s="77">
        <f t="shared" si="1"/>
        <v>-3.77</v>
      </c>
      <c r="H22" s="76"/>
      <c r="I22" s="77">
        <f t="shared" si="2"/>
        <v>-3.77</v>
      </c>
      <c r="J22" s="76"/>
      <c r="K22" s="77">
        <f t="shared" si="3"/>
        <v>-3.77</v>
      </c>
      <c r="L22" s="76"/>
      <c r="M22" s="77">
        <f t="shared" si="4"/>
        <v>-3.77</v>
      </c>
      <c r="N22" s="76"/>
      <c r="O22" s="77">
        <f t="shared" si="5"/>
        <v>-3.77</v>
      </c>
      <c r="P22" s="76"/>
      <c r="Q22" s="77">
        <f t="shared" si="6"/>
        <v>-3.77</v>
      </c>
      <c r="R22" s="121">
        <f t="shared" si="21"/>
        <v>3.79</v>
      </c>
      <c r="S22" s="77">
        <f t="shared" si="7"/>
        <v>2.0000000000000018E-2</v>
      </c>
      <c r="T22" s="76"/>
      <c r="U22" s="77">
        <f t="shared" si="8"/>
        <v>-3.77</v>
      </c>
      <c r="V22" s="76">
        <f t="shared" si="22"/>
        <v>3.6549999999999998</v>
      </c>
      <c r="W22" s="77">
        <f t="shared" si="9"/>
        <v>-0.11500000000000021</v>
      </c>
      <c r="X22" s="76">
        <f t="shared" si="23"/>
        <v>3.6</v>
      </c>
      <c r="Y22" s="77">
        <f t="shared" si="10"/>
        <v>-0.16999999999999993</v>
      </c>
      <c r="Z22" s="76"/>
      <c r="AA22" s="77">
        <f t="shared" si="11"/>
        <v>-3.77</v>
      </c>
      <c r="AB22" s="76"/>
      <c r="AC22" s="77">
        <f t="shared" si="12"/>
        <v>-3.77</v>
      </c>
      <c r="AD22" s="76"/>
      <c r="AE22" s="77">
        <f t="shared" si="13"/>
        <v>-3.77</v>
      </c>
      <c r="AF22" s="76">
        <f t="shared" si="20"/>
        <v>3.81</v>
      </c>
      <c r="AG22" s="77">
        <f t="shared" si="14"/>
        <v>4.0000000000000036E-2</v>
      </c>
      <c r="AH22" s="76"/>
      <c r="AI22" s="77">
        <f t="shared" si="15"/>
        <v>-3.77</v>
      </c>
      <c r="AJ22" s="76"/>
      <c r="AK22" s="77">
        <f t="shared" si="16"/>
        <v>-3.77</v>
      </c>
      <c r="AL22" s="76"/>
      <c r="AM22" s="77">
        <f t="shared" si="17"/>
        <v>-3.77</v>
      </c>
      <c r="AN22" s="76"/>
      <c r="AO22" s="77">
        <f t="shared" si="17"/>
        <v>-3.77</v>
      </c>
      <c r="AP22" s="76"/>
      <c r="AQ22" s="77">
        <f t="shared" si="18"/>
        <v>-3.77</v>
      </c>
      <c r="AR22" s="76"/>
      <c r="AS22" s="77">
        <f t="shared" si="19"/>
        <v>-3.77</v>
      </c>
      <c r="AT22" s="76"/>
      <c r="AU22" s="77">
        <f t="shared" si="19"/>
        <v>-3.77</v>
      </c>
    </row>
    <row r="23" spans="1:47" s="75" customFormat="1" x14ac:dyDescent="0.2">
      <c r="A23" s="74">
        <v>20</v>
      </c>
      <c r="B23" s="75" t="s">
        <v>45</v>
      </c>
      <c r="C23" s="76">
        <f>Summary!$D$2</f>
        <v>3.77</v>
      </c>
      <c r="D23" s="76"/>
      <c r="E23" s="77">
        <f t="shared" si="0"/>
        <v>-3.77</v>
      </c>
      <c r="F23" s="76"/>
      <c r="G23" s="77">
        <f t="shared" si="1"/>
        <v>-3.77</v>
      </c>
      <c r="H23" s="76"/>
      <c r="I23" s="77">
        <f t="shared" si="2"/>
        <v>-3.77</v>
      </c>
      <c r="J23" s="76"/>
      <c r="K23" s="77">
        <f t="shared" si="3"/>
        <v>-3.77</v>
      </c>
      <c r="L23" s="76"/>
      <c r="M23" s="77">
        <f t="shared" si="4"/>
        <v>-3.77</v>
      </c>
      <c r="N23" s="76"/>
      <c r="O23" s="77">
        <f t="shared" si="5"/>
        <v>-3.77</v>
      </c>
      <c r="P23" s="76"/>
      <c r="Q23" s="77">
        <f t="shared" si="6"/>
        <v>-3.77</v>
      </c>
      <c r="R23" s="121">
        <f t="shared" si="21"/>
        <v>3.79</v>
      </c>
      <c r="S23" s="77">
        <f t="shared" si="7"/>
        <v>2.0000000000000018E-2</v>
      </c>
      <c r="T23" s="76"/>
      <c r="U23" s="77">
        <f t="shared" si="8"/>
        <v>-3.77</v>
      </c>
      <c r="V23" s="76">
        <f t="shared" si="22"/>
        <v>3.6549999999999998</v>
      </c>
      <c r="W23" s="77">
        <f t="shared" si="9"/>
        <v>-0.11500000000000021</v>
      </c>
      <c r="X23" s="76">
        <f t="shared" si="23"/>
        <v>3.6</v>
      </c>
      <c r="Y23" s="77">
        <f t="shared" si="10"/>
        <v>-0.16999999999999993</v>
      </c>
      <c r="Z23" s="76"/>
      <c r="AA23" s="77">
        <f t="shared" si="11"/>
        <v>-3.77</v>
      </c>
      <c r="AB23" s="76"/>
      <c r="AC23" s="77">
        <f t="shared" si="12"/>
        <v>-3.77</v>
      </c>
      <c r="AD23" s="76"/>
      <c r="AE23" s="77">
        <f t="shared" si="13"/>
        <v>-3.77</v>
      </c>
      <c r="AF23" s="76">
        <f t="shared" si="20"/>
        <v>3.81</v>
      </c>
      <c r="AG23" s="77">
        <f t="shared" si="14"/>
        <v>4.0000000000000036E-2</v>
      </c>
      <c r="AH23" s="76"/>
      <c r="AI23" s="77">
        <f t="shared" si="15"/>
        <v>-3.77</v>
      </c>
      <c r="AJ23" s="76"/>
      <c r="AK23" s="77">
        <f t="shared" si="16"/>
        <v>-3.77</v>
      </c>
      <c r="AL23" s="76"/>
      <c r="AM23" s="77">
        <f t="shared" si="17"/>
        <v>-3.77</v>
      </c>
      <c r="AN23" s="76"/>
      <c r="AO23" s="77">
        <f t="shared" si="17"/>
        <v>-3.77</v>
      </c>
      <c r="AP23" s="76"/>
      <c r="AQ23" s="77">
        <f t="shared" si="18"/>
        <v>-3.77</v>
      </c>
      <c r="AR23" s="76"/>
      <c r="AS23" s="77">
        <f t="shared" si="19"/>
        <v>-3.77</v>
      </c>
      <c r="AT23" s="76"/>
      <c r="AU23" s="77">
        <f t="shared" si="19"/>
        <v>-3.77</v>
      </c>
    </row>
    <row r="24" spans="1:47" s="75" customFormat="1" x14ac:dyDescent="0.2">
      <c r="A24" s="74">
        <v>21</v>
      </c>
      <c r="B24" s="75" t="s">
        <v>45</v>
      </c>
      <c r="C24" s="76">
        <f>Summary!$D$2</f>
        <v>3.77</v>
      </c>
      <c r="D24" s="76"/>
      <c r="E24" s="77">
        <f t="shared" si="0"/>
        <v>-3.77</v>
      </c>
      <c r="F24" s="76"/>
      <c r="G24" s="77">
        <f t="shared" si="1"/>
        <v>-3.77</v>
      </c>
      <c r="H24" s="76"/>
      <c r="I24" s="77">
        <f t="shared" si="2"/>
        <v>-3.77</v>
      </c>
      <c r="J24" s="76"/>
      <c r="K24" s="77">
        <f t="shared" si="3"/>
        <v>-3.77</v>
      </c>
      <c r="L24" s="76"/>
      <c r="M24" s="77">
        <f t="shared" si="4"/>
        <v>-3.77</v>
      </c>
      <c r="N24" s="76"/>
      <c r="O24" s="77">
        <f t="shared" si="5"/>
        <v>-3.77</v>
      </c>
      <c r="P24" s="76"/>
      <c r="Q24" s="77">
        <f t="shared" si="6"/>
        <v>-3.77</v>
      </c>
      <c r="R24" s="121">
        <f t="shared" si="21"/>
        <v>3.79</v>
      </c>
      <c r="S24" s="77">
        <f t="shared" si="7"/>
        <v>2.0000000000000018E-2</v>
      </c>
      <c r="T24" s="76"/>
      <c r="U24" s="77">
        <f t="shared" si="8"/>
        <v>-3.77</v>
      </c>
      <c r="V24" s="76">
        <f t="shared" si="22"/>
        <v>3.6549999999999998</v>
      </c>
      <c r="W24" s="77">
        <f t="shared" si="9"/>
        <v>-0.11500000000000021</v>
      </c>
      <c r="X24" s="76">
        <f t="shared" si="23"/>
        <v>3.6</v>
      </c>
      <c r="Y24" s="77">
        <f t="shared" si="10"/>
        <v>-0.16999999999999993</v>
      </c>
      <c r="Z24" s="76"/>
      <c r="AA24" s="77">
        <f t="shared" si="11"/>
        <v>-3.77</v>
      </c>
      <c r="AB24" s="76"/>
      <c r="AC24" s="77">
        <f t="shared" si="12"/>
        <v>-3.77</v>
      </c>
      <c r="AD24" s="76"/>
      <c r="AE24" s="77">
        <f t="shared" si="13"/>
        <v>-3.77</v>
      </c>
      <c r="AF24" s="76">
        <f t="shared" si="20"/>
        <v>3.81</v>
      </c>
      <c r="AG24" s="77">
        <f t="shared" si="14"/>
        <v>4.0000000000000036E-2</v>
      </c>
      <c r="AH24" s="76"/>
      <c r="AI24" s="77">
        <f t="shared" si="15"/>
        <v>-3.77</v>
      </c>
      <c r="AJ24" s="76"/>
      <c r="AK24" s="77">
        <f t="shared" si="16"/>
        <v>-3.77</v>
      </c>
      <c r="AL24" s="76"/>
      <c r="AM24" s="77">
        <f t="shared" si="17"/>
        <v>-3.77</v>
      </c>
      <c r="AN24" s="76"/>
      <c r="AO24" s="77">
        <f t="shared" si="17"/>
        <v>-3.77</v>
      </c>
      <c r="AP24" s="76"/>
      <c r="AQ24" s="77">
        <f t="shared" si="18"/>
        <v>-3.77</v>
      </c>
      <c r="AR24" s="76"/>
      <c r="AS24" s="77">
        <f t="shared" si="19"/>
        <v>-3.77</v>
      </c>
      <c r="AT24" s="76"/>
      <c r="AU24" s="77">
        <f t="shared" si="19"/>
        <v>-3.77</v>
      </c>
    </row>
    <row r="25" spans="1:47" s="75" customFormat="1" x14ac:dyDescent="0.2">
      <c r="A25" s="74">
        <v>22</v>
      </c>
      <c r="B25" s="75" t="s">
        <v>45</v>
      </c>
      <c r="C25" s="76">
        <f>Summary!$D$2</f>
        <v>3.77</v>
      </c>
      <c r="D25" s="76"/>
      <c r="E25" s="77">
        <f t="shared" si="0"/>
        <v>-3.77</v>
      </c>
      <c r="F25" s="76"/>
      <c r="G25" s="77">
        <f t="shared" si="1"/>
        <v>-3.77</v>
      </c>
      <c r="H25" s="76"/>
      <c r="I25" s="77">
        <f t="shared" si="2"/>
        <v>-3.77</v>
      </c>
      <c r="J25" s="76"/>
      <c r="K25" s="77">
        <f t="shared" si="3"/>
        <v>-3.77</v>
      </c>
      <c r="L25" s="76"/>
      <c r="M25" s="77">
        <f t="shared" si="4"/>
        <v>-3.77</v>
      </c>
      <c r="N25" s="76"/>
      <c r="O25" s="77">
        <f t="shared" si="5"/>
        <v>-3.77</v>
      </c>
      <c r="P25" s="76"/>
      <c r="Q25" s="77">
        <f t="shared" si="6"/>
        <v>-3.77</v>
      </c>
      <c r="R25" s="121">
        <f t="shared" si="21"/>
        <v>3.79</v>
      </c>
      <c r="S25" s="77">
        <f t="shared" si="7"/>
        <v>2.0000000000000018E-2</v>
      </c>
      <c r="T25" s="76"/>
      <c r="U25" s="77">
        <f t="shared" si="8"/>
        <v>-3.77</v>
      </c>
      <c r="V25" s="76">
        <f t="shared" si="22"/>
        <v>3.6549999999999998</v>
      </c>
      <c r="W25" s="77">
        <f t="shared" si="9"/>
        <v>-0.11500000000000021</v>
      </c>
      <c r="X25" s="76">
        <f t="shared" si="23"/>
        <v>3.6</v>
      </c>
      <c r="Y25" s="77">
        <f t="shared" si="10"/>
        <v>-0.16999999999999993</v>
      </c>
      <c r="Z25" s="76"/>
      <c r="AA25" s="77">
        <f t="shared" si="11"/>
        <v>-3.77</v>
      </c>
      <c r="AB25" s="76"/>
      <c r="AC25" s="77">
        <f t="shared" si="12"/>
        <v>-3.77</v>
      </c>
      <c r="AD25" s="76"/>
      <c r="AE25" s="77">
        <f t="shared" si="13"/>
        <v>-3.77</v>
      </c>
      <c r="AF25" s="76">
        <f t="shared" si="20"/>
        <v>3.81</v>
      </c>
      <c r="AG25" s="77">
        <f t="shared" si="14"/>
        <v>4.0000000000000036E-2</v>
      </c>
      <c r="AH25" s="76"/>
      <c r="AI25" s="77">
        <f t="shared" si="15"/>
        <v>-3.77</v>
      </c>
      <c r="AJ25" s="76"/>
      <c r="AK25" s="77">
        <f t="shared" si="16"/>
        <v>-3.77</v>
      </c>
      <c r="AL25" s="76"/>
      <c r="AM25" s="77">
        <f t="shared" si="17"/>
        <v>-3.77</v>
      </c>
      <c r="AN25" s="76"/>
      <c r="AO25" s="77">
        <f t="shared" si="17"/>
        <v>-3.77</v>
      </c>
      <c r="AP25" s="76"/>
      <c r="AQ25" s="77">
        <f t="shared" si="18"/>
        <v>-3.77</v>
      </c>
      <c r="AR25" s="76"/>
      <c r="AS25" s="77">
        <f t="shared" si="19"/>
        <v>-3.77</v>
      </c>
      <c r="AT25" s="76"/>
      <c r="AU25" s="77">
        <f t="shared" si="19"/>
        <v>-3.77</v>
      </c>
    </row>
    <row r="26" spans="1:47" s="75" customFormat="1" x14ac:dyDescent="0.2">
      <c r="A26" s="74">
        <v>23</v>
      </c>
      <c r="B26" s="75" t="s">
        <v>45</v>
      </c>
      <c r="C26" s="76">
        <f>Summary!$D$2</f>
        <v>3.77</v>
      </c>
      <c r="D26" s="76"/>
      <c r="E26" s="77">
        <f t="shared" si="0"/>
        <v>-3.77</v>
      </c>
      <c r="F26" s="76"/>
      <c r="G26" s="77">
        <f t="shared" si="1"/>
        <v>-3.77</v>
      </c>
      <c r="H26" s="76"/>
      <c r="I26" s="77">
        <f t="shared" si="2"/>
        <v>-3.77</v>
      </c>
      <c r="J26" s="76"/>
      <c r="K26" s="77">
        <f t="shared" si="3"/>
        <v>-3.77</v>
      </c>
      <c r="L26" s="76"/>
      <c r="M26" s="77">
        <f t="shared" si="4"/>
        <v>-3.77</v>
      </c>
      <c r="N26" s="76"/>
      <c r="O26" s="77">
        <f t="shared" si="5"/>
        <v>-3.77</v>
      </c>
      <c r="P26" s="76"/>
      <c r="Q26" s="77">
        <f t="shared" si="6"/>
        <v>-3.77</v>
      </c>
      <c r="R26" s="121">
        <f t="shared" si="21"/>
        <v>3.79</v>
      </c>
      <c r="S26" s="77">
        <f t="shared" si="7"/>
        <v>2.0000000000000018E-2</v>
      </c>
      <c r="T26" s="76"/>
      <c r="U26" s="77">
        <f t="shared" si="8"/>
        <v>-3.77</v>
      </c>
      <c r="V26" s="76">
        <f t="shared" si="22"/>
        <v>3.6549999999999998</v>
      </c>
      <c r="W26" s="77">
        <f t="shared" si="9"/>
        <v>-0.11500000000000021</v>
      </c>
      <c r="X26" s="76">
        <f t="shared" si="23"/>
        <v>3.6</v>
      </c>
      <c r="Y26" s="77">
        <f t="shared" si="10"/>
        <v>-0.16999999999999993</v>
      </c>
      <c r="Z26" s="76"/>
      <c r="AA26" s="77">
        <f t="shared" si="11"/>
        <v>-3.77</v>
      </c>
      <c r="AB26" s="76"/>
      <c r="AC26" s="77">
        <f t="shared" si="12"/>
        <v>-3.77</v>
      </c>
      <c r="AD26" s="76"/>
      <c r="AE26" s="77">
        <f t="shared" si="13"/>
        <v>-3.77</v>
      </c>
      <c r="AF26" s="76">
        <f t="shared" si="20"/>
        <v>3.81</v>
      </c>
      <c r="AG26" s="77">
        <f t="shared" si="14"/>
        <v>4.0000000000000036E-2</v>
      </c>
      <c r="AH26" s="76"/>
      <c r="AI26" s="77">
        <f t="shared" si="15"/>
        <v>-3.77</v>
      </c>
      <c r="AJ26" s="76"/>
      <c r="AK26" s="77">
        <f t="shared" si="16"/>
        <v>-3.77</v>
      </c>
      <c r="AL26" s="76"/>
      <c r="AM26" s="77">
        <f t="shared" si="17"/>
        <v>-3.77</v>
      </c>
      <c r="AN26" s="76"/>
      <c r="AO26" s="77">
        <f t="shared" si="17"/>
        <v>-3.77</v>
      </c>
      <c r="AP26" s="76"/>
      <c r="AQ26" s="77">
        <f t="shared" si="18"/>
        <v>-3.77</v>
      </c>
      <c r="AR26" s="76"/>
      <c r="AS26" s="77">
        <f t="shared" si="19"/>
        <v>-3.77</v>
      </c>
      <c r="AT26" s="76"/>
      <c r="AU26" s="77">
        <f t="shared" si="19"/>
        <v>-3.77</v>
      </c>
    </row>
    <row r="27" spans="1:47" s="75" customFormat="1" x14ac:dyDescent="0.2">
      <c r="A27" s="74">
        <v>24</v>
      </c>
      <c r="B27" s="75" t="s">
        <v>45</v>
      </c>
      <c r="C27" s="76">
        <f>Summary!$D$2</f>
        <v>3.77</v>
      </c>
      <c r="D27" s="76"/>
      <c r="E27" s="77">
        <f t="shared" si="0"/>
        <v>-3.77</v>
      </c>
      <c r="F27" s="76"/>
      <c r="G27" s="77">
        <f t="shared" si="1"/>
        <v>-3.77</v>
      </c>
      <c r="H27" s="76"/>
      <c r="I27" s="77">
        <f t="shared" si="2"/>
        <v>-3.77</v>
      </c>
      <c r="J27" s="76"/>
      <c r="K27" s="77">
        <f t="shared" si="3"/>
        <v>-3.77</v>
      </c>
      <c r="L27" s="76"/>
      <c r="M27" s="77">
        <f t="shared" si="4"/>
        <v>-3.77</v>
      </c>
      <c r="N27" s="76"/>
      <c r="O27" s="77">
        <f t="shared" si="5"/>
        <v>-3.77</v>
      </c>
      <c r="P27" s="76"/>
      <c r="Q27" s="77">
        <f t="shared" si="6"/>
        <v>-3.77</v>
      </c>
      <c r="R27" s="121">
        <f t="shared" si="21"/>
        <v>3.79</v>
      </c>
      <c r="S27" s="77">
        <f t="shared" si="7"/>
        <v>2.0000000000000018E-2</v>
      </c>
      <c r="T27" s="76"/>
      <c r="U27" s="77">
        <f t="shared" si="8"/>
        <v>-3.77</v>
      </c>
      <c r="V27" s="76">
        <f t="shared" si="22"/>
        <v>3.6549999999999998</v>
      </c>
      <c r="W27" s="77">
        <f t="shared" si="9"/>
        <v>-0.11500000000000021</v>
      </c>
      <c r="X27" s="76">
        <f t="shared" si="23"/>
        <v>3.6</v>
      </c>
      <c r="Y27" s="77">
        <f t="shared" si="10"/>
        <v>-0.16999999999999993</v>
      </c>
      <c r="Z27" s="76"/>
      <c r="AA27" s="77">
        <f t="shared" si="11"/>
        <v>-3.77</v>
      </c>
      <c r="AB27" s="76"/>
      <c r="AC27" s="77">
        <f t="shared" si="12"/>
        <v>-3.77</v>
      </c>
      <c r="AD27" s="76"/>
      <c r="AE27" s="77">
        <f t="shared" si="13"/>
        <v>-3.77</v>
      </c>
      <c r="AF27" s="76">
        <f t="shared" si="20"/>
        <v>3.81</v>
      </c>
      <c r="AG27" s="77">
        <f t="shared" si="14"/>
        <v>4.0000000000000036E-2</v>
      </c>
      <c r="AH27" s="76"/>
      <c r="AI27" s="77">
        <f t="shared" si="15"/>
        <v>-3.77</v>
      </c>
      <c r="AJ27" s="76"/>
      <c r="AK27" s="77">
        <f t="shared" si="16"/>
        <v>-3.77</v>
      </c>
      <c r="AL27" s="76"/>
      <c r="AM27" s="77">
        <f t="shared" si="17"/>
        <v>-3.77</v>
      </c>
      <c r="AN27" s="76"/>
      <c r="AO27" s="77">
        <f t="shared" si="17"/>
        <v>-3.77</v>
      </c>
      <c r="AP27" s="76"/>
      <c r="AQ27" s="77">
        <f t="shared" si="18"/>
        <v>-3.77</v>
      </c>
      <c r="AR27" s="76"/>
      <c r="AS27" s="77">
        <f t="shared" si="19"/>
        <v>-3.77</v>
      </c>
      <c r="AT27" s="76"/>
      <c r="AU27" s="77">
        <f t="shared" si="19"/>
        <v>-3.77</v>
      </c>
    </row>
    <row r="28" spans="1:47" s="75" customFormat="1" x14ac:dyDescent="0.2">
      <c r="A28" s="74">
        <v>25</v>
      </c>
      <c r="B28" s="75" t="s">
        <v>45</v>
      </c>
      <c r="C28" s="76">
        <f>Summary!$D$2</f>
        <v>3.77</v>
      </c>
      <c r="D28" s="76"/>
      <c r="E28" s="77">
        <f t="shared" si="0"/>
        <v>-3.77</v>
      </c>
      <c r="F28" s="76"/>
      <c r="G28" s="77">
        <f t="shared" si="1"/>
        <v>-3.77</v>
      </c>
      <c r="H28" s="76"/>
      <c r="I28" s="77">
        <f t="shared" si="2"/>
        <v>-3.77</v>
      </c>
      <c r="J28" s="76"/>
      <c r="K28" s="77">
        <f t="shared" si="3"/>
        <v>-3.77</v>
      </c>
      <c r="L28" s="76"/>
      <c r="M28" s="77">
        <f t="shared" si="4"/>
        <v>-3.77</v>
      </c>
      <c r="N28" s="76"/>
      <c r="O28" s="77">
        <f t="shared" si="5"/>
        <v>-3.77</v>
      </c>
      <c r="P28" s="76"/>
      <c r="Q28" s="77">
        <f t="shared" si="6"/>
        <v>-3.77</v>
      </c>
      <c r="R28" s="121">
        <f t="shared" si="21"/>
        <v>3.79</v>
      </c>
      <c r="S28" s="77">
        <f t="shared" si="7"/>
        <v>2.0000000000000018E-2</v>
      </c>
      <c r="T28" s="76"/>
      <c r="U28" s="77">
        <f t="shared" si="8"/>
        <v>-3.77</v>
      </c>
      <c r="V28" s="76">
        <f t="shared" si="22"/>
        <v>3.6549999999999998</v>
      </c>
      <c r="W28" s="77">
        <f t="shared" si="9"/>
        <v>-0.11500000000000021</v>
      </c>
      <c r="X28" s="76">
        <f t="shared" si="23"/>
        <v>3.6</v>
      </c>
      <c r="Y28" s="77">
        <f t="shared" si="10"/>
        <v>-0.16999999999999993</v>
      </c>
      <c r="Z28" s="76"/>
      <c r="AA28" s="77">
        <f t="shared" si="11"/>
        <v>-3.77</v>
      </c>
      <c r="AB28" s="76"/>
      <c r="AC28" s="77">
        <f t="shared" si="12"/>
        <v>-3.77</v>
      </c>
      <c r="AD28" s="76"/>
      <c r="AE28" s="77">
        <f t="shared" si="13"/>
        <v>-3.77</v>
      </c>
      <c r="AF28" s="76">
        <f t="shared" si="20"/>
        <v>3.81</v>
      </c>
      <c r="AG28" s="77">
        <f t="shared" si="14"/>
        <v>4.0000000000000036E-2</v>
      </c>
      <c r="AH28" s="76"/>
      <c r="AI28" s="77">
        <f t="shared" si="15"/>
        <v>-3.77</v>
      </c>
      <c r="AJ28" s="76"/>
      <c r="AK28" s="77">
        <f t="shared" si="16"/>
        <v>-3.77</v>
      </c>
      <c r="AL28" s="76"/>
      <c r="AM28" s="77">
        <f t="shared" si="17"/>
        <v>-3.77</v>
      </c>
      <c r="AN28" s="76"/>
      <c r="AO28" s="77">
        <f t="shared" si="17"/>
        <v>-3.77</v>
      </c>
      <c r="AP28" s="76"/>
      <c r="AQ28" s="77">
        <f t="shared" si="18"/>
        <v>-3.77</v>
      </c>
      <c r="AR28" s="76"/>
      <c r="AS28" s="77">
        <f t="shared" si="19"/>
        <v>-3.77</v>
      </c>
      <c r="AT28" s="76"/>
      <c r="AU28" s="77">
        <f t="shared" si="19"/>
        <v>-3.77</v>
      </c>
    </row>
    <row r="29" spans="1:47" s="75" customFormat="1" x14ac:dyDescent="0.2">
      <c r="A29" s="74">
        <v>26</v>
      </c>
      <c r="B29" s="75" t="s">
        <v>45</v>
      </c>
      <c r="C29" s="76">
        <f>Summary!$D$2</f>
        <v>3.77</v>
      </c>
      <c r="D29" s="76"/>
      <c r="E29" s="77">
        <f t="shared" si="0"/>
        <v>-3.77</v>
      </c>
      <c r="F29" s="76"/>
      <c r="G29" s="77">
        <f t="shared" si="1"/>
        <v>-3.77</v>
      </c>
      <c r="H29" s="76"/>
      <c r="I29" s="77">
        <f t="shared" si="2"/>
        <v>-3.77</v>
      </c>
      <c r="J29" s="76"/>
      <c r="K29" s="77">
        <f t="shared" si="3"/>
        <v>-3.77</v>
      </c>
      <c r="L29" s="76"/>
      <c r="M29" s="77">
        <f t="shared" si="4"/>
        <v>-3.77</v>
      </c>
      <c r="N29" s="76"/>
      <c r="O29" s="77">
        <f t="shared" si="5"/>
        <v>-3.77</v>
      </c>
      <c r="P29" s="76"/>
      <c r="Q29" s="77">
        <f t="shared" si="6"/>
        <v>-3.77</v>
      </c>
      <c r="R29" s="121">
        <f t="shared" si="21"/>
        <v>3.79</v>
      </c>
      <c r="S29" s="77">
        <f t="shared" si="7"/>
        <v>2.0000000000000018E-2</v>
      </c>
      <c r="T29" s="76"/>
      <c r="U29" s="77">
        <f t="shared" si="8"/>
        <v>-3.77</v>
      </c>
      <c r="V29" s="76">
        <f t="shared" si="22"/>
        <v>3.6549999999999998</v>
      </c>
      <c r="W29" s="77">
        <f t="shared" si="9"/>
        <v>-0.11500000000000021</v>
      </c>
      <c r="X29" s="76">
        <f t="shared" si="23"/>
        <v>3.6</v>
      </c>
      <c r="Y29" s="77">
        <f t="shared" si="10"/>
        <v>-0.16999999999999993</v>
      </c>
      <c r="Z29" s="76"/>
      <c r="AA29" s="77">
        <f t="shared" si="11"/>
        <v>-3.77</v>
      </c>
      <c r="AB29" s="76"/>
      <c r="AC29" s="77">
        <f t="shared" si="12"/>
        <v>-3.77</v>
      </c>
      <c r="AD29" s="76"/>
      <c r="AE29" s="77">
        <f t="shared" si="13"/>
        <v>-3.77</v>
      </c>
      <c r="AF29" s="76">
        <f t="shared" si="20"/>
        <v>3.81</v>
      </c>
      <c r="AG29" s="77">
        <f t="shared" si="14"/>
        <v>4.0000000000000036E-2</v>
      </c>
      <c r="AH29" s="76"/>
      <c r="AI29" s="77">
        <f t="shared" si="15"/>
        <v>-3.77</v>
      </c>
      <c r="AJ29" s="76"/>
      <c r="AK29" s="77">
        <f t="shared" si="16"/>
        <v>-3.77</v>
      </c>
      <c r="AL29" s="76"/>
      <c r="AM29" s="77">
        <f t="shared" si="17"/>
        <v>-3.77</v>
      </c>
      <c r="AN29" s="76"/>
      <c r="AO29" s="77">
        <f t="shared" si="17"/>
        <v>-3.77</v>
      </c>
      <c r="AP29" s="76"/>
      <c r="AQ29" s="77">
        <f t="shared" si="18"/>
        <v>-3.77</v>
      </c>
      <c r="AR29" s="76"/>
      <c r="AS29" s="77">
        <f t="shared" si="19"/>
        <v>-3.77</v>
      </c>
      <c r="AT29" s="76"/>
      <c r="AU29" s="77">
        <f t="shared" si="19"/>
        <v>-3.77</v>
      </c>
    </row>
    <row r="30" spans="1:47" s="75" customFormat="1" x14ac:dyDescent="0.2">
      <c r="A30" s="74">
        <v>27</v>
      </c>
      <c r="B30" s="75" t="s">
        <v>45</v>
      </c>
      <c r="C30" s="76">
        <f>Summary!$D$2</f>
        <v>3.77</v>
      </c>
      <c r="D30" s="76"/>
      <c r="E30" s="77">
        <f t="shared" si="0"/>
        <v>-3.77</v>
      </c>
      <c r="F30" s="76"/>
      <c r="G30" s="77">
        <f t="shared" si="1"/>
        <v>-3.77</v>
      </c>
      <c r="H30" s="76"/>
      <c r="I30" s="77">
        <f t="shared" si="2"/>
        <v>-3.77</v>
      </c>
      <c r="J30" s="76"/>
      <c r="K30" s="77">
        <f t="shared" si="3"/>
        <v>-3.77</v>
      </c>
      <c r="L30" s="76"/>
      <c r="M30" s="77">
        <f t="shared" si="4"/>
        <v>-3.77</v>
      </c>
      <c r="N30" s="76"/>
      <c r="O30" s="77">
        <f t="shared" si="5"/>
        <v>-3.77</v>
      </c>
      <c r="P30" s="76"/>
      <c r="Q30" s="77">
        <f t="shared" si="6"/>
        <v>-3.77</v>
      </c>
      <c r="R30" s="121">
        <f t="shared" si="21"/>
        <v>3.79</v>
      </c>
      <c r="S30" s="77">
        <f t="shared" si="7"/>
        <v>2.0000000000000018E-2</v>
      </c>
      <c r="T30" s="76"/>
      <c r="U30" s="77">
        <f t="shared" si="8"/>
        <v>-3.77</v>
      </c>
      <c r="V30" s="76">
        <f t="shared" si="22"/>
        <v>3.6549999999999998</v>
      </c>
      <c r="W30" s="77">
        <f t="shared" si="9"/>
        <v>-0.11500000000000021</v>
      </c>
      <c r="X30" s="76">
        <f t="shared" si="23"/>
        <v>3.6</v>
      </c>
      <c r="Y30" s="77">
        <f t="shared" si="10"/>
        <v>-0.16999999999999993</v>
      </c>
      <c r="Z30" s="76"/>
      <c r="AA30" s="77">
        <f t="shared" si="11"/>
        <v>-3.77</v>
      </c>
      <c r="AB30" s="76"/>
      <c r="AC30" s="77">
        <f t="shared" si="12"/>
        <v>-3.77</v>
      </c>
      <c r="AD30" s="76"/>
      <c r="AE30" s="77">
        <f t="shared" si="13"/>
        <v>-3.77</v>
      </c>
      <c r="AF30" s="76">
        <f t="shared" si="20"/>
        <v>3.81</v>
      </c>
      <c r="AG30" s="77">
        <f t="shared" si="14"/>
        <v>4.0000000000000036E-2</v>
      </c>
      <c r="AH30" s="76"/>
      <c r="AI30" s="77">
        <f t="shared" si="15"/>
        <v>-3.77</v>
      </c>
      <c r="AJ30" s="76"/>
      <c r="AK30" s="77">
        <f t="shared" si="16"/>
        <v>-3.77</v>
      </c>
      <c r="AL30" s="76"/>
      <c r="AM30" s="77">
        <f t="shared" si="17"/>
        <v>-3.77</v>
      </c>
      <c r="AN30" s="76"/>
      <c r="AO30" s="77">
        <f t="shared" si="17"/>
        <v>-3.77</v>
      </c>
      <c r="AP30" s="76"/>
      <c r="AQ30" s="77">
        <f t="shared" si="18"/>
        <v>-3.77</v>
      </c>
      <c r="AR30" s="76"/>
      <c r="AS30" s="77">
        <f t="shared" si="19"/>
        <v>-3.77</v>
      </c>
      <c r="AT30" s="76"/>
      <c r="AU30" s="77">
        <f t="shared" si="19"/>
        <v>-3.77</v>
      </c>
    </row>
    <row r="31" spans="1:47" s="75" customFormat="1" x14ac:dyDescent="0.2">
      <c r="A31" s="74">
        <v>28</v>
      </c>
      <c r="B31" s="75" t="s">
        <v>44</v>
      </c>
      <c r="C31" s="76">
        <f>Summary!$D$2</f>
        <v>3.77</v>
      </c>
      <c r="D31" s="76"/>
      <c r="E31" s="77">
        <f t="shared" si="0"/>
        <v>-3.77</v>
      </c>
      <c r="F31" s="76"/>
      <c r="G31" s="77">
        <f t="shared" si="1"/>
        <v>-3.77</v>
      </c>
      <c r="H31" s="76"/>
      <c r="I31" s="77">
        <f t="shared" si="2"/>
        <v>-3.77</v>
      </c>
      <c r="J31" s="76"/>
      <c r="K31" s="77">
        <f t="shared" si="3"/>
        <v>-3.77</v>
      </c>
      <c r="L31" s="76"/>
      <c r="M31" s="77">
        <f t="shared" si="4"/>
        <v>-3.77</v>
      </c>
      <c r="N31" s="76"/>
      <c r="O31" s="77">
        <f t="shared" si="5"/>
        <v>-3.77</v>
      </c>
      <c r="P31" s="76"/>
      <c r="Q31" s="77">
        <f t="shared" si="6"/>
        <v>-3.77</v>
      </c>
      <c r="R31" s="121">
        <f t="shared" si="21"/>
        <v>3.79</v>
      </c>
      <c r="S31" s="77">
        <f t="shared" si="7"/>
        <v>2.0000000000000018E-2</v>
      </c>
      <c r="T31" s="76"/>
      <c r="U31" s="77">
        <f t="shared" si="8"/>
        <v>-3.77</v>
      </c>
      <c r="V31" s="76">
        <f t="shared" si="22"/>
        <v>3.6549999999999998</v>
      </c>
      <c r="W31" s="77">
        <f t="shared" si="9"/>
        <v>-0.11500000000000021</v>
      </c>
      <c r="X31" s="76">
        <f t="shared" si="23"/>
        <v>3.6</v>
      </c>
      <c r="Y31" s="77">
        <f t="shared" si="10"/>
        <v>-0.16999999999999993</v>
      </c>
      <c r="Z31" s="76"/>
      <c r="AA31" s="77">
        <f t="shared" si="11"/>
        <v>-3.77</v>
      </c>
      <c r="AB31" s="76"/>
      <c r="AC31" s="77">
        <f t="shared" si="12"/>
        <v>-3.77</v>
      </c>
      <c r="AD31" s="76"/>
      <c r="AE31" s="77">
        <f t="shared" si="13"/>
        <v>-3.77</v>
      </c>
      <c r="AF31" s="76">
        <f t="shared" si="20"/>
        <v>3.81</v>
      </c>
      <c r="AG31" s="77">
        <f t="shared" si="14"/>
        <v>4.0000000000000036E-2</v>
      </c>
      <c r="AH31" s="76"/>
      <c r="AI31" s="77">
        <f t="shared" si="15"/>
        <v>-3.77</v>
      </c>
      <c r="AJ31" s="76"/>
      <c r="AK31" s="77">
        <f t="shared" si="16"/>
        <v>-3.77</v>
      </c>
      <c r="AL31" s="76"/>
      <c r="AM31" s="77">
        <f t="shared" si="17"/>
        <v>-3.77</v>
      </c>
      <c r="AN31" s="76"/>
      <c r="AO31" s="77">
        <f t="shared" si="17"/>
        <v>-3.77</v>
      </c>
      <c r="AP31" s="76"/>
      <c r="AQ31" s="77">
        <f t="shared" si="18"/>
        <v>-3.77</v>
      </c>
      <c r="AR31" s="76"/>
      <c r="AS31" s="77">
        <f t="shared" si="19"/>
        <v>-3.77</v>
      </c>
      <c r="AT31" s="76"/>
      <c r="AU31" s="77">
        <f t="shared" si="19"/>
        <v>-3.77</v>
      </c>
    </row>
    <row r="32" spans="1:47" s="75" customFormat="1" x14ac:dyDescent="0.2">
      <c r="A32" s="74">
        <v>29</v>
      </c>
      <c r="B32" s="75" t="s">
        <v>45</v>
      </c>
      <c r="C32" s="76">
        <f>Summary!$D$2</f>
        <v>3.77</v>
      </c>
      <c r="D32" s="76"/>
      <c r="E32" s="77">
        <f t="shared" si="0"/>
        <v>-3.77</v>
      </c>
      <c r="F32" s="76"/>
      <c r="G32" s="77">
        <f t="shared" si="1"/>
        <v>-3.77</v>
      </c>
      <c r="H32" s="76"/>
      <c r="I32" s="77">
        <f t="shared" si="2"/>
        <v>-3.77</v>
      </c>
      <c r="J32" s="76"/>
      <c r="K32" s="77">
        <f t="shared" si="3"/>
        <v>-3.77</v>
      </c>
      <c r="L32" s="76"/>
      <c r="M32" s="77">
        <f t="shared" si="4"/>
        <v>-3.77</v>
      </c>
      <c r="N32" s="76"/>
      <c r="O32" s="77">
        <f t="shared" si="5"/>
        <v>-3.77</v>
      </c>
      <c r="P32" s="76"/>
      <c r="Q32" s="77">
        <f t="shared" si="6"/>
        <v>-3.77</v>
      </c>
      <c r="R32" s="121">
        <f t="shared" si="21"/>
        <v>3.79</v>
      </c>
      <c r="S32" s="77">
        <f t="shared" si="7"/>
        <v>2.0000000000000018E-2</v>
      </c>
      <c r="T32" s="76"/>
      <c r="U32" s="77">
        <f t="shared" si="8"/>
        <v>-3.77</v>
      </c>
      <c r="V32" s="76">
        <f t="shared" si="22"/>
        <v>3.6549999999999998</v>
      </c>
      <c r="W32" s="77">
        <f t="shared" si="9"/>
        <v>-0.11500000000000021</v>
      </c>
      <c r="X32" s="76">
        <f t="shared" si="23"/>
        <v>3.6</v>
      </c>
      <c r="Y32" s="77">
        <f t="shared" si="10"/>
        <v>-0.16999999999999993</v>
      </c>
      <c r="Z32" s="76"/>
      <c r="AA32" s="77">
        <f t="shared" si="11"/>
        <v>-3.77</v>
      </c>
      <c r="AB32" s="76"/>
      <c r="AC32" s="77">
        <f t="shared" si="12"/>
        <v>-3.77</v>
      </c>
      <c r="AD32" s="76"/>
      <c r="AE32" s="77">
        <f t="shared" si="13"/>
        <v>-3.77</v>
      </c>
      <c r="AF32" s="76">
        <f t="shared" si="20"/>
        <v>3.81</v>
      </c>
      <c r="AG32" s="77">
        <f t="shared" si="14"/>
        <v>4.0000000000000036E-2</v>
      </c>
      <c r="AH32" s="76"/>
      <c r="AI32" s="77">
        <f t="shared" si="15"/>
        <v>-3.77</v>
      </c>
      <c r="AJ32" s="76"/>
      <c r="AK32" s="77">
        <f t="shared" si="16"/>
        <v>-3.77</v>
      </c>
      <c r="AL32" s="76"/>
      <c r="AM32" s="77">
        <f t="shared" si="17"/>
        <v>-3.77</v>
      </c>
      <c r="AN32" s="76"/>
      <c r="AO32" s="77">
        <f t="shared" si="17"/>
        <v>-3.77</v>
      </c>
      <c r="AP32" s="76"/>
      <c r="AQ32" s="77">
        <f t="shared" si="18"/>
        <v>-3.77</v>
      </c>
      <c r="AR32" s="76"/>
      <c r="AS32" s="77">
        <f t="shared" si="19"/>
        <v>-3.77</v>
      </c>
      <c r="AT32" s="76"/>
      <c r="AU32" s="77">
        <f t="shared" si="19"/>
        <v>-3.77</v>
      </c>
    </row>
    <row r="33" spans="1:47" s="75" customFormat="1" x14ac:dyDescent="0.2">
      <c r="A33" s="74">
        <v>30</v>
      </c>
      <c r="B33" s="75" t="s">
        <v>46</v>
      </c>
      <c r="C33" s="76">
        <f>Summary!$D$2</f>
        <v>3.77</v>
      </c>
      <c r="D33" s="76"/>
      <c r="E33" s="77">
        <f t="shared" si="0"/>
        <v>-3.77</v>
      </c>
      <c r="F33" s="76"/>
      <c r="G33" s="77">
        <f t="shared" si="1"/>
        <v>-3.77</v>
      </c>
      <c r="H33" s="76">
        <v>0</v>
      </c>
      <c r="I33" s="77">
        <f t="shared" si="2"/>
        <v>-3.77</v>
      </c>
      <c r="J33" s="76"/>
      <c r="K33" s="77">
        <f t="shared" si="3"/>
        <v>-3.77</v>
      </c>
      <c r="L33" s="76"/>
      <c r="M33" s="77">
        <f t="shared" si="4"/>
        <v>-3.77</v>
      </c>
      <c r="N33" s="76">
        <f>C33-0.15</f>
        <v>3.62</v>
      </c>
      <c r="O33" s="77">
        <f t="shared" si="5"/>
        <v>-0.14999999999999991</v>
      </c>
      <c r="P33" s="76"/>
      <c r="Q33" s="77">
        <f t="shared" si="6"/>
        <v>-3.77</v>
      </c>
      <c r="R33" s="121">
        <f t="shared" si="21"/>
        <v>3.79</v>
      </c>
      <c r="S33" s="77">
        <f t="shared" si="7"/>
        <v>2.0000000000000018E-2</v>
      </c>
      <c r="T33" s="76"/>
      <c r="U33" s="77">
        <f t="shared" si="8"/>
        <v>-3.77</v>
      </c>
      <c r="V33" s="76">
        <f t="shared" si="22"/>
        <v>3.6549999999999998</v>
      </c>
      <c r="W33" s="77">
        <f t="shared" si="9"/>
        <v>-0.11500000000000021</v>
      </c>
      <c r="X33" s="76">
        <f t="shared" si="23"/>
        <v>3.6</v>
      </c>
      <c r="Y33" s="77">
        <f t="shared" si="10"/>
        <v>-0.16999999999999993</v>
      </c>
      <c r="Z33" s="76">
        <v>0</v>
      </c>
      <c r="AA33" s="77">
        <f t="shared" si="11"/>
        <v>-3.77</v>
      </c>
      <c r="AB33" s="76"/>
      <c r="AC33" s="77">
        <f t="shared" si="12"/>
        <v>-3.77</v>
      </c>
      <c r="AD33" s="76"/>
      <c r="AE33" s="77">
        <f t="shared" si="13"/>
        <v>-3.77</v>
      </c>
      <c r="AF33" s="76">
        <f t="shared" si="20"/>
        <v>3.81</v>
      </c>
      <c r="AG33" s="77">
        <f t="shared" si="14"/>
        <v>4.0000000000000036E-2</v>
      </c>
      <c r="AH33" s="76"/>
      <c r="AI33" s="77">
        <f t="shared" si="15"/>
        <v>-3.77</v>
      </c>
      <c r="AJ33" s="76"/>
      <c r="AK33" s="77">
        <f t="shared" si="16"/>
        <v>-3.77</v>
      </c>
      <c r="AL33" s="76">
        <v>0</v>
      </c>
      <c r="AM33" s="77">
        <f t="shared" si="17"/>
        <v>-3.77</v>
      </c>
      <c r="AN33" s="76"/>
      <c r="AO33" s="77">
        <f t="shared" si="17"/>
        <v>-3.77</v>
      </c>
      <c r="AP33" s="76"/>
      <c r="AQ33" s="77">
        <f t="shared" si="18"/>
        <v>-3.77</v>
      </c>
      <c r="AR33" s="76"/>
      <c r="AS33" s="77">
        <f t="shared" si="19"/>
        <v>-3.77</v>
      </c>
      <c r="AT33" s="76"/>
      <c r="AU33" s="77">
        <f t="shared" si="19"/>
        <v>-3.77</v>
      </c>
    </row>
    <row r="34" spans="1:47" s="109" customFormat="1" x14ac:dyDescent="0.2">
      <c r="A34" s="74">
        <v>31</v>
      </c>
      <c r="B34" s="109" t="s">
        <v>47</v>
      </c>
      <c r="C34" s="76"/>
      <c r="D34" s="76"/>
      <c r="E34" s="77" t="str">
        <f t="shared" si="0"/>
        <v/>
      </c>
      <c r="F34" s="76"/>
      <c r="G34" s="77" t="str">
        <f t="shared" si="1"/>
        <v/>
      </c>
      <c r="H34" s="76">
        <v>0</v>
      </c>
      <c r="I34" s="77" t="str">
        <f t="shared" si="2"/>
        <v/>
      </c>
      <c r="J34" s="76">
        <f>C34-0.06</f>
        <v>-0.06</v>
      </c>
      <c r="K34" s="77">
        <f t="shared" si="3"/>
        <v>-0.06</v>
      </c>
      <c r="L34" s="76">
        <v>0</v>
      </c>
      <c r="M34" s="77" t="str">
        <f t="shared" si="4"/>
        <v/>
      </c>
      <c r="N34" s="76">
        <f>C34-0.06</f>
        <v>-0.06</v>
      </c>
      <c r="O34" s="77">
        <f t="shared" si="5"/>
        <v>-0.06</v>
      </c>
      <c r="P34" s="76"/>
      <c r="Q34" s="77" t="str">
        <f t="shared" si="6"/>
        <v/>
      </c>
      <c r="R34" s="121">
        <f t="shared" si="21"/>
        <v>0.02</v>
      </c>
      <c r="S34" s="77">
        <f t="shared" si="7"/>
        <v>0.02</v>
      </c>
      <c r="T34" s="76">
        <v>0</v>
      </c>
      <c r="U34" s="77" t="str">
        <f t="shared" si="8"/>
        <v/>
      </c>
      <c r="V34" s="76">
        <f t="shared" si="22"/>
        <v>-0.115</v>
      </c>
      <c r="W34" s="77">
        <f t="shared" si="9"/>
        <v>-0.115</v>
      </c>
      <c r="X34" s="76">
        <f>C34-0.2</f>
        <v>-0.2</v>
      </c>
      <c r="Y34" s="77">
        <f t="shared" si="10"/>
        <v>-0.2</v>
      </c>
      <c r="Z34" s="76">
        <v>0</v>
      </c>
      <c r="AA34" s="77" t="str">
        <f t="shared" si="11"/>
        <v/>
      </c>
      <c r="AB34" s="76">
        <v>0</v>
      </c>
      <c r="AC34" s="77" t="str">
        <f t="shared" si="12"/>
        <v/>
      </c>
      <c r="AD34" s="76">
        <v>0</v>
      </c>
      <c r="AE34" s="77" t="str">
        <f t="shared" si="13"/>
        <v/>
      </c>
      <c r="AF34" s="76">
        <f t="shared" si="20"/>
        <v>0.04</v>
      </c>
      <c r="AG34" s="77">
        <f t="shared" si="14"/>
        <v>0.04</v>
      </c>
      <c r="AH34" s="76">
        <v>0</v>
      </c>
      <c r="AI34" s="77" t="str">
        <f t="shared" si="15"/>
        <v/>
      </c>
      <c r="AJ34" s="76">
        <v>0</v>
      </c>
      <c r="AK34" s="77" t="str">
        <f t="shared" si="16"/>
        <v/>
      </c>
      <c r="AL34" s="76">
        <v>0</v>
      </c>
      <c r="AM34" s="77" t="str">
        <f t="shared" si="17"/>
        <v/>
      </c>
      <c r="AN34" s="76"/>
      <c r="AO34" s="77" t="str">
        <f t="shared" si="17"/>
        <v/>
      </c>
      <c r="AP34" s="76"/>
      <c r="AQ34" s="77" t="str">
        <f t="shared" si="18"/>
        <v/>
      </c>
      <c r="AR34" s="76"/>
      <c r="AS34" s="77" t="str">
        <f t="shared" si="19"/>
        <v/>
      </c>
      <c r="AT34" s="76">
        <v>0</v>
      </c>
      <c r="AU34" s="77" t="str">
        <f t="shared" si="19"/>
        <v/>
      </c>
    </row>
    <row r="35" spans="1:47" x14ac:dyDescent="0.2">
      <c r="D35" s="58"/>
      <c r="E35" s="59"/>
      <c r="F35" s="60"/>
      <c r="G35" s="59"/>
      <c r="H35" s="58"/>
      <c r="I35" s="59"/>
      <c r="J35" s="58"/>
      <c r="K35" s="59"/>
      <c r="L35" s="58"/>
      <c r="M35" s="59"/>
      <c r="N35" s="58"/>
      <c r="O35" s="59"/>
      <c r="P35" s="61"/>
      <c r="Q35" s="59"/>
      <c r="R35" s="61"/>
      <c r="S35" s="59"/>
      <c r="T35" s="62"/>
      <c r="U35" s="59"/>
      <c r="V35" s="62"/>
      <c r="W35" s="59"/>
      <c r="X35" s="58"/>
      <c r="Y35" s="59"/>
      <c r="Z35" s="58"/>
      <c r="AA35" s="59"/>
      <c r="AB35" s="58"/>
      <c r="AC35" s="59"/>
      <c r="AD35" s="58"/>
      <c r="AE35" s="59"/>
      <c r="AF35" s="58"/>
      <c r="AG35" s="59"/>
      <c r="AH35" s="58"/>
      <c r="AI35" s="59"/>
      <c r="AJ35" s="58"/>
      <c r="AK35" s="59"/>
      <c r="AL35" s="58"/>
      <c r="AM35" s="59"/>
      <c r="AN35" s="58"/>
      <c r="AO35" s="59"/>
      <c r="AP35" s="58"/>
      <c r="AQ35" s="59"/>
      <c r="AR35" s="58"/>
      <c r="AS35" s="59"/>
      <c r="AT35" s="58"/>
      <c r="AU35" s="59"/>
    </row>
    <row r="36" spans="1:47" x14ac:dyDescent="0.2">
      <c r="A36" s="63" t="s">
        <v>48</v>
      </c>
      <c r="C36" s="64">
        <f>AVERAGE(C4:C34)</f>
        <v>3.7564999999999986</v>
      </c>
      <c r="D36" s="64">
        <f t="shared" ref="D36:AL36" si="24">AVERAGE(D4:D34)</f>
        <v>3.6724999999999994</v>
      </c>
      <c r="E36" s="65"/>
      <c r="F36" s="64">
        <f t="shared" si="24"/>
        <v>3.7583333333333329</v>
      </c>
      <c r="G36" s="65"/>
      <c r="H36" s="64">
        <f t="shared" si="24"/>
        <v>2.8024999999999998</v>
      </c>
      <c r="I36" s="65"/>
      <c r="J36" s="64">
        <f t="shared" si="24"/>
        <v>3.1964285714285716</v>
      </c>
      <c r="K36" s="65"/>
      <c r="L36" s="64">
        <f t="shared" si="24"/>
        <v>3.1757142857142853</v>
      </c>
      <c r="M36" s="65"/>
      <c r="N36" s="64">
        <f t="shared" si="24"/>
        <v>3.1981250000000006</v>
      </c>
      <c r="O36" s="65"/>
      <c r="P36" s="64">
        <f t="shared" si="24"/>
        <v>3.688333333333333</v>
      </c>
      <c r="Q36" s="65"/>
      <c r="R36" s="64">
        <f t="shared" si="24"/>
        <v>3.6532258064516152</v>
      </c>
      <c r="S36" s="65"/>
      <c r="T36" s="64">
        <f t="shared" si="24"/>
        <v>3.2114285714285713</v>
      </c>
      <c r="U36" s="65"/>
      <c r="V36" s="64">
        <f t="shared" si="24"/>
        <v>3.5070967741935495</v>
      </c>
      <c r="W36" s="65"/>
      <c r="X36" s="64">
        <f t="shared" si="24"/>
        <v>3.4501724137931018</v>
      </c>
      <c r="Y36" s="65"/>
      <c r="Z36" s="64">
        <f t="shared" si="24"/>
        <v>2.8156250000000003</v>
      </c>
      <c r="AA36" s="65"/>
      <c r="AB36" s="64">
        <f t="shared" si="24"/>
        <v>3.1778571428571429</v>
      </c>
      <c r="AC36" s="65"/>
      <c r="AD36" s="64">
        <f t="shared" si="24"/>
        <v>3.1678571428571431</v>
      </c>
      <c r="AE36" s="65"/>
      <c r="AF36" s="64">
        <f t="shared" si="24"/>
        <v>3.6783870967741952</v>
      </c>
      <c r="AG36" s="65"/>
      <c r="AH36" s="64">
        <f t="shared" si="24"/>
        <v>3.3099999999999996</v>
      </c>
      <c r="AI36" s="65"/>
      <c r="AJ36" s="64">
        <f t="shared" si="24"/>
        <v>3.3985714285714286</v>
      </c>
      <c r="AK36" s="65"/>
      <c r="AL36" s="64">
        <f t="shared" si="24"/>
        <v>3.0031250000000003</v>
      </c>
      <c r="AM36" s="65"/>
      <c r="AN36" s="64">
        <f>AVERAGE(AN4:AN34)</f>
        <v>3.9533333333333331</v>
      </c>
      <c r="AO36" s="65"/>
      <c r="AP36" s="64">
        <f>AVERAGE(AP4:AP34)</f>
        <v>4.0133333333333336</v>
      </c>
      <c r="AQ36" s="65"/>
      <c r="AR36" s="64">
        <f>AVERAGE(AR4:AR34)</f>
        <v>4.020833333333333</v>
      </c>
      <c r="AS36" s="65"/>
      <c r="AT36" s="64">
        <f>AVERAGE(AT4:AT34)</f>
        <v>3.2735714285714286</v>
      </c>
      <c r="AU36" s="65"/>
    </row>
    <row r="37" spans="1:47" x14ac:dyDescent="0.2">
      <c r="A37" s="66" t="s">
        <v>49</v>
      </c>
      <c r="C37" s="64">
        <f>+C36-(+$C$36)</f>
        <v>0</v>
      </c>
      <c r="D37" s="64">
        <f t="shared" ref="D37:J37" si="25">+D36-(+$C$36)</f>
        <v>-8.3999999999999186E-2</v>
      </c>
      <c r="E37" s="65"/>
      <c r="F37" s="64">
        <f t="shared" si="25"/>
        <v>1.8333333333342416E-3</v>
      </c>
      <c r="G37" s="65"/>
      <c r="H37" s="64">
        <f t="shared" si="25"/>
        <v>-0.95399999999999885</v>
      </c>
      <c r="I37" s="65"/>
      <c r="J37" s="64">
        <f t="shared" si="25"/>
        <v>-0.560071428571427</v>
      </c>
      <c r="K37" s="65"/>
      <c r="L37" s="64">
        <f>+L36-(+$C$36)</f>
        <v>-0.58078571428571335</v>
      </c>
      <c r="M37" s="65"/>
      <c r="N37" s="64">
        <f>+N36-(+$C$36)</f>
        <v>-0.55837499999999807</v>
      </c>
      <c r="O37" s="65"/>
      <c r="P37" s="64">
        <f>+P36-(+$C$36)</f>
        <v>-6.8166666666665598E-2</v>
      </c>
      <c r="Q37" s="65"/>
      <c r="R37" s="64">
        <f>+R36-(+$C$36)</f>
        <v>-0.10327419354838341</v>
      </c>
      <c r="S37" s="65"/>
      <c r="T37" s="64">
        <f>+T36-(+$C$36)</f>
        <v>-0.54507142857142732</v>
      </c>
      <c r="U37" s="65"/>
      <c r="V37" s="64">
        <f>+V36-(+$C$36)</f>
        <v>-0.24940322580644914</v>
      </c>
      <c r="W37" s="65"/>
      <c r="X37" s="64">
        <f>+X36-(+$C$36)</f>
        <v>-0.30632758620689682</v>
      </c>
      <c r="Y37" s="65"/>
      <c r="Z37" s="64">
        <f>+Z36-(+$C$36)</f>
        <v>-0.94087499999999835</v>
      </c>
      <c r="AA37" s="65"/>
      <c r="AB37" s="64">
        <f>+AB36-(+$C$36)</f>
        <v>-0.57864285714285568</v>
      </c>
      <c r="AC37" s="65"/>
      <c r="AD37" s="64">
        <f>+AD36-(+$C$36)</f>
        <v>-0.58864285714285547</v>
      </c>
      <c r="AE37" s="65"/>
      <c r="AF37" s="64">
        <f>+AF36-(+$C$36)</f>
        <v>-7.8112903225803443E-2</v>
      </c>
      <c r="AG37" s="65"/>
      <c r="AH37" s="64">
        <f>+AH36-(+$C$36)</f>
        <v>-0.44649999999999901</v>
      </c>
      <c r="AI37" s="65"/>
      <c r="AJ37" s="64">
        <f>+AJ36-(+$C$36)</f>
        <v>-0.35792857142857004</v>
      </c>
      <c r="AK37" s="65"/>
      <c r="AL37" s="64">
        <f>+AL36-(+$C$36)</f>
        <v>-0.75337499999999835</v>
      </c>
      <c r="AM37" s="65"/>
      <c r="AN37" s="64">
        <f>+AN36-(+$C$36)</f>
        <v>0.19683333333333453</v>
      </c>
      <c r="AO37" s="65"/>
      <c r="AP37" s="64">
        <f>+AP36-(+$C$36)</f>
        <v>0.25683333333333502</v>
      </c>
      <c r="AQ37" s="65"/>
      <c r="AR37" s="64">
        <f>+AR36-(+$C$36)</f>
        <v>0.26433333333333442</v>
      </c>
      <c r="AS37" s="65"/>
      <c r="AT37" s="64">
        <f>+AT36-(+$C$36)</f>
        <v>-0.48292857142857004</v>
      </c>
      <c r="AU37" s="65"/>
    </row>
    <row r="38" spans="1:47" x14ac:dyDescent="0.2">
      <c r="A38" s="66" t="s">
        <v>50</v>
      </c>
      <c r="C38" s="64">
        <f>-C4+C36</f>
        <v>2.6499999999998636E-2</v>
      </c>
      <c r="D38" s="64">
        <f>-D4+D36</f>
        <v>3.6724999999999994</v>
      </c>
      <c r="E38" s="65"/>
      <c r="F38" s="64">
        <f>-F4+F36</f>
        <v>3.7583333333333329</v>
      </c>
      <c r="G38" s="65"/>
      <c r="H38" s="64">
        <f>-H4+H36</f>
        <v>2.8024999999999998</v>
      </c>
      <c r="I38" s="65"/>
      <c r="J38" s="64">
        <f>-J4+J36</f>
        <v>3.1964285714285716</v>
      </c>
      <c r="K38" s="65"/>
      <c r="L38" s="64">
        <f t="shared" ref="L38:AL38" si="26">-L4+L36</f>
        <v>3.1757142857142853</v>
      </c>
      <c r="M38" s="65"/>
      <c r="N38" s="64">
        <f t="shared" si="26"/>
        <v>3.1981250000000006</v>
      </c>
      <c r="O38" s="65"/>
      <c r="P38" s="64">
        <f t="shared" si="26"/>
        <v>3.688333333333333</v>
      </c>
      <c r="Q38" s="65"/>
      <c r="R38" s="64">
        <f t="shared" si="26"/>
        <v>-0.17677419354838486</v>
      </c>
      <c r="S38" s="65"/>
      <c r="T38" s="64">
        <f t="shared" si="26"/>
        <v>3.2114285714285713</v>
      </c>
      <c r="U38" s="65"/>
      <c r="V38" s="64">
        <f t="shared" si="26"/>
        <v>-0.12290322580645041</v>
      </c>
      <c r="W38" s="65"/>
      <c r="X38" s="64">
        <f t="shared" si="26"/>
        <v>3.4501724137931018</v>
      </c>
      <c r="Y38" s="65"/>
      <c r="Z38" s="64">
        <f t="shared" si="26"/>
        <v>2.8156250000000003</v>
      </c>
      <c r="AA38" s="65"/>
      <c r="AB38" s="64">
        <f t="shared" si="26"/>
        <v>3.1778571428571429</v>
      </c>
      <c r="AC38" s="65"/>
      <c r="AD38" s="64">
        <f t="shared" si="26"/>
        <v>3.1678571428571431</v>
      </c>
      <c r="AE38" s="65"/>
      <c r="AF38" s="64">
        <f t="shared" si="26"/>
        <v>-0.1516129032258049</v>
      </c>
      <c r="AG38" s="65"/>
      <c r="AH38" s="64">
        <f t="shared" si="26"/>
        <v>3.3099999999999996</v>
      </c>
      <c r="AI38" s="65"/>
      <c r="AJ38" s="64">
        <f t="shared" si="26"/>
        <v>3.3985714285714286</v>
      </c>
      <c r="AK38" s="65"/>
      <c r="AL38" s="64">
        <f t="shared" si="26"/>
        <v>3.0031250000000003</v>
      </c>
      <c r="AM38" s="65"/>
      <c r="AN38" s="64">
        <f>-AN4+AN36</f>
        <v>3.9533333333333331</v>
      </c>
      <c r="AO38" s="65"/>
      <c r="AP38" s="64">
        <f>-AP4+AP36</f>
        <v>4.0133333333333336</v>
      </c>
      <c r="AQ38" s="65"/>
      <c r="AR38" s="64">
        <f>-AR4+AR36</f>
        <v>4.020833333333333</v>
      </c>
      <c r="AS38" s="65"/>
      <c r="AT38" s="64">
        <f>-AT4+AT36</f>
        <v>3.2735714285714286</v>
      </c>
      <c r="AU38" s="65"/>
    </row>
    <row r="39" spans="1:47" x14ac:dyDescent="0.2">
      <c r="A39" s="67" t="s">
        <v>51</v>
      </c>
      <c r="C39" s="68">
        <f ca="1">((INDIRECT(C$56&amp;ROW(C$4)-1+COUNTA(C$4:C$34)))+(INDIRECT(C$56&amp;ROW(C$4)-2+COUNTA(C$4:C$34)))+(INDIRECT(C$56&amp;ROW(C$4)-3+COUNTA(C$4:C$34))))/3</f>
        <v>3.77</v>
      </c>
      <c r="D39" s="68">
        <f ca="1">((INDIRECT(D$56&amp;ROW(D$4)-1+COUNTA(D$4:D$34)))+(INDIRECT(D$56&amp;ROW(D$4)-2+COUNTA(D$4:D$34)))+(INDIRECT(D$56&amp;ROW(D$4)-3+COUNTA(D$4:D$34))))/3</f>
        <v>3.7550000000000003</v>
      </c>
      <c r="E39" s="65"/>
      <c r="F39" s="68">
        <f ca="1">((INDIRECT(F$56&amp;ROW(F$4)-1+COUNTA(F$4:F$34)))+(INDIRECT(F$56&amp;ROW(F$4)-2+COUNTA(F$4:F$34)))+(INDIRECT(F$56&amp;ROW(F$4)-3+COUNTA(F$4:F$34))))/3</f>
        <v>3.8433333333333337</v>
      </c>
      <c r="G39" s="65"/>
      <c r="H39" s="68">
        <f ca="1">((INDIRECT(F$56&amp;ROW(H$4)-1+COUNTA(H$4:H$34)))+(INDIRECT(F$56&amp;ROW(H$4)-2+COUNTA(H$4:H$34)))+(INDIRECT(F$56&amp;ROW(H$4)-3+COUNTA(H$4:H$34))))/3</f>
        <v>2.5633333333333335</v>
      </c>
      <c r="I39" s="65"/>
      <c r="J39" s="68">
        <f ca="1">((INDIRECT(J$56&amp;ROW(J$4)-1+COUNTA(J$4:J$34)))+(INDIRECT(J$56&amp;ROW(J$4)-2+COUNTA(J$4:J$34)))+(INDIRECT(J$56&amp;ROW(J$4)-3+COUNTA(J$4:J$34))))/3</f>
        <v>3.8333333333333335</v>
      </c>
      <c r="K39" s="65"/>
      <c r="L39" s="68">
        <f ca="1">((INDIRECT(J$56&amp;ROW(N$4)-1+COUNTA(L$4:L$34)))+(INDIRECT(J$56&amp;ROW(N$4)-2+COUNTA(L$4:L$34)))+(INDIRECT(J$56&amp;ROW(N$4)-3+COUNTA(L$4:L$34))))/3</f>
        <v>3.8333333333333335</v>
      </c>
      <c r="M39" s="65"/>
      <c r="N39" s="68">
        <f ca="1">((INDIRECT(J$56&amp;ROW(N$4)-1+COUNTA(N$4:N$34)))+(INDIRECT(J$56&amp;ROW(N$4)-2+COUNTA(N$4:N$34)))+(INDIRECT(J$56&amp;ROW(N$4)-3+COUNTA(N$4:N$34))))/3</f>
        <v>2.5366666666666666</v>
      </c>
      <c r="O39" s="65"/>
      <c r="P39" s="68">
        <f ca="1">((INDIRECT(N$56&amp;ROW(R$4)-1+COUNTA(P$4:P$34)))+(INDIRECT(N$56&amp;ROW(R$4)-2+COUNTA(P$4:P$34)))+(INDIRECT(N$56&amp;ROW(R$4)-3+COUNTA(P$4:P$34))))/3</f>
        <v>3.8283333333333331</v>
      </c>
      <c r="Q39" s="65"/>
      <c r="R39" s="68">
        <f ca="1">((INDIRECT(R$56&amp;ROW(R$4)-1+COUNTA(R$4:R$34)))+(INDIRECT(R$56&amp;ROW(R$4)-2+COUNTA(R$4:R$34)))+(INDIRECT(R$56&amp;ROW(R$4)-3+COUNTA(R$4:R$34))))/3</f>
        <v>0</v>
      </c>
      <c r="S39" s="65"/>
      <c r="T39" s="68">
        <f ca="1">((INDIRECT(R$56&amp;ROW(V$4)-1+COUNTA(T$4:T$34)))+(INDIRECT(R$56&amp;ROW(V$4)-2+COUNTA(T$4:T$34)))+(INDIRECT(R$56&amp;ROW(V$4)-3+COUNTA(T$4:T$34))))/3</f>
        <v>3.8200000000000003</v>
      </c>
      <c r="U39" s="65"/>
      <c r="V39" s="68">
        <f ca="1">((INDIRECT(V$56&amp;ROW(V$4)-1+COUNTA(V$4:V$34)))+(INDIRECT(V$56&amp;ROW(V$4)-2+COUNTA(V$4:V$34)))+(INDIRECT(V$56&amp;ROW(V$4)-3+COUNTA(V$4:V$34))))/3</f>
        <v>1.1866666666666668</v>
      </c>
      <c r="W39" s="65"/>
      <c r="X39" s="68">
        <f ca="1">((INDIRECT(V$56&amp;ROW(Z$4)-1+COUNTA(X$4:X$34)))+(INDIRECT(V$56&amp;ROW(Z$4)-2+COUNTA(X$4:X$34)))+(INDIRECT(V$56&amp;ROW(Z$4)-3+COUNTA(X$4:X$34))))/3</f>
        <v>0</v>
      </c>
      <c r="Y39" s="65"/>
      <c r="Z39" s="68">
        <f ca="1">((INDIRECT(Z$56&amp;ROW(Z$4)-1+COUNTA(Z$4:Z$34)))+(INDIRECT(Z$56&amp;ROW(Z$4)-2+COUNTA(Z$4:Z$34)))+(INDIRECT(Z$56&amp;ROW(Z$4)-3+COUNTA(Z$4:Z$34))))/3</f>
        <v>2.5150000000000001</v>
      </c>
      <c r="AA39" s="65"/>
      <c r="AB39" s="68">
        <f ca="1">((INDIRECT(Z$56&amp;ROW(AD$4)-1+COUNTA(AB$4:AB$34)))+(INDIRECT(Z$56&amp;ROW(AD$4)-2+COUNTA(AB$4:AB$34)))+(INDIRECT(Z$56&amp;ROW(AD$4)-3+COUNTA(AB$4:AB$34))))/3</f>
        <v>3.7916666666666665</v>
      </c>
      <c r="AC39" s="65"/>
      <c r="AD39" s="68">
        <f ca="1">((INDIRECT(AD$56&amp;ROW(AD$4)-1+COUNTA(AD$4:AD$34)))+(INDIRECT(AD$56&amp;ROW(AD$4)-2+COUNTA(AD$4:AD$34)))+(INDIRECT(AD$56&amp;ROW(AD$4)-3+COUNTA(AD$4:AD$34))))/3</f>
        <v>3.92</v>
      </c>
      <c r="AE39" s="65"/>
      <c r="AF39" s="68">
        <f ca="1">((INDIRECT(AD$56&amp;ROW(AH$4)-1+COUNTA(AF$4:AF$34)))+(INDIRECT(AD$56&amp;ROW(AH$4)-2+COUNTA(AF$4:AF$34)))+(INDIRECT(AD$56&amp;ROW(AH$4)-3+COUNTA(AF$4:AF$34))))/3</f>
        <v>2.5333333333333332</v>
      </c>
      <c r="AG39" s="65"/>
      <c r="AH39" s="68">
        <f ca="1">((INDIRECT(AH$56&amp;ROW(AH$4)-1+COUNTA(AH$4:AH$34)))+(INDIRECT(AH$56&amp;ROW(AH$4)-2+COUNTA(AH$4:AH$34)))+(INDIRECT(AH$56&amp;ROW(AH$4)-3+COUNTA(AH$4:AH$34))))/3</f>
        <v>3.8383333333333334</v>
      </c>
      <c r="AI39" s="65"/>
      <c r="AJ39" s="68">
        <f ca="1">((INDIRECT(AH$56&amp;ROW(AL$4)-1+COUNTA(AJ$4:AJ$34)))+(INDIRECT(AH$56&amp;ROW(AL$4)-2+COUNTA(AJ$4:AJ$34)))+(INDIRECT(AH$56&amp;ROW(AL$4)-3+COUNTA(AJ$4:AJ$34))))/3</f>
        <v>3.8383333333333334</v>
      </c>
      <c r="AK39" s="65"/>
      <c r="AL39" s="68">
        <f ca="1">((INDIRECT(AL$56&amp;ROW(AL$4)-1+COUNTA(AL$4:AL$34)))+(INDIRECT(AL$56&amp;ROW(AL$4)-2+COUNTA(AL$4:AL$34)))+(INDIRECT(AL$56&amp;ROW(AL$4)-3+COUNTA(AL$4:AL$34))))/3</f>
        <v>3.7266666666666666</v>
      </c>
      <c r="AM39" s="65"/>
      <c r="AN39" s="68">
        <f ca="1">((INDIRECT(AN$56&amp;ROW(AN$4)-1+COUNTA(AN$4:AN$34)))+(INDIRECT(AN$56&amp;ROW(AN$4)-2+COUNTA(AN$4:AN$34)))+(INDIRECT(AN$56&amp;ROW(AN$4)-3+COUNTA(AN$4:AN$34))))/3</f>
        <v>3.8066666666666666</v>
      </c>
      <c r="AO39" s="65"/>
      <c r="AP39" s="68">
        <f ca="1">((INDIRECT(AP$56&amp;ROW(AP$4)-1+COUNTA(AP$4:AP$34)))+(INDIRECT(AP$56&amp;ROW(AP$4)-2+COUNTA(AP$4:AP$34)))+(INDIRECT(AP$56&amp;ROW(AP$4)-3+COUNTA(AP$4:AP$34))))/3</f>
        <v>3.8066666666666666</v>
      </c>
      <c r="AQ39" s="65"/>
      <c r="AR39" s="68">
        <f ca="1">((INDIRECT(AR$56&amp;ROW(AR$4)-1+COUNTA(AR$4:AR$34)))+(INDIRECT(AR$56&amp;ROW(AR$4)-2+COUNTA(AR$4:AR$34)))+(INDIRECT(AR$56&amp;ROW(AR$4)-3+COUNTA(AR$4:AR$34))))/3</f>
        <v>3.8066666666666666</v>
      </c>
      <c r="AS39" s="65"/>
      <c r="AT39" s="68">
        <f ca="1">((INDIRECT(AT$56&amp;ROW(AT$4)-1+COUNTA(AT$4:AT$34)))+(INDIRECT(AT$56&amp;ROW(AT$4)-2+COUNTA(AT$4:AT$34)))+(INDIRECT(AT$56&amp;ROW(AT$4)-3+COUNTA(AT$4:AT$34))))/3</f>
        <v>3.8450000000000002</v>
      </c>
      <c r="AU39" s="65"/>
    </row>
    <row r="40" spans="1:47" x14ac:dyDescent="0.2">
      <c r="A40" s="67" t="s">
        <v>52</v>
      </c>
      <c r="C40" s="68">
        <f ca="1">((INDIRECT(C$56&amp;ROW(C$4)-1+COUNTA(C$4:C$34)))+(INDIRECT(C$56&amp;ROW(C$4)-2+COUNTA(C$4:C$34)))+(INDIRECT(C$56&amp;ROW(C$4)-3+COUNTA(C$4:C$34)))+(INDIRECT(C$56&amp;ROW(C$4)-4+COUNTA(C$4:C$34)))+(INDIRECT(C$56&amp;ROW(C$4)-5+COUNTA(C$4:C$34))))/5</f>
        <v>3.7700000000000005</v>
      </c>
      <c r="D40" s="68">
        <f ca="1">((INDIRECT(D$56&amp;ROW(D$4)-1+COUNTA(D$4:D$34)))+(INDIRECT(D$56&amp;ROW(D$4)-2+COUNTA(D$4:D$34)))+(INDIRECT(D$56&amp;ROW(D$4)-3+COUNTA(D$4:D$34)))+(INDIRECT(D$56&amp;ROW(D$4)-4+COUNTA(D$4:D$34)))+(INDIRECT(D$56&amp;ROW(D$4)-5+COUNTA(D$4:D$34))))/5</f>
        <v>3.6730000000000005</v>
      </c>
      <c r="E40" s="65"/>
      <c r="F40" s="68">
        <f ca="1">((INDIRECT(F$56&amp;ROW(F$4)-1+COUNTA(F$4:F$34)))+(INDIRECT(F$56&amp;ROW(F$4)-2+COUNTA(F$4:F$34)))+(INDIRECT(F$56&amp;ROW(F$4)-3+COUNTA(F$4:F$34)))+(INDIRECT(F$56&amp;ROW(F$4)-4+COUNTA(F$4:F$34)))+(INDIRECT(F$56&amp;ROW(F$4)-5+COUNTA(F$4:F$34))))/5</f>
        <v>3.7660000000000005</v>
      </c>
      <c r="G40" s="65"/>
      <c r="H40" s="68">
        <f ca="1">((INDIRECT(F$56&amp;ROW(H$4)-1+COUNTA(H$4:H$34)))+(INDIRECT(F$56&amp;ROW(H$4)-2+COUNTA(H$4:H$34)))+(INDIRECT(F$56&amp;ROW(H$4)-3+COUNTA(H$4:H$34)))+(INDIRECT(F$56&amp;ROW(H$4)-4+COUNTA(H$4:H$34)))+(INDIRECT(F$56&amp;ROW(H$4)-5+COUNTA(H$4:H$34))))/5</f>
        <v>3.0500000000000003</v>
      </c>
      <c r="I40" s="65"/>
      <c r="J40" s="68">
        <f ca="1">((INDIRECT(J$56&amp;ROW(J$4)-1+COUNTA(J$4:J$34)))+(INDIRECT(J$56&amp;ROW(J$4)-2+COUNTA(J$4:J$34)))+(INDIRECT(J$56&amp;ROW(J$4)-3+COUNTA(J$4:J$34)))+(INDIRECT(J$56&amp;ROW(J$4)-4+COUNTA(J$4:J$34)))+(INDIRECT(J$56&amp;ROW(J$4)-5+COUNTA(J$4:J$34))))/5</f>
        <v>3.7560000000000002</v>
      </c>
      <c r="K40" s="65"/>
      <c r="L40" s="68">
        <f ca="1">((INDIRECT(J$56&amp;ROW(N$4)-1+COUNTA(L$4:L$34)))+(INDIRECT(J$56&amp;ROW(N$4)-2+COUNTA(L$4:L$34)))+(INDIRECT(J$56&amp;ROW(N$4)-3+COUNTA(L$4:L$34)))+(INDIRECT(J$56&amp;ROW(N$4)-4+COUNTA(L$4:L$34)))+(INDIRECT(J$56&amp;ROW(N$4)-5+COUNTA(L$4:L$34))))/5</f>
        <v>3.7560000000000002</v>
      </c>
      <c r="M40" s="65"/>
      <c r="N40" s="68">
        <f ca="1">((INDIRECT(J$56&amp;ROW(N$4)-1+COUNTA(N$4:N$34)))+(INDIRECT(J$56&amp;ROW(N$4)-2+COUNTA(N$4:N$34)))+(INDIRECT(J$56&amp;ROW(N$4)-3+COUNTA(N$4:N$34)))+(INDIRECT(J$56&amp;ROW(N$4)-4+COUNTA(N$4:N$34)))+(INDIRECT(J$56&amp;ROW(N$4)-5+COUNTA(N$4:N$34))))/5</f>
        <v>3.028</v>
      </c>
      <c r="O40" s="65"/>
      <c r="P40" s="68">
        <f ca="1">((INDIRECT(N$56&amp;ROW(R$4)-1+COUNTA(P$4:P$34)))+(INDIRECT(N$56&amp;ROW(R$4)-2+COUNTA(P$4:P$34)))+(INDIRECT(N$56&amp;ROW(R$4)-3+COUNTA(P$4:P$34)))+(INDIRECT(N$56&amp;ROW(R$4)-4+COUNTA(P$4:P$34)))+(INDIRECT(N$56&amp;ROW(R$4)-5+COUNTA(P$4:P$34))))/5</f>
        <v>3.7469999999999999</v>
      </c>
      <c r="Q40" s="65"/>
      <c r="R40" s="68">
        <f ca="1">((INDIRECT(R$56&amp;ROW(R$4)-1+COUNTA(R$4:R$34)))+(INDIRECT(R$56&amp;ROW(R$4)-2+COUNTA(R$4:R$34)))+(INDIRECT(R$56&amp;ROW(R$4)-3+COUNTA(R$4:R$34)))+(INDIRECT(R$56&amp;ROW(R$4)-4+COUNTA(R$4:R$34)))+(INDIRECT(R$56&amp;ROW(R$4)-5+COUNTA(R$4:R$34))))/5</f>
        <v>0</v>
      </c>
      <c r="S40" s="65"/>
      <c r="T40" s="68">
        <f ca="1">((INDIRECT(R$56&amp;ROW(V$4)-1+COUNTA(T$4:T$34)))+(INDIRECT(R$56&amp;ROW(V$4)-2+COUNTA(T$4:T$34)))+(INDIRECT(R$56&amp;ROW(V$4)-3+COUNTA(T$4:T$34)))+(INDIRECT(R$56&amp;ROW(V$4)-4+COUNTA(T$4:T$34)))+(INDIRECT(R$56&amp;ROW(V$4)-5+COUNTA(T$4:T$34))))/5</f>
        <v>3.7280000000000002</v>
      </c>
      <c r="U40" s="65"/>
      <c r="V40" s="68">
        <f ca="1">((INDIRECT(V$56&amp;ROW(V$4)-1+COUNTA(V$4:V$34)))+(INDIRECT(V$56&amp;ROW(V$4)-2+COUNTA(V$4:V$34)))+(INDIRECT(V$56&amp;ROW(V$4)-3+COUNTA(V$4:V$34)))+(INDIRECT(V$56&amp;ROW(V$4)-4+COUNTA(V$4:V$34)))+(INDIRECT(V$56&amp;ROW(V$4)-5+COUNTA(V$4:V$34))))/5</f>
        <v>0.71199999999999997</v>
      </c>
      <c r="W40" s="65"/>
      <c r="X40" s="68">
        <f ca="1">((INDIRECT(V$56&amp;ROW(Z$4)-1+COUNTA(X$4:X$34)))+(INDIRECT(V$56&amp;ROW(Z$4)-2+COUNTA(X$4:X$34)))+(INDIRECT(V$56&amp;ROW(Z$4)-3+COUNTA(X$4:X$34)))+(INDIRECT(V$56&amp;ROW(Z$4)-4+COUNTA(X$4:X$34)))+(INDIRECT(V$56&amp;ROW(Z$4)-5+COUNTA(X$4:X$34))))/5</f>
        <v>0</v>
      </c>
      <c r="Y40" s="65"/>
      <c r="Z40" s="68">
        <f ca="1">((INDIRECT(Z$56&amp;ROW(Z$4)-1+COUNTA(Z$4:Z$34)))+(INDIRECT(Z$56&amp;ROW(Z$4)-2+COUNTA(Z$4:Z$34)))+(INDIRECT(Z$56&amp;ROW(Z$4)-3+COUNTA(Z$4:Z$34)))+(INDIRECT(Z$56&amp;ROW(Z$4)-4+COUNTA(Z$4:Z$34)))+(INDIRECT(Z$56&amp;ROW(Z$4)-5+COUNTA(Z$4:Z$34))))/5</f>
        <v>2.992</v>
      </c>
      <c r="AA40" s="65"/>
      <c r="AB40" s="68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((INDIRECT(Z$56&amp;ROW(AD$4)-1+COUNTA(AB$4:AB$34)))+(INDIRECT(Z$56&amp;ROW(AD$4)-2+COUNTA(AB$4:AB$34)))+(INDIRECT(Z$56&amp;ROW(AD$4)-3+COUNTA(AB$4:AB$34)))+(INDIRECT(Z$56&amp;ROW(AD$4)-4+COUNTA(AB$4:AB$34)))+(INDIRECT(Z$56&amp;ROW(AD$4)-5+COUNTA(AB$4:AB$34))))/5</f>
        <v>3.7090000000000005</v>
      </c>
      <c r="AC40" s="65"/>
      <c r="AD40" s="68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((INDIRECT(AD$56&amp;ROW(AD$4)-1+COUNTA(AD$4:AD$34)))+(INDIRECT(AD$56&amp;ROW(AD$4)-2+COUNTA(AD$4:AD$34)))+(INDIRECT(AD$56&amp;ROW(AD$4)-3+COUNTA(AD$4:AD$34)))+(INDIRECT(AD$56&amp;ROW(AD$4)-4+COUNTA(AD$4:AD$34)))+(INDIRECT(AD$56&amp;ROW(AD$4)-5+COUNTA(AD$4:AD$34))))/5</f>
        <v>3.8420000000000001</v>
      </c>
      <c r="AE40" s="65"/>
      <c r="AF40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((INDIRECT(AD$56&amp;ROW(AH$4)-1+COUNTA(AF$4:AF$34)))+(INDIRECT(AD$56&amp;ROW(AH$4)-2+COUNTA(AF$4:AF$34)))+(INDIRECT(AD$56&amp;ROW(AH$4)-3+COUNTA(AF$4:AF$34)))+(INDIRECT(AD$56&amp;ROW(AH$4)-4+COUNTA(AF$4:AF$34)))+(INDIRECT(AD$56&amp;ROW(AH$4)-5+COUNTA(AF$4:AF$34))))/5</f>
        <v>3.036</v>
      </c>
      <c r="AG40" s="65"/>
      <c r="AH40" s="68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((INDIRECT(AH$56&amp;ROW(AH$4)-1+COUNTA(AH$4:AH$34)))+(INDIRECT(AH$56&amp;ROW(AH$4)-2+COUNTA(AH$4:AH$34)))+(INDIRECT(AH$56&amp;ROW(AH$4)-3+COUNTA(AH$4:AH$34)))+(INDIRECT(AH$56&amp;ROW(AH$4)-4+COUNTA(AH$4:AH$34)))+(INDIRECT(AH$56&amp;ROW(AH$4)-5+COUNTA(AH$4:AH$34))))/5</f>
        <v>3.7649999999999997</v>
      </c>
      <c r="AI40" s="65"/>
      <c r="AJ40" s="68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((INDIRECT(AH$56&amp;ROW(AL$4)-1+COUNTA(AJ$4:AJ$34)))+(INDIRECT(AH$56&amp;ROW(AL$4)-2+COUNTA(AJ$4:AJ$34)))+(INDIRECT(AH$56&amp;ROW(AL$4)-3+COUNTA(AJ$4:AJ$34)))+(INDIRECT(AH$56&amp;ROW(AL$4)-4+COUNTA(AJ$4:AJ$34)))+(INDIRECT(AH$56&amp;ROW(AL$4)-5+COUNTA(AJ$4:AJ$34))))/5</f>
        <v>3.7649999999999997</v>
      </c>
      <c r="AK40" s="65"/>
      <c r="AL40" s="68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((INDIRECT(AL$56&amp;ROW(AL$4)-1+COUNTA(AL$4:AL$34)))+(INDIRECT(AL$56&amp;ROW(AL$4)-2+COUNTA(AL$4:AL$34)))+(INDIRECT(AL$56&amp;ROW(AL$4)-3+COUNTA(AL$4:AL$34)))+(INDIRECT(AL$56&amp;ROW(AL$4)-4+COUNTA(AL$4:AL$34)))+(INDIRECT(AL$56&amp;ROW(AL$4)-5+COUNTA(AL$4:AL$34))))/5</f>
        <v>3.722</v>
      </c>
      <c r="AM40" s="65"/>
      <c r="AN40" s="68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((INDIRECT(AN$56&amp;ROW(AN$4)-1+COUNTA(AN$4:AN$34)))+(INDIRECT(AN$56&amp;ROW(AN$4)-2+COUNTA(AN$4:AN$34)))+(INDIRECT(AN$56&amp;ROW(AN$4)-3+COUNTA(AN$4:AN$34)))+(INDIRECT(AN$56&amp;ROW(AN$4)-4+COUNTA(AN$4:AN$34)))+(INDIRECT(AN$56&amp;ROW(AN$4)-5+COUNTA(AN$4:AN$34))))/5</f>
        <v>3.7039999999999997</v>
      </c>
      <c r="AO40" s="65"/>
      <c r="AP40" s="68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((INDIRECT(AP$56&amp;ROW(AP$4)-1+COUNTA(AP$4:AP$34)))+(INDIRECT(AP$56&amp;ROW(AP$4)-2+COUNTA(AP$4:AP$34)))+(INDIRECT(AP$56&amp;ROW(AP$4)-3+COUNTA(AP$4:AP$34)))+(INDIRECT(AP$56&amp;ROW(AP$4)-4+COUNTA(AP$4:AP$34)))+(INDIRECT(AP$56&amp;ROW(AP$4)-5+COUNTA(AP$4:AP$34))))/5</f>
        <v>3.7039999999999997</v>
      </c>
      <c r="AQ40" s="65"/>
      <c r="AR40" s="68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((INDIRECT(AR$56&amp;ROW(AR$4)-1+COUNTA(AR$4:AR$34)))+(INDIRECT(AR$56&amp;ROW(AR$4)-2+COUNTA(AR$4:AR$34)))+(INDIRECT(AR$56&amp;ROW(AR$4)-3+COUNTA(AR$4:AR$34)))+(INDIRECT(AR$56&amp;ROW(AR$4)-4+COUNTA(AR$4:AR$34)))+(INDIRECT(AR$56&amp;ROW(AR$4)-5+COUNTA(AR$4:AR$34))))/5</f>
        <v>3.7039999999999997</v>
      </c>
      <c r="AS40" s="65"/>
      <c r="AT40" s="68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((INDIRECT(AT$56&amp;ROW(AT$4)-1+COUNTA(AT$4:AT$34)))+(INDIRECT(AT$56&amp;ROW(AT$4)-2+COUNTA(AT$4:AT$34)))+(INDIRECT(AT$56&amp;ROW(AT$4)-3+COUNTA(AT$4:AT$34)))+(INDIRECT(AT$56&amp;ROW(AT$4)-4+COUNTA(AT$4:AT$34)))+(INDIRECT(AT$56&amp;ROW(AT$4)-5+COUNTA(AT$4:AT$34))))/5</f>
        <v>3.7270000000000003</v>
      </c>
      <c r="AU40" s="65"/>
    </row>
    <row r="41" spans="1:47" x14ac:dyDescent="0.2">
      <c r="A41" s="67" t="s">
        <v>53</v>
      </c>
      <c r="C41" s="68">
        <f ca="1">((INDIRECT(C$56&amp;ROW(C$4)-1+COUNTA(C$4:C$34)))+(INDIRECT(C$56&amp;ROW(C$4)-2+COUNTA(C$4:C$34)))+(INDIRECT(C$56&amp;ROW(C$4)-3+COUNTA(C$4:C$34)))+(INDIRECT(C$56&amp;ROW(C$4)-4+COUNTA(C$4:C$34)))+(INDIRECT(C$56&amp;ROW(C$4)-5+COUNTA(C$4:C$34)))+(INDIRECT(C$56&amp;ROW(C$4)-6+COUNTA(C$4:C$34)))+(INDIRECT(C$56&amp;ROW(C$4)-7+COUNTA(C$4:C$34))))/7</f>
        <v>3.77</v>
      </c>
      <c r="D41" s="68">
        <f ca="1">((INDIRECT(D$56&amp;ROW(D$4)-1+COUNTA(D$4:D$34)))+(INDIRECT(D$56&amp;ROW(D$4)-2+COUNTA(D$4:D$34)))+(INDIRECT(D$56&amp;ROW(D$4)-3+COUNTA(D$4:D$34)))+(INDIRECT(D$56&amp;ROW(D$4)-4+COUNTA(D$4:D$34)))+(INDIRECT(D$56&amp;ROW(D$4)-5+COUNTA(D$4:D$34)))+(INDIRECT(D$56&amp;ROW(D$4)-6+COUNTA(D$4:D$34)))+(INDIRECT(D$56&amp;ROW(D$4)-7+COUNTA(D$4:D$34))))/7</f>
        <v>2.6235714285714287</v>
      </c>
      <c r="E41" s="65"/>
      <c r="F41" s="68">
        <f ca="1">((INDIRECT(F$56&amp;ROW(F$4)-1+COUNTA(F$4:F$34)))+(INDIRECT(F$56&amp;ROW(F$4)-2+COUNTA(F$4:F$34)))+(INDIRECT(F$56&amp;ROW(F$4)-3+COUNTA(F$4:F$34)))+(INDIRECT(F$56&amp;ROW(F$4)-4+COUNTA(F$4:F$34)))+(INDIRECT(F$56&amp;ROW(F$4)-5+COUNTA(F$4:F$34)))+(INDIRECT(F$56&amp;ROW(F$4)-6+COUNTA(F$4:F$34)))+(INDIRECT(F$56&amp;ROW(F$4)-7+COUNTA(F$4:F$34))))/7</f>
        <v>2.6900000000000004</v>
      </c>
      <c r="G41" s="65"/>
      <c r="H41" s="68">
        <f ca="1">((INDIRECT(F$56&amp;ROW(H$4)-1+COUNTA(H$4:H$34)))+(INDIRECT(F$56&amp;ROW(H$4)-2+COUNTA(H$4:H$34)))+(INDIRECT(F$56&amp;ROW(H$4)-3+COUNTA(H$4:H$34)))+(INDIRECT(F$56&amp;ROW(H$4)-4+COUNTA(H$4:H$34)))+(INDIRECT(F$56&amp;ROW(H$4)-5+COUNTA(H$4:H$34)))+(INDIRECT(F$56&amp;ROW(H$4)-6+COUNTA(H$4:H$34)))+(INDIRECT(F$56&amp;ROW(H$4)-7+COUNTA(H$4:H$34))))/7</f>
        <v>3.2214285714285715</v>
      </c>
      <c r="I41" s="65"/>
      <c r="J41" s="68">
        <f ca="1">((INDIRECT(J$56&amp;ROW(J$4)-1+COUNTA(J$4:J$34)))+(INDIRECT(J$56&amp;ROW(J$4)-2+COUNTA(J$4:J$34)))+(INDIRECT(J$56&amp;ROW(J$4)-3+COUNTA(J$4:J$34)))+(INDIRECT(J$56&amp;ROW(J$4)-4+COUNTA(J$4:J$34)))+(INDIRECT(J$56&amp;ROW(J$4)-5+COUNTA(J$4:J$34)))+(INDIRECT(J$56&amp;ROW(J$4)-6+COUNTA(J$4:J$34)))+(INDIRECT(J$56&amp;ROW(J$4)-7+COUNTA(J$4:J$34))))/7</f>
        <v>3.2028571428571433</v>
      </c>
      <c r="K41" s="65"/>
      <c r="L41" s="68">
        <f ca="1">((INDIRECT(J$56&amp;ROW(N$4)-1+COUNTA(L$4:L$34)))+(INDIRECT(J$56&amp;ROW(N$4)-2+COUNTA(L$4:L$34)))+(INDIRECT(J$56&amp;ROW(N$4)-3+COUNTA(L$4:L$34)))+(INDIRECT(J$56&amp;ROW(N$4)-4+COUNTA(L$4:L$34)))+(INDIRECT(J$56&amp;ROW(N$4)-5+COUNTA(L$4:L$34)))+(INDIRECT(J$56&amp;ROW(N$4)-6+COUNTA(L$4:L$34)))+(INDIRECT(J$56&amp;ROW(N$4)-7+COUNTA(L$4:L$34))))/7</f>
        <v>3.2028571428571433</v>
      </c>
      <c r="M41" s="65"/>
      <c r="N41" s="68">
        <f ca="1">((INDIRECT(J$56&amp;ROW(N$4)-1+COUNTA(N$4:N$34)))+(INDIRECT(J$56&amp;ROW(N$4)-2+COUNTA(N$4:N$34)))+(INDIRECT(J$56&amp;ROW(N$4)-3+COUNTA(N$4:N$34)))+(INDIRECT(J$56&amp;ROW(N$4)-4+COUNTA(N$4:N$34)))+(INDIRECT(J$56&amp;ROW(N$4)-5+COUNTA(N$4:N$34)))+(INDIRECT(J$56&amp;ROW(N$4)-6+COUNTA(N$4:N$34)))+(INDIRECT(J$56&amp;ROW(N$4)-7+COUNTA(N$4:N$34))))/7</f>
        <v>3.2028571428571433</v>
      </c>
      <c r="O41" s="65"/>
      <c r="P41" s="68">
        <f ca="1">((INDIRECT(N$56&amp;ROW(R$4)-1+COUNTA(P$4:P$34)))+(INDIRECT(N$56&amp;ROW(R$4)-2+COUNTA(P$4:P$34)))+(INDIRECT(N$56&amp;ROW(R$4)-3+COUNTA(P$4:P$34)))+(INDIRECT(N$56&amp;ROW(R$4)-4+COUNTA(P$4:P$34)))+(INDIRECT(N$56&amp;ROW(R$4)-5+COUNTA(P$4:P$34)))+(INDIRECT(N$56&amp;ROW(R$4)-6+COUNTA(P$4:P$34)))+(INDIRECT(N$56&amp;ROW(R$4)-7+COUNTA(P$4:P$34))))/7</f>
        <v>2.6764285714285712</v>
      </c>
      <c r="Q41" s="65"/>
      <c r="R41" s="68">
        <f ca="1">((INDIRECT(R$56&amp;ROW(R$4)-1+COUNTA(R$4:R$34)))+(INDIRECT(R$56&amp;ROW(R$4)-2+COUNTA(R$4:R$34)))+(INDIRECT(R$56&amp;ROW(R$4)-3+COUNTA(R$4:R$34)))+(INDIRECT(R$56&amp;ROW(R$4)-4+COUNTA(R$4:R$34)))+(INDIRECT(R$56&amp;ROW(R$4)-5+COUNTA(R$4:R$34)))+(INDIRECT(R$56&amp;ROW(R$4)-6+COUNTA(R$4:R$34)))+(INDIRECT(R$56&amp;ROW(R$4)-7+COUNTA(R$4:R$34))))/7</f>
        <v>0</v>
      </c>
      <c r="S41" s="65"/>
      <c r="T41" s="68">
        <f ca="1">((INDIRECT(R$56&amp;ROW(V$4)-1+COUNTA(T$4:T$34)))+(INDIRECT(R$56&amp;ROW(V$4)-2+COUNTA(T$4:T$34)))+(INDIRECT(R$56&amp;ROW(V$4)-3+COUNTA(T$4:T$34)))+(INDIRECT(R$56&amp;ROW(V$4)-4+COUNTA(T$4:T$34)))+(INDIRECT(R$56&amp;ROW(V$4)-5+COUNTA(T$4:T$34)))+(INDIRECT(R$56&amp;ROW(V$4)-6+COUNTA(T$4:T$34)))+(INDIRECT(R$56&amp;ROW(V$4)-7+COUNTA(T$4:T$34))))/7</f>
        <v>3.1757142857142857</v>
      </c>
      <c r="U41" s="65"/>
      <c r="V41" s="68">
        <f ca="1">((INDIRECT(V$56&amp;ROW(V$4)-1+COUNTA(V$4:V$34)))+(INDIRECT(V$56&amp;ROW(V$4)-2+COUNTA(V$4:V$34)))+(INDIRECT(V$56&amp;ROW(V$4)-3+COUNTA(V$4:V$34)))+(INDIRECT(V$56&amp;ROW(V$4)-4+COUNTA(V$4:V$34)))+(INDIRECT(V$56&amp;ROW(V$4)-5+COUNTA(V$4:V$34)))+(INDIRECT(V$56&amp;ROW(V$4)-6+COUNTA(V$4:V$34)))+(INDIRECT(V$56&amp;ROW(V$4)-7+COUNTA(V$4:V$34))))/7</f>
        <v>0.50857142857142856</v>
      </c>
      <c r="W41" s="65"/>
      <c r="X41" s="68">
        <f ca="1">((INDIRECT(V$56&amp;ROW(Z$4)-1+COUNTA(X$4:X$34)))+(INDIRECT(V$56&amp;ROW(Z$4)-2+COUNTA(X$4:X$34)))+(INDIRECT(V$56&amp;ROW(Z$4)-3+COUNTA(X$4:X$34)))+(INDIRECT(V$56&amp;ROW(Z$4)-4+COUNTA(X$4:X$34)))+(INDIRECT(V$56&amp;ROW(Z$4)-5+COUNTA(X$4:X$34)))+(INDIRECT(V$56&amp;ROW(Z$4)-6+COUNTA(X$4:X$34)))+(INDIRECT(V$56&amp;ROW(Z$4)-7+COUNTA(X$4:X$34))))/7</f>
        <v>0</v>
      </c>
      <c r="Y41" s="65"/>
      <c r="Z41" s="68">
        <f ca="1">((INDIRECT(Z$56&amp;ROW(Z$4)-1+COUNTA(Z$4:Z$34)))+(INDIRECT(Z$56&amp;ROW(Z$4)-2+COUNTA(Z$4:Z$34)))+(INDIRECT(Z$56&amp;ROW(Z$4)-3+COUNTA(Z$4:Z$34)))+(INDIRECT(Z$56&amp;ROW(Z$4)-4+COUNTA(Z$4:Z$34)))+(INDIRECT(Z$56&amp;ROW(Z$4)-5+COUNTA(Z$4:Z$34)))+(INDIRECT(Z$56&amp;ROW(Z$4)-6+COUNTA(Z$4:Z$34)))+(INDIRECT(Z$56&amp;ROW(Z$4)-7+COUNTA(Z$4:Z$34))))/7</f>
        <v>3.1614285714285719</v>
      </c>
      <c r="AA41" s="65"/>
      <c r="AB41" s="68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+(INDIRECT(Z$56&amp;ROW(AD$4)-6+COUNTA(AB$4:AB$34)))+(INDIRECT(Z$56&amp;ROW(AD$4)-7+COUNTA(AB$4:AB$34))))/7</f>
        <v>3.1614285714285719</v>
      </c>
      <c r="AC41" s="65"/>
      <c r="AD41" s="68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+(INDIRECT(AD$56&amp;ROW(AD$4)-6+COUNTA(AD$4:AD$34)))+(INDIRECT(AD$56&amp;ROW(AD$4)-7+COUNTA(AD$4:AD$34))))/7</f>
        <v>3.8235714285714288</v>
      </c>
      <c r="AE41" s="65"/>
      <c r="AF41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+(INDIRECT(AD$56&amp;ROW(AH$4)-6+COUNTA(AF$4:AF$34)))+(INDIRECT(AD$56&amp;ROW(AH$4)-7+COUNTA(AF$4:AF$34))))/7</f>
        <v>3.2514285714285713</v>
      </c>
      <c r="AG41" s="65"/>
      <c r="AH41" s="68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+(INDIRECT(AH$56&amp;ROW(AH$4)-6+COUNTA(AH$4:AH$34)))+(INDIRECT(AH$56&amp;ROW(AH$4)-7+COUNTA(AH$4:AH$34))))/7</f>
        <v>3.2114285714285713</v>
      </c>
      <c r="AI41" s="65"/>
      <c r="AJ41" s="68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+(INDIRECT(AH$56&amp;ROW(AL$4)-6+COUNTA(AJ$4:AJ$34)))+(INDIRECT(AH$56&amp;ROW(AL$4)-7+COUNTA(AJ$4:AJ$34))))/7</f>
        <v>3.2114285714285713</v>
      </c>
      <c r="AK41" s="65"/>
      <c r="AL41" s="68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+(INDIRECT(AL$56&amp;ROW(AL$4)-6+COUNTA(AL$4:AL$34)))+(INDIRECT(AL$56&amp;ROW(AL$4)-7+COUNTA(AL$4:AL$34))))/7</f>
        <v>3.672857142857143</v>
      </c>
      <c r="AM41" s="65"/>
      <c r="AN41" s="68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+(INDIRECT(AN$56&amp;ROW(AN$4)-6+COUNTA(AN$4:AN$34)))+(INDIRECT(AN$56&amp;ROW(AN$4)-7+COUNTA(AN$4:AN$34))))/7</f>
        <v>3.7028571428571424</v>
      </c>
      <c r="AO41" s="65"/>
      <c r="AP41" s="68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+(INDIRECT(AP$56&amp;ROW(AP$4)-6+COUNTA(AP$4:AP$34)))+(INDIRECT(AP$56&amp;ROW(AP$4)-7+COUNTA(AP$4:AP$34))))/7</f>
        <v>3.7028571428571424</v>
      </c>
      <c r="AQ41" s="65"/>
      <c r="AR41" s="68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+(INDIRECT(AR$56&amp;ROW(AR$4)-6+COUNTA(AR$4:AR$34)))+(INDIRECT(AR$56&amp;ROW(AR$4)-7+COUNTA(AR$4:AR$34))))/7</f>
        <v>3.7028571428571424</v>
      </c>
      <c r="AS41" s="65"/>
      <c r="AT41" s="68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+(INDIRECT(AT$56&amp;ROW(AT$4)-6+COUNTA(AT$4:AT$34)))+(INDIRECT(AT$56&amp;ROW(AT$4)-7+COUNTA(AT$4:AT$34))))/7</f>
        <v>3.6878571428571432</v>
      </c>
      <c r="AU41" s="65"/>
    </row>
    <row r="42" spans="1:47" x14ac:dyDescent="0.2">
      <c r="A42" s="67" t="s">
        <v>54</v>
      </c>
      <c r="C42" s="69">
        <f>+C36-C3</f>
        <v>1.6499999999998405E-2</v>
      </c>
      <c r="D42" s="69">
        <f>+D36-D3</f>
        <v>3.6724999999999994</v>
      </c>
      <c r="E42" s="65"/>
      <c r="F42" s="69">
        <f>+F36-F3</f>
        <v>3.7583333333333329</v>
      </c>
      <c r="G42" s="65"/>
      <c r="H42" s="69">
        <f>+H36-H3</f>
        <v>2.8024999999999998</v>
      </c>
      <c r="I42" s="65"/>
      <c r="J42" s="69">
        <f>+J36-J3</f>
        <v>3.1964285714285716</v>
      </c>
      <c r="K42" s="65"/>
      <c r="L42" s="69">
        <f t="shared" ref="L42:AL42" si="27">+L36-L3</f>
        <v>3.1757142857142853</v>
      </c>
      <c r="M42" s="65"/>
      <c r="N42" s="69">
        <f t="shared" si="27"/>
        <v>3.1981250000000006</v>
      </c>
      <c r="O42" s="65"/>
      <c r="P42" s="69">
        <f t="shared" si="27"/>
        <v>3.688333333333333</v>
      </c>
      <c r="Q42" s="65"/>
      <c r="R42" s="69">
        <f t="shared" si="27"/>
        <v>-8.6774193548385004E-2</v>
      </c>
      <c r="S42" s="65"/>
      <c r="T42" s="69">
        <f t="shared" si="27"/>
        <v>3.2114285714285713</v>
      </c>
      <c r="U42" s="65"/>
      <c r="V42" s="69">
        <f t="shared" si="27"/>
        <v>-0.26290322580645054</v>
      </c>
      <c r="W42" s="65"/>
      <c r="X42" s="69">
        <f t="shared" si="27"/>
        <v>3.4501724137931018</v>
      </c>
      <c r="Y42" s="65"/>
      <c r="Z42" s="69">
        <f t="shared" si="27"/>
        <v>2.8156250000000003</v>
      </c>
      <c r="AA42" s="65"/>
      <c r="AB42" s="69">
        <f t="shared" si="27"/>
        <v>3.1778571428571429</v>
      </c>
      <c r="AC42" s="65"/>
      <c r="AD42" s="69">
        <f t="shared" si="27"/>
        <v>3.1678571428571431</v>
      </c>
      <c r="AE42" s="65"/>
      <c r="AF42" s="69">
        <f t="shared" si="27"/>
        <v>-9.1612903225804843E-2</v>
      </c>
      <c r="AG42" s="65"/>
      <c r="AH42" s="69">
        <f t="shared" si="27"/>
        <v>3.3099999999999996</v>
      </c>
      <c r="AI42" s="65"/>
      <c r="AJ42" s="69">
        <f t="shared" si="27"/>
        <v>3.3985714285714286</v>
      </c>
      <c r="AK42" s="65"/>
      <c r="AL42" s="69">
        <f t="shared" si="27"/>
        <v>3.0031250000000003</v>
      </c>
      <c r="AM42" s="65"/>
      <c r="AN42" s="69">
        <f>+AN36-AN3</f>
        <v>3.9533333333333331</v>
      </c>
      <c r="AO42" s="65"/>
      <c r="AP42" s="69">
        <f>+AP36-AP3</f>
        <v>4.0133333333333336</v>
      </c>
      <c r="AQ42" s="65"/>
      <c r="AR42" s="69">
        <f>+AR36-AR3</f>
        <v>4.020833333333333</v>
      </c>
      <c r="AS42" s="65"/>
      <c r="AT42" s="69">
        <f>+AT36-AT3</f>
        <v>3.2735714285714286</v>
      </c>
      <c r="AU42" s="65"/>
    </row>
    <row r="56" spans="3:58" x14ac:dyDescent="0.2">
      <c r="C56" s="70" t="s">
        <v>55</v>
      </c>
      <c r="D56" s="70" t="s">
        <v>56</v>
      </c>
      <c r="E56" s="70" t="s">
        <v>57</v>
      </c>
      <c r="F56" s="70" t="s">
        <v>58</v>
      </c>
      <c r="G56" s="70" t="s">
        <v>57</v>
      </c>
      <c r="H56" s="70" t="s">
        <v>59</v>
      </c>
      <c r="I56" s="70" t="s">
        <v>57</v>
      </c>
      <c r="J56" s="70" t="s">
        <v>60</v>
      </c>
      <c r="K56" s="70" t="s">
        <v>57</v>
      </c>
      <c r="L56" s="70" t="s">
        <v>61</v>
      </c>
      <c r="M56" s="70" t="s">
        <v>57</v>
      </c>
      <c r="N56" s="70" t="s">
        <v>62</v>
      </c>
      <c r="O56" s="70" t="s">
        <v>57</v>
      </c>
      <c r="P56" s="70" t="s">
        <v>63</v>
      </c>
      <c r="Q56" s="70" t="s">
        <v>57</v>
      </c>
      <c r="R56" s="70" t="s">
        <v>64</v>
      </c>
      <c r="S56" s="70" t="s">
        <v>57</v>
      </c>
      <c r="T56" s="70" t="s">
        <v>65</v>
      </c>
      <c r="U56" s="70" t="s">
        <v>57</v>
      </c>
      <c r="V56" s="70" t="s">
        <v>66</v>
      </c>
      <c r="W56" s="70" t="s">
        <v>57</v>
      </c>
      <c r="X56" s="70" t="s">
        <v>67</v>
      </c>
      <c r="Y56" s="70" t="s">
        <v>57</v>
      </c>
      <c r="Z56" s="70" t="s">
        <v>68</v>
      </c>
      <c r="AA56" s="70" t="s">
        <v>57</v>
      </c>
      <c r="AB56" s="71" t="s">
        <v>69</v>
      </c>
      <c r="AC56" s="70" t="s">
        <v>57</v>
      </c>
      <c r="AD56" s="71" t="s">
        <v>70</v>
      </c>
      <c r="AE56" s="70" t="s">
        <v>57</v>
      </c>
      <c r="AF56" s="71" t="s">
        <v>17</v>
      </c>
      <c r="AG56" s="70" t="s">
        <v>57</v>
      </c>
      <c r="AH56" s="70" t="s">
        <v>71</v>
      </c>
      <c r="AI56" s="70" t="s">
        <v>57</v>
      </c>
      <c r="AJ56" s="70" t="s">
        <v>72</v>
      </c>
      <c r="AK56" s="70" t="s">
        <v>57</v>
      </c>
      <c r="AL56" s="70" t="s">
        <v>73</v>
      </c>
      <c r="AM56" s="70" t="s">
        <v>57</v>
      </c>
      <c r="AN56" s="70" t="s">
        <v>73</v>
      </c>
      <c r="AO56" s="70" t="s">
        <v>57</v>
      </c>
      <c r="AP56" s="70" t="s">
        <v>73</v>
      </c>
      <c r="AQ56" s="70" t="s">
        <v>57</v>
      </c>
      <c r="AR56" s="70" t="s">
        <v>73</v>
      </c>
      <c r="AS56" s="70" t="s">
        <v>57</v>
      </c>
      <c r="AT56" s="70" t="s">
        <v>73</v>
      </c>
      <c r="AU56" s="70" t="s">
        <v>57</v>
      </c>
      <c r="AV56" s="70" t="s">
        <v>74</v>
      </c>
      <c r="AW56" s="70" t="s">
        <v>75</v>
      </c>
      <c r="AX56" s="70" t="s">
        <v>76</v>
      </c>
      <c r="AY56" s="70" t="s">
        <v>77</v>
      </c>
      <c r="AZ56" s="70" t="s">
        <v>78</v>
      </c>
      <c r="BA56" s="70" t="s">
        <v>79</v>
      </c>
      <c r="BB56" s="70" t="s">
        <v>80</v>
      </c>
      <c r="BC56" s="70" t="s">
        <v>81</v>
      </c>
      <c r="BD56" s="70" t="s">
        <v>82</v>
      </c>
      <c r="BE56" s="70" t="s">
        <v>83</v>
      </c>
      <c r="BF56" s="70" t="s">
        <v>84</v>
      </c>
    </row>
  </sheetData>
  <phoneticPr fontId="0" type="noConversion"/>
  <pageMargins left="0.36" right="0.22" top="0.34" bottom="1" header="0.5" footer="0.5"/>
  <pageSetup paperSize="5" scale="5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49"/>
  <sheetViews>
    <sheetView zoomScale="80" workbookViewId="0">
      <selection activeCell="B3" sqref="B3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15</v>
      </c>
      <c r="B2" s="15">
        <v>4.2549999999999999</v>
      </c>
      <c r="C2" s="16">
        <f t="shared" ref="C2:C31" si="0">A2*B2*10000</f>
        <v>638250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L7">
        <v>15</v>
      </c>
      <c r="M7">
        <v>5.4550000000000001</v>
      </c>
      <c r="N7">
        <f t="shared" ref="N7:N12" si="2">L7*M7</f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K10">
        <f>2500*30</f>
        <v>75000</v>
      </c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f>7500*30</f>
        <v>225000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f>12500*30</f>
        <v>375000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">
      <c r="E32" s="32"/>
      <c r="G32" s="34"/>
    </row>
    <row r="33" spans="1:13" x14ac:dyDescent="0.2">
      <c r="A33" s="25">
        <f>SUM(A1:A32)</f>
        <v>15</v>
      </c>
      <c r="B33" s="15">
        <f>IF(A33=0, 0, C33/A33/10000)</f>
        <v>4.2549999999999999</v>
      </c>
      <c r="C33" s="16">
        <f>SUM(C1:C32)</f>
        <v>638250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-15</v>
      </c>
      <c r="F35">
        <f>IF(E35&lt;0,B33,F33)</f>
        <v>4.2549999999999999</v>
      </c>
      <c r="G35" s="39">
        <f>IF(E35&lt;0, (F35-B38)*ABS(E35)*10000, -1*(F35-B38)*ABS(E35)*10000)</f>
        <v>28500.000000000058</v>
      </c>
      <c r="I35" s="36">
        <f>G35</f>
        <v>28500.000000000058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-15</v>
      </c>
      <c r="F37">
        <f>IF(E37&lt;0, (B33+(I33/(ABS(E37)*10000))), IF(E37 = 0, 0, (F33-(I33/(ABS(E37)*10000)))))</f>
        <v>4.2549999999999999</v>
      </c>
      <c r="G37" s="39">
        <f>IF(E37&lt;0, (F37-B38)*ABS(E37)*10000, IF(E37 = 0, 0, -1*(F37-B38)*ABS(E37)*10000))</f>
        <v>28500.000000000058</v>
      </c>
      <c r="I37" s="40">
        <f>G37</f>
        <v>28500.000000000058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4.0649999999999995</v>
      </c>
      <c r="C38" s="42" t="s">
        <v>13</v>
      </c>
      <c r="L38" s="17"/>
      <c r="M38" s="17"/>
    </row>
    <row r="39" spans="1:13" x14ac:dyDescent="0.2">
      <c r="B39">
        <f>Summary!B7</f>
        <v>4.0649999999999995</v>
      </c>
      <c r="C39" s="42" t="s">
        <v>14</v>
      </c>
      <c r="I39" s="43">
        <f>I33+I35</f>
        <v>28500.000000000058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5"/>
  <sheetViews>
    <sheetView zoomScale="95" workbookViewId="0">
      <selection activeCell="D8" sqref="D8"/>
    </sheetView>
  </sheetViews>
  <sheetFormatPr defaultColWidth="12.7109375" defaultRowHeight="12.75" x14ac:dyDescent="0.2"/>
  <cols>
    <col min="1" max="1" width="9.85546875" style="47" bestFit="1" customWidth="1"/>
    <col min="2" max="2" width="11.85546875" customWidth="1"/>
    <col min="3" max="3" width="11.5703125" customWidth="1"/>
    <col min="4" max="4" width="12.42578125" bestFit="1" customWidth="1"/>
    <col min="5" max="5" width="11.42578125" customWidth="1"/>
    <col min="6" max="6" width="11" customWidth="1"/>
    <col min="7" max="7" width="11.140625" customWidth="1"/>
    <col min="8" max="8" width="14.42578125" bestFit="1" customWidth="1"/>
    <col min="9" max="9" width="15.42578125" bestFit="1" customWidth="1"/>
    <col min="10" max="10" width="8" bestFit="1" customWidth="1"/>
    <col min="11" max="11" width="10.7109375" bestFit="1" customWidth="1"/>
  </cols>
  <sheetData>
    <row r="1" spans="1:9" s="47" customFormat="1" x14ac:dyDescent="0.2">
      <c r="B1" s="48" t="s">
        <v>113</v>
      </c>
      <c r="C1" s="48" t="s">
        <v>31</v>
      </c>
      <c r="D1" s="48" t="s">
        <v>129</v>
      </c>
      <c r="E1" s="48" t="s">
        <v>34</v>
      </c>
      <c r="F1" s="48"/>
    </row>
    <row r="2" spans="1:9" s="47" customFormat="1" x14ac:dyDescent="0.2">
      <c r="B2" s="48"/>
      <c r="C2" s="48"/>
      <c r="D2" s="48"/>
      <c r="E2" s="48"/>
    </row>
    <row r="3" spans="1:9" x14ac:dyDescent="0.2">
      <c r="A3" s="7">
        <v>37043</v>
      </c>
      <c r="B3" s="123"/>
      <c r="C3" s="10"/>
      <c r="D3" s="104"/>
      <c r="E3" s="10"/>
      <c r="F3" s="124">
        <v>-0.06</v>
      </c>
      <c r="G3">
        <f>0.021-0.005</f>
        <v>1.6E-2</v>
      </c>
      <c r="H3">
        <f>G3*760000</f>
        <v>12160</v>
      </c>
    </row>
    <row r="4" spans="1:9" x14ac:dyDescent="0.2">
      <c r="A4" s="7">
        <v>37073</v>
      </c>
      <c r="B4" s="123">
        <v>0</v>
      </c>
      <c r="C4" s="10"/>
      <c r="D4" s="10">
        <f>-15.5</f>
        <v>-15.5</v>
      </c>
      <c r="E4" s="10">
        <v>-139.5</v>
      </c>
      <c r="F4" s="124">
        <v>0.04</v>
      </c>
      <c r="G4">
        <v>1.4999999999999999E-2</v>
      </c>
      <c r="H4">
        <f>G4*900000</f>
        <v>13500</v>
      </c>
    </row>
    <row r="5" spans="1:9" x14ac:dyDescent="0.2">
      <c r="A5" s="7">
        <v>37104</v>
      </c>
      <c r="B5" s="123">
        <f>-31-31-31-31</f>
        <v>-124</v>
      </c>
      <c r="C5" s="10"/>
      <c r="D5" s="10">
        <f>-15.5</f>
        <v>-15.5</v>
      </c>
      <c r="E5" s="10"/>
      <c r="F5" s="124">
        <v>7.0000000000000007E-2</v>
      </c>
      <c r="H5">
        <f>SUM(H3:H4)</f>
        <v>25660</v>
      </c>
    </row>
    <row r="6" spans="1:9" x14ac:dyDescent="0.2">
      <c r="A6" s="7">
        <v>37135</v>
      </c>
      <c r="B6" s="123">
        <f>-30-30-30</f>
        <v>-90</v>
      </c>
      <c r="C6" s="10"/>
      <c r="D6" s="10">
        <f>-15</f>
        <v>-15</v>
      </c>
      <c r="E6" s="10"/>
      <c r="F6" s="124">
        <v>0.04</v>
      </c>
    </row>
    <row r="7" spans="1:9" x14ac:dyDescent="0.2">
      <c r="A7" s="7">
        <v>37165</v>
      </c>
      <c r="B7" s="123"/>
      <c r="C7" s="10"/>
      <c r="D7" s="10">
        <f>-15.5</f>
        <v>-15.5</v>
      </c>
      <c r="E7" s="10"/>
      <c r="F7" s="124">
        <v>1.4999999999999999E-2</v>
      </c>
    </row>
    <row r="8" spans="1:9" x14ac:dyDescent="0.2">
      <c r="A8" s="7">
        <v>37196</v>
      </c>
      <c r="B8" s="10"/>
      <c r="C8" s="10"/>
      <c r="D8" s="10"/>
      <c r="E8" s="10"/>
      <c r="F8" s="10"/>
    </row>
    <row r="9" spans="1:9" x14ac:dyDescent="0.2">
      <c r="A9" s="7">
        <v>37226</v>
      </c>
      <c r="B9" s="10"/>
      <c r="C9" s="10"/>
      <c r="D9" s="10"/>
      <c r="E9" s="10"/>
      <c r="F9" s="10"/>
    </row>
    <row r="10" spans="1:9" x14ac:dyDescent="0.2">
      <c r="A10" s="7">
        <v>37257</v>
      </c>
      <c r="B10" s="10"/>
      <c r="C10" s="10"/>
      <c r="D10" s="10"/>
      <c r="E10" s="10"/>
      <c r="F10" s="10"/>
    </row>
    <row r="11" spans="1:9" x14ac:dyDescent="0.2">
      <c r="A11" s="7">
        <v>37288</v>
      </c>
      <c r="B11" s="10"/>
      <c r="C11" s="10"/>
      <c r="D11" s="10"/>
      <c r="E11" s="10"/>
      <c r="F11" s="10"/>
    </row>
    <row r="12" spans="1:9" x14ac:dyDescent="0.2">
      <c r="A12" s="7">
        <v>37316</v>
      </c>
      <c r="B12" s="10"/>
      <c r="C12" s="10"/>
      <c r="D12" s="10"/>
      <c r="E12" s="10"/>
      <c r="F12" s="10"/>
    </row>
    <row r="13" spans="1:9" x14ac:dyDescent="0.2">
      <c r="A13" s="7">
        <v>37347</v>
      </c>
      <c r="B13" s="10"/>
      <c r="C13" s="10"/>
      <c r="D13" s="10"/>
      <c r="E13" s="10"/>
      <c r="F13" s="10"/>
    </row>
    <row r="14" spans="1:9" x14ac:dyDescent="0.2">
      <c r="A14" s="7">
        <v>37377</v>
      </c>
      <c r="B14" s="10"/>
      <c r="C14" s="10"/>
      <c r="D14" s="10"/>
      <c r="E14" s="10"/>
      <c r="F14" s="10"/>
      <c r="I14">
        <f>4.5*31</f>
        <v>139.5</v>
      </c>
    </row>
    <row r="15" spans="1:9" x14ac:dyDescent="0.2">
      <c r="A15" s="7">
        <v>37408</v>
      </c>
      <c r="B15" s="10"/>
      <c r="C15" s="10"/>
      <c r="D15" s="10"/>
      <c r="E15" s="10"/>
      <c r="F15" s="10"/>
    </row>
    <row r="16" spans="1:9" x14ac:dyDescent="0.2">
      <c r="A16" s="7">
        <v>37438</v>
      </c>
      <c r="B16" s="10"/>
      <c r="C16" s="10"/>
      <c r="D16" s="10"/>
      <c r="E16" s="104"/>
      <c r="F16" s="104"/>
    </row>
    <row r="17" spans="1:8" x14ac:dyDescent="0.2">
      <c r="A17" s="7"/>
      <c r="B17" s="123">
        <f>SUM(B3:B16)</f>
        <v>-214</v>
      </c>
      <c r="C17" s="123">
        <f>SUM(C3:C16)</f>
        <v>0</v>
      </c>
      <c r="D17" s="123">
        <f>SUM(D3:D16)</f>
        <v>-61.5</v>
      </c>
      <c r="E17" s="10">
        <f>SUM(E4:E16)</f>
        <v>-139.5</v>
      </c>
      <c r="F17" s="10"/>
    </row>
    <row r="18" spans="1:8" x14ac:dyDescent="0.2">
      <c r="A18" s="7"/>
      <c r="B18" s="10"/>
      <c r="C18" s="10"/>
      <c r="D18" s="10"/>
      <c r="E18" s="10"/>
      <c r="F18" s="10"/>
    </row>
    <row r="19" spans="1:8" x14ac:dyDescent="0.2">
      <c r="A19" s="7"/>
      <c r="B19" s="10">
        <f>SUM(B17:E17)</f>
        <v>-415</v>
      </c>
      <c r="C19" s="10"/>
      <c r="D19" s="10">
        <f>SUM(D17:G17)</f>
        <v>-201</v>
      </c>
      <c r="E19" s="10"/>
      <c r="F19" s="10"/>
    </row>
    <row r="20" spans="1:8" x14ac:dyDescent="0.2">
      <c r="A20" s="7"/>
      <c r="B20" s="10"/>
      <c r="C20" s="10"/>
      <c r="D20" s="10"/>
      <c r="E20" s="10"/>
      <c r="F20" s="10"/>
    </row>
    <row r="21" spans="1:8" x14ac:dyDescent="0.2">
      <c r="A21" s="7"/>
      <c r="B21" s="10"/>
      <c r="C21" s="10"/>
      <c r="D21" s="10"/>
      <c r="E21" s="10"/>
      <c r="F21" s="10"/>
    </row>
    <row r="22" spans="1:8" x14ac:dyDescent="0.2">
      <c r="A22" s="7"/>
      <c r="B22" s="10"/>
      <c r="C22" s="10"/>
      <c r="D22" s="10">
        <f>270*10000</f>
        <v>2700000</v>
      </c>
      <c r="E22" s="10"/>
      <c r="F22" s="10"/>
    </row>
    <row r="23" spans="1:8" x14ac:dyDescent="0.2">
      <c r="A23" s="7"/>
      <c r="B23" s="10"/>
      <c r="C23" s="10"/>
      <c r="D23" s="10">
        <f>D22*0.0075</f>
        <v>20250</v>
      </c>
      <c r="E23" s="10"/>
      <c r="F23" s="10"/>
    </row>
    <row r="24" spans="1:8" x14ac:dyDescent="0.2">
      <c r="A24" s="7"/>
      <c r="B24" s="10"/>
      <c r="C24" s="10"/>
      <c r="D24" s="10"/>
      <c r="E24" s="10"/>
      <c r="F24" s="10"/>
    </row>
    <row r="25" spans="1:8" x14ac:dyDescent="0.2">
      <c r="A25" s="7"/>
      <c r="B25" s="10"/>
      <c r="C25" s="10"/>
      <c r="D25" s="10"/>
      <c r="E25" s="10"/>
      <c r="F25" s="10"/>
    </row>
    <row r="26" spans="1:8" x14ac:dyDescent="0.2">
      <c r="A26" s="7"/>
      <c r="B26" s="10"/>
      <c r="C26" s="10"/>
      <c r="D26" s="10"/>
      <c r="E26" s="10"/>
      <c r="F26" s="10"/>
    </row>
    <row r="27" spans="1:8" x14ac:dyDescent="0.2">
      <c r="A27" s="7"/>
      <c r="B27" s="10"/>
      <c r="C27" s="10"/>
      <c r="D27" s="10"/>
      <c r="E27" s="10"/>
      <c r="F27" s="10"/>
    </row>
    <row r="28" spans="1:8" x14ac:dyDescent="0.2">
      <c r="A28" s="7"/>
      <c r="B28" s="10"/>
      <c r="C28" s="10"/>
      <c r="D28" s="10"/>
      <c r="E28" s="10"/>
      <c r="F28" s="10"/>
    </row>
    <row r="29" spans="1:8" x14ac:dyDescent="0.2">
      <c r="A29" s="7"/>
      <c r="B29" s="10"/>
      <c r="C29" s="10"/>
      <c r="D29" s="10"/>
      <c r="E29" s="10"/>
      <c r="F29" s="10"/>
    </row>
    <row r="30" spans="1:8" x14ac:dyDescent="0.2">
      <c r="A30" s="7"/>
      <c r="B30" s="10"/>
      <c r="C30" s="10"/>
      <c r="D30" s="10"/>
      <c r="E30" s="10"/>
      <c r="F30" s="10"/>
    </row>
    <row r="31" spans="1:8" x14ac:dyDescent="0.2">
      <c r="A31" s="7"/>
      <c r="B31" s="10"/>
      <c r="C31" s="10"/>
      <c r="D31" s="10"/>
      <c r="E31" s="10"/>
      <c r="F31" s="10"/>
      <c r="G31" s="3"/>
      <c r="H31" s="3"/>
    </row>
    <row r="32" spans="1:8" x14ac:dyDescent="0.2">
      <c r="A32" s="7"/>
      <c r="B32" s="10"/>
      <c r="C32" s="10"/>
      <c r="D32" s="10"/>
      <c r="E32" s="10"/>
      <c r="F32" s="10"/>
    </row>
    <row r="33" spans="1:12" x14ac:dyDescent="0.2">
      <c r="A33" s="7"/>
      <c r="B33" s="10"/>
      <c r="C33" s="10"/>
      <c r="D33" s="10"/>
      <c r="E33" s="10"/>
      <c r="F33" s="10"/>
    </row>
    <row r="34" spans="1:12" x14ac:dyDescent="0.2">
      <c r="A34" s="7"/>
      <c r="B34" s="3"/>
      <c r="C34" s="3"/>
      <c r="D34" s="3"/>
      <c r="E34" s="3"/>
      <c r="F34" s="3"/>
      <c r="G34" s="79"/>
      <c r="H34" s="82"/>
      <c r="I34" s="79"/>
      <c r="J34" s="79"/>
      <c r="K34" s="80"/>
      <c r="L34" s="80"/>
    </row>
    <row r="35" spans="1:12" x14ac:dyDescent="0.2">
      <c r="E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9"/>
  <sheetViews>
    <sheetView zoomScale="80" workbookViewId="0">
      <selection activeCell="F7" sqref="F7"/>
    </sheetView>
  </sheetViews>
  <sheetFormatPr defaultRowHeight="12.75" x14ac:dyDescent="0.2"/>
  <cols>
    <col min="1" max="1" width="10.140625" style="32" bestFit="1" customWidth="1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/>
      <c r="F1" s="15"/>
      <c r="G1" s="18"/>
      <c r="I1" s="19"/>
      <c r="K1" s="1"/>
    </row>
    <row r="2" spans="1:14" x14ac:dyDescent="0.2">
      <c r="A2" s="20">
        <v>37.75</v>
      </c>
      <c r="B2" s="15">
        <v>4.1550000000000002</v>
      </c>
      <c r="C2" s="16">
        <f t="shared" ref="C2:C31" si="0">A2*B2*10000</f>
        <v>1568512.5000000002</v>
      </c>
      <c r="D2" s="17"/>
      <c r="E2" s="21">
        <v>37.75</v>
      </c>
      <c r="F2" s="22">
        <v>4.28</v>
      </c>
      <c r="G2" s="23">
        <f t="shared" ref="G2:G31" si="1">E2*F2*10000</f>
        <v>1615700.0000000002</v>
      </c>
      <c r="I2" s="24"/>
    </row>
    <row r="3" spans="1:14" x14ac:dyDescent="0.2">
      <c r="A3" s="20">
        <v>37.75</v>
      </c>
      <c r="B3" s="15">
        <v>4.16</v>
      </c>
      <c r="C3" s="16">
        <f t="shared" si="0"/>
        <v>1570400</v>
      </c>
      <c r="D3" s="17"/>
      <c r="E3" s="25">
        <v>37.75</v>
      </c>
      <c r="F3" s="15">
        <v>4.3049999999999997</v>
      </c>
      <c r="G3" s="23">
        <f t="shared" si="1"/>
        <v>1625137.4999999998</v>
      </c>
      <c r="I3" s="13"/>
      <c r="K3" s="26"/>
    </row>
    <row r="4" spans="1:14" x14ac:dyDescent="0.2">
      <c r="A4" s="27">
        <v>37.75</v>
      </c>
      <c r="B4" s="22">
        <v>4.2750000000000004</v>
      </c>
      <c r="C4" s="16">
        <f t="shared" si="0"/>
        <v>1613812.5000000002</v>
      </c>
      <c r="D4" s="17"/>
      <c r="E4" s="25">
        <v>37.75</v>
      </c>
      <c r="F4" s="15">
        <v>4.38</v>
      </c>
      <c r="G4" s="23">
        <f t="shared" si="1"/>
        <v>1653450</v>
      </c>
      <c r="J4" s="24"/>
      <c r="K4" s="17">
        <f>4.69+0.032</f>
        <v>4.7220000000000004</v>
      </c>
    </row>
    <row r="5" spans="1:14" x14ac:dyDescent="0.2">
      <c r="A5" s="27">
        <v>37.75</v>
      </c>
      <c r="B5" s="22">
        <v>4.28</v>
      </c>
      <c r="C5" s="16">
        <f t="shared" si="0"/>
        <v>1615700.0000000002</v>
      </c>
      <c r="D5" s="17"/>
      <c r="E5" s="21">
        <v>37.75</v>
      </c>
      <c r="F5" s="22">
        <v>4.3650000000000002</v>
      </c>
      <c r="G5" s="23">
        <f t="shared" si="1"/>
        <v>1647787.5</v>
      </c>
      <c r="I5" s="24"/>
      <c r="J5" s="28"/>
      <c r="K5" s="17"/>
    </row>
    <row r="6" spans="1:14" x14ac:dyDescent="0.2">
      <c r="A6" s="29">
        <v>37.75</v>
      </c>
      <c r="B6" s="30">
        <v>4.55</v>
      </c>
      <c r="C6" s="16">
        <f t="shared" si="0"/>
        <v>1717625</v>
      </c>
      <c r="D6" s="17"/>
      <c r="E6" s="25">
        <v>37.75</v>
      </c>
      <c r="F6" s="15">
        <v>4.51</v>
      </c>
      <c r="G6" s="23">
        <f t="shared" si="1"/>
        <v>1702525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K19">
        <f>2500*151</f>
        <v>377500</v>
      </c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  <c r="K22">
        <f>151/4</f>
        <v>37.75</v>
      </c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112">
        <f>SUM(A1:A32)</f>
        <v>188.75</v>
      </c>
      <c r="B33" s="15">
        <f>IF(A33=0, 0, C33/A33/10000)</f>
        <v>4.2839999999999998</v>
      </c>
      <c r="C33" s="16">
        <f>SUM(C1:C32)</f>
        <v>8086050</v>
      </c>
      <c r="E33" s="112">
        <f>SUM(E1:E32)</f>
        <v>188.75</v>
      </c>
      <c r="F33" s="15">
        <f>IF(E33=0, 0, G33/E33/10000)</f>
        <v>4.3680000000000003</v>
      </c>
      <c r="G33" s="23">
        <f>SUM(G1:G32)</f>
        <v>8244600</v>
      </c>
      <c r="I33" s="36">
        <f>MIN(A33,E33)*(B33-F33)*10000</f>
        <v>-158550.00000000099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4.3680000000000003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111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4.3954000000000004</v>
      </c>
      <c r="C38" s="42" t="s">
        <v>13</v>
      </c>
      <c r="L38" s="17"/>
      <c r="M38" s="17"/>
    </row>
    <row r="39" spans="1:13" x14ac:dyDescent="0.2">
      <c r="B39">
        <f>Summary!B10</f>
        <v>4.3954000000000004</v>
      </c>
      <c r="C39" s="42" t="s">
        <v>14</v>
      </c>
      <c r="I39" s="43">
        <f>I33+I35</f>
        <v>-158550.00000000099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9"/>
  <sheetViews>
    <sheetView zoomScale="80" workbookViewId="0">
      <selection activeCell="B7" sqref="B7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30.75</v>
      </c>
      <c r="B2" s="15">
        <v>4.03</v>
      </c>
      <c r="C2" s="16">
        <f t="shared" ref="C2:C31" si="0">A2*B2*10000</f>
        <v>1239225.0000000002</v>
      </c>
      <c r="D2" s="17"/>
      <c r="E2" s="21">
        <v>61.5</v>
      </c>
      <c r="F2" s="22">
        <v>4.0250000000000004</v>
      </c>
      <c r="G2" s="23">
        <f t="shared" ref="G2:G31" si="1">E2*F2*10000</f>
        <v>2475375</v>
      </c>
      <c r="I2" s="24"/>
    </row>
    <row r="3" spans="1:14" x14ac:dyDescent="0.2">
      <c r="A3" s="20">
        <v>30.75</v>
      </c>
      <c r="B3" s="15">
        <v>4.0149999999999997</v>
      </c>
      <c r="C3" s="16">
        <f t="shared" si="0"/>
        <v>1234612.5</v>
      </c>
      <c r="D3" s="17"/>
      <c r="E3" s="25">
        <v>61.5</v>
      </c>
      <c r="F3" s="15">
        <v>4.1449999999999996</v>
      </c>
      <c r="G3" s="23">
        <f t="shared" si="1"/>
        <v>2549174.9999999995</v>
      </c>
      <c r="I3" s="13"/>
      <c r="K3" s="26"/>
    </row>
    <row r="4" spans="1:14" x14ac:dyDescent="0.2">
      <c r="A4" s="27">
        <v>61.5</v>
      </c>
      <c r="B4" s="22">
        <v>4.1500000000000004</v>
      </c>
      <c r="C4" s="16">
        <f t="shared" si="0"/>
        <v>2552250</v>
      </c>
      <c r="D4" s="17"/>
      <c r="E4" s="25">
        <v>61.5</v>
      </c>
      <c r="F4" s="15">
        <v>3.9550000000000001</v>
      </c>
      <c r="G4" s="23">
        <f t="shared" si="1"/>
        <v>2432325</v>
      </c>
      <c r="J4" s="24"/>
      <c r="K4" s="17">
        <f>4.69+0.032</f>
        <v>4.7220000000000004</v>
      </c>
    </row>
    <row r="5" spans="1:14" x14ac:dyDescent="0.2">
      <c r="A5" s="27">
        <v>30.75</v>
      </c>
      <c r="B5" s="22">
        <v>3.97</v>
      </c>
      <c r="C5" s="16">
        <f t="shared" si="0"/>
        <v>1220775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>
        <v>30.75</v>
      </c>
      <c r="B6" s="30">
        <v>4.0049999999999999</v>
      </c>
      <c r="C6" s="16">
        <f t="shared" si="0"/>
        <v>1231537.5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5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 t="s">
        <v>102</v>
      </c>
      <c r="M17" s="5">
        <v>31</v>
      </c>
      <c r="N17" s="5">
        <f>M17/2</f>
        <v>15.5</v>
      </c>
      <c r="O17" s="5">
        <f>M17/4</f>
        <v>7.75</v>
      </c>
    </row>
    <row r="18" spans="1:15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  <c r="L18" t="s">
        <v>105</v>
      </c>
      <c r="M18" s="5">
        <v>31</v>
      </c>
      <c r="N18" s="5">
        <f>M18/2</f>
        <v>15.5</v>
      </c>
      <c r="O18" s="5">
        <f>M18/4</f>
        <v>7.75</v>
      </c>
    </row>
    <row r="19" spans="1:15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 t="s">
        <v>127</v>
      </c>
      <c r="M19" s="5">
        <v>30</v>
      </c>
      <c r="N19" s="5">
        <f>M19/2</f>
        <v>15</v>
      </c>
      <c r="O19" s="5">
        <f>M19/4</f>
        <v>7.5</v>
      </c>
    </row>
    <row r="20" spans="1:15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L20" t="s">
        <v>111</v>
      </c>
      <c r="M20" s="5">
        <v>31</v>
      </c>
      <c r="N20" s="5">
        <f>M20/2</f>
        <v>15.5</v>
      </c>
      <c r="O20" s="5">
        <f>M20/4</f>
        <v>7.75</v>
      </c>
    </row>
    <row r="21" spans="1:15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5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5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5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5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5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5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5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5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5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5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5" x14ac:dyDescent="0.2">
      <c r="E32" s="32"/>
      <c r="G32" s="34"/>
    </row>
    <row r="33" spans="1:13" x14ac:dyDescent="0.2">
      <c r="A33" s="25">
        <f>SUM(A1:A32)</f>
        <v>184.5</v>
      </c>
      <c r="B33" s="15">
        <f>IF(A33=0, 0, C33/A33/10000)</f>
        <v>4.0533333333333337</v>
      </c>
      <c r="C33" s="16">
        <f>SUM(C1:C32)</f>
        <v>7478400</v>
      </c>
      <c r="E33" s="25">
        <f>SUM(E1:E32)</f>
        <v>184.5</v>
      </c>
      <c r="F33" s="15">
        <f>IF(E33=0, 0, G33/E33/10000)</f>
        <v>4.0416666666666661</v>
      </c>
      <c r="G33" s="23">
        <f>SUM(G1:G32)</f>
        <v>7456875</v>
      </c>
      <c r="I33" s="36">
        <f>MIN(A33,E33)*(B33-F33)*10000</f>
        <v>21525.000000001724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0</v>
      </c>
      <c r="F35">
        <f>IF(E35&lt;0,B33,F33)</f>
        <v>4.0416666666666661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">
      <c r="B38">
        <f>IF(ISBLANK(B39),'[1]Nymex Prices'!B10,B39)</f>
        <v>4.0270000000000001</v>
      </c>
      <c r="C38" s="42" t="s">
        <v>13</v>
      </c>
      <c r="L38" s="17"/>
      <c r="M38" s="17"/>
    </row>
    <row r="39" spans="1:13" x14ac:dyDescent="0.2">
      <c r="B39">
        <f>Summary!B11</f>
        <v>4.0270000000000001</v>
      </c>
      <c r="C39" s="42" t="s">
        <v>14</v>
      </c>
      <c r="I39" s="43">
        <f>I33+I35</f>
        <v>21525.000000001724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49"/>
  <sheetViews>
    <sheetView zoomScale="80" workbookViewId="0">
      <selection activeCell="B4" sqref="B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4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">
      <c r="A2" s="20">
        <v>37.75</v>
      </c>
      <c r="B2" s="15">
        <f>5.41-0.177</f>
        <v>5.2330000000000005</v>
      </c>
      <c r="C2" s="16">
        <f t="shared" ref="C2:C31" si="0">A2*B2*10000</f>
        <v>1975457.5000000002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">
      <c r="A3" s="20">
        <v>15.5</v>
      </c>
      <c r="B3" s="15">
        <v>5.28</v>
      </c>
      <c r="C3" s="16">
        <f t="shared" si="0"/>
        <v>818400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K20">
        <f>2500*30</f>
        <v>75000</v>
      </c>
    </row>
    <row r="21" spans="1:11" x14ac:dyDescent="0.2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">
      <c r="E32" s="32"/>
      <c r="G32" s="34"/>
    </row>
    <row r="33" spans="1:13" x14ac:dyDescent="0.2">
      <c r="A33" s="25">
        <f>SUM(A1:A32)</f>
        <v>53.25</v>
      </c>
      <c r="B33" s="15">
        <f>IF(A33=0, 0, C33/A33/10000)</f>
        <v>5.2466807511737086</v>
      </c>
      <c r="C33" s="16">
        <f>SUM(C1:C32)</f>
        <v>2793857.5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">
      <c r="I34" s="36"/>
      <c r="J34" s="37"/>
      <c r="K34" s="37"/>
      <c r="L34" s="17"/>
      <c r="M34" s="17"/>
    </row>
    <row r="35" spans="1:13" x14ac:dyDescent="0.2">
      <c r="E35" s="38">
        <f>-A33+E33</f>
        <v>-53.25</v>
      </c>
      <c r="F35">
        <f>IF(E35&lt;0,B33,F33)</f>
        <v>5.2466807511737086</v>
      </c>
      <c r="G35" s="39">
        <f>IF(E35&lt;0, (F35-B38)*ABS(E35)*10000, -1*(F35-B38)*ABS(E35)*10000)</f>
        <v>-108267.50000000028</v>
      </c>
      <c r="I35" s="36">
        <f>G35</f>
        <v>-108267.50000000028</v>
      </c>
      <c r="J35" s="37"/>
      <c r="K35" s="37" t="s">
        <v>9</v>
      </c>
      <c r="L35" s="17"/>
      <c r="M35" s="17" t="s">
        <v>10</v>
      </c>
    </row>
    <row r="36" spans="1:13" x14ac:dyDescent="0.2">
      <c r="L36" s="17"/>
      <c r="M36" s="17"/>
    </row>
    <row r="37" spans="1:13" x14ac:dyDescent="0.2">
      <c r="E37" s="38">
        <f>-A33+E33</f>
        <v>-53.25</v>
      </c>
      <c r="F37">
        <f>IF(E37&lt;0, (B33+(I33/(ABS(E37)*10000))), IF(E37 = 0, 0, (F33-(I33/(ABS(E37)*10000)))))</f>
        <v>5.2466807511737086</v>
      </c>
      <c r="G37" s="39">
        <f>IF(E37&lt;0, (F37-B38)*ABS(E37)*10000, IF(E37 = 0, 0, -1*(F37-B38)*ABS(E37)*10000))</f>
        <v>-108267.50000000028</v>
      </c>
      <c r="I37" s="40">
        <f>G37</f>
        <v>-108267.50000000028</v>
      </c>
      <c r="J37" s="41"/>
      <c r="K37" s="41" t="s">
        <v>11</v>
      </c>
      <c r="L37" s="17"/>
      <c r="M37" s="17" t="s">
        <v>12</v>
      </c>
    </row>
    <row r="38" spans="1:13" x14ac:dyDescent="0.2">
      <c r="B38">
        <v>5.45</v>
      </c>
      <c r="C38" s="42" t="s">
        <v>13</v>
      </c>
      <c r="L38" s="17"/>
      <c r="M38" s="17"/>
    </row>
    <row r="39" spans="1:13" x14ac:dyDescent="0.2">
      <c r="B39">
        <f>Summary!B11</f>
        <v>4.0270000000000001</v>
      </c>
      <c r="C39" s="42" t="s">
        <v>14</v>
      </c>
      <c r="I39" s="43">
        <f>I33+I35</f>
        <v>-108267.50000000028</v>
      </c>
      <c r="J39" s="44"/>
      <c r="K39" s="44" t="s">
        <v>15</v>
      </c>
      <c r="L39" s="17"/>
      <c r="M39" s="17"/>
    </row>
    <row r="42" spans="1:13" x14ac:dyDescent="0.2">
      <c r="A42" s="45"/>
    </row>
    <row r="43" spans="1:13" x14ac:dyDescent="0.2">
      <c r="A43" s="45"/>
      <c r="C43" s="42"/>
    </row>
    <row r="44" spans="1:13" x14ac:dyDescent="0.2">
      <c r="A44" s="45"/>
    </row>
    <row r="45" spans="1:13" x14ac:dyDescent="0.2">
      <c r="A45" s="45"/>
    </row>
    <row r="46" spans="1:13" x14ac:dyDescent="0.2">
      <c r="A46" s="38"/>
    </row>
    <row r="47" spans="1:13" x14ac:dyDescent="0.2">
      <c r="A47" s="46"/>
    </row>
    <row r="48" spans="1:13" x14ac:dyDescent="0.2">
      <c r="A48" s="46"/>
    </row>
    <row r="49" spans="1:1" x14ac:dyDescent="0.2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C1" workbookViewId="0">
      <selection activeCell="M11" sqref="M11"/>
    </sheetView>
  </sheetViews>
  <sheetFormatPr defaultRowHeight="12.75" x14ac:dyDescent="0.2"/>
  <sheetData>
    <row r="1" spans="3:14" x14ac:dyDescent="0.2">
      <c r="C1" s="133" t="s">
        <v>31</v>
      </c>
      <c r="D1" s="133"/>
      <c r="E1" s="2">
        <f>Summary!B5+0.03-0.025</f>
        <v>3.927</v>
      </c>
      <c r="F1" s="2"/>
      <c r="G1" s="2"/>
      <c r="H1" s="133" t="s">
        <v>112</v>
      </c>
      <c r="I1" s="133"/>
      <c r="J1">
        <f>Summary!B5+0.03</f>
        <v>3.952</v>
      </c>
      <c r="L1" s="133" t="s">
        <v>120</v>
      </c>
      <c r="M1" s="133"/>
      <c r="N1">
        <f>Summary!D1+0.015</f>
        <v>3.9370000000000003</v>
      </c>
    </row>
    <row r="2" spans="3:14" x14ac:dyDescent="0.2">
      <c r="C2" s="2"/>
      <c r="D2" s="2"/>
      <c r="E2" s="2"/>
      <c r="F2" s="2"/>
      <c r="G2" s="2"/>
      <c r="H2" s="2"/>
      <c r="I2" s="2"/>
    </row>
    <row r="3" spans="3:14" x14ac:dyDescent="0.2">
      <c r="E3">
        <f t="shared" ref="E3:E20" si="0">($E$1-D3)*(C3*10000)</f>
        <v>0</v>
      </c>
      <c r="J3">
        <f>($J$1-I3)*(H3*10000)</f>
        <v>0</v>
      </c>
      <c r="N3">
        <f>($N$1-M3)*(L3*10000)</f>
        <v>0</v>
      </c>
    </row>
    <row r="4" spans="3:14" x14ac:dyDescent="0.2">
      <c r="E4">
        <f t="shared" si="0"/>
        <v>0</v>
      </c>
      <c r="J4">
        <f>($J$1-I4)*(H4*10000)</f>
        <v>0</v>
      </c>
      <c r="N4">
        <f>($J$1-M4)*(L4*10000)</f>
        <v>0</v>
      </c>
    </row>
    <row r="5" spans="3:14" x14ac:dyDescent="0.2">
      <c r="E5">
        <f t="shared" si="0"/>
        <v>0</v>
      </c>
      <c r="J5">
        <f>($J$1-I5)*(H5*10000)</f>
        <v>0</v>
      </c>
      <c r="N5">
        <f>($J$1-M5)*(L5*10000)</f>
        <v>0</v>
      </c>
    </row>
    <row r="6" spans="3:14" x14ac:dyDescent="0.2">
      <c r="E6">
        <f t="shared" si="0"/>
        <v>0</v>
      </c>
    </row>
    <row r="7" spans="3:14" x14ac:dyDescent="0.2">
      <c r="E7">
        <f t="shared" si="0"/>
        <v>0</v>
      </c>
    </row>
    <row r="8" spans="3:14" x14ac:dyDescent="0.2">
      <c r="E8">
        <f t="shared" si="0"/>
        <v>0</v>
      </c>
    </row>
    <row r="9" spans="3:14" x14ac:dyDescent="0.2">
      <c r="E9">
        <f t="shared" si="0"/>
        <v>0</v>
      </c>
    </row>
    <row r="10" spans="3:14" x14ac:dyDescent="0.2">
      <c r="E10">
        <f t="shared" si="0"/>
        <v>0</v>
      </c>
    </row>
    <row r="11" spans="3:14" x14ac:dyDescent="0.2">
      <c r="E11">
        <f t="shared" si="0"/>
        <v>0</v>
      </c>
    </row>
    <row r="12" spans="3:14" x14ac:dyDescent="0.2">
      <c r="E12">
        <f t="shared" si="0"/>
        <v>0</v>
      </c>
    </row>
    <row r="13" spans="3:14" x14ac:dyDescent="0.2">
      <c r="E13">
        <f t="shared" si="0"/>
        <v>0</v>
      </c>
    </row>
    <row r="14" spans="3:14" x14ac:dyDescent="0.2">
      <c r="E14">
        <f t="shared" si="0"/>
        <v>0</v>
      </c>
    </row>
    <row r="15" spans="3:14" x14ac:dyDescent="0.2">
      <c r="E15">
        <f t="shared" si="0"/>
        <v>0</v>
      </c>
    </row>
    <row r="16" spans="3:14" x14ac:dyDescent="0.2">
      <c r="E16">
        <f t="shared" si="0"/>
        <v>0</v>
      </c>
    </row>
    <row r="17" spans="3:14" x14ac:dyDescent="0.2">
      <c r="E17">
        <f t="shared" si="0"/>
        <v>0</v>
      </c>
    </row>
    <row r="18" spans="3:14" x14ac:dyDescent="0.2">
      <c r="E18">
        <f t="shared" si="0"/>
        <v>0</v>
      </c>
    </row>
    <row r="19" spans="3:14" x14ac:dyDescent="0.2">
      <c r="E19">
        <f t="shared" si="0"/>
        <v>0</v>
      </c>
    </row>
    <row r="20" spans="3:14" x14ac:dyDescent="0.2">
      <c r="E20">
        <f t="shared" si="0"/>
        <v>0</v>
      </c>
    </row>
    <row r="22" spans="3:14" x14ac:dyDescent="0.2">
      <c r="C22">
        <f>SUM(C3:C21)</f>
        <v>0</v>
      </c>
      <c r="E22">
        <f>SUM(E3:E20)</f>
        <v>0</v>
      </c>
      <c r="H22">
        <f>SUM(H3:H14)</f>
        <v>0</v>
      </c>
      <c r="J22">
        <f>SUM(J3:J14)</f>
        <v>0</v>
      </c>
      <c r="L22">
        <f>SUM(L3:L14)</f>
        <v>0</v>
      </c>
      <c r="N22">
        <f>SUM(N3:N14)</f>
        <v>0</v>
      </c>
    </row>
    <row r="25" spans="3:14" x14ac:dyDescent="0.2">
      <c r="F25" s="2" t="s">
        <v>118</v>
      </c>
      <c r="G25" s="2" t="s">
        <v>91</v>
      </c>
    </row>
    <row r="26" spans="3:14" x14ac:dyDescent="0.2">
      <c r="F26" s="125">
        <f>C22+H22+L22</f>
        <v>0</v>
      </c>
      <c r="G26" s="125">
        <f>E22+J22+N22</f>
        <v>0</v>
      </c>
    </row>
  </sheetData>
  <mergeCells count="3">
    <mergeCell ref="C1:D1"/>
    <mergeCell ref="H1:I1"/>
    <mergeCell ref="L1:M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zoomScale="80" workbookViewId="0">
      <selection activeCell="F12" sqref="F12"/>
    </sheetView>
  </sheetViews>
  <sheetFormatPr defaultRowHeight="12.75" x14ac:dyDescent="0.2"/>
  <cols>
    <col min="1" max="1" width="6.85546875" customWidth="1"/>
    <col min="2" max="2" width="7.28515625" customWidth="1"/>
    <col min="3" max="3" width="7.42578125" customWidth="1"/>
    <col min="4" max="4" width="17.42578125" bestFit="1" customWidth="1"/>
    <col min="5" max="5" width="14.85546875" bestFit="1" customWidth="1"/>
    <col min="6" max="6" width="14.140625" bestFit="1" customWidth="1"/>
    <col min="7" max="7" width="11.7109375" customWidth="1"/>
    <col min="8" max="8" width="4.140625" customWidth="1"/>
    <col min="9" max="9" width="14.140625" customWidth="1"/>
    <col min="10" max="10" width="14.140625" bestFit="1" customWidth="1"/>
    <col min="11" max="11" width="4" customWidth="1"/>
    <col min="12" max="12" width="13.85546875" customWidth="1"/>
    <col min="13" max="13" width="13.42578125" customWidth="1"/>
    <col min="14" max="14" width="15.28515625" customWidth="1"/>
    <col min="16" max="16" width="12.85546875" bestFit="1" customWidth="1"/>
  </cols>
  <sheetData>
    <row r="1" spans="1:16" x14ac:dyDescent="0.2">
      <c r="C1" t="s">
        <v>99</v>
      </c>
      <c r="D1">
        <f>B5</f>
        <v>3.9220000000000002</v>
      </c>
      <c r="E1">
        <v>3.8010000000000002</v>
      </c>
      <c r="F1">
        <f>D1-E1</f>
        <v>0.121</v>
      </c>
      <c r="I1">
        <v>4.6589999999999998</v>
      </c>
      <c r="J1">
        <v>5.3239999999999998</v>
      </c>
      <c r="L1">
        <v>5.3170000000000002</v>
      </c>
    </row>
    <row r="2" spans="1:16" x14ac:dyDescent="0.2">
      <c r="C2" t="s">
        <v>90</v>
      </c>
      <c r="D2">
        <f>D1-0.152</f>
        <v>3.77</v>
      </c>
      <c r="E2">
        <v>3.71</v>
      </c>
      <c r="F2">
        <f>D2-E2</f>
        <v>6.0000000000000053E-2</v>
      </c>
    </row>
    <row r="3" spans="1:16" x14ac:dyDescent="0.2">
      <c r="D3">
        <f>D2-D1</f>
        <v>-0.15200000000000014</v>
      </c>
      <c r="E3">
        <v>-9.1000000000000192E-2</v>
      </c>
      <c r="F3" s="47"/>
      <c r="G3" s="47"/>
      <c r="H3" s="47"/>
      <c r="I3" s="47"/>
      <c r="J3" s="47"/>
      <c r="K3" s="47"/>
      <c r="L3" s="47" t="s">
        <v>85</v>
      </c>
    </row>
    <row r="4" spans="1:16" x14ac:dyDescent="0.2">
      <c r="F4" s="73">
        <f ca="1">TODAY()</f>
        <v>37050</v>
      </c>
      <c r="G4" s="47"/>
      <c r="H4" s="47"/>
      <c r="I4" s="47" t="s">
        <v>24</v>
      </c>
      <c r="J4" s="47" t="s">
        <v>85</v>
      </c>
      <c r="K4" s="47"/>
      <c r="L4" s="73">
        <f ca="1">TODAY()-1</f>
        <v>37049</v>
      </c>
      <c r="P4">
        <f>P5+3301</f>
        <v>18779.260869565216</v>
      </c>
    </row>
    <row r="5" spans="1:16" x14ac:dyDescent="0.2">
      <c r="A5" s="15" t="s">
        <v>102</v>
      </c>
      <c r="B5" s="110">
        <v>3.9220000000000002</v>
      </c>
      <c r="C5" s="15"/>
      <c r="D5" t="s">
        <v>18</v>
      </c>
      <c r="F5" s="49">
        <f>+KATHY_PHYS!AF36+WAHA_swap!Z36+KATY_SWAP!AT36</f>
        <v>-78451.39000000013</v>
      </c>
      <c r="I5" s="72">
        <v>-190227.48</v>
      </c>
      <c r="J5" s="12">
        <f>F5-I5</f>
        <v>111776.08999999988</v>
      </c>
      <c r="K5" s="12"/>
      <c r="L5" s="12">
        <v>-3058.5000000000982</v>
      </c>
      <c r="M5">
        <v>457440</v>
      </c>
      <c r="O5">
        <v>35.6</v>
      </c>
      <c r="P5" s="83">
        <f>O5*10000/23</f>
        <v>15478.260869565218</v>
      </c>
    </row>
    <row r="6" spans="1:16" x14ac:dyDescent="0.2">
      <c r="A6" s="15" t="s">
        <v>105</v>
      </c>
      <c r="B6" s="110">
        <f>B5+0.096</f>
        <v>4.0179999999999998</v>
      </c>
      <c r="C6" s="15"/>
      <c r="D6" t="s">
        <v>19</v>
      </c>
      <c r="F6" s="49">
        <f>HH_SWAP!BR36+Q36+HSC_SWAP!AE36+PERMIAN!AE36</f>
        <v>49606.940000000337</v>
      </c>
      <c r="I6" s="72">
        <v>-10422.449999999819</v>
      </c>
      <c r="J6" s="12">
        <f>F6-I6</f>
        <v>60029.390000000159</v>
      </c>
      <c r="K6" s="12"/>
      <c r="L6" s="12">
        <v>294225</v>
      </c>
      <c r="O6">
        <f>38.4</f>
        <v>38.4</v>
      </c>
      <c r="P6" s="83">
        <f>O6*10000/23</f>
        <v>16695.652173913044</v>
      </c>
    </row>
    <row r="7" spans="1:16" x14ac:dyDescent="0.2">
      <c r="A7" s="15" t="s">
        <v>108</v>
      </c>
      <c r="B7" s="110">
        <f>B6+0.047</f>
        <v>4.0649999999999995</v>
      </c>
      <c r="C7" s="15"/>
      <c r="D7" t="s">
        <v>119</v>
      </c>
      <c r="F7" s="81">
        <f>JUN_PHY!G26</f>
        <v>0</v>
      </c>
      <c r="I7" s="72">
        <v>0</v>
      </c>
      <c r="J7" s="12">
        <f>F7-I7</f>
        <v>0</v>
      </c>
      <c r="K7" s="12"/>
      <c r="L7" s="12">
        <v>0</v>
      </c>
      <c r="P7" s="83">
        <f>O7*10000/23</f>
        <v>0</v>
      </c>
    </row>
    <row r="8" spans="1:16" ht="13.5" thickBot="1" x14ac:dyDescent="0.25">
      <c r="A8" s="15" t="s">
        <v>111</v>
      </c>
      <c r="B8" s="110">
        <f>B7+0.047</f>
        <v>4.1119999999999992</v>
      </c>
      <c r="C8" s="15"/>
      <c r="D8" t="s">
        <v>2</v>
      </c>
      <c r="F8" s="113">
        <f>NYMEX_juL1!I43+NYMEX_AUG!I45+'JUL Swap'!I39+NYMEX_SEP!I39+NYMEX_juL2!I46+X_H!I39+N_V!I39</f>
        <v>209467.50000000236</v>
      </c>
      <c r="I8" s="72">
        <v>443069.99999999686</v>
      </c>
      <c r="J8" s="12">
        <f>F8-I8</f>
        <v>-233602.4999999945</v>
      </c>
      <c r="K8" s="12"/>
      <c r="L8" s="12">
        <v>-133332.50000000058</v>
      </c>
      <c r="O8">
        <f>112.8</f>
        <v>112.8</v>
      </c>
      <c r="P8" s="83">
        <f>O8*10000/23</f>
        <v>49043.478260869568</v>
      </c>
    </row>
    <row r="9" spans="1:16" ht="13.5" thickTop="1" x14ac:dyDescent="0.2">
      <c r="A9" s="15" t="s">
        <v>121</v>
      </c>
      <c r="B9" s="110">
        <f>B8+0.19</f>
        <v>4.3019999999999996</v>
      </c>
      <c r="C9" s="15"/>
      <c r="F9" s="49">
        <f>SUM(F5:F8)</f>
        <v>180623.05000000255</v>
      </c>
      <c r="I9" s="72">
        <v>242420.06999999683</v>
      </c>
      <c r="J9" s="12">
        <f>F9-I9</f>
        <v>-61797.019999994285</v>
      </c>
      <c r="K9" s="72"/>
      <c r="L9" s="72">
        <v>157833.99999999919</v>
      </c>
      <c r="O9">
        <v>-6.6</v>
      </c>
      <c r="P9" s="83">
        <f>O9*10000/23</f>
        <v>-2869.5652173913045</v>
      </c>
    </row>
    <row r="10" spans="1:16" x14ac:dyDescent="0.2">
      <c r="A10" s="15" t="s">
        <v>107</v>
      </c>
      <c r="B10" s="110">
        <f>B5+0.4734</f>
        <v>4.3954000000000004</v>
      </c>
      <c r="C10" s="110">
        <f>B10-B5</f>
        <v>0.47340000000000027</v>
      </c>
      <c r="I10" s="72" t="s">
        <v>131</v>
      </c>
      <c r="J10" s="72">
        <v>33665</v>
      </c>
      <c r="K10" s="72"/>
      <c r="L10" s="12">
        <v>-8000</v>
      </c>
      <c r="P10" s="83"/>
    </row>
    <row r="11" spans="1:16" x14ac:dyDescent="0.2">
      <c r="A11" s="15" t="s">
        <v>126</v>
      </c>
      <c r="B11" s="129">
        <f>B5+0.105</f>
        <v>4.0270000000000001</v>
      </c>
      <c r="C11" s="110">
        <f>B11-B5</f>
        <v>0.10499999999999998</v>
      </c>
      <c r="D11" s="47" t="s">
        <v>20</v>
      </c>
      <c r="E11" s="48" t="s">
        <v>91</v>
      </c>
      <c r="F11" s="90" t="s">
        <v>92</v>
      </c>
      <c r="I11" s="48" t="s">
        <v>91</v>
      </c>
      <c r="J11" s="90" t="s">
        <v>92</v>
      </c>
      <c r="K11" s="72"/>
      <c r="L11" s="12"/>
      <c r="P11" s="83"/>
    </row>
    <row r="12" spans="1:16" x14ac:dyDescent="0.2">
      <c r="A12" s="15" t="s">
        <v>102</v>
      </c>
      <c r="B12">
        <v>3.9220000000000002</v>
      </c>
      <c r="D12" t="s">
        <v>110</v>
      </c>
      <c r="E12" s="12">
        <f>KATHY_PHYS!AF36</f>
        <v>-27201.390000000152</v>
      </c>
      <c r="F12" s="10">
        <f>KATHY_PHYS!P36</f>
        <v>292353</v>
      </c>
      <c r="G12" s="86"/>
      <c r="H12" s="86"/>
      <c r="I12" s="12">
        <v>-59052.480000000171</v>
      </c>
      <c r="J12" s="10">
        <v>338514</v>
      </c>
      <c r="K12" s="72"/>
      <c r="L12" s="12">
        <f t="shared" ref="L12:M15" si="0">E12-I12</f>
        <v>31851.090000000018</v>
      </c>
      <c r="M12" s="10">
        <f t="shared" si="0"/>
        <v>-46161</v>
      </c>
      <c r="N12" s="98">
        <f t="shared" ref="N12:N25" si="1">L12/J12</f>
        <v>9.4090909090909142E-2</v>
      </c>
      <c r="P12" s="83"/>
    </row>
    <row r="13" spans="1:16" x14ac:dyDescent="0.2">
      <c r="A13" s="15" t="s">
        <v>105</v>
      </c>
      <c r="B13">
        <v>4.0179999999999998</v>
      </c>
      <c r="C13" s="108">
        <f>B13-B12</f>
        <v>9.5999999999999641E-2</v>
      </c>
      <c r="E13" s="12"/>
      <c r="F13" s="10"/>
      <c r="G13" s="86"/>
      <c r="H13" s="86"/>
      <c r="I13" s="12"/>
      <c r="J13" s="10"/>
      <c r="K13" s="72"/>
      <c r="L13" s="12">
        <f t="shared" si="0"/>
        <v>0</v>
      </c>
      <c r="M13" s="10">
        <f t="shared" si="0"/>
        <v>0</v>
      </c>
      <c r="N13" s="98" t="e">
        <f t="shared" si="1"/>
        <v>#DIV/0!</v>
      </c>
      <c r="P13" s="83"/>
    </row>
    <row r="14" spans="1:16" x14ac:dyDescent="0.2">
      <c r="A14" s="15" t="s">
        <v>108</v>
      </c>
      <c r="B14">
        <v>4.0650000000000004</v>
      </c>
      <c r="C14">
        <f>B14-B13</f>
        <v>4.7000000000000597E-2</v>
      </c>
      <c r="E14" s="12"/>
      <c r="F14" s="10"/>
      <c r="G14" s="86"/>
      <c r="H14" s="86"/>
      <c r="I14" s="12"/>
      <c r="J14" s="10"/>
      <c r="K14" s="72"/>
      <c r="L14" s="12">
        <f t="shared" si="0"/>
        <v>0</v>
      </c>
      <c r="M14" s="10">
        <f t="shared" si="0"/>
        <v>0</v>
      </c>
      <c r="N14" s="98" t="e">
        <f t="shared" si="1"/>
        <v>#DIV/0!</v>
      </c>
      <c r="P14" s="83"/>
    </row>
    <row r="15" spans="1:16" x14ac:dyDescent="0.2">
      <c r="A15" s="15" t="s">
        <v>111</v>
      </c>
      <c r="B15">
        <v>4.1120000000000001</v>
      </c>
      <c r="C15">
        <f>B15-B14</f>
        <v>4.6999999999999709E-2</v>
      </c>
      <c r="D15" s="17"/>
      <c r="E15" s="99">
        <f>SUM(E12:E14)</f>
        <v>-27201.390000000152</v>
      </c>
      <c r="F15" s="100">
        <f>SUM(F12:F14)</f>
        <v>292353</v>
      </c>
      <c r="G15" s="101">
        <f>F15/E31</f>
        <v>12711</v>
      </c>
      <c r="H15" s="101"/>
      <c r="I15" s="99">
        <v>-59052.480000000171</v>
      </c>
      <c r="J15" s="100">
        <v>338514</v>
      </c>
      <c r="K15" s="102"/>
      <c r="L15" s="103">
        <f t="shared" si="0"/>
        <v>31851.090000000018</v>
      </c>
      <c r="M15" s="100">
        <f t="shared" si="0"/>
        <v>-46161</v>
      </c>
      <c r="N15" s="98">
        <f t="shared" si="1"/>
        <v>9.4090909090909142E-2</v>
      </c>
      <c r="P15" s="87"/>
    </row>
    <row r="16" spans="1:16" x14ac:dyDescent="0.2">
      <c r="A16" s="15" t="s">
        <v>121</v>
      </c>
      <c r="B16">
        <v>4.3019999999999996</v>
      </c>
      <c r="C16">
        <f>B16-B15</f>
        <v>0.1899999999999995</v>
      </c>
      <c r="D16" s="47" t="s">
        <v>21</v>
      </c>
      <c r="E16" s="88"/>
      <c r="F16" s="89"/>
      <c r="G16" s="86"/>
      <c r="H16" s="86"/>
      <c r="I16" s="88"/>
      <c r="J16" s="89"/>
      <c r="K16" s="72"/>
      <c r="M16" s="89"/>
      <c r="N16" s="98" t="e">
        <f t="shared" si="1"/>
        <v>#DIV/0!</v>
      </c>
      <c r="P16" s="87"/>
    </row>
    <row r="17" spans="1:16" x14ac:dyDescent="0.2">
      <c r="A17" t="s">
        <v>124</v>
      </c>
      <c r="B17">
        <f>AVERAGE(B12:B15)</f>
        <v>4.0292499999999993</v>
      </c>
      <c r="C17">
        <f>B17-B12</f>
        <v>0.10724999999999918</v>
      </c>
      <c r="D17" t="s">
        <v>86</v>
      </c>
      <c r="E17" s="12">
        <f>HH_SWAP!BR36</f>
        <v>-10993.059999999832</v>
      </c>
      <c r="F17" s="3">
        <f>HH_SWAP!AJ36</f>
        <v>-161747</v>
      </c>
      <c r="G17" s="86"/>
      <c r="H17" s="86"/>
      <c r="I17" s="12">
        <v>14777.550000000138</v>
      </c>
      <c r="J17" s="3">
        <v>-187286</v>
      </c>
      <c r="K17" s="72"/>
      <c r="L17" s="12">
        <f>E17-I17</f>
        <v>-25770.609999999971</v>
      </c>
      <c r="M17" s="3">
        <f>F17-J17</f>
        <v>25539</v>
      </c>
      <c r="N17" s="98">
        <f t="shared" si="1"/>
        <v>0.13760030114370519</v>
      </c>
      <c r="P17" s="83"/>
    </row>
    <row r="18" spans="1:16" x14ac:dyDescent="0.2">
      <c r="A18" t="s">
        <v>107</v>
      </c>
      <c r="B18">
        <f>B12+0.4734</f>
        <v>4.3954000000000004</v>
      </c>
      <c r="C18">
        <f>B18-B12</f>
        <v>0.47340000000000027</v>
      </c>
      <c r="D18" t="s">
        <v>98</v>
      </c>
      <c r="E18" s="12">
        <f>HSC_SWAP!AE36</f>
        <v>45950.000000000167</v>
      </c>
      <c r="F18" s="10">
        <f>HSC_SWAP!P36</f>
        <v>475000</v>
      </c>
      <c r="G18" s="86"/>
      <c r="H18" s="86"/>
      <c r="I18" s="12">
        <v>-25200</v>
      </c>
      <c r="J18" s="10">
        <v>220000</v>
      </c>
      <c r="K18" s="72"/>
      <c r="L18" s="12">
        <f t="shared" ref="L18:M22" si="2">E18-I18</f>
        <v>71150.000000000175</v>
      </c>
      <c r="M18" s="3">
        <f>F18-J18</f>
        <v>255000</v>
      </c>
      <c r="N18" s="98">
        <f t="shared" si="1"/>
        <v>0.3234090909090917</v>
      </c>
      <c r="P18" s="83"/>
    </row>
    <row r="19" spans="1:16" x14ac:dyDescent="0.2">
      <c r="A19" t="s">
        <v>16</v>
      </c>
      <c r="B19">
        <f>GasDaily!C33</f>
        <v>3.77</v>
      </c>
      <c r="D19" t="s">
        <v>116</v>
      </c>
      <c r="E19" s="12">
        <f>KATY_SWAP!AT$36</f>
        <v>-259350</v>
      </c>
      <c r="F19" s="10">
        <f>KATY_SWAP!W$36</f>
        <v>950000</v>
      </c>
      <c r="G19" s="86"/>
      <c r="H19" s="86"/>
      <c r="I19" s="12">
        <v>-362850</v>
      </c>
      <c r="J19" s="10">
        <v>1100000</v>
      </c>
      <c r="K19" s="72"/>
      <c r="L19" s="12">
        <f t="shared" si="2"/>
        <v>103500</v>
      </c>
      <c r="M19" s="10">
        <f t="shared" si="2"/>
        <v>-150000</v>
      </c>
      <c r="N19" s="98">
        <f t="shared" si="1"/>
        <v>9.4090909090909086E-2</v>
      </c>
      <c r="P19" s="83"/>
    </row>
    <row r="20" spans="1:16" x14ac:dyDescent="0.2">
      <c r="A20" t="s">
        <v>31</v>
      </c>
      <c r="B20">
        <f>GasDaily!R33</f>
        <v>3.79</v>
      </c>
      <c r="D20" t="s">
        <v>125</v>
      </c>
      <c r="E20" s="12">
        <f>WAHA_swap!Z36</f>
        <v>208100.00000000003</v>
      </c>
      <c r="F20" s="10">
        <f>WAHA_swap!M36</f>
        <v>-95000</v>
      </c>
      <c r="G20" s="86"/>
      <c r="H20" s="86"/>
      <c r="I20" s="12">
        <v>231675</v>
      </c>
      <c r="J20" s="10">
        <v>-330000</v>
      </c>
      <c r="K20" s="72"/>
      <c r="L20" s="12">
        <f t="shared" si="2"/>
        <v>-23574.999999999971</v>
      </c>
      <c r="M20" s="10">
        <f t="shared" si="2"/>
        <v>235000</v>
      </c>
      <c r="N20" s="98">
        <f t="shared" si="1"/>
        <v>7.1439393939393844E-2</v>
      </c>
      <c r="P20" s="83"/>
    </row>
    <row r="21" spans="1:16" x14ac:dyDescent="0.2">
      <c r="A21" t="s">
        <v>34</v>
      </c>
      <c r="B21">
        <f>GasDaily!AF33</f>
        <v>3.81</v>
      </c>
      <c r="D21" t="s">
        <v>130</v>
      </c>
      <c r="E21" s="12">
        <f>PERMIAN!AE36</f>
        <v>14650.000000000004</v>
      </c>
      <c r="F21" s="10">
        <f>PERMIAN!P36</f>
        <v>95000</v>
      </c>
      <c r="G21" s="86"/>
      <c r="H21" s="86"/>
      <c r="I21" s="12">
        <v>0</v>
      </c>
      <c r="J21" s="10">
        <v>0</v>
      </c>
      <c r="K21" s="72"/>
      <c r="L21" s="12">
        <f t="shared" si="2"/>
        <v>14650.000000000004</v>
      </c>
      <c r="M21" s="10">
        <f t="shared" si="2"/>
        <v>95000</v>
      </c>
      <c r="N21" s="98" t="e">
        <f t="shared" si="1"/>
        <v>#DIV/0!</v>
      </c>
      <c r="P21" s="83"/>
    </row>
    <row r="22" spans="1:16" x14ac:dyDescent="0.2">
      <c r="A22" t="s">
        <v>112</v>
      </c>
      <c r="B22">
        <f>GasDaily!V33</f>
        <v>3.6549999999999998</v>
      </c>
      <c r="E22" s="99">
        <f>SUM(E17:E21)</f>
        <v>-1643.0599999996157</v>
      </c>
      <c r="F22" s="100">
        <f>SUM(F17:F21)</f>
        <v>1263253</v>
      </c>
      <c r="G22" s="101">
        <f>F22/E31</f>
        <v>54924.043478260872</v>
      </c>
      <c r="H22" s="101"/>
      <c r="I22" s="99">
        <v>-141597.45000000001</v>
      </c>
      <c r="J22" s="100">
        <v>802714</v>
      </c>
      <c r="K22" s="102"/>
      <c r="L22" s="103">
        <f t="shared" si="2"/>
        <v>139954.39000000039</v>
      </c>
      <c r="M22" s="100">
        <f t="shared" si="2"/>
        <v>460539</v>
      </c>
      <c r="N22" s="98">
        <f t="shared" si="1"/>
        <v>0.17435150003612793</v>
      </c>
      <c r="P22" s="83"/>
    </row>
    <row r="23" spans="1:16" x14ac:dyDescent="0.2">
      <c r="A23" t="s">
        <v>114</v>
      </c>
      <c r="B23">
        <f>GasDaily!X33</f>
        <v>3.6</v>
      </c>
      <c r="D23" s="106" t="s">
        <v>103</v>
      </c>
      <c r="E23" s="12">
        <f>NYMEX_juL1!I43+NYMEX_juL2!I46</f>
        <v>271725.00000000175</v>
      </c>
      <c r="F23" s="10">
        <f>(NYMEX_juL1!E41*10000)+(NYMEX_juL2!E44*10000)+'JUL Swap'!E37*10000</f>
        <v>-750000</v>
      </c>
      <c r="G23" s="86"/>
      <c r="H23" s="86"/>
      <c r="I23" s="12">
        <v>438149.99999999849</v>
      </c>
      <c r="J23" s="10">
        <v>-1990000</v>
      </c>
      <c r="K23" s="72"/>
      <c r="L23" s="97">
        <f t="shared" ref="L23:M26" si="3">E23-I23</f>
        <v>-166424.99999999674</v>
      </c>
      <c r="M23" s="3">
        <f t="shared" si="3"/>
        <v>1240000</v>
      </c>
      <c r="N23" s="98">
        <f t="shared" si="1"/>
        <v>8.3630653266330027E-2</v>
      </c>
      <c r="P23" s="83"/>
    </row>
    <row r="24" spans="1:16" x14ac:dyDescent="0.2">
      <c r="A24" t="s">
        <v>35</v>
      </c>
      <c r="B24">
        <f>GasDaily!AH33</f>
        <v>0</v>
      </c>
      <c r="D24" t="s">
        <v>122</v>
      </c>
      <c r="E24" s="12">
        <f>NYMEX_AUG!I45</f>
        <v>46267.499999999825</v>
      </c>
      <c r="F24" s="10">
        <f>NYMEX_AUG!E43*10000</f>
        <v>-465000</v>
      </c>
      <c r="G24" s="86"/>
      <c r="H24" s="86"/>
      <c r="I24" s="12">
        <v>111832.5</v>
      </c>
      <c r="J24" s="10">
        <v>-465000</v>
      </c>
      <c r="K24" s="72"/>
      <c r="L24" s="97">
        <f t="shared" si="3"/>
        <v>-65565.000000000175</v>
      </c>
      <c r="M24" s="3">
        <f t="shared" si="3"/>
        <v>0</v>
      </c>
      <c r="N24" s="98"/>
      <c r="P24" s="83"/>
    </row>
    <row r="25" spans="1:16" x14ac:dyDescent="0.2">
      <c r="A25" t="s">
        <v>104</v>
      </c>
      <c r="B25">
        <f>GasDaily!N33</f>
        <v>3.62</v>
      </c>
      <c r="D25" t="s">
        <v>123</v>
      </c>
      <c r="E25" s="12">
        <f>NYMEX_SEP!I39</f>
        <v>28500.000000000058</v>
      </c>
      <c r="F25" s="10">
        <f>NYMEX_SEP!E37*10000</f>
        <v>-150000</v>
      </c>
      <c r="G25" s="86"/>
      <c r="H25" s="86"/>
      <c r="I25" s="12">
        <v>50099.999999999942</v>
      </c>
      <c r="J25" s="10">
        <v>-150000</v>
      </c>
      <c r="K25" s="72"/>
      <c r="L25" s="97">
        <f t="shared" si="3"/>
        <v>-21599.999999999884</v>
      </c>
      <c r="M25" s="3">
        <f t="shared" si="3"/>
        <v>0</v>
      </c>
      <c r="N25" s="98">
        <f t="shared" si="1"/>
        <v>0.14399999999999921</v>
      </c>
      <c r="P25" s="83"/>
    </row>
    <row r="26" spans="1:16" x14ac:dyDescent="0.2">
      <c r="D26" t="s">
        <v>128</v>
      </c>
      <c r="E26" s="12">
        <f>N_V!I39</f>
        <v>21525.000000001724</v>
      </c>
      <c r="F26" s="10">
        <f>N_V!E37*10000</f>
        <v>0</v>
      </c>
      <c r="G26" s="86">
        <f>F26/153</f>
        <v>0</v>
      </c>
      <c r="H26" s="86"/>
      <c r="I26" s="12">
        <v>1537.4999999996942</v>
      </c>
      <c r="J26" s="10">
        <v>0</v>
      </c>
      <c r="K26" s="72"/>
      <c r="L26" s="97">
        <f t="shared" si="3"/>
        <v>19987.50000000203</v>
      </c>
      <c r="M26" s="3">
        <f t="shared" si="3"/>
        <v>0</v>
      </c>
      <c r="N26" s="98"/>
      <c r="P26" s="83"/>
    </row>
    <row r="27" spans="1:16" x14ac:dyDescent="0.2">
      <c r="B27">
        <v>9.7750000000000004</v>
      </c>
      <c r="D27" t="s">
        <v>115</v>
      </c>
      <c r="E27" s="12">
        <f>X_H!I39</f>
        <v>-158550.00000000099</v>
      </c>
      <c r="F27" s="10">
        <f>X_H!E37*10000</f>
        <v>0</v>
      </c>
      <c r="G27" s="86">
        <f>F27/151</f>
        <v>0</v>
      </c>
      <c r="H27" s="86"/>
      <c r="I27" s="12">
        <v>-158550.00000000099</v>
      </c>
      <c r="J27" s="10">
        <v>0</v>
      </c>
      <c r="K27" s="72"/>
      <c r="L27" s="97">
        <f>E27-I27</f>
        <v>0</v>
      </c>
      <c r="M27" s="86">
        <f>F27-J27</f>
        <v>0</v>
      </c>
      <c r="N27" s="98"/>
      <c r="P27" s="83"/>
    </row>
    <row r="28" spans="1:16" x14ac:dyDescent="0.2">
      <c r="B28">
        <v>8.7910000000000004</v>
      </c>
      <c r="E28" s="99">
        <f>SUM(E23:E27)</f>
        <v>209467.50000000239</v>
      </c>
      <c r="F28" s="100">
        <f>SUM(F23:F27)</f>
        <v>-1365000</v>
      </c>
      <c r="G28" s="101"/>
      <c r="H28" s="101"/>
      <c r="I28" s="99">
        <v>443069.9999999968</v>
      </c>
      <c r="J28" s="100">
        <v>-2605000</v>
      </c>
      <c r="K28" s="102"/>
      <c r="L28" s="103">
        <f>SUM(L23:L27)</f>
        <v>-233602.49999999476</v>
      </c>
      <c r="M28" s="100">
        <f>SUM(M23:M27)</f>
        <v>1240000</v>
      </c>
      <c r="N28" s="98"/>
      <c r="P28" s="83"/>
    </row>
    <row r="29" spans="1:16" x14ac:dyDescent="0.2">
      <c r="B29">
        <v>6.2910000000000004</v>
      </c>
      <c r="D29" s="92" t="s">
        <v>93</v>
      </c>
      <c r="E29" s="93">
        <f>E15+E22+E28</f>
        <v>180623.05000000261</v>
      </c>
      <c r="F29" s="94">
        <f>F15+F22+F28</f>
        <v>190606</v>
      </c>
      <c r="G29" s="95"/>
      <c r="H29" s="95"/>
      <c r="I29" s="93">
        <v>242420.06999999675</v>
      </c>
      <c r="J29" s="94">
        <v>-1463772</v>
      </c>
      <c r="K29" s="94" t="e">
        <f>K15+K22+#REF!</f>
        <v>#REF!</v>
      </c>
      <c r="L29" s="96">
        <f>L15+L22+L28</f>
        <v>-61797.019999994343</v>
      </c>
      <c r="M29" s="128">
        <f>M15+M22+M28</f>
        <v>1654378</v>
      </c>
      <c r="N29" s="98">
        <f>L29/F29</f>
        <v>-0.32421340356544043</v>
      </c>
      <c r="O29">
        <f>90.3+0.9+0.2+11.4</f>
        <v>102.80000000000001</v>
      </c>
      <c r="P29" s="83">
        <f>O29*10000/23</f>
        <v>44695.652173913048</v>
      </c>
    </row>
    <row r="30" spans="1:16" x14ac:dyDescent="0.2">
      <c r="B30">
        <v>5.4909999999999997</v>
      </c>
      <c r="E30" s="12"/>
      <c r="F30" s="3"/>
      <c r="J30" s="91"/>
      <c r="L30" s="12"/>
      <c r="P30" s="83"/>
    </row>
    <row r="31" spans="1:16" x14ac:dyDescent="0.2">
      <c r="B31">
        <v>5.4</v>
      </c>
      <c r="E31">
        <v>23</v>
      </c>
      <c r="O31">
        <f>SUM(O5:O29)</f>
        <v>283</v>
      </c>
      <c r="P31" s="83">
        <f>SUM(P5:P29)</f>
        <v>123043.47826086957</v>
      </c>
    </row>
    <row r="32" spans="1:16" x14ac:dyDescent="0.2">
      <c r="B32">
        <v>8.2856666666666676</v>
      </c>
      <c r="D32" t="s">
        <v>20</v>
      </c>
      <c r="E32" s="83">
        <f>F32/E31</f>
        <v>12711</v>
      </c>
      <c r="F32" s="3">
        <f>+KATHY_PHYS!P36</f>
        <v>292353</v>
      </c>
      <c r="G32" s="85"/>
      <c r="I32" s="3">
        <v>6098012.1699999999</v>
      </c>
      <c r="J32" s="3">
        <f>F32-I32</f>
        <v>-5805659.1699999999</v>
      </c>
      <c r="K32" s="3"/>
      <c r="L32" s="3">
        <v>-98500</v>
      </c>
      <c r="O32">
        <v>-39.1</v>
      </c>
      <c r="P32">
        <f>(P31/12)/10000</f>
        <v>1.0253623188405798</v>
      </c>
    </row>
    <row r="33" spans="2:15" x14ac:dyDescent="0.2">
      <c r="D33" t="s">
        <v>21</v>
      </c>
      <c r="E33" s="83">
        <f>F33/E31</f>
        <v>50793.608695652176</v>
      </c>
      <c r="F33" s="51">
        <f>HH_SWAP!AJ36+HSC_SWAP!P36+WAHA_swap!M36+KATY_SWAP!W36</f>
        <v>1168253</v>
      </c>
      <c r="G33" s="3"/>
      <c r="I33" s="3">
        <v>-4495000</v>
      </c>
      <c r="J33" s="3">
        <f>F33-I33</f>
        <v>5663253</v>
      </c>
      <c r="K33" s="3"/>
      <c r="L33" s="3">
        <v>310000</v>
      </c>
      <c r="O33">
        <f>SUM(O31:O32)</f>
        <v>243.9</v>
      </c>
    </row>
    <row r="34" spans="2:15" x14ac:dyDescent="0.2">
      <c r="E34" s="84">
        <f>SUM(E32:E33)</f>
        <v>63504.608695652176</v>
      </c>
      <c r="F34" s="3">
        <f>SUM(F32:F33)</f>
        <v>1460606</v>
      </c>
      <c r="G34" s="3">
        <f>F34/E31</f>
        <v>63504.608695652176</v>
      </c>
      <c r="I34" s="3">
        <v>1603012.17</v>
      </c>
      <c r="J34" s="3">
        <f>F34-I34</f>
        <v>-142406.16999999993</v>
      </c>
      <c r="K34" s="3"/>
      <c r="L34" s="3">
        <v>211500</v>
      </c>
    </row>
    <row r="35" spans="2:15" ht="13.5" thickBot="1" x14ac:dyDescent="0.25">
      <c r="B35">
        <v>8.66</v>
      </c>
      <c r="D35" t="s">
        <v>22</v>
      </c>
      <c r="F35" s="50">
        <f>(NYMEX_juL1!E41)*10000+(NYMEX_AUG!E43)*10000+('JUL Swap'!E37)*10000+NYMEX_SEP!E37*10000+NYMEX_juL2!E44*10000+(X_H!E37)*10000+(N_V!E37)*10000</f>
        <v>-1365000</v>
      </c>
      <c r="G35" s="3"/>
      <c r="I35" s="3">
        <v>150000</v>
      </c>
      <c r="J35" s="3">
        <f>F35-I35</f>
        <v>-1515000</v>
      </c>
      <c r="K35" s="3"/>
      <c r="L35" s="3">
        <v>0</v>
      </c>
    </row>
    <row r="36" spans="2:15" ht="13.5" thickTop="1" x14ac:dyDescent="0.2">
      <c r="E36" t="s">
        <v>23</v>
      </c>
      <c r="F36" s="3">
        <f>SUM(F34:F35)+F21</f>
        <v>190606</v>
      </c>
      <c r="I36" s="3">
        <v>672000</v>
      </c>
      <c r="J36" s="3">
        <f>F36-I36</f>
        <v>-481394</v>
      </c>
      <c r="K36" s="3"/>
      <c r="L36" s="3">
        <v>211500</v>
      </c>
      <c r="M36">
        <f>(225000*0.01)</f>
        <v>2250</v>
      </c>
    </row>
    <row r="37" spans="2:15" x14ac:dyDescent="0.2">
      <c r="E37" t="s">
        <v>117</v>
      </c>
      <c r="F37" s="85"/>
    </row>
    <row r="38" spans="2:15" x14ac:dyDescent="0.2">
      <c r="E38" t="s">
        <v>89</v>
      </c>
      <c r="F38" s="3"/>
      <c r="I38">
        <f>5023426-4713426</f>
        <v>310000</v>
      </c>
      <c r="M38">
        <f>8.65-8.08</f>
        <v>0.57000000000000028</v>
      </c>
    </row>
    <row r="39" spans="2:15" x14ac:dyDescent="0.2">
      <c r="F39" s="3">
        <f>SUM(F36:F38)</f>
        <v>190606</v>
      </c>
      <c r="G39" s="108">
        <f>F39/E31</f>
        <v>8287.217391304348</v>
      </c>
    </row>
    <row r="41" spans="2:15" x14ac:dyDescent="0.2">
      <c r="F41" s="3">
        <f>SUM(F39:F40)</f>
        <v>190606</v>
      </c>
    </row>
    <row r="42" spans="2:15" x14ac:dyDescent="0.2">
      <c r="F42" s="12"/>
    </row>
    <row r="44" spans="2:15" x14ac:dyDescent="0.2">
      <c r="E44">
        <v>3.145</v>
      </c>
    </row>
    <row r="46" spans="2:15" x14ac:dyDescent="0.2">
      <c r="F46" s="3"/>
    </row>
  </sheetData>
  <phoneticPr fontId="0" type="noConversion"/>
  <pageMargins left="1.24" right="0" top="1.24" bottom="0" header="0" footer="0"/>
  <pageSetup scale="65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AF37"/>
  <sheetViews>
    <sheetView topLeftCell="B2" zoomScale="85" workbookViewId="0">
      <selection activeCell="P37" sqref="P37"/>
    </sheetView>
  </sheetViews>
  <sheetFormatPr defaultRowHeight="12.75" x14ac:dyDescent="0.2"/>
  <cols>
    <col min="1" max="1" width="9.28515625" bestFit="1" customWidth="1"/>
    <col min="7" max="8" width="9.85546875" bestFit="1" customWidth="1"/>
    <col min="13" max="13" width="7.28515625" customWidth="1"/>
    <col min="16" max="16" width="13.140625" style="2" customWidth="1"/>
    <col min="17" max="17" width="2.85546875" style="8" customWidth="1"/>
    <col min="31" max="31" width="2.7109375" style="8" customWidth="1"/>
    <col min="32" max="32" width="10.85546875" bestFit="1" customWidth="1"/>
  </cols>
  <sheetData>
    <row r="1" spans="1:32" x14ac:dyDescent="0.2">
      <c r="B1" s="2" t="s">
        <v>0</v>
      </c>
    </row>
    <row r="2" spans="1:32" x14ac:dyDescent="0.2">
      <c r="B2" s="6">
        <v>5.3</v>
      </c>
      <c r="C2" s="4"/>
      <c r="P2" s="2" t="s">
        <v>4</v>
      </c>
    </row>
    <row r="3" spans="1:32" x14ac:dyDescent="0.2">
      <c r="B3" s="5">
        <v>0</v>
      </c>
      <c r="C3" t="s">
        <v>1</v>
      </c>
      <c r="D3" s="5">
        <v>3.74</v>
      </c>
      <c r="E3" s="5">
        <v>3.64</v>
      </c>
      <c r="F3" s="5">
        <v>3.65</v>
      </c>
      <c r="G3" s="5">
        <v>3.66</v>
      </c>
      <c r="H3" s="5">
        <v>3.8250000000000002</v>
      </c>
      <c r="I3" s="5"/>
      <c r="J3" s="5"/>
      <c r="K3" s="5"/>
      <c r="L3" s="5"/>
      <c r="M3" s="5"/>
      <c r="N3" s="5"/>
      <c r="O3" s="5"/>
      <c r="AF3" t="s">
        <v>3</v>
      </c>
    </row>
    <row r="4" spans="1:32" x14ac:dyDescent="0.2">
      <c r="A4" s="107">
        <v>36951</v>
      </c>
      <c r="B4">
        <f t="shared" ref="B4:B34" si="0">B$2+B$3</f>
        <v>5.3</v>
      </c>
      <c r="C4" s="5">
        <f>GasDaily!R4</f>
        <v>3.83</v>
      </c>
      <c r="D4" s="3">
        <v>29387</v>
      </c>
      <c r="E4" s="3">
        <v>-5000</v>
      </c>
      <c r="F4" s="3">
        <v>-5000</v>
      </c>
      <c r="G4" s="3">
        <v>-5000</v>
      </c>
      <c r="H4" s="3">
        <v>1000</v>
      </c>
      <c r="I4" s="3"/>
      <c r="J4" s="3"/>
      <c r="K4" s="3"/>
      <c r="L4" s="3"/>
      <c r="M4" s="3"/>
      <c r="N4" s="3"/>
      <c r="O4" s="3"/>
      <c r="P4" s="10">
        <f t="shared" ref="P4:P34" si="1">SUM(D4:O4)</f>
        <v>15387</v>
      </c>
      <c r="Q4" s="9"/>
      <c r="R4">
        <f t="shared" ref="R4:R31" si="2">D4*($C4-D$3)</f>
        <v>2644.8299999999958</v>
      </c>
      <c r="S4">
        <f t="shared" ref="S4:T31" si="3">E4*($C4-E$3)</f>
        <v>-949.99999999999977</v>
      </c>
      <c r="T4">
        <f>F4*($C4-F$3)</f>
        <v>-900.0000000000008</v>
      </c>
      <c r="U4">
        <f t="shared" ref="U4:U34" si="4">G4*($C4-G$3)</f>
        <v>-849.99999999999966</v>
      </c>
      <c r="V4">
        <f t="shared" ref="V4:V34" si="5">H4*($C4-H$3)</f>
        <v>4.9999999999998934</v>
      </c>
      <c r="W4">
        <f t="shared" ref="W4:W34" si="6">I4*($C4-I$3)</f>
        <v>0</v>
      </c>
      <c r="X4">
        <f t="shared" ref="X4:X34" si="7">J4*($C4-J$3)</f>
        <v>0</v>
      </c>
      <c r="Y4">
        <f t="shared" ref="Y4:Y34" si="8">K4*($C4-K$3)</f>
        <v>0</v>
      </c>
      <c r="Z4">
        <f t="shared" ref="Z4:Z34" si="9">L4*($C4-L$3)</f>
        <v>0</v>
      </c>
      <c r="AA4">
        <f t="shared" ref="AA4:AA34" si="10">M4*($C4-M$3)</f>
        <v>0</v>
      </c>
      <c r="AB4">
        <f t="shared" ref="AB4:AB34" si="11">N4*($C4-N$3)</f>
        <v>0</v>
      </c>
      <c r="AF4">
        <f>SUM(R4:AB4)</f>
        <v>-50.170000000004499</v>
      </c>
    </row>
    <row r="5" spans="1:32" x14ac:dyDescent="0.2">
      <c r="A5" s="107">
        <v>36952</v>
      </c>
      <c r="B5">
        <f t="shared" si="0"/>
        <v>5.3</v>
      </c>
      <c r="C5" s="5">
        <f>GasDaily!R5</f>
        <v>3.7250000000000001</v>
      </c>
      <c r="D5" s="3">
        <v>29387</v>
      </c>
      <c r="E5" s="3">
        <v>-5000</v>
      </c>
      <c r="F5" s="3">
        <v>-5000</v>
      </c>
      <c r="G5" s="3">
        <v>-5000</v>
      </c>
      <c r="H5" s="3">
        <v>1000</v>
      </c>
      <c r="I5" s="3"/>
      <c r="J5" s="3"/>
      <c r="K5" s="3"/>
      <c r="L5" s="3"/>
      <c r="M5" s="3"/>
      <c r="N5" s="3"/>
      <c r="O5" s="3"/>
      <c r="P5" s="10">
        <f t="shared" si="1"/>
        <v>15387</v>
      </c>
      <c r="Q5" s="9"/>
      <c r="R5">
        <f t="shared" si="2"/>
        <v>-440.80500000000364</v>
      </c>
      <c r="S5">
        <f t="shared" si="3"/>
        <v>-424.99999999999983</v>
      </c>
      <c r="T5">
        <f t="shared" si="3"/>
        <v>-375.00000000000091</v>
      </c>
      <c r="U5">
        <f t="shared" si="4"/>
        <v>-324.99999999999972</v>
      </c>
      <c r="V5">
        <f t="shared" si="5"/>
        <v>-100.00000000000009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F5">
        <f t="shared" ref="AF5:AF34" si="12">SUM(R5:AB5)</f>
        <v>-1665.8050000000042</v>
      </c>
    </row>
    <row r="6" spans="1:32" x14ac:dyDescent="0.2">
      <c r="A6" s="107">
        <v>36953</v>
      </c>
      <c r="B6">
        <f t="shared" si="0"/>
        <v>5.3</v>
      </c>
      <c r="C6" s="5">
        <f>GasDaily!R6</f>
        <v>3.7250000000000001</v>
      </c>
      <c r="D6" s="3">
        <v>29387</v>
      </c>
      <c r="E6" s="3">
        <v>-5000</v>
      </c>
      <c r="F6" s="3">
        <v>-5000</v>
      </c>
      <c r="G6" s="3">
        <v>-5000</v>
      </c>
      <c r="H6" s="3">
        <v>1000</v>
      </c>
      <c r="I6" s="3"/>
      <c r="J6" s="3"/>
      <c r="K6" s="3"/>
      <c r="L6" s="3"/>
      <c r="M6" s="3"/>
      <c r="N6" s="3"/>
      <c r="O6" s="3"/>
      <c r="P6" s="10">
        <f t="shared" si="1"/>
        <v>15387</v>
      </c>
      <c r="Q6" s="9"/>
      <c r="R6">
        <f t="shared" si="2"/>
        <v>-440.80500000000364</v>
      </c>
      <c r="S6">
        <f t="shared" si="3"/>
        <v>-424.99999999999983</v>
      </c>
      <c r="T6">
        <f t="shared" si="3"/>
        <v>-375.00000000000091</v>
      </c>
      <c r="U6">
        <f t="shared" si="4"/>
        <v>-324.99999999999972</v>
      </c>
      <c r="V6">
        <f t="shared" si="5"/>
        <v>-100.00000000000009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F6">
        <f t="shared" si="12"/>
        <v>-1665.8050000000042</v>
      </c>
    </row>
    <row r="7" spans="1:32" x14ac:dyDescent="0.2">
      <c r="A7" s="107">
        <v>36954</v>
      </c>
      <c r="B7">
        <f t="shared" si="0"/>
        <v>5.3</v>
      </c>
      <c r="C7" s="5">
        <f>GasDaily!R7</f>
        <v>3.7250000000000001</v>
      </c>
      <c r="D7" s="3">
        <v>29387</v>
      </c>
      <c r="E7" s="3">
        <v>-5000</v>
      </c>
      <c r="F7" s="3">
        <v>-5000</v>
      </c>
      <c r="G7" s="3">
        <v>-5000</v>
      </c>
      <c r="H7" s="3">
        <v>1000</v>
      </c>
      <c r="I7" s="3"/>
      <c r="J7" s="3"/>
      <c r="K7" s="3"/>
      <c r="L7" s="3"/>
      <c r="M7" s="3"/>
      <c r="N7" s="3"/>
      <c r="O7" s="3"/>
      <c r="P7" s="10">
        <f t="shared" si="1"/>
        <v>15387</v>
      </c>
      <c r="Q7" s="9"/>
      <c r="R7">
        <f t="shared" si="2"/>
        <v>-440.80500000000364</v>
      </c>
      <c r="S7">
        <f t="shared" si="3"/>
        <v>-424.99999999999983</v>
      </c>
      <c r="T7">
        <f t="shared" si="3"/>
        <v>-375.00000000000091</v>
      </c>
      <c r="U7">
        <f t="shared" si="4"/>
        <v>-324.99999999999972</v>
      </c>
      <c r="V7">
        <f t="shared" si="5"/>
        <v>-100.00000000000009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F7">
        <f t="shared" si="12"/>
        <v>-1665.8050000000042</v>
      </c>
    </row>
    <row r="8" spans="1:32" x14ac:dyDescent="0.2">
      <c r="A8" s="107">
        <v>36955</v>
      </c>
      <c r="B8">
        <f t="shared" si="0"/>
        <v>5.3</v>
      </c>
      <c r="C8" s="5">
        <f>GasDaily!R8</f>
        <v>3.9649999999999999</v>
      </c>
      <c r="D8" s="3">
        <v>29387</v>
      </c>
      <c r="E8" s="3">
        <v>-5000</v>
      </c>
      <c r="F8" s="3">
        <v>-5000</v>
      </c>
      <c r="G8" s="3">
        <v>-5000</v>
      </c>
      <c r="H8" s="3">
        <v>1000</v>
      </c>
      <c r="I8" s="3"/>
      <c r="J8" s="3"/>
      <c r="K8" s="3"/>
      <c r="L8" s="3"/>
      <c r="M8" s="3"/>
      <c r="N8" s="3"/>
      <c r="O8" s="3"/>
      <c r="P8" s="10">
        <f t="shared" si="1"/>
        <v>15387</v>
      </c>
      <c r="Q8" s="9"/>
      <c r="R8">
        <f t="shared" si="2"/>
        <v>6612.0749999999898</v>
      </c>
      <c r="S8">
        <f t="shared" si="3"/>
        <v>-1624.9999999999986</v>
      </c>
      <c r="T8">
        <f t="shared" si="3"/>
        <v>-1574.9999999999998</v>
      </c>
      <c r="U8">
        <f t="shared" si="4"/>
        <v>-1524.9999999999986</v>
      </c>
      <c r="V8">
        <f t="shared" si="5"/>
        <v>139.99999999999969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F8">
        <f t="shared" si="12"/>
        <v>2027.0749999999928</v>
      </c>
    </row>
    <row r="9" spans="1:32" x14ac:dyDescent="0.2">
      <c r="A9" s="107">
        <v>36956</v>
      </c>
      <c r="B9">
        <f t="shared" si="0"/>
        <v>5.3</v>
      </c>
      <c r="C9" s="5">
        <f>GasDaily!R9</f>
        <v>4.0350000000000001</v>
      </c>
      <c r="D9" s="3">
        <v>29387</v>
      </c>
      <c r="E9" s="3">
        <v>-5000</v>
      </c>
      <c r="F9" s="3">
        <v>-5000</v>
      </c>
      <c r="G9" s="3">
        <v>-5000</v>
      </c>
      <c r="H9" s="3">
        <v>1000</v>
      </c>
      <c r="I9" s="3"/>
      <c r="J9" s="3"/>
      <c r="K9" s="3"/>
      <c r="L9" s="3"/>
      <c r="M9" s="3"/>
      <c r="N9" s="3"/>
      <c r="O9" s="3"/>
      <c r="P9" s="10">
        <f t="shared" si="1"/>
        <v>15387</v>
      </c>
      <c r="Q9" s="9"/>
      <c r="R9">
        <f t="shared" si="2"/>
        <v>8669.1649999999972</v>
      </c>
      <c r="S9">
        <f t="shared" si="3"/>
        <v>-1975</v>
      </c>
      <c r="T9">
        <f t="shared" si="3"/>
        <v>-1925.0000000000011</v>
      </c>
      <c r="U9">
        <f t="shared" si="4"/>
        <v>-1875</v>
      </c>
      <c r="V9">
        <f t="shared" si="5"/>
        <v>209.99999999999997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F9">
        <f t="shared" si="12"/>
        <v>3104.1649999999963</v>
      </c>
    </row>
    <row r="10" spans="1:32" x14ac:dyDescent="0.2">
      <c r="A10" s="107">
        <v>36957</v>
      </c>
      <c r="B10">
        <f t="shared" si="0"/>
        <v>5.3</v>
      </c>
      <c r="C10" s="5">
        <f>GasDaily!R10</f>
        <v>3.76</v>
      </c>
      <c r="D10" s="3">
        <v>29387</v>
      </c>
      <c r="E10" s="3">
        <v>-5000</v>
      </c>
      <c r="F10" s="3">
        <v>-5000</v>
      </c>
      <c r="G10" s="3">
        <v>-5000</v>
      </c>
      <c r="H10" s="3">
        <v>1000</v>
      </c>
      <c r="I10" s="3"/>
      <c r="J10" s="3"/>
      <c r="K10" s="3"/>
      <c r="L10" s="3"/>
      <c r="M10" s="3"/>
      <c r="N10" s="3"/>
      <c r="O10" s="3"/>
      <c r="P10" s="10">
        <f t="shared" si="1"/>
        <v>15387</v>
      </c>
      <c r="Q10" s="9"/>
      <c r="R10">
        <f t="shared" si="2"/>
        <v>587.7399999999875</v>
      </c>
      <c r="S10">
        <f t="shared" si="3"/>
        <v>-599.99999999999829</v>
      </c>
      <c r="T10">
        <f t="shared" si="3"/>
        <v>-549.99999999999943</v>
      </c>
      <c r="U10">
        <f t="shared" si="4"/>
        <v>-499.99999999999824</v>
      </c>
      <c r="V10">
        <f t="shared" si="5"/>
        <v>-65.000000000000398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F10">
        <f t="shared" si="12"/>
        <v>-1127.2600000000089</v>
      </c>
    </row>
    <row r="11" spans="1:32" x14ac:dyDescent="0.2">
      <c r="A11" s="107">
        <v>36958</v>
      </c>
      <c r="B11">
        <f t="shared" si="0"/>
        <v>5.3</v>
      </c>
      <c r="C11" s="5">
        <f>GasDaily!R11</f>
        <v>3.6549999999999998</v>
      </c>
      <c r="D11" s="3">
        <v>29387</v>
      </c>
      <c r="E11" s="3">
        <v>-5000</v>
      </c>
      <c r="F11" s="3">
        <v>-5000</v>
      </c>
      <c r="G11" s="3">
        <v>-5000</v>
      </c>
      <c r="H11" s="3">
        <v>1000</v>
      </c>
      <c r="I11" s="3"/>
      <c r="J11" s="3"/>
      <c r="K11" s="3"/>
      <c r="L11" s="3"/>
      <c r="M11" s="3"/>
      <c r="N11" s="3"/>
      <c r="O11" s="3"/>
      <c r="P11" s="10">
        <f t="shared" si="1"/>
        <v>15387</v>
      </c>
      <c r="Q11" s="9"/>
      <c r="R11">
        <f t="shared" si="2"/>
        <v>-2497.8950000000118</v>
      </c>
      <c r="S11">
        <f t="shared" si="3"/>
        <v>-74.999999999998408</v>
      </c>
      <c r="T11">
        <f t="shared" si="3"/>
        <v>-24.999999999999467</v>
      </c>
      <c r="U11">
        <f t="shared" si="4"/>
        <v>25.000000000001688</v>
      </c>
      <c r="V11">
        <f t="shared" si="5"/>
        <v>-170.00000000000037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F11">
        <f t="shared" si="12"/>
        <v>-2742.8950000000086</v>
      </c>
    </row>
    <row r="12" spans="1:32" x14ac:dyDescent="0.2">
      <c r="A12" s="107">
        <v>36959</v>
      </c>
      <c r="B12">
        <f t="shared" si="0"/>
        <v>5.3</v>
      </c>
      <c r="C12" s="5">
        <f>GasDaily!R12</f>
        <v>3.6</v>
      </c>
      <c r="D12" s="3">
        <v>29387</v>
      </c>
      <c r="E12" s="3">
        <v>-5000</v>
      </c>
      <c r="F12" s="3">
        <v>-5000</v>
      </c>
      <c r="G12" s="3">
        <v>-5000</v>
      </c>
      <c r="H12" s="3">
        <v>1000</v>
      </c>
      <c r="I12" s="3"/>
      <c r="J12" s="3"/>
      <c r="K12" s="3"/>
      <c r="L12" s="3"/>
      <c r="M12" s="3"/>
      <c r="N12" s="3"/>
      <c r="O12" s="3"/>
      <c r="P12" s="10">
        <f t="shared" si="1"/>
        <v>15387</v>
      </c>
      <c r="Q12" s="9"/>
      <c r="R12">
        <f t="shared" si="2"/>
        <v>-4114.1800000000039</v>
      </c>
      <c r="S12">
        <f t="shared" si="3"/>
        <v>200.00000000000017</v>
      </c>
      <c r="T12">
        <f t="shared" si="3"/>
        <v>249.99999999999912</v>
      </c>
      <c r="U12">
        <f t="shared" si="4"/>
        <v>300.00000000000028</v>
      </c>
      <c r="V12">
        <f t="shared" si="5"/>
        <v>-225.00000000000009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F12">
        <f t="shared" si="12"/>
        <v>-3589.1800000000044</v>
      </c>
    </row>
    <row r="13" spans="1:32" x14ac:dyDescent="0.2">
      <c r="A13" s="107">
        <v>36960</v>
      </c>
      <c r="B13">
        <f t="shared" si="0"/>
        <v>5.3</v>
      </c>
      <c r="C13" s="5">
        <f>GasDaily!R13</f>
        <v>3.6</v>
      </c>
      <c r="D13" s="3">
        <v>29387</v>
      </c>
      <c r="E13" s="3">
        <v>-5000</v>
      </c>
      <c r="F13" s="3">
        <v>-5000</v>
      </c>
      <c r="G13" s="3">
        <v>-5000</v>
      </c>
      <c r="H13" s="3">
        <v>1000</v>
      </c>
      <c r="I13" s="3"/>
      <c r="J13" s="3"/>
      <c r="K13" s="3"/>
      <c r="L13" s="3"/>
      <c r="M13" s="3"/>
      <c r="N13" s="3"/>
      <c r="O13" s="3"/>
      <c r="P13" s="10">
        <f t="shared" si="1"/>
        <v>15387</v>
      </c>
      <c r="Q13" s="9"/>
      <c r="R13">
        <f t="shared" si="2"/>
        <v>-4114.1800000000039</v>
      </c>
      <c r="S13">
        <f t="shared" si="3"/>
        <v>200.00000000000017</v>
      </c>
      <c r="T13">
        <f t="shared" si="3"/>
        <v>249.99999999999912</v>
      </c>
      <c r="U13">
        <f t="shared" si="4"/>
        <v>300.00000000000028</v>
      </c>
      <c r="V13">
        <f t="shared" si="5"/>
        <v>-225.00000000000009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F13">
        <f t="shared" si="12"/>
        <v>-3589.1800000000044</v>
      </c>
    </row>
    <row r="14" spans="1:32" x14ac:dyDescent="0.2">
      <c r="A14" s="107">
        <v>36961</v>
      </c>
      <c r="B14">
        <f t="shared" si="0"/>
        <v>5.3</v>
      </c>
      <c r="C14" s="5">
        <f>GasDaily!R14</f>
        <v>3.6</v>
      </c>
      <c r="D14" s="3">
        <v>29387</v>
      </c>
      <c r="E14" s="3">
        <v>-5000</v>
      </c>
      <c r="F14" s="3">
        <v>-5000</v>
      </c>
      <c r="G14" s="3">
        <v>-5000</v>
      </c>
      <c r="H14" s="3">
        <v>1000</v>
      </c>
      <c r="I14" s="3"/>
      <c r="J14" s="3"/>
      <c r="K14" s="3"/>
      <c r="L14" s="3"/>
      <c r="M14" s="3"/>
      <c r="N14" s="3"/>
      <c r="O14" s="3"/>
      <c r="P14" s="10">
        <f t="shared" si="1"/>
        <v>15387</v>
      </c>
      <c r="Q14" s="9"/>
      <c r="R14">
        <f t="shared" si="2"/>
        <v>-4114.1800000000039</v>
      </c>
      <c r="S14">
        <f t="shared" si="3"/>
        <v>200.00000000000017</v>
      </c>
      <c r="T14">
        <f t="shared" si="3"/>
        <v>249.99999999999912</v>
      </c>
      <c r="U14">
        <f t="shared" si="4"/>
        <v>300.00000000000028</v>
      </c>
      <c r="V14">
        <f t="shared" si="5"/>
        <v>-225.00000000000009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F14">
        <f t="shared" si="12"/>
        <v>-3589.1800000000044</v>
      </c>
    </row>
    <row r="15" spans="1:32" x14ac:dyDescent="0.2">
      <c r="A15" s="107">
        <v>36962</v>
      </c>
      <c r="B15">
        <f t="shared" si="0"/>
        <v>5.3</v>
      </c>
      <c r="C15" s="5">
        <f>GasDaily!R15</f>
        <v>3.79</v>
      </c>
      <c r="D15" s="3">
        <v>29387</v>
      </c>
      <c r="E15" s="3">
        <v>-5000</v>
      </c>
      <c r="F15" s="3">
        <v>-5000</v>
      </c>
      <c r="G15" s="3">
        <v>-5000</v>
      </c>
      <c r="H15" s="3">
        <v>1000</v>
      </c>
      <c r="I15" s="3"/>
      <c r="J15" s="3"/>
      <c r="K15" s="3"/>
      <c r="L15" s="3"/>
      <c r="M15" s="3"/>
      <c r="N15" s="3"/>
      <c r="O15" s="3"/>
      <c r="P15" s="10">
        <f t="shared" si="1"/>
        <v>15387</v>
      </c>
      <c r="Q15" s="9"/>
      <c r="R15">
        <f t="shared" si="2"/>
        <v>1469.3499999999947</v>
      </c>
      <c r="S15">
        <f t="shared" si="3"/>
        <v>-749.99999999999955</v>
      </c>
      <c r="T15">
        <f t="shared" si="3"/>
        <v>-700.00000000000057</v>
      </c>
      <c r="U15">
        <f t="shared" si="4"/>
        <v>-649.99999999999943</v>
      </c>
      <c r="V15">
        <f t="shared" si="5"/>
        <v>-35.000000000000142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F15">
        <f t="shared" si="12"/>
        <v>-665.65000000000498</v>
      </c>
    </row>
    <row r="16" spans="1:32" x14ac:dyDescent="0.2">
      <c r="A16" s="107">
        <v>36963</v>
      </c>
      <c r="B16">
        <f t="shared" si="0"/>
        <v>5.3</v>
      </c>
      <c r="C16" s="5">
        <f>GasDaily!R16</f>
        <v>3.79</v>
      </c>
      <c r="D16" s="3">
        <v>29387</v>
      </c>
      <c r="E16" s="3">
        <v>-5000</v>
      </c>
      <c r="F16" s="3">
        <v>-5000</v>
      </c>
      <c r="G16" s="3">
        <v>-5000</v>
      </c>
      <c r="H16" s="3">
        <v>1000</v>
      </c>
      <c r="I16" s="3"/>
      <c r="J16" s="3"/>
      <c r="K16" s="3"/>
      <c r="L16" s="3"/>
      <c r="M16" s="3"/>
      <c r="N16" s="3"/>
      <c r="O16" s="3"/>
      <c r="P16" s="10">
        <f t="shared" si="1"/>
        <v>15387</v>
      </c>
      <c r="Q16" s="9"/>
      <c r="R16">
        <f t="shared" si="2"/>
        <v>1469.3499999999947</v>
      </c>
      <c r="S16">
        <f t="shared" si="3"/>
        <v>-749.99999999999955</v>
      </c>
      <c r="T16">
        <f t="shared" si="3"/>
        <v>-700.00000000000057</v>
      </c>
      <c r="U16">
        <f t="shared" si="4"/>
        <v>-649.99999999999943</v>
      </c>
      <c r="V16">
        <f t="shared" si="5"/>
        <v>-35.000000000000142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F16">
        <f t="shared" si="12"/>
        <v>-665.65000000000498</v>
      </c>
    </row>
    <row r="17" spans="1:32" x14ac:dyDescent="0.2">
      <c r="A17" s="107">
        <v>36964</v>
      </c>
      <c r="B17">
        <f t="shared" si="0"/>
        <v>5.3</v>
      </c>
      <c r="C17" s="5">
        <f>GasDaily!R17</f>
        <v>3.79</v>
      </c>
      <c r="D17" s="3">
        <v>29387</v>
      </c>
      <c r="E17" s="3">
        <v>-5000</v>
      </c>
      <c r="F17" s="3">
        <v>-5000</v>
      </c>
      <c r="G17" s="3">
        <v>-5000</v>
      </c>
      <c r="H17" s="3">
        <v>1000</v>
      </c>
      <c r="I17" s="3"/>
      <c r="J17" s="3"/>
      <c r="K17" s="3"/>
      <c r="L17" s="3"/>
      <c r="M17" s="3"/>
      <c r="N17" s="3"/>
      <c r="O17" s="3"/>
      <c r="P17" s="10">
        <f t="shared" si="1"/>
        <v>15387</v>
      </c>
      <c r="Q17" s="9"/>
      <c r="R17">
        <f t="shared" si="2"/>
        <v>1469.3499999999947</v>
      </c>
      <c r="S17">
        <f t="shared" si="3"/>
        <v>-749.99999999999955</v>
      </c>
      <c r="T17">
        <f t="shared" si="3"/>
        <v>-700.00000000000057</v>
      </c>
      <c r="U17">
        <f t="shared" si="4"/>
        <v>-649.99999999999943</v>
      </c>
      <c r="V17">
        <f t="shared" si="5"/>
        <v>-35.000000000000142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  <c r="AF17">
        <f t="shared" si="12"/>
        <v>-665.65000000000498</v>
      </c>
    </row>
    <row r="18" spans="1:32" x14ac:dyDescent="0.2">
      <c r="A18" s="107">
        <v>36965</v>
      </c>
      <c r="B18">
        <f t="shared" si="0"/>
        <v>5.3</v>
      </c>
      <c r="C18" s="5">
        <f>GasDaily!R18</f>
        <v>3.79</v>
      </c>
      <c r="D18" s="3">
        <v>29387</v>
      </c>
      <c r="E18" s="3">
        <v>-5000</v>
      </c>
      <c r="F18" s="3">
        <v>-5000</v>
      </c>
      <c r="G18" s="3">
        <v>-5000</v>
      </c>
      <c r="H18" s="3">
        <v>1000</v>
      </c>
      <c r="I18" s="3"/>
      <c r="J18" s="3"/>
      <c r="K18" s="3"/>
      <c r="L18" s="3"/>
      <c r="M18" s="3"/>
      <c r="N18" s="3"/>
      <c r="O18" s="3"/>
      <c r="P18" s="10">
        <f t="shared" si="1"/>
        <v>15387</v>
      </c>
      <c r="Q18" s="9"/>
      <c r="R18">
        <f t="shared" si="2"/>
        <v>1469.3499999999947</v>
      </c>
      <c r="S18">
        <f t="shared" si="3"/>
        <v>-749.99999999999955</v>
      </c>
      <c r="T18">
        <f t="shared" si="3"/>
        <v>-700.00000000000057</v>
      </c>
      <c r="U18">
        <f t="shared" si="4"/>
        <v>-649.99999999999943</v>
      </c>
      <c r="V18">
        <f t="shared" si="5"/>
        <v>-35.000000000000142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F18">
        <f t="shared" si="12"/>
        <v>-665.65000000000498</v>
      </c>
    </row>
    <row r="19" spans="1:32" x14ac:dyDescent="0.2">
      <c r="A19" s="107">
        <v>36966</v>
      </c>
      <c r="B19">
        <f t="shared" si="0"/>
        <v>5.3</v>
      </c>
      <c r="C19" s="5">
        <f>GasDaily!R19</f>
        <v>3.79</v>
      </c>
      <c r="D19" s="3">
        <v>29387</v>
      </c>
      <c r="E19" s="3">
        <v>-5000</v>
      </c>
      <c r="F19" s="3">
        <v>-5000</v>
      </c>
      <c r="G19" s="3">
        <v>-5000</v>
      </c>
      <c r="H19" s="3">
        <v>1000</v>
      </c>
      <c r="I19" s="3"/>
      <c r="J19" s="3"/>
      <c r="K19" s="3"/>
      <c r="L19" s="3"/>
      <c r="M19" s="3"/>
      <c r="N19" s="3"/>
      <c r="O19" s="3"/>
      <c r="P19" s="10">
        <f t="shared" si="1"/>
        <v>15387</v>
      </c>
      <c r="Q19" s="9"/>
      <c r="R19">
        <f t="shared" si="2"/>
        <v>1469.3499999999947</v>
      </c>
      <c r="S19">
        <f t="shared" si="3"/>
        <v>-749.99999999999955</v>
      </c>
      <c r="T19">
        <f t="shared" si="3"/>
        <v>-700.00000000000057</v>
      </c>
      <c r="U19">
        <f t="shared" si="4"/>
        <v>-649.99999999999943</v>
      </c>
      <c r="V19">
        <f t="shared" si="5"/>
        <v>-35.000000000000142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F19">
        <f t="shared" si="12"/>
        <v>-665.65000000000498</v>
      </c>
    </row>
    <row r="20" spans="1:32" x14ac:dyDescent="0.2">
      <c r="A20" s="107">
        <v>36967</v>
      </c>
      <c r="B20">
        <f t="shared" si="0"/>
        <v>5.3</v>
      </c>
      <c r="C20" s="5">
        <f>GasDaily!R20</f>
        <v>3.79</v>
      </c>
      <c r="D20" s="3">
        <v>29387</v>
      </c>
      <c r="E20" s="3">
        <v>-5000</v>
      </c>
      <c r="F20" s="3">
        <v>-5000</v>
      </c>
      <c r="G20" s="3">
        <v>-5000</v>
      </c>
      <c r="H20" s="3">
        <v>1000</v>
      </c>
      <c r="I20" s="3"/>
      <c r="J20" s="3"/>
      <c r="K20" s="3"/>
      <c r="L20" s="3"/>
      <c r="M20" s="3"/>
      <c r="N20" s="3"/>
      <c r="O20" s="3"/>
      <c r="P20" s="10">
        <f t="shared" si="1"/>
        <v>15387</v>
      </c>
      <c r="Q20" s="9"/>
      <c r="R20">
        <f t="shared" si="2"/>
        <v>1469.3499999999947</v>
      </c>
      <c r="S20">
        <f t="shared" si="3"/>
        <v>-749.99999999999955</v>
      </c>
      <c r="T20">
        <f t="shared" si="3"/>
        <v>-700.00000000000057</v>
      </c>
      <c r="U20">
        <f t="shared" si="4"/>
        <v>-649.99999999999943</v>
      </c>
      <c r="V20">
        <f t="shared" si="5"/>
        <v>-35.000000000000142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F20">
        <f t="shared" si="12"/>
        <v>-665.65000000000498</v>
      </c>
    </row>
    <row r="21" spans="1:32" x14ac:dyDescent="0.2">
      <c r="A21" s="107">
        <v>36968</v>
      </c>
      <c r="B21">
        <f t="shared" si="0"/>
        <v>5.3</v>
      </c>
      <c r="C21" s="5">
        <f>GasDaily!R21</f>
        <v>3.79</v>
      </c>
      <c r="D21" s="3">
        <v>29387</v>
      </c>
      <c r="E21" s="3">
        <v>-5000</v>
      </c>
      <c r="F21" s="3">
        <v>-5000</v>
      </c>
      <c r="G21" s="3">
        <v>-5000</v>
      </c>
      <c r="H21" s="3">
        <v>1000</v>
      </c>
      <c r="I21" s="3"/>
      <c r="J21" s="3"/>
      <c r="K21" s="3"/>
      <c r="L21" s="3"/>
      <c r="M21" s="3"/>
      <c r="N21" s="3"/>
      <c r="O21" s="3"/>
      <c r="P21" s="10">
        <f t="shared" si="1"/>
        <v>15387</v>
      </c>
      <c r="Q21" s="9"/>
      <c r="R21">
        <f t="shared" si="2"/>
        <v>1469.3499999999947</v>
      </c>
      <c r="S21">
        <f t="shared" si="3"/>
        <v>-749.99999999999955</v>
      </c>
      <c r="T21">
        <f t="shared" si="3"/>
        <v>-700.00000000000057</v>
      </c>
      <c r="U21">
        <f t="shared" si="4"/>
        <v>-649.99999999999943</v>
      </c>
      <c r="V21">
        <f t="shared" si="5"/>
        <v>-35.000000000000142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F21">
        <f t="shared" si="12"/>
        <v>-665.65000000000498</v>
      </c>
    </row>
    <row r="22" spans="1:32" x14ac:dyDescent="0.2">
      <c r="A22" s="107">
        <v>36969</v>
      </c>
      <c r="B22">
        <f t="shared" si="0"/>
        <v>5.3</v>
      </c>
      <c r="C22" s="5">
        <f>GasDaily!R22</f>
        <v>3.79</v>
      </c>
      <c r="D22" s="3">
        <v>29387</v>
      </c>
      <c r="E22" s="3">
        <v>-5000</v>
      </c>
      <c r="F22" s="3">
        <v>-5000</v>
      </c>
      <c r="G22" s="3">
        <v>-5000</v>
      </c>
      <c r="H22" s="3">
        <v>1000</v>
      </c>
      <c r="I22" s="3"/>
      <c r="J22" s="3"/>
      <c r="K22" s="3"/>
      <c r="L22" s="3"/>
      <c r="M22" s="3"/>
      <c r="N22" s="3"/>
      <c r="O22" s="3"/>
      <c r="P22" s="10">
        <f t="shared" si="1"/>
        <v>15387</v>
      </c>
      <c r="Q22" s="9"/>
      <c r="R22">
        <f t="shared" si="2"/>
        <v>1469.3499999999947</v>
      </c>
      <c r="S22">
        <f t="shared" si="3"/>
        <v>-749.99999999999955</v>
      </c>
      <c r="T22">
        <f t="shared" si="3"/>
        <v>-700.00000000000057</v>
      </c>
      <c r="U22">
        <f t="shared" si="4"/>
        <v>-649.99999999999943</v>
      </c>
      <c r="V22">
        <f t="shared" si="5"/>
        <v>-35.000000000000142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F22">
        <f t="shared" si="12"/>
        <v>-665.65000000000498</v>
      </c>
    </row>
    <row r="23" spans="1:32" x14ac:dyDescent="0.2">
      <c r="A23" s="107">
        <v>36970</v>
      </c>
      <c r="B23">
        <f t="shared" si="0"/>
        <v>5.3</v>
      </c>
      <c r="C23" s="5">
        <f>GasDaily!R23</f>
        <v>3.79</v>
      </c>
      <c r="D23" s="3">
        <v>29387</v>
      </c>
      <c r="E23" s="3">
        <v>-5000</v>
      </c>
      <c r="F23" s="3">
        <v>-5000</v>
      </c>
      <c r="G23" s="3">
        <v>-5000</v>
      </c>
      <c r="H23" s="3">
        <v>1000</v>
      </c>
      <c r="I23" s="3"/>
      <c r="J23" s="3"/>
      <c r="K23" s="3"/>
      <c r="L23" s="3"/>
      <c r="M23" s="3"/>
      <c r="N23" s="3"/>
      <c r="O23" s="3"/>
      <c r="P23" s="10">
        <f t="shared" si="1"/>
        <v>15387</v>
      </c>
      <c r="Q23" s="9"/>
      <c r="R23">
        <f t="shared" si="2"/>
        <v>1469.3499999999947</v>
      </c>
      <c r="S23">
        <f t="shared" si="3"/>
        <v>-749.99999999999955</v>
      </c>
      <c r="T23">
        <f t="shared" si="3"/>
        <v>-700.00000000000057</v>
      </c>
      <c r="U23">
        <f t="shared" si="4"/>
        <v>-649.99999999999943</v>
      </c>
      <c r="V23">
        <f t="shared" si="5"/>
        <v>-35.000000000000142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F23">
        <f t="shared" si="12"/>
        <v>-665.65000000000498</v>
      </c>
    </row>
    <row r="24" spans="1:32" x14ac:dyDescent="0.2">
      <c r="A24" s="107">
        <v>36971</v>
      </c>
      <c r="B24">
        <f t="shared" si="0"/>
        <v>5.3</v>
      </c>
      <c r="C24" s="5">
        <f>GasDaily!R24</f>
        <v>3.79</v>
      </c>
      <c r="D24" s="3">
        <v>29387</v>
      </c>
      <c r="E24" s="3">
        <v>-5000</v>
      </c>
      <c r="F24" s="3">
        <v>-5000</v>
      </c>
      <c r="G24" s="3">
        <v>-5000</v>
      </c>
      <c r="H24" s="3">
        <v>1000</v>
      </c>
      <c r="I24" s="3"/>
      <c r="J24" s="3"/>
      <c r="K24" s="3"/>
      <c r="L24" s="3"/>
      <c r="M24" s="3"/>
      <c r="N24" s="3"/>
      <c r="O24" s="3"/>
      <c r="P24" s="10">
        <f t="shared" si="1"/>
        <v>15387</v>
      </c>
      <c r="Q24" s="9"/>
      <c r="R24">
        <f t="shared" si="2"/>
        <v>1469.3499999999947</v>
      </c>
      <c r="S24">
        <f t="shared" si="3"/>
        <v>-749.99999999999955</v>
      </c>
      <c r="T24">
        <f t="shared" si="3"/>
        <v>-700.00000000000057</v>
      </c>
      <c r="U24">
        <f t="shared" si="4"/>
        <v>-649.99999999999943</v>
      </c>
      <c r="V24">
        <f t="shared" si="5"/>
        <v>-35.000000000000142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F24">
        <f t="shared" si="12"/>
        <v>-665.65000000000498</v>
      </c>
    </row>
    <row r="25" spans="1:32" x14ac:dyDescent="0.2">
      <c r="A25" s="107">
        <v>36972</v>
      </c>
      <c r="B25">
        <f t="shared" si="0"/>
        <v>5.3</v>
      </c>
      <c r="C25" s="5">
        <f>GasDaily!R25</f>
        <v>3.79</v>
      </c>
      <c r="D25" s="3">
        <v>29387</v>
      </c>
      <c r="E25" s="3">
        <v>-5000</v>
      </c>
      <c r="F25" s="3">
        <v>-5000</v>
      </c>
      <c r="G25" s="3">
        <v>-5000</v>
      </c>
      <c r="H25" s="3">
        <v>1000</v>
      </c>
      <c r="I25" s="3"/>
      <c r="J25" s="3"/>
      <c r="K25" s="3"/>
      <c r="L25" s="3"/>
      <c r="M25" s="3"/>
      <c r="N25" s="3"/>
      <c r="O25" s="3"/>
      <c r="P25" s="10">
        <f t="shared" si="1"/>
        <v>15387</v>
      </c>
      <c r="Q25" s="9"/>
      <c r="R25">
        <f t="shared" si="2"/>
        <v>1469.3499999999947</v>
      </c>
      <c r="S25">
        <f t="shared" si="3"/>
        <v>-749.99999999999955</v>
      </c>
      <c r="T25">
        <f t="shared" si="3"/>
        <v>-700.00000000000057</v>
      </c>
      <c r="U25">
        <f t="shared" si="4"/>
        <v>-649.99999999999943</v>
      </c>
      <c r="V25">
        <f t="shared" si="5"/>
        <v>-35.000000000000142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F25">
        <f t="shared" si="12"/>
        <v>-665.65000000000498</v>
      </c>
    </row>
    <row r="26" spans="1:32" x14ac:dyDescent="0.2">
      <c r="A26" s="107">
        <v>36973</v>
      </c>
      <c r="B26">
        <f t="shared" si="0"/>
        <v>5.3</v>
      </c>
      <c r="C26" s="5">
        <f>GasDaily!R26</f>
        <v>3.79</v>
      </c>
      <c r="D26" s="3">
        <v>29387</v>
      </c>
      <c r="E26" s="3">
        <v>-5000</v>
      </c>
      <c r="F26" s="3">
        <v>-5000</v>
      </c>
      <c r="G26" s="3">
        <v>-5000</v>
      </c>
      <c r="H26" s="3">
        <v>1000</v>
      </c>
      <c r="I26" s="3"/>
      <c r="J26" s="3"/>
      <c r="K26" s="3"/>
      <c r="L26" s="3"/>
      <c r="M26" s="3"/>
      <c r="N26" s="3"/>
      <c r="O26" s="3"/>
      <c r="P26" s="10">
        <f t="shared" si="1"/>
        <v>15387</v>
      </c>
      <c r="Q26" s="9"/>
      <c r="R26">
        <f t="shared" si="2"/>
        <v>1469.3499999999947</v>
      </c>
      <c r="S26">
        <f t="shared" si="3"/>
        <v>-749.99999999999955</v>
      </c>
      <c r="T26">
        <f t="shared" si="3"/>
        <v>-700.00000000000057</v>
      </c>
      <c r="U26">
        <f t="shared" si="4"/>
        <v>-649.99999999999943</v>
      </c>
      <c r="V26">
        <f t="shared" si="5"/>
        <v>-35.000000000000142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0</v>
      </c>
      <c r="AF26">
        <f t="shared" si="12"/>
        <v>-665.65000000000498</v>
      </c>
    </row>
    <row r="27" spans="1:32" x14ac:dyDescent="0.2">
      <c r="A27" s="107">
        <v>36974</v>
      </c>
      <c r="B27">
        <f t="shared" si="0"/>
        <v>5.3</v>
      </c>
      <c r="C27" s="5">
        <f>GasDaily!R27</f>
        <v>3.79</v>
      </c>
      <c r="D27" s="3">
        <v>29387</v>
      </c>
      <c r="E27" s="3">
        <v>-5000</v>
      </c>
      <c r="F27" s="3">
        <v>-5000</v>
      </c>
      <c r="G27" s="3">
        <v>-5000</v>
      </c>
      <c r="H27" s="3">
        <v>1000</v>
      </c>
      <c r="I27" s="3"/>
      <c r="J27" s="3"/>
      <c r="K27" s="3"/>
      <c r="L27" s="3"/>
      <c r="M27" s="3"/>
      <c r="N27" s="3"/>
      <c r="O27" s="3"/>
      <c r="P27" s="10">
        <f t="shared" si="1"/>
        <v>15387</v>
      </c>
      <c r="Q27" s="9"/>
      <c r="R27">
        <f t="shared" si="2"/>
        <v>1469.3499999999947</v>
      </c>
      <c r="S27">
        <f t="shared" si="3"/>
        <v>-749.99999999999955</v>
      </c>
      <c r="T27">
        <f t="shared" si="3"/>
        <v>-700.00000000000057</v>
      </c>
      <c r="U27">
        <f t="shared" si="4"/>
        <v>-649.99999999999943</v>
      </c>
      <c r="V27">
        <f t="shared" si="5"/>
        <v>-35.000000000000142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F27">
        <f t="shared" si="12"/>
        <v>-665.65000000000498</v>
      </c>
    </row>
    <row r="28" spans="1:32" x14ac:dyDescent="0.2">
      <c r="A28" s="107">
        <v>36975</v>
      </c>
      <c r="B28">
        <f t="shared" si="0"/>
        <v>5.3</v>
      </c>
      <c r="C28" s="5">
        <f>GasDaily!R28</f>
        <v>3.79</v>
      </c>
      <c r="D28" s="3">
        <v>29387</v>
      </c>
      <c r="E28" s="3">
        <v>-5000</v>
      </c>
      <c r="F28" s="3">
        <v>-5000</v>
      </c>
      <c r="G28" s="3">
        <v>-5000</v>
      </c>
      <c r="H28" s="3">
        <v>1000</v>
      </c>
      <c r="I28" s="3"/>
      <c r="J28" s="3"/>
      <c r="K28" s="3"/>
      <c r="L28" s="3"/>
      <c r="M28" s="3"/>
      <c r="N28" s="3"/>
      <c r="O28" s="3"/>
      <c r="P28" s="10">
        <f t="shared" si="1"/>
        <v>15387</v>
      </c>
      <c r="Q28" s="9"/>
      <c r="R28">
        <f t="shared" si="2"/>
        <v>1469.3499999999947</v>
      </c>
      <c r="S28">
        <f t="shared" si="3"/>
        <v>-749.99999999999955</v>
      </c>
      <c r="T28">
        <f t="shared" si="3"/>
        <v>-700.00000000000057</v>
      </c>
      <c r="U28">
        <f t="shared" si="4"/>
        <v>-649.99999999999943</v>
      </c>
      <c r="V28">
        <f t="shared" si="5"/>
        <v>-35.000000000000142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F28">
        <f t="shared" si="12"/>
        <v>-665.65000000000498</v>
      </c>
    </row>
    <row r="29" spans="1:32" x14ac:dyDescent="0.2">
      <c r="A29" s="107">
        <v>36976</v>
      </c>
      <c r="B29">
        <f t="shared" si="0"/>
        <v>5.3</v>
      </c>
      <c r="C29" s="5">
        <f>GasDaily!R29</f>
        <v>3.79</v>
      </c>
      <c r="D29" s="3">
        <v>29387</v>
      </c>
      <c r="E29" s="3">
        <v>-5000</v>
      </c>
      <c r="F29" s="3">
        <v>-5000</v>
      </c>
      <c r="G29" s="3">
        <v>-5000</v>
      </c>
      <c r="H29" s="3">
        <v>1000</v>
      </c>
      <c r="I29" s="3"/>
      <c r="J29" s="3"/>
      <c r="K29" s="3"/>
      <c r="L29" s="3"/>
      <c r="M29" s="3"/>
      <c r="N29" s="3"/>
      <c r="O29" s="3"/>
      <c r="P29" s="10">
        <f t="shared" si="1"/>
        <v>15387</v>
      </c>
      <c r="Q29" s="9"/>
      <c r="R29">
        <f t="shared" si="2"/>
        <v>1469.3499999999947</v>
      </c>
      <c r="S29">
        <f t="shared" si="3"/>
        <v>-749.99999999999955</v>
      </c>
      <c r="T29">
        <f t="shared" si="3"/>
        <v>-700.00000000000057</v>
      </c>
      <c r="U29">
        <f t="shared" si="4"/>
        <v>-649.99999999999943</v>
      </c>
      <c r="V29">
        <f t="shared" si="5"/>
        <v>-35.000000000000142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F29">
        <f t="shared" si="12"/>
        <v>-665.65000000000498</v>
      </c>
    </row>
    <row r="30" spans="1:32" x14ac:dyDescent="0.2">
      <c r="A30" s="107">
        <v>36977</v>
      </c>
      <c r="B30">
        <f t="shared" si="0"/>
        <v>5.3</v>
      </c>
      <c r="C30" s="5">
        <f>GasDaily!R30</f>
        <v>3.79</v>
      </c>
      <c r="D30" s="3">
        <v>29387</v>
      </c>
      <c r="E30" s="3">
        <v>-5000</v>
      </c>
      <c r="F30" s="3">
        <v>-5000</v>
      </c>
      <c r="G30" s="3">
        <v>-5000</v>
      </c>
      <c r="H30" s="3">
        <v>1000</v>
      </c>
      <c r="I30" s="3"/>
      <c r="J30" s="3"/>
      <c r="K30" s="3"/>
      <c r="L30" s="3"/>
      <c r="M30" s="3"/>
      <c r="N30" s="3"/>
      <c r="O30" s="3"/>
      <c r="P30" s="10">
        <f t="shared" si="1"/>
        <v>15387</v>
      </c>
      <c r="Q30" s="9"/>
      <c r="R30">
        <f t="shared" si="2"/>
        <v>1469.3499999999947</v>
      </c>
      <c r="S30">
        <f t="shared" si="3"/>
        <v>-749.99999999999955</v>
      </c>
      <c r="T30">
        <f t="shared" si="3"/>
        <v>-700.00000000000057</v>
      </c>
      <c r="U30">
        <f t="shared" si="4"/>
        <v>-649.99999999999943</v>
      </c>
      <c r="V30">
        <f t="shared" si="5"/>
        <v>-35.000000000000142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F30">
        <f t="shared" si="12"/>
        <v>-665.65000000000498</v>
      </c>
    </row>
    <row r="31" spans="1:32" x14ac:dyDescent="0.2">
      <c r="A31" s="107">
        <v>36978</v>
      </c>
      <c r="B31">
        <f t="shared" si="0"/>
        <v>5.3</v>
      </c>
      <c r="C31" s="5">
        <f>GasDaily!R31</f>
        <v>3.79</v>
      </c>
      <c r="D31" s="3">
        <v>29387</v>
      </c>
      <c r="E31" s="3">
        <v>-5000</v>
      </c>
      <c r="F31" s="3">
        <v>-5000</v>
      </c>
      <c r="G31" s="3">
        <v>-5000</v>
      </c>
      <c r="H31" s="3">
        <v>1000</v>
      </c>
      <c r="I31" s="3"/>
      <c r="J31" s="3"/>
      <c r="K31" s="3"/>
      <c r="L31" s="3"/>
      <c r="M31" s="3"/>
      <c r="N31" s="3"/>
      <c r="O31" s="3"/>
      <c r="P31" s="10">
        <f t="shared" si="1"/>
        <v>15387</v>
      </c>
      <c r="Q31" s="9"/>
      <c r="R31">
        <f t="shared" si="2"/>
        <v>1469.3499999999947</v>
      </c>
      <c r="S31">
        <f t="shared" si="3"/>
        <v>-749.99999999999955</v>
      </c>
      <c r="T31">
        <f t="shared" si="3"/>
        <v>-700.00000000000057</v>
      </c>
      <c r="U31">
        <f t="shared" si="4"/>
        <v>-649.99999999999943</v>
      </c>
      <c r="V31">
        <f t="shared" si="5"/>
        <v>-35.000000000000142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F31">
        <f t="shared" si="12"/>
        <v>-665.65000000000498</v>
      </c>
    </row>
    <row r="32" spans="1:32" x14ac:dyDescent="0.2">
      <c r="A32" s="107">
        <v>36979</v>
      </c>
      <c r="B32">
        <f t="shared" si="0"/>
        <v>5.3</v>
      </c>
      <c r="C32" s="5">
        <f>GasDaily!R32</f>
        <v>3.79</v>
      </c>
      <c r="D32" s="3">
        <v>29387</v>
      </c>
      <c r="E32" s="3">
        <v>-5000</v>
      </c>
      <c r="F32" s="3">
        <v>-5000</v>
      </c>
      <c r="G32" s="3">
        <v>-5000</v>
      </c>
      <c r="H32" s="3">
        <v>1000</v>
      </c>
      <c r="I32" s="3"/>
      <c r="J32" s="3"/>
      <c r="K32" s="3"/>
      <c r="L32" s="3"/>
      <c r="M32" s="3"/>
      <c r="N32" s="3"/>
      <c r="O32" s="3"/>
      <c r="P32" s="10">
        <f t="shared" si="1"/>
        <v>15387</v>
      </c>
      <c r="Q32" s="9"/>
      <c r="R32">
        <f>D32*(C32-D$3)</f>
        <v>1469.3499999999947</v>
      </c>
      <c r="S32">
        <f t="shared" ref="S32:T34" si="13">E32*($C32-E$3)</f>
        <v>-749.99999999999955</v>
      </c>
      <c r="T32">
        <f t="shared" si="13"/>
        <v>-700.00000000000057</v>
      </c>
      <c r="U32">
        <f t="shared" si="4"/>
        <v>-649.99999999999943</v>
      </c>
      <c r="V32">
        <f t="shared" si="5"/>
        <v>-35.000000000000142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F32">
        <f t="shared" si="12"/>
        <v>-665.65000000000498</v>
      </c>
    </row>
    <row r="33" spans="1:32" x14ac:dyDescent="0.2">
      <c r="A33" s="107">
        <v>36980</v>
      </c>
      <c r="B33">
        <f t="shared" si="0"/>
        <v>5.3</v>
      </c>
      <c r="C33" s="5">
        <f>GasDaily!R33</f>
        <v>3.79</v>
      </c>
      <c r="D33" s="3">
        <v>29387</v>
      </c>
      <c r="E33" s="3">
        <v>-5000</v>
      </c>
      <c r="F33" s="3">
        <v>-5000</v>
      </c>
      <c r="G33" s="3">
        <v>-5000</v>
      </c>
      <c r="H33" s="3">
        <v>1000</v>
      </c>
      <c r="I33" s="3"/>
      <c r="J33" s="3"/>
      <c r="K33" s="3"/>
      <c r="L33" s="3"/>
      <c r="M33" s="3"/>
      <c r="N33" s="3"/>
      <c r="P33" s="10">
        <f t="shared" si="1"/>
        <v>15387</v>
      </c>
      <c r="R33">
        <f>D33*(C33-D$3)</f>
        <v>1469.3499999999947</v>
      </c>
      <c r="S33">
        <f t="shared" si="13"/>
        <v>-749.99999999999955</v>
      </c>
      <c r="T33">
        <f t="shared" si="13"/>
        <v>-700.00000000000057</v>
      </c>
      <c r="U33">
        <f t="shared" si="4"/>
        <v>-649.99999999999943</v>
      </c>
      <c r="V33">
        <f t="shared" si="5"/>
        <v>-35.000000000000142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  <c r="AF33">
        <f t="shared" si="12"/>
        <v>-665.65000000000498</v>
      </c>
    </row>
    <row r="34" spans="1:32" x14ac:dyDescent="0.2">
      <c r="A34" s="107">
        <v>36981</v>
      </c>
      <c r="B34">
        <f t="shared" si="0"/>
        <v>5.3</v>
      </c>
      <c r="C34" s="5">
        <f>GasDaily!F34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10">
        <f t="shared" si="1"/>
        <v>0</v>
      </c>
      <c r="R34">
        <f>D34*(C34-D$3)</f>
        <v>0</v>
      </c>
      <c r="S34">
        <f t="shared" si="13"/>
        <v>0</v>
      </c>
      <c r="T34">
        <f t="shared" si="1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F34">
        <f t="shared" si="12"/>
        <v>0</v>
      </c>
    </row>
    <row r="35" spans="1:32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32" x14ac:dyDescent="0.2">
      <c r="P36" s="10">
        <f>SUM(P15:P34)</f>
        <v>292353</v>
      </c>
      <c r="AF36" s="11">
        <f>SUM(AF4:AF34)</f>
        <v>-27201.390000000152</v>
      </c>
    </row>
    <row r="37" spans="1:32" x14ac:dyDescent="0.2">
      <c r="A37">
        <f>COUNT(A4:A33)</f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/>
  <dimension ref="A1:Z37"/>
  <sheetViews>
    <sheetView topLeftCell="A2" zoomScale="85" workbookViewId="0">
      <selection activeCell="G4" sqref="G4"/>
    </sheetView>
  </sheetViews>
  <sheetFormatPr defaultRowHeight="12.75" x14ac:dyDescent="0.2"/>
  <cols>
    <col min="1" max="1" width="9.28515625" bestFit="1" customWidth="1"/>
    <col min="13" max="13" width="13.140625" style="2" customWidth="1"/>
    <col min="14" max="14" width="2.85546875" style="8" customWidth="1"/>
    <col min="25" max="25" width="2.7109375" style="8" customWidth="1"/>
    <col min="26" max="26" width="10.85546875" bestFit="1" customWidth="1"/>
  </cols>
  <sheetData>
    <row r="1" spans="1:26" x14ac:dyDescent="0.2">
      <c r="B1" s="2" t="s">
        <v>0</v>
      </c>
    </row>
    <row r="2" spans="1:26" x14ac:dyDescent="0.2">
      <c r="B2" s="6">
        <v>5.31</v>
      </c>
      <c r="C2" s="4"/>
      <c r="M2" s="2" t="s">
        <v>4</v>
      </c>
    </row>
    <row r="3" spans="1:26" x14ac:dyDescent="0.2">
      <c r="B3" s="5"/>
      <c r="C3" t="s">
        <v>1</v>
      </c>
      <c r="D3">
        <v>3.77</v>
      </c>
      <c r="E3">
        <v>3.9750000000000001</v>
      </c>
      <c r="F3">
        <v>3.52</v>
      </c>
      <c r="G3">
        <v>3.62</v>
      </c>
      <c r="Z3" t="s">
        <v>3</v>
      </c>
    </row>
    <row r="4" spans="1:26" x14ac:dyDescent="0.2">
      <c r="A4" s="107">
        <v>36861</v>
      </c>
      <c r="B4">
        <f t="shared" ref="B4:B34" si="0">B$2+B$3</f>
        <v>5.31</v>
      </c>
      <c r="C4" s="5">
        <f>GasDaily!V4</f>
        <v>3.63</v>
      </c>
      <c r="D4" s="3">
        <v>-20000</v>
      </c>
      <c r="E4" s="3"/>
      <c r="F4" s="3"/>
      <c r="G4" s="3"/>
      <c r="H4" s="3"/>
      <c r="I4" s="3"/>
      <c r="J4" s="3"/>
      <c r="K4" s="3"/>
      <c r="L4" s="3"/>
      <c r="M4" s="10">
        <f t="shared" ref="M4:M34" si="1">SUM(D4:L4)</f>
        <v>-20000</v>
      </c>
      <c r="N4" s="9"/>
      <c r="O4">
        <f t="shared" ref="O4:O31" si="2">D4*($C4-D$3)</f>
        <v>2800.0000000000023</v>
      </c>
      <c r="P4">
        <f t="shared" ref="P4:P34" si="3">E4*($C4-E$3)</f>
        <v>0</v>
      </c>
      <c r="Q4">
        <f t="shared" ref="Q4:Q34" si="4">F4*($C4-F$3)</f>
        <v>0</v>
      </c>
      <c r="R4">
        <f t="shared" ref="R4:R34" si="5">G4*($C4-G$3)</f>
        <v>0</v>
      </c>
      <c r="S4">
        <f t="shared" ref="S4:V34" si="6">H4*($C4-H$3)</f>
        <v>0</v>
      </c>
      <c r="T4">
        <f t="shared" si="6"/>
        <v>0</v>
      </c>
      <c r="U4">
        <f t="shared" si="6"/>
        <v>0</v>
      </c>
      <c r="V4">
        <f t="shared" si="6"/>
        <v>0</v>
      </c>
      <c r="Z4">
        <f t="shared" ref="Z4:Z34" si="7">SUM(O4:Y4)</f>
        <v>2800.0000000000023</v>
      </c>
    </row>
    <row r="5" spans="1:26" x14ac:dyDescent="0.2">
      <c r="A5" s="107">
        <v>36862</v>
      </c>
      <c r="B5">
        <f t="shared" si="0"/>
        <v>5.31</v>
      </c>
      <c r="C5" s="5">
        <f>GasDaily!V5</f>
        <v>3.55</v>
      </c>
      <c r="D5" s="3">
        <v>-20000</v>
      </c>
      <c r="E5" s="3"/>
      <c r="F5" s="3"/>
      <c r="G5" s="3"/>
      <c r="H5" s="3"/>
      <c r="I5" s="3"/>
      <c r="J5" s="3"/>
      <c r="K5" s="3"/>
      <c r="L5" s="3"/>
      <c r="M5" s="10">
        <f t="shared" si="1"/>
        <v>-20000</v>
      </c>
      <c r="N5" s="9"/>
      <c r="O5">
        <f t="shared" si="2"/>
        <v>4400.0000000000036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Z5">
        <f t="shared" si="7"/>
        <v>4400.0000000000036</v>
      </c>
    </row>
    <row r="6" spans="1:26" x14ac:dyDescent="0.2">
      <c r="A6" s="107">
        <v>36863</v>
      </c>
      <c r="B6">
        <f t="shared" si="0"/>
        <v>5.31</v>
      </c>
      <c r="C6" s="5">
        <f>GasDaily!V6</f>
        <v>3.55</v>
      </c>
      <c r="D6" s="3">
        <v>-20000</v>
      </c>
      <c r="E6" s="3"/>
      <c r="F6" s="3"/>
      <c r="G6" s="3"/>
      <c r="H6" s="3"/>
      <c r="I6" s="3"/>
      <c r="J6" s="3"/>
      <c r="K6" s="3"/>
      <c r="L6" s="3"/>
      <c r="M6" s="10">
        <f t="shared" si="1"/>
        <v>-20000</v>
      </c>
      <c r="N6" s="9"/>
      <c r="O6">
        <f t="shared" si="2"/>
        <v>4400.0000000000036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Z6">
        <f t="shared" si="7"/>
        <v>4400.0000000000036</v>
      </c>
    </row>
    <row r="7" spans="1:26" x14ac:dyDescent="0.2">
      <c r="A7" s="107">
        <v>36864</v>
      </c>
      <c r="B7">
        <f t="shared" si="0"/>
        <v>5.31</v>
      </c>
      <c r="C7" s="5">
        <f>GasDaily!V7</f>
        <v>3.55</v>
      </c>
      <c r="D7" s="3">
        <v>-20000</v>
      </c>
      <c r="E7" s="3"/>
      <c r="F7" s="3"/>
      <c r="G7" s="3"/>
      <c r="H7" s="3"/>
      <c r="I7" s="3"/>
      <c r="J7" s="3"/>
      <c r="K7" s="3"/>
      <c r="L7" s="3"/>
      <c r="M7" s="10">
        <f t="shared" si="1"/>
        <v>-20000</v>
      </c>
      <c r="N7" s="9"/>
      <c r="O7">
        <f t="shared" si="2"/>
        <v>4400.0000000000036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Z7">
        <f t="shared" si="7"/>
        <v>4400.0000000000036</v>
      </c>
    </row>
    <row r="8" spans="1:26" x14ac:dyDescent="0.2">
      <c r="A8" s="107">
        <v>36865</v>
      </c>
      <c r="B8">
        <f t="shared" si="0"/>
        <v>5.31</v>
      </c>
      <c r="C8" s="5">
        <f>GasDaily!V8</f>
        <v>3.88</v>
      </c>
      <c r="D8" s="3">
        <v>-20000</v>
      </c>
      <c r="E8" s="3">
        <v>-10000</v>
      </c>
      <c r="F8" s="3"/>
      <c r="G8" s="3"/>
      <c r="H8" s="3"/>
      <c r="I8" s="3"/>
      <c r="J8" s="3"/>
      <c r="K8" s="3"/>
      <c r="L8" s="3"/>
      <c r="M8" s="10">
        <f t="shared" si="1"/>
        <v>-30000</v>
      </c>
      <c r="N8" s="9"/>
      <c r="O8">
        <f t="shared" si="2"/>
        <v>-2199.9999999999977</v>
      </c>
      <c r="P8">
        <f t="shared" si="3"/>
        <v>950.00000000000193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Z8">
        <f t="shared" si="7"/>
        <v>-1249.9999999999959</v>
      </c>
    </row>
    <row r="9" spans="1:26" x14ac:dyDescent="0.2">
      <c r="A9" s="107">
        <v>36866</v>
      </c>
      <c r="B9">
        <f t="shared" si="0"/>
        <v>5.31</v>
      </c>
      <c r="C9" s="5">
        <f>GasDaily!V9</f>
        <v>3.99</v>
      </c>
      <c r="D9" s="3">
        <v>-20000</v>
      </c>
      <c r="E9" s="3">
        <v>-10000</v>
      </c>
      <c r="F9" s="3"/>
      <c r="G9" s="3"/>
      <c r="H9" s="3"/>
      <c r="I9" s="3"/>
      <c r="J9" s="3"/>
      <c r="K9" s="3"/>
      <c r="L9" s="3"/>
      <c r="M9" s="10">
        <f t="shared" si="1"/>
        <v>-30000</v>
      </c>
      <c r="N9" s="9"/>
      <c r="O9">
        <f t="shared" si="2"/>
        <v>-4400.0000000000036</v>
      </c>
      <c r="P9">
        <f t="shared" si="3"/>
        <v>-150.00000000000125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Z9">
        <f t="shared" si="7"/>
        <v>-4550.0000000000045</v>
      </c>
    </row>
    <row r="10" spans="1:26" x14ac:dyDescent="0.2">
      <c r="A10" s="107">
        <v>36867</v>
      </c>
      <c r="B10">
        <f t="shared" si="0"/>
        <v>5.31</v>
      </c>
      <c r="C10" s="5">
        <f>GasDaily!V10</f>
        <v>3.665</v>
      </c>
      <c r="D10" s="3">
        <v>-20000</v>
      </c>
      <c r="E10" s="3">
        <v>-10000</v>
      </c>
      <c r="F10" s="3"/>
      <c r="G10" s="3"/>
      <c r="H10" s="3"/>
      <c r="I10" s="3"/>
      <c r="J10" s="3"/>
      <c r="K10" s="3"/>
      <c r="L10" s="3"/>
      <c r="M10" s="10">
        <f t="shared" si="1"/>
        <v>-30000</v>
      </c>
      <c r="N10" s="9"/>
      <c r="O10">
        <f t="shared" si="2"/>
        <v>2099.9999999999995</v>
      </c>
      <c r="P10">
        <f t="shared" si="3"/>
        <v>3100.0000000000005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Z10">
        <f t="shared" si="7"/>
        <v>5200</v>
      </c>
    </row>
    <row r="11" spans="1:26" x14ac:dyDescent="0.2">
      <c r="A11" s="107">
        <v>36868</v>
      </c>
      <c r="B11">
        <f t="shared" si="0"/>
        <v>5.31</v>
      </c>
      <c r="C11" s="5">
        <f>GasDaily!V11</f>
        <v>3.5249999999999999</v>
      </c>
      <c r="D11" s="3">
        <v>-20000</v>
      </c>
      <c r="E11" s="3">
        <v>-10000</v>
      </c>
      <c r="F11" s="3">
        <v>15000</v>
      </c>
      <c r="G11" s="3"/>
      <c r="H11" s="3"/>
      <c r="I11" s="3"/>
      <c r="J11" s="3"/>
      <c r="K11" s="3"/>
      <c r="L11" s="3"/>
      <c r="M11" s="10">
        <f t="shared" si="1"/>
        <v>-15000</v>
      </c>
      <c r="N11" s="9"/>
      <c r="O11">
        <f t="shared" si="2"/>
        <v>4900.0000000000018</v>
      </c>
      <c r="P11">
        <f t="shared" si="3"/>
        <v>4500.0000000000018</v>
      </c>
      <c r="Q11">
        <f t="shared" si="4"/>
        <v>74.999999999998408</v>
      </c>
      <c r="R11">
        <f t="shared" si="5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Z11">
        <f t="shared" si="7"/>
        <v>9475.0000000000018</v>
      </c>
    </row>
    <row r="12" spans="1:26" x14ac:dyDescent="0.2">
      <c r="A12" s="107">
        <v>36869</v>
      </c>
      <c r="B12">
        <f t="shared" si="0"/>
        <v>5.31</v>
      </c>
      <c r="C12" s="5">
        <f>GasDaily!V12</f>
        <v>3.35</v>
      </c>
      <c r="D12" s="3">
        <v>-20000</v>
      </c>
      <c r="E12" s="3">
        <v>-10000</v>
      </c>
      <c r="F12" s="3">
        <v>15000</v>
      </c>
      <c r="G12" s="3"/>
      <c r="H12" s="3"/>
      <c r="I12" s="3"/>
      <c r="J12" s="3"/>
      <c r="K12" s="3"/>
      <c r="L12" s="3"/>
      <c r="M12" s="10">
        <f t="shared" si="1"/>
        <v>-15000</v>
      </c>
      <c r="N12" s="9"/>
      <c r="O12">
        <f t="shared" si="2"/>
        <v>8399.9999999999982</v>
      </c>
      <c r="P12">
        <f t="shared" si="3"/>
        <v>6250</v>
      </c>
      <c r="Q12">
        <f t="shared" si="4"/>
        <v>-2549.9999999999991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Z12">
        <f t="shared" si="7"/>
        <v>12100</v>
      </c>
    </row>
    <row r="13" spans="1:26" x14ac:dyDescent="0.2">
      <c r="A13" s="107">
        <v>36870</v>
      </c>
      <c r="B13">
        <f t="shared" si="0"/>
        <v>5.31</v>
      </c>
      <c r="C13" s="5">
        <f>GasDaily!V13</f>
        <v>3.35</v>
      </c>
      <c r="D13" s="3">
        <v>-20000</v>
      </c>
      <c r="E13" s="3">
        <v>-10000</v>
      </c>
      <c r="F13" s="3">
        <v>15000</v>
      </c>
      <c r="G13" s="3"/>
      <c r="H13" s="3"/>
      <c r="I13" s="3"/>
      <c r="J13" s="3"/>
      <c r="K13" s="3"/>
      <c r="L13" s="3"/>
      <c r="M13" s="10">
        <f t="shared" si="1"/>
        <v>-15000</v>
      </c>
      <c r="N13" s="9"/>
      <c r="O13">
        <f t="shared" si="2"/>
        <v>8399.9999999999982</v>
      </c>
      <c r="P13">
        <f t="shared" si="3"/>
        <v>6250</v>
      </c>
      <c r="Q13">
        <f t="shared" si="4"/>
        <v>-2549.9999999999991</v>
      </c>
      <c r="R13">
        <f t="shared" si="5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Z13">
        <f t="shared" si="7"/>
        <v>12100</v>
      </c>
    </row>
    <row r="14" spans="1:26" x14ac:dyDescent="0.2">
      <c r="A14" s="107">
        <v>36871</v>
      </c>
      <c r="B14">
        <f t="shared" si="0"/>
        <v>5.31</v>
      </c>
      <c r="C14" s="5">
        <f>GasDaily!V14</f>
        <v>3.35</v>
      </c>
      <c r="D14" s="3">
        <v>-20000</v>
      </c>
      <c r="E14" s="3">
        <v>-10000</v>
      </c>
      <c r="F14" s="3">
        <v>15000</v>
      </c>
      <c r="G14" s="3">
        <v>10000</v>
      </c>
      <c r="H14" s="3"/>
      <c r="I14" s="3"/>
      <c r="J14" s="3"/>
      <c r="K14" s="3"/>
      <c r="L14" s="3"/>
      <c r="M14" s="10">
        <f t="shared" si="1"/>
        <v>-5000</v>
      </c>
      <c r="N14" s="9"/>
      <c r="O14">
        <f t="shared" si="2"/>
        <v>8399.9999999999982</v>
      </c>
      <c r="P14">
        <f t="shared" si="3"/>
        <v>6250</v>
      </c>
      <c r="Q14">
        <f t="shared" si="4"/>
        <v>-2549.9999999999991</v>
      </c>
      <c r="R14">
        <f t="shared" si="5"/>
        <v>-2700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Z14">
        <f t="shared" si="7"/>
        <v>9400</v>
      </c>
    </row>
    <row r="15" spans="1:26" x14ac:dyDescent="0.2">
      <c r="A15" s="107">
        <v>36872</v>
      </c>
      <c r="B15">
        <f t="shared" si="0"/>
        <v>5.31</v>
      </c>
      <c r="C15" s="5">
        <f>GasDaily!V15</f>
        <v>3.6549999999999998</v>
      </c>
      <c r="D15" s="3">
        <v>-20000</v>
      </c>
      <c r="E15" s="3">
        <v>-10000</v>
      </c>
      <c r="F15" s="3">
        <v>15000</v>
      </c>
      <c r="G15" s="3">
        <v>10000</v>
      </c>
      <c r="H15" s="3"/>
      <c r="I15" s="3"/>
      <c r="J15" s="3"/>
      <c r="K15" s="3"/>
      <c r="L15" s="3"/>
      <c r="M15" s="10">
        <f t="shared" si="1"/>
        <v>-5000</v>
      </c>
      <c r="N15" s="9"/>
      <c r="O15">
        <f t="shared" si="2"/>
        <v>2300.0000000000041</v>
      </c>
      <c r="P15">
        <f t="shared" si="3"/>
        <v>3200.0000000000027</v>
      </c>
      <c r="Q15">
        <f t="shared" si="4"/>
        <v>2024.9999999999968</v>
      </c>
      <c r="R15">
        <f t="shared" si="5"/>
        <v>349.99999999999699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Z15">
        <f t="shared" si="7"/>
        <v>7875.0000000000009</v>
      </c>
    </row>
    <row r="16" spans="1:26" x14ac:dyDescent="0.2">
      <c r="A16" s="107">
        <v>36873</v>
      </c>
      <c r="B16">
        <f t="shared" si="0"/>
        <v>5.31</v>
      </c>
      <c r="C16" s="5">
        <f>GasDaily!V16</f>
        <v>3.6549999999999998</v>
      </c>
      <c r="D16" s="3">
        <v>-20000</v>
      </c>
      <c r="E16" s="3">
        <v>-10000</v>
      </c>
      <c r="F16" s="3">
        <v>15000</v>
      </c>
      <c r="G16" s="3">
        <v>10000</v>
      </c>
      <c r="H16" s="3"/>
      <c r="I16" s="3"/>
      <c r="J16" s="3"/>
      <c r="K16" s="3"/>
      <c r="L16" s="3"/>
      <c r="M16" s="10">
        <f t="shared" si="1"/>
        <v>-5000</v>
      </c>
      <c r="N16" s="9"/>
      <c r="O16">
        <f t="shared" si="2"/>
        <v>2300.0000000000041</v>
      </c>
      <c r="P16">
        <f t="shared" si="3"/>
        <v>3200.0000000000027</v>
      </c>
      <c r="Q16">
        <f t="shared" si="4"/>
        <v>2024.9999999999968</v>
      </c>
      <c r="R16">
        <f t="shared" si="5"/>
        <v>349.99999999999699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Z16">
        <f t="shared" si="7"/>
        <v>7875.0000000000009</v>
      </c>
    </row>
    <row r="17" spans="1:26" x14ac:dyDescent="0.2">
      <c r="A17" s="107">
        <v>36874</v>
      </c>
      <c r="B17">
        <f t="shared" si="0"/>
        <v>5.31</v>
      </c>
      <c r="C17" s="5">
        <f>GasDaily!V17</f>
        <v>3.6549999999999998</v>
      </c>
      <c r="D17" s="3">
        <v>-20000</v>
      </c>
      <c r="E17" s="3">
        <v>-10000</v>
      </c>
      <c r="F17" s="3">
        <v>15000</v>
      </c>
      <c r="G17" s="3">
        <v>10000</v>
      </c>
      <c r="H17" s="3"/>
      <c r="I17" s="3"/>
      <c r="J17" s="3"/>
      <c r="K17" s="3"/>
      <c r="L17" s="3"/>
      <c r="M17" s="10">
        <f t="shared" si="1"/>
        <v>-5000</v>
      </c>
      <c r="N17" s="9"/>
      <c r="O17">
        <f t="shared" si="2"/>
        <v>2300.0000000000041</v>
      </c>
      <c r="P17">
        <f t="shared" si="3"/>
        <v>3200.0000000000027</v>
      </c>
      <c r="Q17">
        <f t="shared" si="4"/>
        <v>2024.9999999999968</v>
      </c>
      <c r="R17">
        <f t="shared" si="5"/>
        <v>349.99999999999699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Z17">
        <f t="shared" si="7"/>
        <v>7875.0000000000009</v>
      </c>
    </row>
    <row r="18" spans="1:26" x14ac:dyDescent="0.2">
      <c r="A18" s="107">
        <v>36875</v>
      </c>
      <c r="B18">
        <f t="shared" si="0"/>
        <v>5.31</v>
      </c>
      <c r="C18" s="5">
        <f>GasDaily!V18</f>
        <v>3.6549999999999998</v>
      </c>
      <c r="D18" s="3">
        <v>-20000</v>
      </c>
      <c r="E18" s="3">
        <v>-10000</v>
      </c>
      <c r="F18" s="3">
        <v>15000</v>
      </c>
      <c r="G18" s="3">
        <v>10000</v>
      </c>
      <c r="H18" s="3"/>
      <c r="I18" s="3"/>
      <c r="J18" s="3"/>
      <c r="K18" s="3"/>
      <c r="L18" s="3"/>
      <c r="M18" s="10">
        <f t="shared" si="1"/>
        <v>-5000</v>
      </c>
      <c r="N18" s="9"/>
      <c r="O18">
        <f t="shared" si="2"/>
        <v>2300.0000000000041</v>
      </c>
      <c r="P18">
        <f t="shared" si="3"/>
        <v>3200.0000000000027</v>
      </c>
      <c r="Q18">
        <f t="shared" si="4"/>
        <v>2024.9999999999968</v>
      </c>
      <c r="R18">
        <f t="shared" si="5"/>
        <v>349.99999999999699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Z18">
        <f t="shared" si="7"/>
        <v>7875.0000000000009</v>
      </c>
    </row>
    <row r="19" spans="1:26" x14ac:dyDescent="0.2">
      <c r="A19" s="107">
        <v>36876</v>
      </c>
      <c r="B19">
        <f t="shared" si="0"/>
        <v>5.31</v>
      </c>
      <c r="C19" s="5">
        <f>GasDaily!V19</f>
        <v>3.6549999999999998</v>
      </c>
      <c r="D19" s="3">
        <v>-20000</v>
      </c>
      <c r="E19" s="3">
        <v>-10000</v>
      </c>
      <c r="F19" s="3">
        <v>15000</v>
      </c>
      <c r="G19" s="3">
        <v>10000</v>
      </c>
      <c r="H19" s="3"/>
      <c r="I19" s="3"/>
      <c r="J19" s="3"/>
      <c r="K19" s="3"/>
      <c r="L19" s="3"/>
      <c r="M19" s="10">
        <f t="shared" si="1"/>
        <v>-5000</v>
      </c>
      <c r="N19" s="9"/>
      <c r="O19">
        <f t="shared" si="2"/>
        <v>2300.0000000000041</v>
      </c>
      <c r="P19">
        <f t="shared" si="3"/>
        <v>3200.0000000000027</v>
      </c>
      <c r="Q19">
        <f t="shared" si="4"/>
        <v>2024.9999999999968</v>
      </c>
      <c r="R19">
        <f t="shared" si="5"/>
        <v>349.99999999999699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Z19">
        <f t="shared" si="7"/>
        <v>7875.0000000000009</v>
      </c>
    </row>
    <row r="20" spans="1:26" x14ac:dyDescent="0.2">
      <c r="A20" s="107">
        <v>36877</v>
      </c>
      <c r="B20">
        <f t="shared" si="0"/>
        <v>5.31</v>
      </c>
      <c r="C20" s="5">
        <f>GasDaily!V20</f>
        <v>3.6549999999999998</v>
      </c>
      <c r="D20" s="3">
        <v>-20000</v>
      </c>
      <c r="E20" s="3">
        <v>-10000</v>
      </c>
      <c r="F20" s="3">
        <v>15000</v>
      </c>
      <c r="G20" s="3">
        <v>10000</v>
      </c>
      <c r="H20" s="3"/>
      <c r="I20" s="3"/>
      <c r="J20" s="3"/>
      <c r="K20" s="3"/>
      <c r="L20" s="3"/>
      <c r="M20" s="10">
        <f t="shared" si="1"/>
        <v>-5000</v>
      </c>
      <c r="N20" s="9"/>
      <c r="O20">
        <f t="shared" si="2"/>
        <v>2300.0000000000041</v>
      </c>
      <c r="P20">
        <f t="shared" si="3"/>
        <v>3200.0000000000027</v>
      </c>
      <c r="Q20">
        <f t="shared" si="4"/>
        <v>2024.9999999999968</v>
      </c>
      <c r="R20">
        <f t="shared" si="5"/>
        <v>349.99999999999699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Z20">
        <f t="shared" si="7"/>
        <v>7875.0000000000009</v>
      </c>
    </row>
    <row r="21" spans="1:26" x14ac:dyDescent="0.2">
      <c r="A21" s="107">
        <v>36878</v>
      </c>
      <c r="B21">
        <f t="shared" si="0"/>
        <v>5.31</v>
      </c>
      <c r="C21" s="5">
        <f>GasDaily!V21</f>
        <v>3.6549999999999998</v>
      </c>
      <c r="D21" s="3">
        <v>-20000</v>
      </c>
      <c r="E21" s="3">
        <v>-10000</v>
      </c>
      <c r="F21" s="3">
        <v>15000</v>
      </c>
      <c r="G21" s="3">
        <v>10000</v>
      </c>
      <c r="H21" s="3"/>
      <c r="I21" s="3"/>
      <c r="J21" s="3"/>
      <c r="K21" s="3"/>
      <c r="L21" s="3"/>
      <c r="M21" s="10">
        <f t="shared" si="1"/>
        <v>-5000</v>
      </c>
      <c r="N21" s="9"/>
      <c r="O21">
        <f t="shared" si="2"/>
        <v>2300.0000000000041</v>
      </c>
      <c r="P21">
        <f t="shared" si="3"/>
        <v>3200.0000000000027</v>
      </c>
      <c r="Q21">
        <f t="shared" si="4"/>
        <v>2024.9999999999968</v>
      </c>
      <c r="R21">
        <f t="shared" si="5"/>
        <v>349.99999999999699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Z21">
        <f t="shared" si="7"/>
        <v>7875.0000000000009</v>
      </c>
    </row>
    <row r="22" spans="1:26" x14ac:dyDescent="0.2">
      <c r="A22" s="107">
        <v>36879</v>
      </c>
      <c r="B22">
        <f t="shared" si="0"/>
        <v>5.31</v>
      </c>
      <c r="C22" s="5">
        <f>GasDaily!V22</f>
        <v>3.6549999999999998</v>
      </c>
      <c r="D22" s="3">
        <v>-20000</v>
      </c>
      <c r="E22" s="3">
        <v>-10000</v>
      </c>
      <c r="F22" s="3">
        <v>15000</v>
      </c>
      <c r="G22" s="3">
        <v>10000</v>
      </c>
      <c r="H22" s="3"/>
      <c r="I22" s="3"/>
      <c r="J22" s="3"/>
      <c r="K22" s="3"/>
      <c r="L22" s="3"/>
      <c r="M22" s="10">
        <f t="shared" si="1"/>
        <v>-5000</v>
      </c>
      <c r="N22" s="9"/>
      <c r="O22">
        <f t="shared" si="2"/>
        <v>2300.0000000000041</v>
      </c>
      <c r="P22">
        <f t="shared" si="3"/>
        <v>3200.0000000000027</v>
      </c>
      <c r="Q22">
        <f t="shared" si="4"/>
        <v>2024.9999999999968</v>
      </c>
      <c r="R22">
        <f t="shared" si="5"/>
        <v>349.99999999999699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Z22">
        <f t="shared" si="7"/>
        <v>7875.0000000000009</v>
      </c>
    </row>
    <row r="23" spans="1:26" x14ac:dyDescent="0.2">
      <c r="A23" s="107">
        <v>36880</v>
      </c>
      <c r="B23">
        <f t="shared" si="0"/>
        <v>5.31</v>
      </c>
      <c r="C23" s="5">
        <f>GasDaily!V23</f>
        <v>3.6549999999999998</v>
      </c>
      <c r="D23" s="3">
        <v>-20000</v>
      </c>
      <c r="E23" s="3">
        <v>-10000</v>
      </c>
      <c r="F23" s="3">
        <v>15000</v>
      </c>
      <c r="G23" s="3">
        <v>10000</v>
      </c>
      <c r="H23" s="3"/>
      <c r="I23" s="3"/>
      <c r="J23" s="3"/>
      <c r="K23" s="3"/>
      <c r="L23" s="3"/>
      <c r="M23" s="10">
        <f t="shared" si="1"/>
        <v>-5000</v>
      </c>
      <c r="N23" s="9"/>
      <c r="O23">
        <f t="shared" si="2"/>
        <v>2300.0000000000041</v>
      </c>
      <c r="P23">
        <f t="shared" si="3"/>
        <v>3200.0000000000027</v>
      </c>
      <c r="Q23">
        <f t="shared" si="4"/>
        <v>2024.9999999999968</v>
      </c>
      <c r="R23">
        <f t="shared" si="5"/>
        <v>349.99999999999699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Z23">
        <f t="shared" si="7"/>
        <v>7875.0000000000009</v>
      </c>
    </row>
    <row r="24" spans="1:26" x14ac:dyDescent="0.2">
      <c r="A24" s="107">
        <v>36881</v>
      </c>
      <c r="B24">
        <f t="shared" si="0"/>
        <v>5.31</v>
      </c>
      <c r="C24" s="5">
        <f>GasDaily!V24</f>
        <v>3.6549999999999998</v>
      </c>
      <c r="D24" s="3">
        <v>-20000</v>
      </c>
      <c r="E24" s="3">
        <v>-10000</v>
      </c>
      <c r="F24" s="3">
        <v>15000</v>
      </c>
      <c r="G24" s="3">
        <v>10000</v>
      </c>
      <c r="H24" s="3"/>
      <c r="I24" s="3"/>
      <c r="J24" s="3"/>
      <c r="K24" s="3"/>
      <c r="L24" s="3"/>
      <c r="M24" s="10">
        <f t="shared" si="1"/>
        <v>-5000</v>
      </c>
      <c r="N24" s="9"/>
      <c r="O24">
        <f t="shared" si="2"/>
        <v>2300.0000000000041</v>
      </c>
      <c r="P24">
        <f t="shared" si="3"/>
        <v>3200.0000000000027</v>
      </c>
      <c r="Q24">
        <f t="shared" si="4"/>
        <v>2024.9999999999968</v>
      </c>
      <c r="R24">
        <f t="shared" si="5"/>
        <v>349.99999999999699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Z24">
        <f t="shared" si="7"/>
        <v>7875.0000000000009</v>
      </c>
    </row>
    <row r="25" spans="1:26" x14ac:dyDescent="0.2">
      <c r="A25" s="107">
        <v>36882</v>
      </c>
      <c r="B25">
        <f t="shared" si="0"/>
        <v>5.31</v>
      </c>
      <c r="C25" s="5">
        <f>GasDaily!V25</f>
        <v>3.6549999999999998</v>
      </c>
      <c r="D25" s="3">
        <v>-20000</v>
      </c>
      <c r="E25" s="3">
        <v>-10000</v>
      </c>
      <c r="F25" s="3">
        <v>15000</v>
      </c>
      <c r="G25" s="3">
        <v>10000</v>
      </c>
      <c r="H25" s="3"/>
      <c r="I25" s="3"/>
      <c r="J25" s="3"/>
      <c r="K25" s="3"/>
      <c r="L25" s="3"/>
      <c r="M25" s="10">
        <f t="shared" si="1"/>
        <v>-5000</v>
      </c>
      <c r="N25" s="9"/>
      <c r="O25">
        <f t="shared" si="2"/>
        <v>2300.0000000000041</v>
      </c>
      <c r="P25">
        <f t="shared" si="3"/>
        <v>3200.0000000000027</v>
      </c>
      <c r="Q25">
        <f t="shared" si="4"/>
        <v>2024.9999999999968</v>
      </c>
      <c r="R25">
        <f t="shared" si="5"/>
        <v>349.99999999999699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Z25">
        <f t="shared" si="7"/>
        <v>7875.0000000000009</v>
      </c>
    </row>
    <row r="26" spans="1:26" x14ac:dyDescent="0.2">
      <c r="A26" s="107">
        <v>36883</v>
      </c>
      <c r="B26">
        <f t="shared" si="0"/>
        <v>5.31</v>
      </c>
      <c r="C26" s="5">
        <f>GasDaily!V26</f>
        <v>3.6549999999999998</v>
      </c>
      <c r="D26" s="3">
        <v>-20000</v>
      </c>
      <c r="E26" s="3">
        <v>-10000</v>
      </c>
      <c r="F26" s="3">
        <v>15000</v>
      </c>
      <c r="G26" s="3">
        <v>10000</v>
      </c>
      <c r="H26" s="3"/>
      <c r="I26" s="3"/>
      <c r="J26" s="3"/>
      <c r="K26" s="3"/>
      <c r="L26" s="3"/>
      <c r="M26" s="10">
        <f t="shared" si="1"/>
        <v>-5000</v>
      </c>
      <c r="N26" s="9"/>
      <c r="O26">
        <f t="shared" si="2"/>
        <v>2300.0000000000041</v>
      </c>
      <c r="P26">
        <f t="shared" si="3"/>
        <v>3200.0000000000027</v>
      </c>
      <c r="Q26">
        <f t="shared" si="4"/>
        <v>2024.9999999999968</v>
      </c>
      <c r="R26">
        <f t="shared" si="5"/>
        <v>349.99999999999699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Z26">
        <f t="shared" si="7"/>
        <v>7875.0000000000009</v>
      </c>
    </row>
    <row r="27" spans="1:26" x14ac:dyDescent="0.2">
      <c r="A27" s="107">
        <v>36884</v>
      </c>
      <c r="B27">
        <f t="shared" si="0"/>
        <v>5.31</v>
      </c>
      <c r="C27" s="5">
        <f>GasDaily!V27</f>
        <v>3.6549999999999998</v>
      </c>
      <c r="D27" s="3">
        <v>-20000</v>
      </c>
      <c r="E27" s="3">
        <v>-10000</v>
      </c>
      <c r="F27" s="3">
        <v>15000</v>
      </c>
      <c r="G27" s="3">
        <v>10000</v>
      </c>
      <c r="H27" s="3"/>
      <c r="I27" s="3"/>
      <c r="J27" s="3"/>
      <c r="K27" s="3"/>
      <c r="L27" s="3"/>
      <c r="M27" s="10">
        <f t="shared" si="1"/>
        <v>-5000</v>
      </c>
      <c r="N27" s="9"/>
      <c r="O27">
        <f t="shared" si="2"/>
        <v>2300.0000000000041</v>
      </c>
      <c r="P27">
        <f t="shared" si="3"/>
        <v>3200.0000000000027</v>
      </c>
      <c r="Q27">
        <f t="shared" si="4"/>
        <v>2024.9999999999968</v>
      </c>
      <c r="R27">
        <f t="shared" si="5"/>
        <v>349.99999999999699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Z27">
        <f t="shared" si="7"/>
        <v>7875.0000000000009</v>
      </c>
    </row>
    <row r="28" spans="1:26" x14ac:dyDescent="0.2">
      <c r="A28" s="107">
        <v>36885</v>
      </c>
      <c r="B28">
        <f t="shared" si="0"/>
        <v>5.31</v>
      </c>
      <c r="C28" s="5">
        <f>GasDaily!V28</f>
        <v>3.6549999999999998</v>
      </c>
      <c r="D28" s="3">
        <v>-20000</v>
      </c>
      <c r="E28" s="3">
        <v>-10000</v>
      </c>
      <c r="F28" s="3">
        <v>15000</v>
      </c>
      <c r="G28" s="3">
        <v>10000</v>
      </c>
      <c r="H28" s="3"/>
      <c r="I28" s="3"/>
      <c r="J28" s="3"/>
      <c r="K28" s="3"/>
      <c r="L28" s="3"/>
      <c r="M28" s="10">
        <f t="shared" si="1"/>
        <v>-5000</v>
      </c>
      <c r="N28" s="9"/>
      <c r="O28">
        <f t="shared" si="2"/>
        <v>2300.0000000000041</v>
      </c>
      <c r="P28">
        <f t="shared" si="3"/>
        <v>3200.0000000000027</v>
      </c>
      <c r="Q28">
        <f t="shared" si="4"/>
        <v>2024.9999999999968</v>
      </c>
      <c r="R28">
        <f t="shared" si="5"/>
        <v>349.99999999999699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Z28">
        <f t="shared" si="7"/>
        <v>7875.0000000000009</v>
      </c>
    </row>
    <row r="29" spans="1:26" x14ac:dyDescent="0.2">
      <c r="A29" s="107">
        <v>36886</v>
      </c>
      <c r="B29">
        <f t="shared" si="0"/>
        <v>5.31</v>
      </c>
      <c r="C29" s="5">
        <f>GasDaily!V29</f>
        <v>3.6549999999999998</v>
      </c>
      <c r="D29" s="3">
        <v>-20000</v>
      </c>
      <c r="E29" s="3">
        <v>-10000</v>
      </c>
      <c r="F29" s="3">
        <v>15000</v>
      </c>
      <c r="G29" s="3">
        <v>10000</v>
      </c>
      <c r="H29" s="3"/>
      <c r="I29" s="3"/>
      <c r="J29" s="3"/>
      <c r="K29" s="3"/>
      <c r="L29" s="3"/>
      <c r="M29" s="10">
        <f t="shared" si="1"/>
        <v>-5000</v>
      </c>
      <c r="N29" s="9"/>
      <c r="O29">
        <f t="shared" si="2"/>
        <v>2300.0000000000041</v>
      </c>
      <c r="P29">
        <f t="shared" si="3"/>
        <v>3200.0000000000027</v>
      </c>
      <c r="Q29">
        <f t="shared" si="4"/>
        <v>2024.9999999999968</v>
      </c>
      <c r="R29">
        <f t="shared" si="5"/>
        <v>349.99999999999699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Z29">
        <f t="shared" si="7"/>
        <v>7875.0000000000009</v>
      </c>
    </row>
    <row r="30" spans="1:26" x14ac:dyDescent="0.2">
      <c r="A30" s="107">
        <v>36887</v>
      </c>
      <c r="B30">
        <f t="shared" si="0"/>
        <v>5.31</v>
      </c>
      <c r="C30" s="5">
        <f>GasDaily!V30</f>
        <v>3.6549999999999998</v>
      </c>
      <c r="D30" s="3">
        <v>-20000</v>
      </c>
      <c r="E30" s="3">
        <v>-10000</v>
      </c>
      <c r="F30" s="3">
        <v>15000</v>
      </c>
      <c r="G30" s="3">
        <v>10000</v>
      </c>
      <c r="H30" s="3"/>
      <c r="I30" s="3"/>
      <c r="J30" s="3"/>
      <c r="K30" s="3"/>
      <c r="L30" s="3"/>
      <c r="M30" s="10">
        <f t="shared" si="1"/>
        <v>-5000</v>
      </c>
      <c r="N30" s="9"/>
      <c r="O30">
        <f t="shared" si="2"/>
        <v>2300.0000000000041</v>
      </c>
      <c r="P30">
        <f t="shared" si="3"/>
        <v>3200.0000000000027</v>
      </c>
      <c r="Q30">
        <f t="shared" si="4"/>
        <v>2024.9999999999968</v>
      </c>
      <c r="R30">
        <f t="shared" si="5"/>
        <v>349.99999999999699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Z30">
        <f t="shared" si="7"/>
        <v>7875.0000000000009</v>
      </c>
    </row>
    <row r="31" spans="1:26" x14ac:dyDescent="0.2">
      <c r="A31" s="107">
        <v>36888</v>
      </c>
      <c r="B31">
        <f t="shared" si="0"/>
        <v>5.31</v>
      </c>
      <c r="C31" s="5">
        <f>GasDaily!V31</f>
        <v>3.6549999999999998</v>
      </c>
      <c r="D31" s="3">
        <v>-20000</v>
      </c>
      <c r="E31" s="3">
        <v>-10000</v>
      </c>
      <c r="F31" s="3">
        <v>15000</v>
      </c>
      <c r="G31" s="3">
        <v>10000</v>
      </c>
      <c r="H31" s="3"/>
      <c r="I31" s="3"/>
      <c r="J31" s="3"/>
      <c r="K31" s="3"/>
      <c r="L31" s="3"/>
      <c r="M31" s="10">
        <f t="shared" si="1"/>
        <v>-5000</v>
      </c>
      <c r="N31" s="9"/>
      <c r="O31">
        <f t="shared" si="2"/>
        <v>2300.0000000000041</v>
      </c>
      <c r="P31">
        <f t="shared" si="3"/>
        <v>3200.0000000000027</v>
      </c>
      <c r="Q31">
        <f t="shared" si="4"/>
        <v>2024.9999999999968</v>
      </c>
      <c r="R31">
        <f t="shared" si="5"/>
        <v>349.99999999999699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Z31">
        <f t="shared" si="7"/>
        <v>7875.0000000000009</v>
      </c>
    </row>
    <row r="32" spans="1:26" x14ac:dyDescent="0.2">
      <c r="A32" s="107">
        <v>36889</v>
      </c>
      <c r="B32">
        <f t="shared" si="0"/>
        <v>5.31</v>
      </c>
      <c r="C32" s="5">
        <f>GasDaily!V32</f>
        <v>3.6549999999999998</v>
      </c>
      <c r="D32" s="3">
        <v>-20000</v>
      </c>
      <c r="E32" s="3">
        <v>-10000</v>
      </c>
      <c r="F32" s="3">
        <v>15000</v>
      </c>
      <c r="G32" s="3">
        <v>10000</v>
      </c>
      <c r="H32" s="3"/>
      <c r="I32" s="3"/>
      <c r="J32" s="3"/>
      <c r="K32" s="3"/>
      <c r="L32" s="3"/>
      <c r="M32" s="10">
        <f t="shared" si="1"/>
        <v>-5000</v>
      </c>
      <c r="N32" s="9"/>
      <c r="O32">
        <f>D32*(C32-D$3)</f>
        <v>2300.0000000000041</v>
      </c>
      <c r="P32">
        <f t="shared" si="3"/>
        <v>3200.0000000000027</v>
      </c>
      <c r="Q32">
        <f t="shared" si="4"/>
        <v>2024.9999999999968</v>
      </c>
      <c r="R32">
        <f t="shared" si="5"/>
        <v>349.99999999999699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Z32">
        <f t="shared" si="7"/>
        <v>7875.0000000000009</v>
      </c>
    </row>
    <row r="33" spans="1:26" x14ac:dyDescent="0.2">
      <c r="A33" s="107">
        <v>36890</v>
      </c>
      <c r="B33">
        <f t="shared" si="0"/>
        <v>5.31</v>
      </c>
      <c r="C33" s="5">
        <f>GasDaily!V33</f>
        <v>3.6549999999999998</v>
      </c>
      <c r="D33" s="3">
        <v>-20000</v>
      </c>
      <c r="E33" s="3">
        <v>-10000</v>
      </c>
      <c r="F33" s="3">
        <v>15000</v>
      </c>
      <c r="G33" s="3">
        <v>10000</v>
      </c>
      <c r="H33" s="3"/>
      <c r="I33" s="3"/>
      <c r="J33" s="3"/>
      <c r="K33" s="3"/>
      <c r="M33" s="10">
        <f t="shared" si="1"/>
        <v>-5000</v>
      </c>
      <c r="N33" s="9"/>
      <c r="O33">
        <f>D33*(C33-D$3)</f>
        <v>2300.0000000000041</v>
      </c>
      <c r="P33">
        <f t="shared" si="3"/>
        <v>3200.0000000000027</v>
      </c>
      <c r="Q33">
        <f t="shared" si="4"/>
        <v>2024.9999999999968</v>
      </c>
      <c r="R33">
        <f t="shared" si="5"/>
        <v>349.99999999999699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Z33">
        <f t="shared" si="7"/>
        <v>7875.0000000000009</v>
      </c>
    </row>
    <row r="34" spans="1:26" x14ac:dyDescent="0.2">
      <c r="A34" s="107">
        <v>36891</v>
      </c>
      <c r="B34">
        <f t="shared" si="0"/>
        <v>5.31</v>
      </c>
      <c r="C34" s="5"/>
      <c r="D34" s="3"/>
      <c r="E34" s="3"/>
      <c r="F34" s="3"/>
      <c r="G34" s="3"/>
      <c r="H34" s="3"/>
      <c r="I34" s="3"/>
      <c r="J34" s="3"/>
      <c r="K34" s="3"/>
      <c r="M34" s="10">
        <f t="shared" si="1"/>
        <v>0</v>
      </c>
      <c r="N34" s="9"/>
      <c r="O34">
        <f>D34*(C34-D$3)</f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Z34">
        <f t="shared" si="7"/>
        <v>0</v>
      </c>
    </row>
    <row r="35" spans="1:26" x14ac:dyDescent="0.2">
      <c r="A35" s="7"/>
      <c r="C35" s="5"/>
      <c r="D35" s="3"/>
      <c r="E35" s="3"/>
      <c r="F35" s="3"/>
      <c r="G35" s="3"/>
      <c r="H35" s="3">
        <f>(102.3*10000)/22</f>
        <v>46500</v>
      </c>
      <c r="I35" s="3"/>
      <c r="J35" s="3"/>
      <c r="K35" s="3"/>
    </row>
    <row r="36" spans="1:26" x14ac:dyDescent="0.2">
      <c r="M36" s="10">
        <f>SUM(M15:M34)</f>
        <v>-95000</v>
      </c>
      <c r="Z36" s="11">
        <f>SUM(Z4:Z34)</f>
        <v>208100.00000000003</v>
      </c>
    </row>
    <row r="37" spans="1:2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/>
  <dimension ref="A1:AT37"/>
  <sheetViews>
    <sheetView topLeftCell="A2" zoomScale="85" workbookViewId="0">
      <pane xSplit="1" topLeftCell="M1" activePane="topRight" state="frozenSplit"/>
      <selection activeCell="A2" sqref="A2"/>
      <selection pane="topRight" activeCell="W37" sqref="W37"/>
    </sheetView>
  </sheetViews>
  <sheetFormatPr defaultRowHeight="12.75" x14ac:dyDescent="0.2"/>
  <cols>
    <col min="1" max="1" width="9.28515625" bestFit="1" customWidth="1"/>
    <col min="23" max="23" width="13.140625" style="2" customWidth="1"/>
    <col min="24" max="24" width="2.85546875" style="8" customWidth="1"/>
    <col min="45" max="45" width="2.7109375" style="8" customWidth="1"/>
    <col min="46" max="46" width="10.85546875" bestFit="1" customWidth="1"/>
  </cols>
  <sheetData>
    <row r="1" spans="1:46" x14ac:dyDescent="0.2">
      <c r="B1" s="2" t="s">
        <v>0</v>
      </c>
    </row>
    <row r="2" spans="1:46" x14ac:dyDescent="0.2">
      <c r="B2" s="6">
        <v>5.25</v>
      </c>
      <c r="C2" s="4"/>
      <c r="W2" s="2" t="s">
        <v>4</v>
      </c>
    </row>
    <row r="3" spans="1:46" x14ac:dyDescent="0.2">
      <c r="B3" s="5">
        <v>0</v>
      </c>
      <c r="C3" t="s">
        <v>1</v>
      </c>
      <c r="D3">
        <v>3.645</v>
      </c>
      <c r="E3">
        <v>3.6274999999999999</v>
      </c>
      <c r="F3">
        <v>3.84</v>
      </c>
      <c r="G3">
        <v>3.78</v>
      </c>
      <c r="H3">
        <v>3.75</v>
      </c>
      <c r="I3">
        <v>3.8650000000000002</v>
      </c>
      <c r="J3">
        <v>3.9950000000000001</v>
      </c>
      <c r="K3">
        <v>4.0449999999999999</v>
      </c>
      <c r="L3">
        <v>4.0549999999999997</v>
      </c>
      <c r="M3">
        <v>4.0350000000000001</v>
      </c>
      <c r="N3">
        <v>3.97</v>
      </c>
      <c r="O3">
        <v>3.88</v>
      </c>
      <c r="P3">
        <v>3.835</v>
      </c>
      <c r="Q3">
        <v>3.69</v>
      </c>
      <c r="R3">
        <v>3.68</v>
      </c>
      <c r="AT3" t="s">
        <v>3</v>
      </c>
    </row>
    <row r="4" spans="1:46" x14ac:dyDescent="0.2">
      <c r="A4" s="107">
        <v>37012</v>
      </c>
      <c r="B4">
        <f t="shared" ref="B4:B34" si="0">B$2+B$3</f>
        <v>5.25</v>
      </c>
      <c r="C4" s="5">
        <f>GasDaily!R4</f>
        <v>3.83</v>
      </c>
      <c r="D4" s="3">
        <v>10000</v>
      </c>
      <c r="E4" s="3">
        <v>-10000</v>
      </c>
      <c r="F4" s="3">
        <v>-10000</v>
      </c>
      <c r="G4" s="3">
        <v>10000</v>
      </c>
      <c r="H4" s="3">
        <v>-10000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0">
        <f>SUM(D4:Q4)</f>
        <v>-10000</v>
      </c>
      <c r="X4" s="9"/>
      <c r="Y4">
        <f t="shared" ref="Y4:Y34" si="1">D4*($C4-D$3)</f>
        <v>1850.0000000000005</v>
      </c>
      <c r="Z4">
        <f t="shared" ref="Z4:AA19" si="2">E4*($C4-E$3)</f>
        <v>-2025.0000000000011</v>
      </c>
      <c r="AA4">
        <f t="shared" si="2"/>
        <v>99.999999999997868</v>
      </c>
      <c r="AB4">
        <f t="shared" ref="AB4:AB15" si="3">G4*($C4-G$3)</f>
        <v>500.00000000000267</v>
      </c>
      <c r="AC4">
        <f t="shared" ref="AC4:AC31" si="4">H4*($C4-H$3)</f>
        <v>-800.00000000000068</v>
      </c>
      <c r="AD4">
        <f t="shared" ref="AD4:AD34" si="5">I4*($C4-I$3)</f>
        <v>0</v>
      </c>
      <c r="AE4">
        <f t="shared" ref="AE4:AE34" si="6">J4*($C4-J$3)</f>
        <v>0</v>
      </c>
      <c r="AF4">
        <f t="shared" ref="AF4:AF34" si="7">K4*($C4-K$3)</f>
        <v>0</v>
      </c>
      <c r="AG4">
        <f t="shared" ref="AG4:AG34" si="8">L4*($C4-L$3)</f>
        <v>0</v>
      </c>
      <c r="AH4" s="3">
        <f t="shared" ref="AH4:AH34" si="9">M4*($C4-M$3)</f>
        <v>0</v>
      </c>
      <c r="AI4">
        <f t="shared" ref="AI4:AI34" si="10">N4*($C4-N$3)</f>
        <v>0</v>
      </c>
      <c r="AJ4" s="3">
        <f t="shared" ref="AJ4:AJ34" si="11">O4*($C4-O$3)</f>
        <v>0</v>
      </c>
      <c r="AK4" s="3">
        <f t="shared" ref="AK4:AK34" si="12">P4*($C4-P$3)</f>
        <v>0</v>
      </c>
      <c r="AL4" s="3">
        <f t="shared" ref="AL4:AL34" si="13">Q4*($C4-Q$3)</f>
        <v>0</v>
      </c>
      <c r="AM4" s="3">
        <f t="shared" ref="AM4:AM34" si="14">R4*($C4-R$3)</f>
        <v>0</v>
      </c>
      <c r="AN4" s="3">
        <f t="shared" ref="AN4:AP34" si="15">S4*($C4-S$3)</f>
        <v>0</v>
      </c>
      <c r="AO4" s="3">
        <f t="shared" si="15"/>
        <v>0</v>
      </c>
      <c r="AP4" s="3">
        <f>V4*($C4-V$3)</f>
        <v>0</v>
      </c>
      <c r="AT4">
        <f t="shared" ref="AT4:AT34" si="16">SUM(Y4:AS4)</f>
        <v>-375.0000000000008</v>
      </c>
    </row>
    <row r="5" spans="1:46" x14ac:dyDescent="0.2">
      <c r="A5" s="107">
        <v>37013</v>
      </c>
      <c r="B5">
        <f t="shared" si="0"/>
        <v>5.25</v>
      </c>
      <c r="C5" s="5">
        <f>GasDaily!R5</f>
        <v>3.7250000000000001</v>
      </c>
      <c r="D5" s="3">
        <v>10000</v>
      </c>
      <c r="E5" s="3">
        <v>-10000</v>
      </c>
      <c r="F5" s="3">
        <v>-10000</v>
      </c>
      <c r="G5" s="3">
        <v>10000</v>
      </c>
      <c r="H5" s="3">
        <v>-10000</v>
      </c>
      <c r="I5" s="3">
        <v>-10000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>
        <f t="shared" ref="W5:W32" si="17">SUM(D5:V5)</f>
        <v>-20000</v>
      </c>
      <c r="X5" s="9"/>
      <c r="Y5">
        <f t="shared" si="1"/>
        <v>800.00000000000068</v>
      </c>
      <c r="Z5">
        <f t="shared" si="2"/>
        <v>-975.00000000000136</v>
      </c>
      <c r="AA5">
        <f t="shared" si="2"/>
        <v>1149.9999999999977</v>
      </c>
      <c r="AB5">
        <f t="shared" si="3"/>
        <v>-549.99999999999716</v>
      </c>
      <c r="AC5">
        <f t="shared" si="4"/>
        <v>249.99999999999912</v>
      </c>
      <c r="AD5">
        <f t="shared" si="5"/>
        <v>1400.0000000000011</v>
      </c>
      <c r="AE5">
        <f t="shared" si="6"/>
        <v>0</v>
      </c>
      <c r="AF5">
        <f t="shared" si="7"/>
        <v>0</v>
      </c>
      <c r="AG5">
        <f t="shared" si="8"/>
        <v>0</v>
      </c>
      <c r="AH5" s="3">
        <f t="shared" si="9"/>
        <v>0</v>
      </c>
      <c r="AI5">
        <f t="shared" si="10"/>
        <v>0</v>
      </c>
      <c r="AJ5" s="3">
        <f t="shared" si="11"/>
        <v>0</v>
      </c>
      <c r="AK5" s="3">
        <f t="shared" si="12"/>
        <v>0</v>
      </c>
      <c r="AL5" s="3">
        <f t="shared" si="13"/>
        <v>0</v>
      </c>
      <c r="AM5" s="3">
        <f t="shared" si="14"/>
        <v>0</v>
      </c>
      <c r="AN5" s="3">
        <f t="shared" si="15"/>
        <v>0</v>
      </c>
      <c r="AO5" s="3">
        <f t="shared" si="15"/>
        <v>0</v>
      </c>
      <c r="AP5" s="3">
        <f t="shared" si="15"/>
        <v>0</v>
      </c>
      <c r="AT5">
        <f t="shared" si="16"/>
        <v>2075</v>
      </c>
    </row>
    <row r="6" spans="1:46" x14ac:dyDescent="0.2">
      <c r="A6" s="107">
        <v>37014</v>
      </c>
      <c r="B6">
        <f t="shared" si="0"/>
        <v>5.25</v>
      </c>
      <c r="C6" s="5">
        <f>GasDaily!R6</f>
        <v>3.7250000000000001</v>
      </c>
      <c r="D6" s="3">
        <v>10000</v>
      </c>
      <c r="E6" s="3">
        <v>-10000</v>
      </c>
      <c r="F6" s="3">
        <v>-10000</v>
      </c>
      <c r="G6" s="3">
        <v>10000</v>
      </c>
      <c r="H6" s="3">
        <v>-10000</v>
      </c>
      <c r="I6" s="3">
        <v>-10000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0">
        <f t="shared" si="17"/>
        <v>-20000</v>
      </c>
      <c r="X6" s="9"/>
      <c r="Y6">
        <f t="shared" si="1"/>
        <v>800.00000000000068</v>
      </c>
      <c r="Z6">
        <f t="shared" si="2"/>
        <v>-975.00000000000136</v>
      </c>
      <c r="AA6">
        <f t="shared" si="2"/>
        <v>1149.9999999999977</v>
      </c>
      <c r="AB6">
        <f t="shared" si="3"/>
        <v>-549.99999999999716</v>
      </c>
      <c r="AC6">
        <f t="shared" si="4"/>
        <v>249.99999999999912</v>
      </c>
      <c r="AD6">
        <f t="shared" si="5"/>
        <v>1400.0000000000011</v>
      </c>
      <c r="AE6">
        <f t="shared" si="6"/>
        <v>0</v>
      </c>
      <c r="AF6">
        <f t="shared" si="7"/>
        <v>0</v>
      </c>
      <c r="AG6">
        <f t="shared" si="8"/>
        <v>0</v>
      </c>
      <c r="AH6" s="3">
        <f t="shared" si="9"/>
        <v>0</v>
      </c>
      <c r="AI6">
        <f t="shared" si="10"/>
        <v>0</v>
      </c>
      <c r="AJ6" s="3">
        <f t="shared" si="11"/>
        <v>0</v>
      </c>
      <c r="AK6" s="3">
        <f t="shared" si="12"/>
        <v>0</v>
      </c>
      <c r="AL6" s="3">
        <f t="shared" si="13"/>
        <v>0</v>
      </c>
      <c r="AM6" s="3">
        <f t="shared" si="14"/>
        <v>0</v>
      </c>
      <c r="AN6" s="3">
        <f t="shared" si="15"/>
        <v>0</v>
      </c>
      <c r="AO6" s="3">
        <f t="shared" si="15"/>
        <v>0</v>
      </c>
      <c r="AP6" s="3">
        <f t="shared" si="15"/>
        <v>0</v>
      </c>
      <c r="AT6">
        <f t="shared" si="16"/>
        <v>2075</v>
      </c>
    </row>
    <row r="7" spans="1:46" x14ac:dyDescent="0.2">
      <c r="A7" s="107">
        <v>37015</v>
      </c>
      <c r="B7">
        <f t="shared" si="0"/>
        <v>5.25</v>
      </c>
      <c r="C7" s="5">
        <f>GasDaily!R7</f>
        <v>3.7250000000000001</v>
      </c>
      <c r="D7" s="3">
        <v>10000</v>
      </c>
      <c r="E7" s="3">
        <v>-10000</v>
      </c>
      <c r="F7" s="3">
        <v>-10000</v>
      </c>
      <c r="G7" s="3">
        <v>10000</v>
      </c>
      <c r="H7" s="3">
        <v>-10000</v>
      </c>
      <c r="I7" s="3">
        <v>-10000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>
        <f t="shared" si="17"/>
        <v>-20000</v>
      </c>
      <c r="X7" s="9"/>
      <c r="Y7">
        <f t="shared" si="1"/>
        <v>800.00000000000068</v>
      </c>
      <c r="Z7">
        <f t="shared" si="2"/>
        <v>-975.00000000000136</v>
      </c>
      <c r="AA7">
        <f t="shared" si="2"/>
        <v>1149.9999999999977</v>
      </c>
      <c r="AB7">
        <f t="shared" si="3"/>
        <v>-549.99999999999716</v>
      </c>
      <c r="AC7">
        <f t="shared" si="4"/>
        <v>249.99999999999912</v>
      </c>
      <c r="AD7">
        <f t="shared" si="5"/>
        <v>1400.0000000000011</v>
      </c>
      <c r="AE7">
        <f t="shared" si="6"/>
        <v>0</v>
      </c>
      <c r="AF7">
        <f t="shared" si="7"/>
        <v>0</v>
      </c>
      <c r="AG7">
        <f t="shared" si="8"/>
        <v>0</v>
      </c>
      <c r="AH7" s="3">
        <f t="shared" si="9"/>
        <v>0</v>
      </c>
      <c r="AI7">
        <f t="shared" si="10"/>
        <v>0</v>
      </c>
      <c r="AJ7" s="3">
        <f t="shared" si="11"/>
        <v>0</v>
      </c>
      <c r="AK7" s="3">
        <f t="shared" si="12"/>
        <v>0</v>
      </c>
      <c r="AL7" s="3">
        <f t="shared" si="13"/>
        <v>0</v>
      </c>
      <c r="AM7" s="3">
        <f t="shared" si="14"/>
        <v>0</v>
      </c>
      <c r="AN7" s="3">
        <f t="shared" si="15"/>
        <v>0</v>
      </c>
      <c r="AO7" s="3">
        <f t="shared" si="15"/>
        <v>0</v>
      </c>
      <c r="AP7" s="3">
        <f t="shared" si="15"/>
        <v>0</v>
      </c>
      <c r="AT7">
        <f t="shared" si="16"/>
        <v>2075</v>
      </c>
    </row>
    <row r="8" spans="1:46" x14ac:dyDescent="0.2">
      <c r="A8" s="107">
        <v>37016</v>
      </c>
      <c r="B8">
        <f t="shared" si="0"/>
        <v>5.25</v>
      </c>
      <c r="C8" s="5">
        <f>GasDaily!R8</f>
        <v>3.9649999999999999</v>
      </c>
      <c r="D8" s="3">
        <v>10000</v>
      </c>
      <c r="E8" s="3">
        <v>-10000</v>
      </c>
      <c r="F8" s="3">
        <v>-10000</v>
      </c>
      <c r="G8" s="3">
        <v>10000</v>
      </c>
      <c r="H8" s="3">
        <v>-10000</v>
      </c>
      <c r="I8" s="3">
        <v>-10000</v>
      </c>
      <c r="J8" s="3">
        <v>10000</v>
      </c>
      <c r="K8" s="3">
        <v>10000</v>
      </c>
      <c r="L8" s="3">
        <v>10000</v>
      </c>
      <c r="M8" s="3">
        <v>10000</v>
      </c>
      <c r="N8" s="3">
        <v>10000</v>
      </c>
      <c r="O8" s="3">
        <v>10000</v>
      </c>
      <c r="P8" s="3">
        <v>-10000</v>
      </c>
      <c r="Q8" s="3"/>
      <c r="R8" s="3"/>
      <c r="S8" s="3"/>
      <c r="T8" s="3"/>
      <c r="U8" s="3"/>
      <c r="V8" s="3"/>
      <c r="W8" s="10">
        <f t="shared" si="17"/>
        <v>30000</v>
      </c>
      <c r="X8" s="9"/>
      <c r="Y8">
        <f t="shared" si="1"/>
        <v>3199.9999999999982</v>
      </c>
      <c r="Z8">
        <f t="shared" si="2"/>
        <v>-3374.9999999999991</v>
      </c>
      <c r="AA8">
        <f t="shared" si="2"/>
        <v>-1250</v>
      </c>
      <c r="AB8">
        <f t="shared" si="3"/>
        <v>1850.0000000000005</v>
      </c>
      <c r="AC8">
        <f t="shared" si="4"/>
        <v>-2149.9999999999986</v>
      </c>
      <c r="AD8">
        <f t="shared" si="5"/>
        <v>-999.99999999999648</v>
      </c>
      <c r="AE8">
        <f t="shared" si="6"/>
        <v>-300.0000000000025</v>
      </c>
      <c r="AF8">
        <f t="shared" si="7"/>
        <v>-800.00000000000068</v>
      </c>
      <c r="AG8">
        <f t="shared" si="8"/>
        <v>-899.99999999999864</v>
      </c>
      <c r="AH8" s="3">
        <f t="shared" si="9"/>
        <v>-700.00000000000284</v>
      </c>
      <c r="AI8">
        <f t="shared" si="10"/>
        <v>-50.000000000003375</v>
      </c>
      <c r="AJ8" s="3">
        <f t="shared" si="11"/>
        <v>849.99999999999966</v>
      </c>
      <c r="AK8" s="3">
        <f t="shared" si="12"/>
        <v>-1299.9999999999989</v>
      </c>
      <c r="AL8" s="3">
        <f t="shared" si="13"/>
        <v>0</v>
      </c>
      <c r="AM8" s="3">
        <f t="shared" si="14"/>
        <v>0</v>
      </c>
      <c r="AN8" s="3">
        <f t="shared" si="15"/>
        <v>0</v>
      </c>
      <c r="AO8" s="3">
        <f t="shared" si="15"/>
        <v>0</v>
      </c>
      <c r="AP8" s="3">
        <f t="shared" si="15"/>
        <v>0</v>
      </c>
      <c r="AT8">
        <f t="shared" si="16"/>
        <v>-5925.0000000000036</v>
      </c>
    </row>
    <row r="9" spans="1:46" x14ac:dyDescent="0.2">
      <c r="A9" s="107">
        <v>37017</v>
      </c>
      <c r="B9">
        <f t="shared" si="0"/>
        <v>5.25</v>
      </c>
      <c r="C9" s="5">
        <f>GasDaily!R9</f>
        <v>4.0350000000000001</v>
      </c>
      <c r="D9" s="3">
        <v>10000</v>
      </c>
      <c r="E9" s="3">
        <v>-10000</v>
      </c>
      <c r="F9" s="3">
        <v>-10000</v>
      </c>
      <c r="G9" s="3">
        <v>10000</v>
      </c>
      <c r="H9" s="3">
        <v>-10000</v>
      </c>
      <c r="I9" s="3">
        <v>-10000</v>
      </c>
      <c r="J9" s="3">
        <v>10000</v>
      </c>
      <c r="K9" s="3">
        <v>10000</v>
      </c>
      <c r="L9" s="3">
        <v>10000</v>
      </c>
      <c r="M9" s="3">
        <v>10000</v>
      </c>
      <c r="N9" s="3">
        <v>10000</v>
      </c>
      <c r="O9" s="3">
        <v>10000</v>
      </c>
      <c r="P9" s="3">
        <v>-10000</v>
      </c>
      <c r="Q9" s="3"/>
      <c r="R9" s="3"/>
      <c r="S9" s="3"/>
      <c r="T9" s="3"/>
      <c r="U9" s="3"/>
      <c r="V9" s="3"/>
      <c r="W9" s="10">
        <f t="shared" si="17"/>
        <v>30000</v>
      </c>
      <c r="X9" s="9"/>
      <c r="Y9">
        <f t="shared" si="1"/>
        <v>3900.0000000000014</v>
      </c>
      <c r="Z9">
        <f t="shared" si="2"/>
        <v>-4075.0000000000018</v>
      </c>
      <c r="AA9">
        <f t="shared" si="2"/>
        <v>-1950.0000000000027</v>
      </c>
      <c r="AB9">
        <f t="shared" si="3"/>
        <v>2550.0000000000032</v>
      </c>
      <c r="AC9">
        <f t="shared" si="4"/>
        <v>-2850.0000000000014</v>
      </c>
      <c r="AD9">
        <f t="shared" si="5"/>
        <v>-1699.9999999999993</v>
      </c>
      <c r="AE9">
        <f t="shared" si="6"/>
        <v>400.00000000000034</v>
      </c>
      <c r="AF9">
        <f t="shared" si="7"/>
        <v>-99.999999999997868</v>
      </c>
      <c r="AG9">
        <f t="shared" si="8"/>
        <v>-199.99999999999574</v>
      </c>
      <c r="AH9" s="3">
        <f t="shared" si="9"/>
        <v>0</v>
      </c>
      <c r="AI9">
        <f t="shared" si="10"/>
        <v>649.99999999999943</v>
      </c>
      <c r="AJ9" s="3">
        <f t="shared" si="11"/>
        <v>1550.0000000000025</v>
      </c>
      <c r="AK9" s="3">
        <f t="shared" si="12"/>
        <v>-2000.0000000000018</v>
      </c>
      <c r="AL9" s="3">
        <f t="shared" si="13"/>
        <v>0</v>
      </c>
      <c r="AM9" s="3">
        <f t="shared" si="14"/>
        <v>0</v>
      </c>
      <c r="AN9" s="3">
        <f t="shared" si="15"/>
        <v>0</v>
      </c>
      <c r="AO9" s="3">
        <f t="shared" si="15"/>
        <v>0</v>
      </c>
      <c r="AP9" s="3">
        <f t="shared" si="15"/>
        <v>0</v>
      </c>
      <c r="AT9">
        <f t="shared" si="16"/>
        <v>-3824.9999999999936</v>
      </c>
    </row>
    <row r="10" spans="1:46" x14ac:dyDescent="0.2">
      <c r="A10" s="107">
        <v>37018</v>
      </c>
      <c r="B10">
        <f t="shared" si="0"/>
        <v>5.25</v>
      </c>
      <c r="C10" s="5">
        <f>GasDaily!R10</f>
        <v>3.76</v>
      </c>
      <c r="D10" s="3">
        <v>10000</v>
      </c>
      <c r="E10" s="3">
        <v>-10000</v>
      </c>
      <c r="F10" s="3">
        <v>-10000</v>
      </c>
      <c r="G10" s="3">
        <v>10000</v>
      </c>
      <c r="H10" s="3">
        <v>-10000</v>
      </c>
      <c r="I10" s="3">
        <v>-10000</v>
      </c>
      <c r="J10" s="3">
        <v>10000</v>
      </c>
      <c r="K10" s="3">
        <v>10000</v>
      </c>
      <c r="L10" s="3">
        <v>10000</v>
      </c>
      <c r="M10" s="3">
        <v>10000</v>
      </c>
      <c r="N10" s="3">
        <v>10000</v>
      </c>
      <c r="O10" s="3">
        <v>10000</v>
      </c>
      <c r="P10" s="3">
        <v>-10000</v>
      </c>
      <c r="Q10" s="3"/>
      <c r="R10" s="3"/>
      <c r="S10" s="3"/>
      <c r="T10" s="3"/>
      <c r="U10" s="3"/>
      <c r="V10" s="3"/>
      <c r="W10" s="10">
        <f t="shared" si="17"/>
        <v>30000</v>
      </c>
      <c r="X10" s="9"/>
      <c r="Y10">
        <f t="shared" si="1"/>
        <v>1149.9999999999977</v>
      </c>
      <c r="Z10">
        <f t="shared" si="2"/>
        <v>-1324.9999999999984</v>
      </c>
      <c r="AA10">
        <f t="shared" si="2"/>
        <v>800.00000000000068</v>
      </c>
      <c r="AB10">
        <f t="shared" si="3"/>
        <v>-200.00000000000017</v>
      </c>
      <c r="AC10">
        <f t="shared" si="4"/>
        <v>-99.999999999997868</v>
      </c>
      <c r="AD10">
        <f t="shared" si="5"/>
        <v>1050.0000000000043</v>
      </c>
      <c r="AE10">
        <f t="shared" si="6"/>
        <v>-2350.0000000000032</v>
      </c>
      <c r="AF10">
        <f t="shared" si="7"/>
        <v>-2850.0000000000014</v>
      </c>
      <c r="AG10">
        <f t="shared" si="8"/>
        <v>-2949.9999999999991</v>
      </c>
      <c r="AH10" s="3">
        <f t="shared" si="9"/>
        <v>-2750.0000000000036</v>
      </c>
      <c r="AI10">
        <f t="shared" si="10"/>
        <v>-2100.0000000000041</v>
      </c>
      <c r="AJ10" s="3">
        <f t="shared" si="11"/>
        <v>-1200.0000000000011</v>
      </c>
      <c r="AK10" s="3">
        <f t="shared" si="12"/>
        <v>750.00000000000182</v>
      </c>
      <c r="AL10" s="3">
        <f t="shared" si="13"/>
        <v>0</v>
      </c>
      <c r="AM10" s="3">
        <f t="shared" si="14"/>
        <v>0</v>
      </c>
      <c r="AN10" s="3">
        <f t="shared" si="15"/>
        <v>0</v>
      </c>
      <c r="AO10" s="3">
        <f t="shared" si="15"/>
        <v>0</v>
      </c>
      <c r="AP10" s="3">
        <f t="shared" si="15"/>
        <v>0</v>
      </c>
      <c r="AT10">
        <f t="shared" si="16"/>
        <v>-12075.000000000004</v>
      </c>
    </row>
    <row r="11" spans="1:46" x14ac:dyDescent="0.2">
      <c r="A11" s="107">
        <v>37019</v>
      </c>
      <c r="B11">
        <f t="shared" si="0"/>
        <v>5.25</v>
      </c>
      <c r="C11" s="5">
        <f>GasDaily!R11</f>
        <v>3.6549999999999998</v>
      </c>
      <c r="D11" s="3">
        <v>10000</v>
      </c>
      <c r="E11" s="3">
        <v>-10000</v>
      </c>
      <c r="F11" s="3">
        <v>-10000</v>
      </c>
      <c r="G11" s="3">
        <v>10000</v>
      </c>
      <c r="H11" s="3">
        <v>-10000</v>
      </c>
      <c r="I11" s="3">
        <v>-10000</v>
      </c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>
        <v>-10000</v>
      </c>
      <c r="Q11" s="3"/>
      <c r="R11" s="3"/>
      <c r="S11" s="3"/>
      <c r="T11" s="3"/>
      <c r="U11" s="3"/>
      <c r="V11" s="3"/>
      <c r="W11" s="10">
        <f t="shared" si="17"/>
        <v>30000</v>
      </c>
      <c r="X11" s="9"/>
      <c r="Y11">
        <f t="shared" si="1"/>
        <v>99.999999999997868</v>
      </c>
      <c r="Z11">
        <f t="shared" si="2"/>
        <v>-274.99999999999858</v>
      </c>
      <c r="AA11">
        <f t="shared" si="2"/>
        <v>1850.0000000000005</v>
      </c>
      <c r="AB11">
        <f t="shared" si="3"/>
        <v>-1250</v>
      </c>
      <c r="AC11">
        <f t="shared" si="4"/>
        <v>950.00000000000193</v>
      </c>
      <c r="AD11">
        <f t="shared" si="5"/>
        <v>2100.0000000000041</v>
      </c>
      <c r="AE11">
        <f t="shared" si="6"/>
        <v>-3400.0000000000032</v>
      </c>
      <c r="AF11">
        <f t="shared" si="7"/>
        <v>-3900.0000000000014</v>
      </c>
      <c r="AG11">
        <f t="shared" si="8"/>
        <v>-3999.9999999999991</v>
      </c>
      <c r="AH11" s="3">
        <f t="shared" si="9"/>
        <v>-3800.0000000000032</v>
      </c>
      <c r="AI11">
        <f t="shared" si="10"/>
        <v>-3150.0000000000041</v>
      </c>
      <c r="AJ11" s="3">
        <f t="shared" si="11"/>
        <v>-2250.0000000000009</v>
      </c>
      <c r="AK11" s="3">
        <f t="shared" si="12"/>
        <v>1800.0000000000016</v>
      </c>
      <c r="AL11" s="3">
        <f t="shared" si="13"/>
        <v>0</v>
      </c>
      <c r="AM11" s="3">
        <f t="shared" si="14"/>
        <v>0</v>
      </c>
      <c r="AN11" s="3">
        <f t="shared" si="15"/>
        <v>0</v>
      </c>
      <c r="AO11" s="3">
        <f t="shared" si="15"/>
        <v>0</v>
      </c>
      <c r="AP11" s="3">
        <f t="shared" si="15"/>
        <v>0</v>
      </c>
      <c r="AT11">
        <f t="shared" si="16"/>
        <v>-15225.000000000005</v>
      </c>
    </row>
    <row r="12" spans="1:46" x14ac:dyDescent="0.2">
      <c r="A12" s="107">
        <v>37020</v>
      </c>
      <c r="B12">
        <f t="shared" si="0"/>
        <v>5.25</v>
      </c>
      <c r="C12" s="5">
        <f>GasDaily!R12</f>
        <v>3.6</v>
      </c>
      <c r="D12" s="3">
        <v>10000</v>
      </c>
      <c r="E12" s="3">
        <v>-10000</v>
      </c>
      <c r="F12" s="3">
        <v>-10000</v>
      </c>
      <c r="G12" s="3">
        <v>10000</v>
      </c>
      <c r="H12" s="3">
        <v>-10000</v>
      </c>
      <c r="I12" s="3">
        <v>-10000</v>
      </c>
      <c r="J12" s="3">
        <v>10000</v>
      </c>
      <c r="K12" s="3">
        <v>10000</v>
      </c>
      <c r="L12" s="3">
        <v>10000</v>
      </c>
      <c r="M12" s="3">
        <v>10000</v>
      </c>
      <c r="N12" s="3">
        <v>10000</v>
      </c>
      <c r="O12" s="3">
        <v>10000</v>
      </c>
      <c r="P12" s="3">
        <v>-10000</v>
      </c>
      <c r="Q12" s="3">
        <v>10000</v>
      </c>
      <c r="R12" s="3">
        <v>10000</v>
      </c>
      <c r="S12" s="3"/>
      <c r="T12" s="3"/>
      <c r="U12" s="3"/>
      <c r="V12" s="3"/>
      <c r="W12" s="10">
        <f t="shared" si="17"/>
        <v>50000</v>
      </c>
      <c r="X12" s="9"/>
      <c r="Y12">
        <f t="shared" si="1"/>
        <v>-449.99999999999932</v>
      </c>
      <c r="Z12">
        <f t="shared" si="2"/>
        <v>274.99999999999858</v>
      </c>
      <c r="AA12">
        <f t="shared" si="2"/>
        <v>2399.9999999999977</v>
      </c>
      <c r="AB12">
        <f t="shared" si="3"/>
        <v>-1799.9999999999973</v>
      </c>
      <c r="AC12">
        <f t="shared" si="4"/>
        <v>1499.9999999999991</v>
      </c>
      <c r="AD12">
        <f t="shared" si="5"/>
        <v>2650.0000000000014</v>
      </c>
      <c r="AE12">
        <f t="shared" si="6"/>
        <v>-3950</v>
      </c>
      <c r="AF12">
        <f t="shared" si="7"/>
        <v>-4449.9999999999982</v>
      </c>
      <c r="AG12">
        <f t="shared" si="8"/>
        <v>-4549.9999999999964</v>
      </c>
      <c r="AH12" s="3">
        <f t="shared" si="9"/>
        <v>-4350.0000000000009</v>
      </c>
      <c r="AI12">
        <f t="shared" si="10"/>
        <v>-3700.0000000000009</v>
      </c>
      <c r="AJ12" s="3">
        <f t="shared" si="11"/>
        <v>-2799.9999999999982</v>
      </c>
      <c r="AK12" s="3">
        <f t="shared" si="12"/>
        <v>2349.9999999999986</v>
      </c>
      <c r="AL12" s="3">
        <f t="shared" si="13"/>
        <v>-899.99999999999864</v>
      </c>
      <c r="AM12" s="3">
        <f t="shared" si="14"/>
        <v>-800.00000000000068</v>
      </c>
      <c r="AN12" s="3">
        <f t="shared" si="15"/>
        <v>0</v>
      </c>
      <c r="AO12" s="3">
        <f t="shared" si="15"/>
        <v>0</v>
      </c>
      <c r="AP12" s="3">
        <f t="shared" si="15"/>
        <v>0</v>
      </c>
      <c r="AT12">
        <f t="shared" si="16"/>
        <v>-18574.999999999993</v>
      </c>
    </row>
    <row r="13" spans="1:46" x14ac:dyDescent="0.2">
      <c r="A13" s="107">
        <v>37021</v>
      </c>
      <c r="B13">
        <f t="shared" si="0"/>
        <v>5.25</v>
      </c>
      <c r="C13" s="5">
        <f>GasDaily!R13</f>
        <v>3.6</v>
      </c>
      <c r="D13" s="3">
        <v>10000</v>
      </c>
      <c r="E13" s="3">
        <v>-10000</v>
      </c>
      <c r="F13" s="3">
        <v>-10000</v>
      </c>
      <c r="G13" s="3">
        <v>10000</v>
      </c>
      <c r="H13" s="3">
        <v>-10000</v>
      </c>
      <c r="I13" s="3">
        <v>-10000</v>
      </c>
      <c r="J13" s="3">
        <v>10000</v>
      </c>
      <c r="K13" s="3">
        <v>10000</v>
      </c>
      <c r="L13" s="3">
        <v>10000</v>
      </c>
      <c r="M13" s="3">
        <v>10000</v>
      </c>
      <c r="N13" s="3">
        <v>10000</v>
      </c>
      <c r="O13" s="3">
        <v>10000</v>
      </c>
      <c r="P13" s="3">
        <v>-10000</v>
      </c>
      <c r="Q13" s="3">
        <v>10000</v>
      </c>
      <c r="R13" s="3">
        <v>10000</v>
      </c>
      <c r="S13" s="3"/>
      <c r="T13" s="3"/>
      <c r="U13" s="3"/>
      <c r="V13" s="3"/>
      <c r="W13" s="10">
        <f t="shared" si="17"/>
        <v>50000</v>
      </c>
      <c r="X13" s="9"/>
      <c r="Y13">
        <f t="shared" si="1"/>
        <v>-449.99999999999932</v>
      </c>
      <c r="Z13">
        <f t="shared" si="2"/>
        <v>274.99999999999858</v>
      </c>
      <c r="AA13">
        <f t="shared" si="2"/>
        <v>2399.9999999999977</v>
      </c>
      <c r="AB13">
        <f t="shared" si="3"/>
        <v>-1799.9999999999973</v>
      </c>
      <c r="AC13">
        <f t="shared" si="4"/>
        <v>1499.9999999999991</v>
      </c>
      <c r="AD13">
        <f t="shared" si="5"/>
        <v>2650.0000000000014</v>
      </c>
      <c r="AE13">
        <f t="shared" si="6"/>
        <v>-3950</v>
      </c>
      <c r="AF13">
        <f t="shared" si="7"/>
        <v>-4449.9999999999982</v>
      </c>
      <c r="AG13">
        <f t="shared" si="8"/>
        <v>-4549.9999999999964</v>
      </c>
      <c r="AH13" s="3">
        <f t="shared" si="9"/>
        <v>-4350.0000000000009</v>
      </c>
      <c r="AI13">
        <f t="shared" si="10"/>
        <v>-3700.0000000000009</v>
      </c>
      <c r="AJ13" s="3">
        <f t="shared" si="11"/>
        <v>-2799.9999999999982</v>
      </c>
      <c r="AK13" s="3">
        <f t="shared" si="12"/>
        <v>2349.9999999999986</v>
      </c>
      <c r="AL13" s="3">
        <f t="shared" si="13"/>
        <v>-899.99999999999864</v>
      </c>
      <c r="AM13" s="3">
        <f t="shared" si="14"/>
        <v>-800.00000000000068</v>
      </c>
      <c r="AN13" s="3">
        <f t="shared" si="15"/>
        <v>0</v>
      </c>
      <c r="AO13" s="3">
        <f t="shared" si="15"/>
        <v>0</v>
      </c>
      <c r="AP13" s="3">
        <f t="shared" si="15"/>
        <v>0</v>
      </c>
      <c r="AT13">
        <f t="shared" si="16"/>
        <v>-18574.999999999993</v>
      </c>
    </row>
    <row r="14" spans="1:46" x14ac:dyDescent="0.2">
      <c r="A14" s="107">
        <v>37022</v>
      </c>
      <c r="B14">
        <f t="shared" si="0"/>
        <v>5.25</v>
      </c>
      <c r="C14" s="5">
        <f>GasDaily!R14</f>
        <v>3.6</v>
      </c>
      <c r="D14" s="3">
        <v>10000</v>
      </c>
      <c r="E14" s="3">
        <v>-10000</v>
      </c>
      <c r="F14" s="3">
        <v>-10000</v>
      </c>
      <c r="G14" s="3">
        <v>10000</v>
      </c>
      <c r="H14" s="3">
        <v>-10000</v>
      </c>
      <c r="I14" s="3">
        <v>-10000</v>
      </c>
      <c r="J14" s="3">
        <v>10000</v>
      </c>
      <c r="K14" s="3">
        <v>10000</v>
      </c>
      <c r="L14" s="3">
        <v>10000</v>
      </c>
      <c r="M14" s="3">
        <v>10000</v>
      </c>
      <c r="N14" s="3">
        <v>10000</v>
      </c>
      <c r="O14" s="3">
        <v>10000</v>
      </c>
      <c r="P14" s="3">
        <v>-10000</v>
      </c>
      <c r="Q14" s="3">
        <v>10000</v>
      </c>
      <c r="R14" s="3">
        <v>10000</v>
      </c>
      <c r="S14" s="3"/>
      <c r="T14" s="3"/>
      <c r="U14" s="3"/>
      <c r="V14" s="3"/>
      <c r="W14" s="10">
        <f t="shared" si="17"/>
        <v>50000</v>
      </c>
      <c r="X14" s="9"/>
      <c r="Y14">
        <f t="shared" si="1"/>
        <v>-449.99999999999932</v>
      </c>
      <c r="Z14">
        <f t="shared" si="2"/>
        <v>274.99999999999858</v>
      </c>
      <c r="AA14">
        <f t="shared" si="2"/>
        <v>2399.9999999999977</v>
      </c>
      <c r="AB14">
        <f t="shared" si="3"/>
        <v>-1799.9999999999973</v>
      </c>
      <c r="AC14">
        <f t="shared" si="4"/>
        <v>1499.9999999999991</v>
      </c>
      <c r="AD14">
        <f t="shared" si="5"/>
        <v>2650.0000000000014</v>
      </c>
      <c r="AE14">
        <f t="shared" si="6"/>
        <v>-3950</v>
      </c>
      <c r="AF14">
        <f t="shared" si="7"/>
        <v>-4449.9999999999982</v>
      </c>
      <c r="AG14">
        <f t="shared" si="8"/>
        <v>-4549.9999999999964</v>
      </c>
      <c r="AH14" s="3">
        <f t="shared" si="9"/>
        <v>-4350.0000000000009</v>
      </c>
      <c r="AI14">
        <f t="shared" si="10"/>
        <v>-3700.0000000000009</v>
      </c>
      <c r="AJ14" s="3">
        <f t="shared" si="11"/>
        <v>-2799.9999999999982</v>
      </c>
      <c r="AK14" s="3">
        <f t="shared" si="12"/>
        <v>2349.9999999999986</v>
      </c>
      <c r="AL14" s="3">
        <f t="shared" si="13"/>
        <v>-899.99999999999864</v>
      </c>
      <c r="AM14" s="3">
        <f t="shared" si="14"/>
        <v>-800.00000000000068</v>
      </c>
      <c r="AN14" s="3">
        <f t="shared" si="15"/>
        <v>0</v>
      </c>
      <c r="AO14" s="3">
        <f t="shared" si="15"/>
        <v>0</v>
      </c>
      <c r="AP14" s="3">
        <f t="shared" si="15"/>
        <v>0</v>
      </c>
      <c r="AT14">
        <f t="shared" si="16"/>
        <v>-18574.999999999993</v>
      </c>
    </row>
    <row r="15" spans="1:46" x14ac:dyDescent="0.2">
      <c r="A15" s="107">
        <v>37023</v>
      </c>
      <c r="B15">
        <f t="shared" si="0"/>
        <v>5.25</v>
      </c>
      <c r="C15" s="5">
        <f>GasDaily!R15</f>
        <v>3.79</v>
      </c>
      <c r="D15" s="3">
        <v>10000</v>
      </c>
      <c r="E15" s="3">
        <v>-10000</v>
      </c>
      <c r="F15" s="3">
        <v>-10000</v>
      </c>
      <c r="G15" s="3">
        <v>10000</v>
      </c>
      <c r="H15" s="3">
        <v>-10000</v>
      </c>
      <c r="I15" s="3">
        <v>-10000</v>
      </c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-10000</v>
      </c>
      <c r="Q15" s="3">
        <v>10000</v>
      </c>
      <c r="R15" s="3">
        <v>10000</v>
      </c>
      <c r="S15" s="3"/>
      <c r="T15" s="3"/>
      <c r="U15" s="3"/>
      <c r="V15" s="3"/>
      <c r="W15" s="10">
        <f t="shared" si="17"/>
        <v>50000</v>
      </c>
      <c r="X15" s="9"/>
      <c r="Y15">
        <f t="shared" si="1"/>
        <v>1450.0000000000002</v>
      </c>
      <c r="Z15">
        <f t="shared" si="2"/>
        <v>-1625.0000000000009</v>
      </c>
      <c r="AA15">
        <f t="shared" si="2"/>
        <v>499.99999999999824</v>
      </c>
      <c r="AB15">
        <f t="shared" si="3"/>
        <v>100.0000000000023</v>
      </c>
      <c r="AC15">
        <f t="shared" si="4"/>
        <v>-400.00000000000034</v>
      </c>
      <c r="AD15">
        <f t="shared" si="5"/>
        <v>750.00000000000182</v>
      </c>
      <c r="AE15">
        <f t="shared" si="6"/>
        <v>-2050.0000000000009</v>
      </c>
      <c r="AF15">
        <f t="shared" si="7"/>
        <v>-2549.9999999999991</v>
      </c>
      <c r="AG15">
        <f t="shared" si="8"/>
        <v>-2649.9999999999968</v>
      </c>
      <c r="AH15" s="3">
        <f t="shared" si="9"/>
        <v>-2450.0000000000009</v>
      </c>
      <c r="AI15">
        <f t="shared" si="10"/>
        <v>-1800.0000000000016</v>
      </c>
      <c r="AJ15" s="3">
        <f t="shared" si="11"/>
        <v>-899.99999999999864</v>
      </c>
      <c r="AK15" s="3">
        <f t="shared" si="12"/>
        <v>449.99999999999932</v>
      </c>
      <c r="AL15" s="3">
        <f t="shared" si="13"/>
        <v>1000.0000000000009</v>
      </c>
      <c r="AM15" s="3">
        <f t="shared" si="14"/>
        <v>1099.9999999999989</v>
      </c>
      <c r="AN15" s="3">
        <f t="shared" si="15"/>
        <v>0</v>
      </c>
      <c r="AO15" s="3">
        <f t="shared" si="15"/>
        <v>0</v>
      </c>
      <c r="AP15" s="3">
        <f t="shared" si="15"/>
        <v>0</v>
      </c>
      <c r="AT15">
        <f t="shared" si="16"/>
        <v>-9074.9999999999982</v>
      </c>
    </row>
    <row r="16" spans="1:46" x14ac:dyDescent="0.2">
      <c r="A16" s="107">
        <v>37024</v>
      </c>
      <c r="B16">
        <f t="shared" si="0"/>
        <v>5.25</v>
      </c>
      <c r="C16" s="5">
        <f>GasDaily!R16</f>
        <v>3.79</v>
      </c>
      <c r="D16" s="3">
        <v>10000</v>
      </c>
      <c r="E16" s="3">
        <v>-10000</v>
      </c>
      <c r="F16" s="3">
        <v>-10000</v>
      </c>
      <c r="G16" s="3">
        <v>10000</v>
      </c>
      <c r="H16" s="3">
        <v>-10000</v>
      </c>
      <c r="I16" s="3">
        <v>-10000</v>
      </c>
      <c r="J16" s="3">
        <v>10000</v>
      </c>
      <c r="K16" s="3">
        <v>10000</v>
      </c>
      <c r="L16" s="3">
        <v>10000</v>
      </c>
      <c r="M16" s="3">
        <v>10000</v>
      </c>
      <c r="N16" s="3">
        <v>10000</v>
      </c>
      <c r="O16" s="3">
        <v>10000</v>
      </c>
      <c r="P16" s="3">
        <v>-10000</v>
      </c>
      <c r="Q16" s="3">
        <v>10000</v>
      </c>
      <c r="R16" s="3">
        <v>10000</v>
      </c>
      <c r="S16" s="3"/>
      <c r="T16" s="3"/>
      <c r="U16" s="3"/>
      <c r="V16" s="3"/>
      <c r="W16" s="10">
        <f t="shared" si="17"/>
        <v>50000</v>
      </c>
      <c r="X16" s="9"/>
      <c r="Y16">
        <f t="shared" si="1"/>
        <v>1450.0000000000002</v>
      </c>
      <c r="Z16">
        <f t="shared" si="2"/>
        <v>-1625.0000000000009</v>
      </c>
      <c r="AA16">
        <f t="shared" si="2"/>
        <v>499.99999999999824</v>
      </c>
      <c r="AB16">
        <f t="shared" ref="AB16:AB31" si="18">G16*($C16-G$3)</f>
        <v>100.0000000000023</v>
      </c>
      <c r="AC16">
        <f t="shared" si="4"/>
        <v>-400.00000000000034</v>
      </c>
      <c r="AD16">
        <f t="shared" si="5"/>
        <v>750.00000000000182</v>
      </c>
      <c r="AE16">
        <f t="shared" si="6"/>
        <v>-2050.0000000000009</v>
      </c>
      <c r="AF16">
        <f t="shared" si="7"/>
        <v>-2549.9999999999991</v>
      </c>
      <c r="AG16">
        <f t="shared" si="8"/>
        <v>-2649.9999999999968</v>
      </c>
      <c r="AH16" s="3">
        <f t="shared" si="9"/>
        <v>-2450.0000000000009</v>
      </c>
      <c r="AI16">
        <f t="shared" si="10"/>
        <v>-1800.0000000000016</v>
      </c>
      <c r="AJ16" s="3">
        <f t="shared" si="11"/>
        <v>-899.99999999999864</v>
      </c>
      <c r="AK16" s="3">
        <f t="shared" si="12"/>
        <v>449.99999999999932</v>
      </c>
      <c r="AL16" s="3">
        <f t="shared" si="13"/>
        <v>1000.0000000000009</v>
      </c>
      <c r="AM16" s="3">
        <f t="shared" si="14"/>
        <v>1099.9999999999989</v>
      </c>
      <c r="AN16" s="3">
        <f t="shared" si="15"/>
        <v>0</v>
      </c>
      <c r="AO16" s="3">
        <f t="shared" si="15"/>
        <v>0</v>
      </c>
      <c r="AP16" s="3">
        <f t="shared" si="15"/>
        <v>0</v>
      </c>
      <c r="AT16">
        <f t="shared" si="16"/>
        <v>-9074.9999999999982</v>
      </c>
    </row>
    <row r="17" spans="1:46" x14ac:dyDescent="0.2">
      <c r="A17" s="107">
        <v>37025</v>
      </c>
      <c r="B17">
        <f t="shared" si="0"/>
        <v>5.25</v>
      </c>
      <c r="C17" s="5">
        <f>GasDaily!R17</f>
        <v>3.79</v>
      </c>
      <c r="D17" s="3">
        <v>10000</v>
      </c>
      <c r="E17" s="3">
        <v>-10000</v>
      </c>
      <c r="F17" s="3">
        <v>-10000</v>
      </c>
      <c r="G17" s="3">
        <v>10000</v>
      </c>
      <c r="H17" s="3">
        <v>-10000</v>
      </c>
      <c r="I17" s="3">
        <v>-10000</v>
      </c>
      <c r="J17" s="3">
        <v>10000</v>
      </c>
      <c r="K17" s="3">
        <v>10000</v>
      </c>
      <c r="L17" s="3">
        <v>10000</v>
      </c>
      <c r="M17" s="3">
        <v>10000</v>
      </c>
      <c r="N17" s="3">
        <v>10000</v>
      </c>
      <c r="O17" s="3">
        <v>10000</v>
      </c>
      <c r="P17" s="3">
        <v>-10000</v>
      </c>
      <c r="Q17" s="3">
        <v>10000</v>
      </c>
      <c r="R17" s="3">
        <v>10000</v>
      </c>
      <c r="S17" s="3"/>
      <c r="T17" s="3"/>
      <c r="U17" s="3"/>
      <c r="V17" s="3"/>
      <c r="W17" s="10">
        <f t="shared" si="17"/>
        <v>50000</v>
      </c>
      <c r="X17" s="9"/>
      <c r="Y17">
        <f t="shared" si="1"/>
        <v>1450.0000000000002</v>
      </c>
      <c r="Z17">
        <f t="shared" si="2"/>
        <v>-1625.0000000000009</v>
      </c>
      <c r="AA17">
        <f t="shared" si="2"/>
        <v>499.99999999999824</v>
      </c>
      <c r="AB17">
        <f t="shared" si="18"/>
        <v>100.0000000000023</v>
      </c>
      <c r="AC17">
        <f t="shared" si="4"/>
        <v>-400.00000000000034</v>
      </c>
      <c r="AD17">
        <f t="shared" si="5"/>
        <v>750.00000000000182</v>
      </c>
      <c r="AE17">
        <f t="shared" si="6"/>
        <v>-2050.0000000000009</v>
      </c>
      <c r="AF17">
        <f t="shared" si="7"/>
        <v>-2549.9999999999991</v>
      </c>
      <c r="AG17">
        <f t="shared" si="8"/>
        <v>-2649.9999999999968</v>
      </c>
      <c r="AH17" s="3">
        <f t="shared" si="9"/>
        <v>-2450.0000000000009</v>
      </c>
      <c r="AI17">
        <f t="shared" si="10"/>
        <v>-1800.0000000000016</v>
      </c>
      <c r="AJ17" s="3">
        <f t="shared" si="11"/>
        <v>-899.99999999999864</v>
      </c>
      <c r="AK17" s="3">
        <f t="shared" si="12"/>
        <v>449.99999999999932</v>
      </c>
      <c r="AL17" s="3">
        <f t="shared" si="13"/>
        <v>1000.0000000000009</v>
      </c>
      <c r="AM17" s="3">
        <f t="shared" si="14"/>
        <v>1099.9999999999989</v>
      </c>
      <c r="AN17" s="3">
        <f t="shared" si="15"/>
        <v>0</v>
      </c>
      <c r="AO17" s="3">
        <f t="shared" si="15"/>
        <v>0</v>
      </c>
      <c r="AP17" s="3">
        <f t="shared" si="15"/>
        <v>0</v>
      </c>
      <c r="AT17">
        <f t="shared" si="16"/>
        <v>-9074.9999999999982</v>
      </c>
    </row>
    <row r="18" spans="1:46" x14ac:dyDescent="0.2">
      <c r="A18" s="107">
        <v>37026</v>
      </c>
      <c r="B18">
        <f t="shared" si="0"/>
        <v>5.25</v>
      </c>
      <c r="C18" s="5">
        <f>GasDaily!R18</f>
        <v>3.79</v>
      </c>
      <c r="D18" s="3">
        <v>10000</v>
      </c>
      <c r="E18" s="3">
        <v>-10000</v>
      </c>
      <c r="F18" s="3">
        <v>-10000</v>
      </c>
      <c r="G18" s="3">
        <v>10000</v>
      </c>
      <c r="H18" s="3">
        <v>-10000</v>
      </c>
      <c r="I18" s="3">
        <v>-10000</v>
      </c>
      <c r="J18" s="3">
        <v>10000</v>
      </c>
      <c r="K18" s="3">
        <v>10000</v>
      </c>
      <c r="L18" s="3">
        <v>10000</v>
      </c>
      <c r="M18" s="3">
        <v>10000</v>
      </c>
      <c r="N18" s="3">
        <v>10000</v>
      </c>
      <c r="O18" s="3">
        <v>10000</v>
      </c>
      <c r="P18" s="3">
        <v>-10000</v>
      </c>
      <c r="Q18" s="3">
        <v>10000</v>
      </c>
      <c r="R18" s="3">
        <v>10000</v>
      </c>
      <c r="S18" s="3"/>
      <c r="T18" s="3"/>
      <c r="U18" s="3"/>
      <c r="V18" s="3"/>
      <c r="W18" s="10">
        <f t="shared" si="17"/>
        <v>50000</v>
      </c>
      <c r="X18" s="9"/>
      <c r="Y18">
        <f t="shared" si="1"/>
        <v>1450.0000000000002</v>
      </c>
      <c r="Z18">
        <f t="shared" si="2"/>
        <v>-1625.0000000000009</v>
      </c>
      <c r="AA18">
        <f t="shared" si="2"/>
        <v>499.99999999999824</v>
      </c>
      <c r="AB18">
        <f t="shared" si="18"/>
        <v>100.0000000000023</v>
      </c>
      <c r="AC18">
        <f t="shared" si="4"/>
        <v>-400.00000000000034</v>
      </c>
      <c r="AD18">
        <f t="shared" si="5"/>
        <v>750.00000000000182</v>
      </c>
      <c r="AE18">
        <f t="shared" si="6"/>
        <v>-2050.0000000000009</v>
      </c>
      <c r="AF18">
        <f t="shared" si="7"/>
        <v>-2549.9999999999991</v>
      </c>
      <c r="AG18">
        <f t="shared" si="8"/>
        <v>-2649.9999999999968</v>
      </c>
      <c r="AH18" s="3">
        <f t="shared" si="9"/>
        <v>-2450.0000000000009</v>
      </c>
      <c r="AI18">
        <f t="shared" si="10"/>
        <v>-1800.0000000000016</v>
      </c>
      <c r="AJ18" s="3">
        <f t="shared" si="11"/>
        <v>-899.99999999999864</v>
      </c>
      <c r="AK18" s="3">
        <f t="shared" si="12"/>
        <v>449.99999999999932</v>
      </c>
      <c r="AL18" s="3">
        <f t="shared" si="13"/>
        <v>1000.0000000000009</v>
      </c>
      <c r="AM18" s="3">
        <f t="shared" si="14"/>
        <v>1099.9999999999989</v>
      </c>
      <c r="AN18" s="3">
        <f t="shared" si="15"/>
        <v>0</v>
      </c>
      <c r="AO18" s="3">
        <f t="shared" si="15"/>
        <v>0</v>
      </c>
      <c r="AP18" s="3">
        <f t="shared" si="15"/>
        <v>0</v>
      </c>
      <c r="AT18">
        <f t="shared" si="16"/>
        <v>-9074.9999999999982</v>
      </c>
    </row>
    <row r="19" spans="1:46" x14ac:dyDescent="0.2">
      <c r="A19" s="107">
        <v>37027</v>
      </c>
      <c r="B19">
        <f t="shared" si="0"/>
        <v>5.25</v>
      </c>
      <c r="C19" s="5">
        <f>GasDaily!R19</f>
        <v>3.79</v>
      </c>
      <c r="D19" s="3">
        <v>10000</v>
      </c>
      <c r="E19" s="3">
        <v>-10000</v>
      </c>
      <c r="F19" s="3">
        <v>-10000</v>
      </c>
      <c r="G19" s="3">
        <v>10000</v>
      </c>
      <c r="H19" s="3">
        <v>-10000</v>
      </c>
      <c r="I19" s="3">
        <v>-10000</v>
      </c>
      <c r="J19" s="3">
        <v>10000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  <c r="P19" s="3">
        <v>-10000</v>
      </c>
      <c r="Q19" s="3">
        <v>10000</v>
      </c>
      <c r="R19" s="3">
        <v>10000</v>
      </c>
      <c r="S19" s="3"/>
      <c r="T19" s="3"/>
      <c r="U19" s="3"/>
      <c r="V19" s="3"/>
      <c r="W19" s="10">
        <f t="shared" si="17"/>
        <v>50000</v>
      </c>
      <c r="X19" s="9"/>
      <c r="Y19">
        <f t="shared" si="1"/>
        <v>1450.0000000000002</v>
      </c>
      <c r="Z19">
        <f t="shared" si="2"/>
        <v>-1625.0000000000009</v>
      </c>
      <c r="AA19">
        <f t="shared" si="2"/>
        <v>499.99999999999824</v>
      </c>
      <c r="AB19">
        <f t="shared" si="18"/>
        <v>100.0000000000023</v>
      </c>
      <c r="AC19">
        <f t="shared" si="4"/>
        <v>-400.00000000000034</v>
      </c>
      <c r="AD19">
        <f t="shared" si="5"/>
        <v>750.00000000000182</v>
      </c>
      <c r="AE19">
        <f t="shared" si="6"/>
        <v>-2050.0000000000009</v>
      </c>
      <c r="AF19">
        <f t="shared" si="7"/>
        <v>-2549.9999999999991</v>
      </c>
      <c r="AG19">
        <f t="shared" si="8"/>
        <v>-2649.9999999999968</v>
      </c>
      <c r="AH19" s="3">
        <f t="shared" si="9"/>
        <v>-2450.0000000000009</v>
      </c>
      <c r="AI19">
        <f t="shared" si="10"/>
        <v>-1800.0000000000016</v>
      </c>
      <c r="AJ19" s="3">
        <f t="shared" si="11"/>
        <v>-899.99999999999864</v>
      </c>
      <c r="AK19" s="3">
        <f t="shared" si="12"/>
        <v>449.99999999999932</v>
      </c>
      <c r="AL19" s="3">
        <f t="shared" si="13"/>
        <v>1000.0000000000009</v>
      </c>
      <c r="AM19" s="3">
        <f t="shared" si="14"/>
        <v>1099.9999999999989</v>
      </c>
      <c r="AN19" s="3">
        <f t="shared" si="15"/>
        <v>0</v>
      </c>
      <c r="AO19" s="3">
        <f t="shared" si="15"/>
        <v>0</v>
      </c>
      <c r="AP19" s="3">
        <f t="shared" si="15"/>
        <v>0</v>
      </c>
      <c r="AT19">
        <f t="shared" si="16"/>
        <v>-9074.9999999999982</v>
      </c>
    </row>
    <row r="20" spans="1:46" x14ac:dyDescent="0.2">
      <c r="A20" s="107">
        <v>37028</v>
      </c>
      <c r="B20">
        <f t="shared" si="0"/>
        <v>5.25</v>
      </c>
      <c r="C20" s="5">
        <f>GasDaily!R20</f>
        <v>3.79</v>
      </c>
      <c r="D20" s="3">
        <v>10000</v>
      </c>
      <c r="E20" s="3">
        <v>-10000</v>
      </c>
      <c r="F20" s="3">
        <v>-10000</v>
      </c>
      <c r="G20" s="3">
        <v>10000</v>
      </c>
      <c r="H20" s="3">
        <v>-10000</v>
      </c>
      <c r="I20" s="3">
        <v>-10000</v>
      </c>
      <c r="J20" s="3">
        <v>10000</v>
      </c>
      <c r="K20" s="3">
        <v>10000</v>
      </c>
      <c r="L20" s="3">
        <v>10000</v>
      </c>
      <c r="M20" s="3">
        <v>10000</v>
      </c>
      <c r="N20" s="3">
        <v>10000</v>
      </c>
      <c r="O20" s="3">
        <v>10000</v>
      </c>
      <c r="P20" s="3">
        <v>-10000</v>
      </c>
      <c r="Q20" s="3">
        <v>10000</v>
      </c>
      <c r="R20" s="3">
        <v>10000</v>
      </c>
      <c r="S20" s="3"/>
      <c r="T20" s="3"/>
      <c r="U20" s="3"/>
      <c r="V20" s="3"/>
      <c r="W20" s="10">
        <f t="shared" si="17"/>
        <v>50000</v>
      </c>
      <c r="X20" s="9"/>
      <c r="Y20">
        <f t="shared" si="1"/>
        <v>1450.0000000000002</v>
      </c>
      <c r="Z20">
        <f t="shared" ref="Z20:AA34" si="19">E20*($C20-E$3)</f>
        <v>-1625.0000000000009</v>
      </c>
      <c r="AA20">
        <f t="shared" si="19"/>
        <v>499.99999999999824</v>
      </c>
      <c r="AB20">
        <f t="shared" si="18"/>
        <v>100.0000000000023</v>
      </c>
      <c r="AC20">
        <f t="shared" si="4"/>
        <v>-400.00000000000034</v>
      </c>
      <c r="AD20">
        <f t="shared" si="5"/>
        <v>750.00000000000182</v>
      </c>
      <c r="AE20">
        <f t="shared" si="6"/>
        <v>-2050.0000000000009</v>
      </c>
      <c r="AF20">
        <f t="shared" si="7"/>
        <v>-2549.9999999999991</v>
      </c>
      <c r="AG20">
        <f t="shared" si="8"/>
        <v>-2649.9999999999968</v>
      </c>
      <c r="AH20" s="3">
        <f t="shared" si="9"/>
        <v>-2450.0000000000009</v>
      </c>
      <c r="AI20">
        <f t="shared" si="10"/>
        <v>-1800.0000000000016</v>
      </c>
      <c r="AJ20" s="3">
        <f t="shared" si="11"/>
        <v>-899.99999999999864</v>
      </c>
      <c r="AK20" s="3">
        <f t="shared" si="12"/>
        <v>449.99999999999932</v>
      </c>
      <c r="AL20" s="3">
        <f t="shared" si="13"/>
        <v>1000.0000000000009</v>
      </c>
      <c r="AM20" s="3">
        <f t="shared" si="14"/>
        <v>1099.9999999999989</v>
      </c>
      <c r="AN20" s="3">
        <f t="shared" si="15"/>
        <v>0</v>
      </c>
      <c r="AO20" s="3">
        <f t="shared" si="15"/>
        <v>0</v>
      </c>
      <c r="AP20" s="3">
        <f t="shared" si="15"/>
        <v>0</v>
      </c>
      <c r="AT20">
        <f t="shared" si="16"/>
        <v>-9074.9999999999982</v>
      </c>
    </row>
    <row r="21" spans="1:46" x14ac:dyDescent="0.2">
      <c r="A21" s="107">
        <v>37029</v>
      </c>
      <c r="B21">
        <f t="shared" si="0"/>
        <v>5.25</v>
      </c>
      <c r="C21" s="5">
        <f>GasDaily!R21</f>
        <v>3.79</v>
      </c>
      <c r="D21" s="3">
        <v>10000</v>
      </c>
      <c r="E21" s="3">
        <v>-10000</v>
      </c>
      <c r="F21" s="3">
        <v>-10000</v>
      </c>
      <c r="G21" s="3">
        <v>10000</v>
      </c>
      <c r="H21" s="3">
        <v>-10000</v>
      </c>
      <c r="I21" s="3">
        <v>-10000</v>
      </c>
      <c r="J21" s="3">
        <v>10000</v>
      </c>
      <c r="K21" s="3">
        <v>10000</v>
      </c>
      <c r="L21" s="3">
        <v>10000</v>
      </c>
      <c r="M21" s="3">
        <v>10000</v>
      </c>
      <c r="N21" s="3">
        <v>10000</v>
      </c>
      <c r="O21" s="3">
        <v>10000</v>
      </c>
      <c r="P21" s="3">
        <v>-10000</v>
      </c>
      <c r="Q21" s="3">
        <v>10000</v>
      </c>
      <c r="R21" s="3">
        <v>10000</v>
      </c>
      <c r="S21" s="3"/>
      <c r="T21" s="3"/>
      <c r="U21" s="3"/>
      <c r="V21" s="3"/>
      <c r="W21" s="10">
        <f t="shared" si="17"/>
        <v>50000</v>
      </c>
      <c r="X21" s="9"/>
      <c r="Y21">
        <f t="shared" si="1"/>
        <v>1450.0000000000002</v>
      </c>
      <c r="Z21">
        <f t="shared" si="19"/>
        <v>-1625.0000000000009</v>
      </c>
      <c r="AA21">
        <f t="shared" si="19"/>
        <v>499.99999999999824</v>
      </c>
      <c r="AB21">
        <f t="shared" si="18"/>
        <v>100.0000000000023</v>
      </c>
      <c r="AC21">
        <f t="shared" si="4"/>
        <v>-400.00000000000034</v>
      </c>
      <c r="AD21">
        <f t="shared" si="5"/>
        <v>750.00000000000182</v>
      </c>
      <c r="AE21">
        <f t="shared" si="6"/>
        <v>-2050.0000000000009</v>
      </c>
      <c r="AF21">
        <f t="shared" si="7"/>
        <v>-2549.9999999999991</v>
      </c>
      <c r="AG21">
        <f t="shared" si="8"/>
        <v>-2649.9999999999968</v>
      </c>
      <c r="AH21" s="3">
        <f t="shared" si="9"/>
        <v>-2450.0000000000009</v>
      </c>
      <c r="AI21">
        <f t="shared" si="10"/>
        <v>-1800.0000000000016</v>
      </c>
      <c r="AJ21" s="3">
        <f t="shared" si="11"/>
        <v>-899.99999999999864</v>
      </c>
      <c r="AK21" s="3">
        <f t="shared" si="12"/>
        <v>449.99999999999932</v>
      </c>
      <c r="AL21" s="3">
        <f t="shared" si="13"/>
        <v>1000.0000000000009</v>
      </c>
      <c r="AM21" s="3">
        <f t="shared" si="14"/>
        <v>1099.9999999999989</v>
      </c>
      <c r="AN21" s="3">
        <f t="shared" si="15"/>
        <v>0</v>
      </c>
      <c r="AO21" s="3">
        <f t="shared" si="15"/>
        <v>0</v>
      </c>
      <c r="AP21" s="3">
        <f t="shared" si="15"/>
        <v>0</v>
      </c>
      <c r="AT21">
        <f t="shared" si="16"/>
        <v>-9074.9999999999982</v>
      </c>
    </row>
    <row r="22" spans="1:46" x14ac:dyDescent="0.2">
      <c r="A22" s="107">
        <v>37030</v>
      </c>
      <c r="B22">
        <f t="shared" si="0"/>
        <v>5.25</v>
      </c>
      <c r="C22" s="5">
        <f>GasDaily!R22</f>
        <v>3.79</v>
      </c>
      <c r="D22" s="3">
        <v>10000</v>
      </c>
      <c r="E22" s="3">
        <v>-10000</v>
      </c>
      <c r="F22" s="3">
        <v>-10000</v>
      </c>
      <c r="G22" s="3">
        <v>10000</v>
      </c>
      <c r="H22" s="3">
        <v>-10000</v>
      </c>
      <c r="I22" s="3">
        <v>-10000</v>
      </c>
      <c r="J22" s="3">
        <v>10000</v>
      </c>
      <c r="K22" s="3">
        <v>10000</v>
      </c>
      <c r="L22" s="3">
        <v>10000</v>
      </c>
      <c r="M22" s="3">
        <v>10000</v>
      </c>
      <c r="N22" s="3">
        <v>10000</v>
      </c>
      <c r="O22" s="3">
        <v>10000</v>
      </c>
      <c r="P22" s="3">
        <v>-10000</v>
      </c>
      <c r="Q22" s="3">
        <v>10000</v>
      </c>
      <c r="R22" s="3">
        <v>10000</v>
      </c>
      <c r="S22" s="3"/>
      <c r="T22" s="3"/>
      <c r="U22" s="3"/>
      <c r="V22" s="3"/>
      <c r="W22" s="10">
        <f t="shared" si="17"/>
        <v>50000</v>
      </c>
      <c r="X22" s="9"/>
      <c r="Y22">
        <f t="shared" si="1"/>
        <v>1450.0000000000002</v>
      </c>
      <c r="Z22">
        <f t="shared" si="19"/>
        <v>-1625.0000000000009</v>
      </c>
      <c r="AA22">
        <f t="shared" si="19"/>
        <v>499.99999999999824</v>
      </c>
      <c r="AB22">
        <f t="shared" si="18"/>
        <v>100.0000000000023</v>
      </c>
      <c r="AC22">
        <f t="shared" si="4"/>
        <v>-400.00000000000034</v>
      </c>
      <c r="AD22">
        <f t="shared" si="5"/>
        <v>750.00000000000182</v>
      </c>
      <c r="AE22">
        <f t="shared" si="6"/>
        <v>-2050.0000000000009</v>
      </c>
      <c r="AF22">
        <f t="shared" si="7"/>
        <v>-2549.9999999999991</v>
      </c>
      <c r="AG22">
        <f t="shared" si="8"/>
        <v>-2649.9999999999968</v>
      </c>
      <c r="AH22" s="3">
        <f t="shared" si="9"/>
        <v>-2450.0000000000009</v>
      </c>
      <c r="AI22">
        <f t="shared" si="10"/>
        <v>-1800.0000000000016</v>
      </c>
      <c r="AJ22" s="3">
        <f t="shared" si="11"/>
        <v>-899.99999999999864</v>
      </c>
      <c r="AK22" s="3">
        <f t="shared" si="12"/>
        <v>449.99999999999932</v>
      </c>
      <c r="AL22" s="3">
        <f t="shared" si="13"/>
        <v>1000.0000000000009</v>
      </c>
      <c r="AM22" s="3">
        <f t="shared" si="14"/>
        <v>1099.9999999999989</v>
      </c>
      <c r="AN22" s="3">
        <f t="shared" si="15"/>
        <v>0</v>
      </c>
      <c r="AO22" s="3">
        <f t="shared" si="15"/>
        <v>0</v>
      </c>
      <c r="AP22" s="3">
        <f t="shared" si="15"/>
        <v>0</v>
      </c>
      <c r="AT22">
        <f t="shared" si="16"/>
        <v>-9074.9999999999982</v>
      </c>
    </row>
    <row r="23" spans="1:46" x14ac:dyDescent="0.2">
      <c r="A23" s="107">
        <v>37031</v>
      </c>
      <c r="B23">
        <f t="shared" si="0"/>
        <v>5.25</v>
      </c>
      <c r="C23" s="5">
        <f>GasDaily!R23</f>
        <v>3.79</v>
      </c>
      <c r="D23" s="3">
        <v>10000</v>
      </c>
      <c r="E23" s="3">
        <v>-10000</v>
      </c>
      <c r="F23" s="3">
        <v>-10000</v>
      </c>
      <c r="G23" s="3">
        <v>10000</v>
      </c>
      <c r="H23" s="3">
        <v>-10000</v>
      </c>
      <c r="I23" s="3">
        <v>-10000</v>
      </c>
      <c r="J23" s="3">
        <v>10000</v>
      </c>
      <c r="K23" s="3">
        <v>10000</v>
      </c>
      <c r="L23" s="3">
        <v>10000</v>
      </c>
      <c r="M23" s="3">
        <v>10000</v>
      </c>
      <c r="N23" s="3">
        <v>10000</v>
      </c>
      <c r="O23" s="3">
        <v>10000</v>
      </c>
      <c r="P23" s="3">
        <v>-10000</v>
      </c>
      <c r="Q23" s="3">
        <v>10000</v>
      </c>
      <c r="R23" s="3">
        <v>10000</v>
      </c>
      <c r="S23" s="3"/>
      <c r="T23" s="3"/>
      <c r="U23" s="3"/>
      <c r="V23" s="3"/>
      <c r="W23" s="10">
        <f t="shared" si="17"/>
        <v>50000</v>
      </c>
      <c r="X23" s="9"/>
      <c r="Y23">
        <f t="shared" si="1"/>
        <v>1450.0000000000002</v>
      </c>
      <c r="Z23">
        <f t="shared" si="19"/>
        <v>-1625.0000000000009</v>
      </c>
      <c r="AA23">
        <f t="shared" si="19"/>
        <v>499.99999999999824</v>
      </c>
      <c r="AB23">
        <f t="shared" si="18"/>
        <v>100.0000000000023</v>
      </c>
      <c r="AC23">
        <f t="shared" si="4"/>
        <v>-400.00000000000034</v>
      </c>
      <c r="AD23">
        <f t="shared" si="5"/>
        <v>750.00000000000182</v>
      </c>
      <c r="AE23">
        <f t="shared" si="6"/>
        <v>-2050.0000000000009</v>
      </c>
      <c r="AF23">
        <f t="shared" si="7"/>
        <v>-2549.9999999999991</v>
      </c>
      <c r="AG23">
        <f t="shared" si="8"/>
        <v>-2649.9999999999968</v>
      </c>
      <c r="AH23" s="3">
        <f t="shared" si="9"/>
        <v>-2450.0000000000009</v>
      </c>
      <c r="AI23">
        <f t="shared" si="10"/>
        <v>-1800.0000000000016</v>
      </c>
      <c r="AJ23" s="3">
        <f t="shared" si="11"/>
        <v>-899.99999999999864</v>
      </c>
      <c r="AK23" s="3">
        <f t="shared" si="12"/>
        <v>449.99999999999932</v>
      </c>
      <c r="AL23" s="3">
        <f t="shared" si="13"/>
        <v>1000.0000000000009</v>
      </c>
      <c r="AM23" s="3">
        <f t="shared" si="14"/>
        <v>1099.9999999999989</v>
      </c>
      <c r="AN23" s="3">
        <f t="shared" si="15"/>
        <v>0</v>
      </c>
      <c r="AO23" s="3">
        <f t="shared" si="15"/>
        <v>0</v>
      </c>
      <c r="AP23" s="3">
        <f t="shared" si="15"/>
        <v>0</v>
      </c>
      <c r="AT23">
        <f t="shared" si="16"/>
        <v>-9074.9999999999982</v>
      </c>
    </row>
    <row r="24" spans="1:46" x14ac:dyDescent="0.2">
      <c r="A24" s="107">
        <v>37032</v>
      </c>
      <c r="B24">
        <f t="shared" si="0"/>
        <v>5.25</v>
      </c>
      <c r="C24" s="5">
        <f>GasDaily!R24</f>
        <v>3.79</v>
      </c>
      <c r="D24" s="3">
        <v>10000</v>
      </c>
      <c r="E24" s="3">
        <v>-10000</v>
      </c>
      <c r="F24" s="3">
        <v>-10000</v>
      </c>
      <c r="G24" s="3">
        <v>10000</v>
      </c>
      <c r="H24" s="3">
        <v>-10000</v>
      </c>
      <c r="I24" s="3">
        <v>-10000</v>
      </c>
      <c r="J24" s="3">
        <v>10000</v>
      </c>
      <c r="K24" s="3">
        <v>10000</v>
      </c>
      <c r="L24" s="3">
        <v>10000</v>
      </c>
      <c r="M24" s="3">
        <v>10000</v>
      </c>
      <c r="N24" s="3">
        <v>10000</v>
      </c>
      <c r="O24" s="3">
        <v>10000</v>
      </c>
      <c r="P24" s="3">
        <v>-10000</v>
      </c>
      <c r="Q24" s="3">
        <v>10000</v>
      </c>
      <c r="R24" s="3">
        <v>10000</v>
      </c>
      <c r="S24" s="3"/>
      <c r="T24" s="3"/>
      <c r="U24" s="3"/>
      <c r="V24" s="3"/>
      <c r="W24" s="10">
        <f t="shared" si="17"/>
        <v>50000</v>
      </c>
      <c r="X24" s="9"/>
      <c r="Y24">
        <f t="shared" si="1"/>
        <v>1450.0000000000002</v>
      </c>
      <c r="Z24">
        <f t="shared" si="19"/>
        <v>-1625.0000000000009</v>
      </c>
      <c r="AA24">
        <f t="shared" si="19"/>
        <v>499.99999999999824</v>
      </c>
      <c r="AB24">
        <f t="shared" si="18"/>
        <v>100.0000000000023</v>
      </c>
      <c r="AC24">
        <f t="shared" si="4"/>
        <v>-400.00000000000034</v>
      </c>
      <c r="AD24">
        <f t="shared" si="5"/>
        <v>750.00000000000182</v>
      </c>
      <c r="AE24">
        <f t="shared" si="6"/>
        <v>-2050.0000000000009</v>
      </c>
      <c r="AF24">
        <f t="shared" si="7"/>
        <v>-2549.9999999999991</v>
      </c>
      <c r="AG24">
        <f t="shared" si="8"/>
        <v>-2649.9999999999968</v>
      </c>
      <c r="AH24" s="3">
        <f t="shared" si="9"/>
        <v>-2450.0000000000009</v>
      </c>
      <c r="AI24">
        <f t="shared" si="10"/>
        <v>-1800.0000000000016</v>
      </c>
      <c r="AJ24" s="3">
        <f t="shared" si="11"/>
        <v>-899.99999999999864</v>
      </c>
      <c r="AK24" s="3">
        <f t="shared" si="12"/>
        <v>449.99999999999932</v>
      </c>
      <c r="AL24" s="3">
        <f t="shared" si="13"/>
        <v>1000.0000000000009</v>
      </c>
      <c r="AM24" s="3">
        <f t="shared" si="14"/>
        <v>1099.9999999999989</v>
      </c>
      <c r="AN24" s="3">
        <f t="shared" si="15"/>
        <v>0</v>
      </c>
      <c r="AO24" s="3">
        <f t="shared" si="15"/>
        <v>0</v>
      </c>
      <c r="AP24" s="3">
        <f t="shared" si="15"/>
        <v>0</v>
      </c>
      <c r="AT24">
        <f t="shared" si="16"/>
        <v>-9074.9999999999982</v>
      </c>
    </row>
    <row r="25" spans="1:46" x14ac:dyDescent="0.2">
      <c r="A25" s="107">
        <v>37033</v>
      </c>
      <c r="B25">
        <f t="shared" si="0"/>
        <v>5.25</v>
      </c>
      <c r="C25" s="5">
        <f>GasDaily!R25</f>
        <v>3.79</v>
      </c>
      <c r="D25" s="3">
        <v>10000</v>
      </c>
      <c r="E25" s="3">
        <v>-10000</v>
      </c>
      <c r="F25" s="3">
        <v>-10000</v>
      </c>
      <c r="G25" s="3">
        <v>10000</v>
      </c>
      <c r="H25" s="3">
        <v>-10000</v>
      </c>
      <c r="I25" s="3">
        <v>-10000</v>
      </c>
      <c r="J25" s="3">
        <v>10000</v>
      </c>
      <c r="K25" s="3">
        <v>10000</v>
      </c>
      <c r="L25" s="3">
        <v>10000</v>
      </c>
      <c r="M25" s="3">
        <v>10000</v>
      </c>
      <c r="N25" s="3">
        <v>10000</v>
      </c>
      <c r="O25" s="3">
        <v>10000</v>
      </c>
      <c r="P25" s="3">
        <v>-10000</v>
      </c>
      <c r="Q25" s="3">
        <v>10000</v>
      </c>
      <c r="R25" s="3">
        <v>10000</v>
      </c>
      <c r="S25" s="3"/>
      <c r="T25" s="3"/>
      <c r="U25" s="3"/>
      <c r="V25" s="3"/>
      <c r="W25" s="10">
        <f t="shared" si="17"/>
        <v>50000</v>
      </c>
      <c r="X25" s="9"/>
      <c r="Y25">
        <f t="shared" si="1"/>
        <v>1450.0000000000002</v>
      </c>
      <c r="Z25">
        <f t="shared" si="19"/>
        <v>-1625.0000000000009</v>
      </c>
      <c r="AA25">
        <f t="shared" si="19"/>
        <v>499.99999999999824</v>
      </c>
      <c r="AB25">
        <f t="shared" si="18"/>
        <v>100.0000000000023</v>
      </c>
      <c r="AC25">
        <f t="shared" si="4"/>
        <v>-400.00000000000034</v>
      </c>
      <c r="AD25">
        <f t="shared" si="5"/>
        <v>750.00000000000182</v>
      </c>
      <c r="AE25">
        <f t="shared" si="6"/>
        <v>-2050.0000000000009</v>
      </c>
      <c r="AF25">
        <f t="shared" si="7"/>
        <v>-2549.9999999999991</v>
      </c>
      <c r="AG25">
        <f t="shared" si="8"/>
        <v>-2649.9999999999968</v>
      </c>
      <c r="AH25" s="3">
        <f t="shared" si="9"/>
        <v>-2450.0000000000009</v>
      </c>
      <c r="AI25">
        <f t="shared" si="10"/>
        <v>-1800.0000000000016</v>
      </c>
      <c r="AJ25" s="3">
        <f t="shared" si="11"/>
        <v>-899.99999999999864</v>
      </c>
      <c r="AK25" s="3">
        <f t="shared" si="12"/>
        <v>449.99999999999932</v>
      </c>
      <c r="AL25" s="3">
        <f t="shared" si="13"/>
        <v>1000.0000000000009</v>
      </c>
      <c r="AM25" s="3">
        <f t="shared" si="14"/>
        <v>1099.9999999999989</v>
      </c>
      <c r="AN25" s="3">
        <f t="shared" si="15"/>
        <v>0</v>
      </c>
      <c r="AO25" s="3">
        <f t="shared" si="15"/>
        <v>0</v>
      </c>
      <c r="AP25" s="3">
        <f t="shared" si="15"/>
        <v>0</v>
      </c>
      <c r="AT25">
        <f t="shared" si="16"/>
        <v>-9074.9999999999982</v>
      </c>
    </row>
    <row r="26" spans="1:46" x14ac:dyDescent="0.2">
      <c r="A26" s="107">
        <v>37034</v>
      </c>
      <c r="B26">
        <f t="shared" si="0"/>
        <v>5.25</v>
      </c>
      <c r="C26" s="5">
        <f>GasDaily!R26</f>
        <v>3.79</v>
      </c>
      <c r="D26" s="3">
        <v>10000</v>
      </c>
      <c r="E26" s="3">
        <v>-10000</v>
      </c>
      <c r="F26" s="3">
        <v>-10000</v>
      </c>
      <c r="G26" s="3">
        <v>10000</v>
      </c>
      <c r="H26" s="3">
        <v>-10000</v>
      </c>
      <c r="I26" s="3">
        <v>-10000</v>
      </c>
      <c r="J26" s="3">
        <v>10000</v>
      </c>
      <c r="K26" s="3">
        <v>10000</v>
      </c>
      <c r="L26" s="3">
        <v>10000</v>
      </c>
      <c r="M26" s="3">
        <v>10000</v>
      </c>
      <c r="N26" s="3">
        <v>10000</v>
      </c>
      <c r="O26" s="3">
        <v>10000</v>
      </c>
      <c r="P26" s="3">
        <v>-10000</v>
      </c>
      <c r="Q26" s="3">
        <v>10000</v>
      </c>
      <c r="R26" s="3">
        <v>10000</v>
      </c>
      <c r="S26" s="3"/>
      <c r="T26" s="3"/>
      <c r="U26" s="3"/>
      <c r="V26" s="3"/>
      <c r="W26" s="10">
        <f t="shared" si="17"/>
        <v>50000</v>
      </c>
      <c r="X26" s="9"/>
      <c r="Y26">
        <f t="shared" si="1"/>
        <v>1450.0000000000002</v>
      </c>
      <c r="Z26">
        <f t="shared" si="19"/>
        <v>-1625.0000000000009</v>
      </c>
      <c r="AA26">
        <f t="shared" si="19"/>
        <v>499.99999999999824</v>
      </c>
      <c r="AB26">
        <f t="shared" si="18"/>
        <v>100.0000000000023</v>
      </c>
      <c r="AC26">
        <f t="shared" si="4"/>
        <v>-400.00000000000034</v>
      </c>
      <c r="AD26">
        <f t="shared" si="5"/>
        <v>750.00000000000182</v>
      </c>
      <c r="AE26">
        <f t="shared" si="6"/>
        <v>-2050.0000000000009</v>
      </c>
      <c r="AF26">
        <f t="shared" si="7"/>
        <v>-2549.9999999999991</v>
      </c>
      <c r="AG26">
        <f t="shared" si="8"/>
        <v>-2649.9999999999968</v>
      </c>
      <c r="AH26" s="3">
        <f t="shared" si="9"/>
        <v>-2450.0000000000009</v>
      </c>
      <c r="AI26">
        <f t="shared" si="10"/>
        <v>-1800.0000000000016</v>
      </c>
      <c r="AJ26" s="3">
        <f t="shared" si="11"/>
        <v>-899.99999999999864</v>
      </c>
      <c r="AK26" s="3">
        <f t="shared" si="12"/>
        <v>449.99999999999932</v>
      </c>
      <c r="AL26" s="3">
        <f t="shared" si="13"/>
        <v>1000.0000000000009</v>
      </c>
      <c r="AM26" s="3">
        <f t="shared" si="14"/>
        <v>1099.9999999999989</v>
      </c>
      <c r="AN26" s="3">
        <f t="shared" si="15"/>
        <v>0</v>
      </c>
      <c r="AO26" s="3">
        <f t="shared" si="15"/>
        <v>0</v>
      </c>
      <c r="AP26" s="3">
        <f t="shared" si="15"/>
        <v>0</v>
      </c>
      <c r="AT26">
        <f t="shared" si="16"/>
        <v>-9074.9999999999982</v>
      </c>
    </row>
    <row r="27" spans="1:46" x14ac:dyDescent="0.2">
      <c r="A27" s="107">
        <v>37035</v>
      </c>
      <c r="B27">
        <f t="shared" si="0"/>
        <v>5.25</v>
      </c>
      <c r="C27" s="5">
        <f>GasDaily!R27</f>
        <v>3.79</v>
      </c>
      <c r="D27" s="3">
        <v>10000</v>
      </c>
      <c r="E27" s="3">
        <v>-10000</v>
      </c>
      <c r="F27" s="3">
        <v>-10000</v>
      </c>
      <c r="G27" s="3">
        <v>10000</v>
      </c>
      <c r="H27" s="3">
        <v>-10000</v>
      </c>
      <c r="I27" s="3">
        <v>-10000</v>
      </c>
      <c r="J27" s="3">
        <v>10000</v>
      </c>
      <c r="K27" s="3">
        <v>10000</v>
      </c>
      <c r="L27" s="3">
        <v>10000</v>
      </c>
      <c r="M27" s="3">
        <v>10000</v>
      </c>
      <c r="N27" s="3">
        <v>10000</v>
      </c>
      <c r="O27" s="3">
        <v>10000</v>
      </c>
      <c r="P27" s="3">
        <v>-10000</v>
      </c>
      <c r="Q27" s="3">
        <v>10000</v>
      </c>
      <c r="R27" s="3">
        <v>10000</v>
      </c>
      <c r="S27" s="3"/>
      <c r="T27" s="3"/>
      <c r="U27" s="3"/>
      <c r="V27" s="3"/>
      <c r="W27" s="10">
        <f t="shared" si="17"/>
        <v>50000</v>
      </c>
      <c r="X27" s="9"/>
      <c r="Y27">
        <f t="shared" si="1"/>
        <v>1450.0000000000002</v>
      </c>
      <c r="Z27">
        <f t="shared" si="19"/>
        <v>-1625.0000000000009</v>
      </c>
      <c r="AA27">
        <f t="shared" si="19"/>
        <v>499.99999999999824</v>
      </c>
      <c r="AB27">
        <f t="shared" si="18"/>
        <v>100.0000000000023</v>
      </c>
      <c r="AC27">
        <f t="shared" si="4"/>
        <v>-400.00000000000034</v>
      </c>
      <c r="AD27">
        <f t="shared" si="5"/>
        <v>750.00000000000182</v>
      </c>
      <c r="AE27">
        <f t="shared" si="6"/>
        <v>-2050.0000000000009</v>
      </c>
      <c r="AF27">
        <f t="shared" si="7"/>
        <v>-2549.9999999999991</v>
      </c>
      <c r="AG27">
        <f t="shared" si="8"/>
        <v>-2649.9999999999968</v>
      </c>
      <c r="AH27" s="3">
        <f t="shared" si="9"/>
        <v>-2450.0000000000009</v>
      </c>
      <c r="AI27">
        <f t="shared" si="10"/>
        <v>-1800.0000000000016</v>
      </c>
      <c r="AJ27" s="3">
        <f t="shared" si="11"/>
        <v>-899.99999999999864</v>
      </c>
      <c r="AK27" s="3">
        <f t="shared" si="12"/>
        <v>449.99999999999932</v>
      </c>
      <c r="AL27" s="3">
        <f t="shared" si="13"/>
        <v>1000.0000000000009</v>
      </c>
      <c r="AM27" s="3">
        <f t="shared" si="14"/>
        <v>1099.9999999999989</v>
      </c>
      <c r="AN27" s="3">
        <f t="shared" si="15"/>
        <v>0</v>
      </c>
      <c r="AO27" s="3">
        <f t="shared" si="15"/>
        <v>0</v>
      </c>
      <c r="AP27" s="3">
        <f t="shared" si="15"/>
        <v>0</v>
      </c>
      <c r="AT27">
        <f t="shared" si="16"/>
        <v>-9074.9999999999982</v>
      </c>
    </row>
    <row r="28" spans="1:46" x14ac:dyDescent="0.2">
      <c r="A28" s="107">
        <v>37036</v>
      </c>
      <c r="B28">
        <f t="shared" si="0"/>
        <v>5.25</v>
      </c>
      <c r="C28" s="5">
        <f>GasDaily!R28</f>
        <v>3.79</v>
      </c>
      <c r="D28" s="3">
        <v>10000</v>
      </c>
      <c r="E28" s="3">
        <v>-10000</v>
      </c>
      <c r="F28" s="3">
        <v>-10000</v>
      </c>
      <c r="G28" s="3">
        <v>10000</v>
      </c>
      <c r="H28" s="3">
        <v>-10000</v>
      </c>
      <c r="I28" s="3">
        <v>-10000</v>
      </c>
      <c r="J28" s="3">
        <v>10000</v>
      </c>
      <c r="K28" s="3">
        <v>10000</v>
      </c>
      <c r="L28" s="3">
        <v>10000</v>
      </c>
      <c r="M28" s="3">
        <v>10000</v>
      </c>
      <c r="N28" s="3">
        <v>10000</v>
      </c>
      <c r="O28" s="3">
        <v>10000</v>
      </c>
      <c r="P28" s="3">
        <v>-10000</v>
      </c>
      <c r="Q28" s="3">
        <v>10000</v>
      </c>
      <c r="R28" s="3">
        <v>10000</v>
      </c>
      <c r="S28" s="3"/>
      <c r="T28" s="3"/>
      <c r="U28" s="3"/>
      <c r="V28" s="3"/>
      <c r="W28" s="10">
        <f t="shared" si="17"/>
        <v>50000</v>
      </c>
      <c r="X28" s="9"/>
      <c r="Y28">
        <f t="shared" si="1"/>
        <v>1450.0000000000002</v>
      </c>
      <c r="Z28">
        <f t="shared" si="19"/>
        <v>-1625.0000000000009</v>
      </c>
      <c r="AA28">
        <f t="shared" si="19"/>
        <v>499.99999999999824</v>
      </c>
      <c r="AB28">
        <f t="shared" si="18"/>
        <v>100.0000000000023</v>
      </c>
      <c r="AC28">
        <f t="shared" si="4"/>
        <v>-400.00000000000034</v>
      </c>
      <c r="AD28">
        <f t="shared" si="5"/>
        <v>750.00000000000182</v>
      </c>
      <c r="AE28">
        <f t="shared" si="6"/>
        <v>-2050.0000000000009</v>
      </c>
      <c r="AF28">
        <f t="shared" si="7"/>
        <v>-2549.9999999999991</v>
      </c>
      <c r="AG28">
        <f t="shared" si="8"/>
        <v>-2649.9999999999968</v>
      </c>
      <c r="AH28" s="3">
        <f t="shared" si="9"/>
        <v>-2450.0000000000009</v>
      </c>
      <c r="AI28">
        <f t="shared" si="10"/>
        <v>-1800.0000000000016</v>
      </c>
      <c r="AJ28" s="3">
        <f t="shared" si="11"/>
        <v>-899.99999999999864</v>
      </c>
      <c r="AK28" s="3">
        <f t="shared" si="12"/>
        <v>449.99999999999932</v>
      </c>
      <c r="AL28" s="3">
        <f t="shared" si="13"/>
        <v>1000.0000000000009</v>
      </c>
      <c r="AM28" s="3">
        <f t="shared" si="14"/>
        <v>1099.9999999999989</v>
      </c>
      <c r="AN28" s="3">
        <f t="shared" si="15"/>
        <v>0</v>
      </c>
      <c r="AO28" s="3">
        <f t="shared" si="15"/>
        <v>0</v>
      </c>
      <c r="AP28" s="3">
        <f t="shared" si="15"/>
        <v>0</v>
      </c>
      <c r="AT28">
        <f t="shared" si="16"/>
        <v>-9074.9999999999982</v>
      </c>
    </row>
    <row r="29" spans="1:46" x14ac:dyDescent="0.2">
      <c r="A29" s="107">
        <v>37037</v>
      </c>
      <c r="B29">
        <f t="shared" si="0"/>
        <v>5.25</v>
      </c>
      <c r="C29" s="5">
        <f>GasDaily!R29</f>
        <v>3.79</v>
      </c>
      <c r="D29" s="3">
        <v>10000</v>
      </c>
      <c r="E29" s="3">
        <v>-10000</v>
      </c>
      <c r="F29" s="3">
        <v>-10000</v>
      </c>
      <c r="G29" s="3">
        <v>10000</v>
      </c>
      <c r="H29" s="3">
        <v>-10000</v>
      </c>
      <c r="I29" s="3">
        <v>-10000</v>
      </c>
      <c r="J29" s="3">
        <v>10000</v>
      </c>
      <c r="K29" s="3">
        <v>10000</v>
      </c>
      <c r="L29" s="3">
        <v>10000</v>
      </c>
      <c r="M29" s="3">
        <v>10000</v>
      </c>
      <c r="N29" s="3">
        <v>10000</v>
      </c>
      <c r="O29" s="3">
        <v>10000</v>
      </c>
      <c r="P29" s="3">
        <v>-10000</v>
      </c>
      <c r="Q29" s="3">
        <v>10000</v>
      </c>
      <c r="R29" s="3">
        <v>10000</v>
      </c>
      <c r="S29" s="3"/>
      <c r="T29" s="3"/>
      <c r="U29" s="3"/>
      <c r="V29" s="3"/>
      <c r="W29" s="10">
        <f t="shared" si="17"/>
        <v>50000</v>
      </c>
      <c r="X29" s="9"/>
      <c r="Y29">
        <f t="shared" si="1"/>
        <v>1450.0000000000002</v>
      </c>
      <c r="Z29">
        <f t="shared" si="19"/>
        <v>-1625.0000000000009</v>
      </c>
      <c r="AA29">
        <f t="shared" si="19"/>
        <v>499.99999999999824</v>
      </c>
      <c r="AB29">
        <f t="shared" si="18"/>
        <v>100.0000000000023</v>
      </c>
      <c r="AC29">
        <f t="shared" si="4"/>
        <v>-400.00000000000034</v>
      </c>
      <c r="AD29">
        <f t="shared" si="5"/>
        <v>750.00000000000182</v>
      </c>
      <c r="AE29">
        <f t="shared" si="6"/>
        <v>-2050.0000000000009</v>
      </c>
      <c r="AF29">
        <f t="shared" si="7"/>
        <v>-2549.9999999999991</v>
      </c>
      <c r="AG29">
        <f t="shared" si="8"/>
        <v>-2649.9999999999968</v>
      </c>
      <c r="AH29" s="3">
        <f t="shared" si="9"/>
        <v>-2450.0000000000009</v>
      </c>
      <c r="AI29">
        <f t="shared" si="10"/>
        <v>-1800.0000000000016</v>
      </c>
      <c r="AJ29" s="3">
        <f t="shared" si="11"/>
        <v>-899.99999999999864</v>
      </c>
      <c r="AK29" s="3">
        <f t="shared" si="12"/>
        <v>449.99999999999932</v>
      </c>
      <c r="AL29" s="3">
        <f t="shared" si="13"/>
        <v>1000.0000000000009</v>
      </c>
      <c r="AM29" s="3">
        <f t="shared" si="14"/>
        <v>1099.9999999999989</v>
      </c>
      <c r="AN29" s="3">
        <f t="shared" si="15"/>
        <v>0</v>
      </c>
      <c r="AO29" s="3">
        <f t="shared" si="15"/>
        <v>0</v>
      </c>
      <c r="AP29" s="3">
        <f t="shared" si="15"/>
        <v>0</v>
      </c>
      <c r="AT29">
        <f t="shared" si="16"/>
        <v>-9074.9999999999982</v>
      </c>
    </row>
    <row r="30" spans="1:46" x14ac:dyDescent="0.2">
      <c r="A30" s="107">
        <v>37038</v>
      </c>
      <c r="B30">
        <f t="shared" si="0"/>
        <v>5.25</v>
      </c>
      <c r="C30" s="5">
        <f>GasDaily!R30</f>
        <v>3.79</v>
      </c>
      <c r="D30" s="3">
        <v>10000</v>
      </c>
      <c r="E30" s="3">
        <v>-10000</v>
      </c>
      <c r="F30" s="3">
        <v>-10000</v>
      </c>
      <c r="G30" s="3">
        <v>10000</v>
      </c>
      <c r="H30" s="3">
        <v>-10000</v>
      </c>
      <c r="I30" s="3">
        <v>-10000</v>
      </c>
      <c r="J30" s="3">
        <v>10000</v>
      </c>
      <c r="K30" s="3">
        <v>10000</v>
      </c>
      <c r="L30" s="3">
        <v>10000</v>
      </c>
      <c r="M30" s="3">
        <v>10000</v>
      </c>
      <c r="N30" s="3">
        <v>10000</v>
      </c>
      <c r="O30" s="3">
        <v>10000</v>
      </c>
      <c r="P30" s="3">
        <v>-10000</v>
      </c>
      <c r="Q30" s="3">
        <v>10000</v>
      </c>
      <c r="R30" s="3">
        <v>10000</v>
      </c>
      <c r="S30" s="3"/>
      <c r="T30" s="3"/>
      <c r="U30" s="3"/>
      <c r="V30" s="3"/>
      <c r="W30" s="10">
        <f t="shared" si="17"/>
        <v>50000</v>
      </c>
      <c r="X30" s="9"/>
      <c r="Y30">
        <f t="shared" si="1"/>
        <v>1450.0000000000002</v>
      </c>
      <c r="Z30">
        <f t="shared" si="19"/>
        <v>-1625.0000000000009</v>
      </c>
      <c r="AA30">
        <f t="shared" si="19"/>
        <v>499.99999999999824</v>
      </c>
      <c r="AB30">
        <f t="shared" si="18"/>
        <v>100.0000000000023</v>
      </c>
      <c r="AC30">
        <f t="shared" si="4"/>
        <v>-400.00000000000034</v>
      </c>
      <c r="AD30">
        <f t="shared" si="5"/>
        <v>750.00000000000182</v>
      </c>
      <c r="AE30">
        <f t="shared" si="6"/>
        <v>-2050.0000000000009</v>
      </c>
      <c r="AF30">
        <f t="shared" si="7"/>
        <v>-2549.9999999999991</v>
      </c>
      <c r="AG30">
        <f t="shared" si="8"/>
        <v>-2649.9999999999968</v>
      </c>
      <c r="AH30" s="3">
        <f t="shared" si="9"/>
        <v>-2450.0000000000009</v>
      </c>
      <c r="AI30">
        <f t="shared" si="10"/>
        <v>-1800.0000000000016</v>
      </c>
      <c r="AJ30" s="3">
        <f t="shared" si="11"/>
        <v>-899.99999999999864</v>
      </c>
      <c r="AK30" s="3">
        <f t="shared" si="12"/>
        <v>449.99999999999932</v>
      </c>
      <c r="AL30" s="3">
        <f t="shared" si="13"/>
        <v>1000.0000000000009</v>
      </c>
      <c r="AM30" s="3">
        <f t="shared" si="14"/>
        <v>1099.9999999999989</v>
      </c>
      <c r="AN30" s="3">
        <f t="shared" si="15"/>
        <v>0</v>
      </c>
      <c r="AO30" s="3">
        <f t="shared" si="15"/>
        <v>0</v>
      </c>
      <c r="AP30" s="3">
        <f t="shared" si="15"/>
        <v>0</v>
      </c>
      <c r="AT30">
        <f t="shared" si="16"/>
        <v>-9074.9999999999982</v>
      </c>
    </row>
    <row r="31" spans="1:46" x14ac:dyDescent="0.2">
      <c r="A31" s="107">
        <v>37039</v>
      </c>
      <c r="B31">
        <f t="shared" si="0"/>
        <v>5.25</v>
      </c>
      <c r="C31" s="5">
        <f>GasDaily!R31</f>
        <v>3.79</v>
      </c>
      <c r="D31" s="3">
        <v>10000</v>
      </c>
      <c r="E31" s="3">
        <v>-10000</v>
      </c>
      <c r="F31" s="3">
        <v>-10000</v>
      </c>
      <c r="G31" s="3">
        <v>10000</v>
      </c>
      <c r="H31" s="3">
        <v>-10000</v>
      </c>
      <c r="I31" s="3">
        <v>-10000</v>
      </c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10000</v>
      </c>
      <c r="P31" s="3">
        <v>-10000</v>
      </c>
      <c r="Q31" s="3">
        <v>10000</v>
      </c>
      <c r="R31" s="3">
        <v>10000</v>
      </c>
      <c r="S31" s="3"/>
      <c r="T31" s="3"/>
      <c r="U31" s="3"/>
      <c r="V31" s="3"/>
      <c r="W31" s="10">
        <f t="shared" si="17"/>
        <v>50000</v>
      </c>
      <c r="X31" s="9"/>
      <c r="Y31">
        <f t="shared" si="1"/>
        <v>1450.0000000000002</v>
      </c>
      <c r="Z31">
        <f t="shared" si="19"/>
        <v>-1625.0000000000009</v>
      </c>
      <c r="AA31">
        <f t="shared" si="19"/>
        <v>499.99999999999824</v>
      </c>
      <c r="AB31">
        <f t="shared" si="18"/>
        <v>100.0000000000023</v>
      </c>
      <c r="AC31">
        <f t="shared" si="4"/>
        <v>-400.00000000000034</v>
      </c>
      <c r="AD31">
        <f t="shared" si="5"/>
        <v>750.00000000000182</v>
      </c>
      <c r="AE31">
        <f t="shared" si="6"/>
        <v>-2050.0000000000009</v>
      </c>
      <c r="AF31">
        <f t="shared" si="7"/>
        <v>-2549.9999999999991</v>
      </c>
      <c r="AG31">
        <f t="shared" si="8"/>
        <v>-2649.9999999999968</v>
      </c>
      <c r="AH31" s="3">
        <f t="shared" si="9"/>
        <v>-2450.0000000000009</v>
      </c>
      <c r="AI31">
        <f t="shared" si="10"/>
        <v>-1800.0000000000016</v>
      </c>
      <c r="AJ31" s="3">
        <f t="shared" si="11"/>
        <v>-899.99999999999864</v>
      </c>
      <c r="AK31" s="3">
        <f t="shared" si="12"/>
        <v>449.99999999999932</v>
      </c>
      <c r="AL31" s="3">
        <f t="shared" si="13"/>
        <v>1000.0000000000009</v>
      </c>
      <c r="AM31" s="3">
        <f t="shared" si="14"/>
        <v>1099.9999999999989</v>
      </c>
      <c r="AN31" s="3">
        <f t="shared" si="15"/>
        <v>0</v>
      </c>
      <c r="AO31" s="3">
        <f t="shared" si="15"/>
        <v>0</v>
      </c>
      <c r="AP31" s="3">
        <f t="shared" si="15"/>
        <v>0</v>
      </c>
      <c r="AT31">
        <f t="shared" si="16"/>
        <v>-9074.9999999999982</v>
      </c>
    </row>
    <row r="32" spans="1:46" x14ac:dyDescent="0.2">
      <c r="A32" s="107">
        <v>37040</v>
      </c>
      <c r="B32">
        <f t="shared" si="0"/>
        <v>5.25</v>
      </c>
      <c r="C32" s="5">
        <f>GasDaily!R32</f>
        <v>3.79</v>
      </c>
      <c r="D32" s="3">
        <v>10000</v>
      </c>
      <c r="E32" s="3">
        <v>-10000</v>
      </c>
      <c r="F32" s="3">
        <v>-10000</v>
      </c>
      <c r="G32" s="3">
        <v>10000</v>
      </c>
      <c r="H32" s="3">
        <v>-10000</v>
      </c>
      <c r="I32" s="3">
        <v>-10000</v>
      </c>
      <c r="J32" s="3">
        <v>10000</v>
      </c>
      <c r="K32" s="3">
        <v>10000</v>
      </c>
      <c r="L32" s="3">
        <v>10000</v>
      </c>
      <c r="M32" s="3">
        <v>10000</v>
      </c>
      <c r="N32" s="3">
        <v>10000</v>
      </c>
      <c r="O32" s="3">
        <v>10000</v>
      </c>
      <c r="P32" s="3">
        <v>-10000</v>
      </c>
      <c r="Q32" s="3">
        <v>10000</v>
      </c>
      <c r="R32" s="3">
        <v>10000</v>
      </c>
      <c r="S32" s="3"/>
      <c r="T32" s="3"/>
      <c r="U32" s="3"/>
      <c r="V32" s="3"/>
      <c r="W32" s="10">
        <f t="shared" si="17"/>
        <v>50000</v>
      </c>
      <c r="X32" s="9"/>
      <c r="Y32">
        <f t="shared" si="1"/>
        <v>1450.0000000000002</v>
      </c>
      <c r="Z32">
        <f t="shared" si="19"/>
        <v>-1625.0000000000009</v>
      </c>
      <c r="AA32">
        <f t="shared" si="19"/>
        <v>499.99999999999824</v>
      </c>
      <c r="AB32">
        <f t="shared" ref="AB32:AC34" si="20">G32*($C32-G$3)</f>
        <v>100.0000000000023</v>
      </c>
      <c r="AC32">
        <f t="shared" si="20"/>
        <v>-400.00000000000034</v>
      </c>
      <c r="AD32">
        <f t="shared" si="5"/>
        <v>750.00000000000182</v>
      </c>
      <c r="AE32">
        <f t="shared" si="6"/>
        <v>-2050.0000000000009</v>
      </c>
      <c r="AF32">
        <f t="shared" si="7"/>
        <v>-2549.9999999999991</v>
      </c>
      <c r="AG32">
        <f t="shared" si="8"/>
        <v>-2649.9999999999968</v>
      </c>
      <c r="AH32" s="3">
        <f t="shared" si="9"/>
        <v>-2450.0000000000009</v>
      </c>
      <c r="AI32">
        <f t="shared" si="10"/>
        <v>-1800.0000000000016</v>
      </c>
      <c r="AJ32" s="3">
        <f t="shared" si="11"/>
        <v>-899.99999999999864</v>
      </c>
      <c r="AK32" s="3">
        <f t="shared" si="12"/>
        <v>449.99999999999932</v>
      </c>
      <c r="AL32" s="3">
        <f t="shared" si="13"/>
        <v>1000.0000000000009</v>
      </c>
      <c r="AM32" s="3">
        <f t="shared" si="14"/>
        <v>1099.9999999999989</v>
      </c>
      <c r="AN32" s="3">
        <f t="shared" si="15"/>
        <v>0</v>
      </c>
      <c r="AO32" s="3">
        <f t="shared" si="15"/>
        <v>0</v>
      </c>
      <c r="AP32" s="3">
        <f t="shared" si="15"/>
        <v>0</v>
      </c>
      <c r="AT32">
        <f t="shared" si="16"/>
        <v>-9074.9999999999982</v>
      </c>
    </row>
    <row r="33" spans="1:46" x14ac:dyDescent="0.2">
      <c r="A33" s="107">
        <v>37041</v>
      </c>
      <c r="B33">
        <f t="shared" si="0"/>
        <v>5.25</v>
      </c>
      <c r="C33" s="5">
        <f>GasDaily!R33</f>
        <v>3.79</v>
      </c>
      <c r="D33" s="3">
        <v>10000</v>
      </c>
      <c r="E33" s="3">
        <v>-10000</v>
      </c>
      <c r="F33" s="3">
        <v>-10000</v>
      </c>
      <c r="G33" s="3">
        <v>10000</v>
      </c>
      <c r="H33" s="3">
        <v>-10000</v>
      </c>
      <c r="I33" s="3">
        <v>-10000</v>
      </c>
      <c r="J33" s="3">
        <v>10000</v>
      </c>
      <c r="K33" s="3">
        <v>10000</v>
      </c>
      <c r="L33" s="3">
        <v>10000</v>
      </c>
      <c r="M33" s="3">
        <v>10000</v>
      </c>
      <c r="N33" s="3">
        <v>10000</v>
      </c>
      <c r="O33" s="3">
        <v>10000</v>
      </c>
      <c r="P33" s="3">
        <v>-10000</v>
      </c>
      <c r="Q33" s="3">
        <v>10000</v>
      </c>
      <c r="R33" s="3">
        <v>10000</v>
      </c>
      <c r="S33" s="3"/>
      <c r="T33" s="3"/>
      <c r="U33" s="3"/>
      <c r="V33" s="3"/>
      <c r="W33" s="10">
        <f>SUM(D33:V33)</f>
        <v>50000</v>
      </c>
      <c r="Y33">
        <f t="shared" si="1"/>
        <v>1450.0000000000002</v>
      </c>
      <c r="Z33">
        <f t="shared" si="19"/>
        <v>-1625.0000000000009</v>
      </c>
      <c r="AA33">
        <f t="shared" si="19"/>
        <v>499.99999999999824</v>
      </c>
      <c r="AB33">
        <f t="shared" si="20"/>
        <v>100.0000000000023</v>
      </c>
      <c r="AC33">
        <f t="shared" si="20"/>
        <v>-400.00000000000034</v>
      </c>
      <c r="AD33">
        <f t="shared" si="5"/>
        <v>750.00000000000182</v>
      </c>
      <c r="AE33">
        <f t="shared" si="6"/>
        <v>-2050.0000000000009</v>
      </c>
      <c r="AF33">
        <f t="shared" si="7"/>
        <v>-2549.9999999999991</v>
      </c>
      <c r="AG33">
        <f t="shared" si="8"/>
        <v>-2649.9999999999968</v>
      </c>
      <c r="AH33" s="3">
        <f t="shared" si="9"/>
        <v>-2450.0000000000009</v>
      </c>
      <c r="AI33">
        <f t="shared" si="10"/>
        <v>-1800.0000000000016</v>
      </c>
      <c r="AJ33" s="3">
        <f t="shared" si="11"/>
        <v>-899.99999999999864</v>
      </c>
      <c r="AK33" s="3">
        <f t="shared" si="12"/>
        <v>449.99999999999932</v>
      </c>
      <c r="AL33" s="3">
        <f t="shared" si="13"/>
        <v>1000.0000000000009</v>
      </c>
      <c r="AM33" s="3">
        <f t="shared" si="14"/>
        <v>1099.9999999999989</v>
      </c>
      <c r="AN33" s="3">
        <f t="shared" si="15"/>
        <v>0</v>
      </c>
      <c r="AO33" s="3">
        <f t="shared" si="15"/>
        <v>0</v>
      </c>
      <c r="AP33" s="3">
        <f t="shared" si="15"/>
        <v>0</v>
      </c>
      <c r="AT33">
        <f t="shared" si="16"/>
        <v>-9074.9999999999982</v>
      </c>
    </row>
    <row r="34" spans="1:46" x14ac:dyDescent="0.2">
      <c r="A34" s="107">
        <v>37042</v>
      </c>
      <c r="B34">
        <f t="shared" si="0"/>
        <v>5.25</v>
      </c>
      <c r="C34" s="5">
        <f>GasDaily!R34</f>
        <v>0.02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0">
        <f>SUM(D34:V34)</f>
        <v>0</v>
      </c>
      <c r="Y34">
        <f t="shared" si="1"/>
        <v>0</v>
      </c>
      <c r="Z34">
        <f t="shared" si="19"/>
        <v>0</v>
      </c>
      <c r="AA34">
        <f t="shared" si="19"/>
        <v>0</v>
      </c>
      <c r="AB34">
        <f t="shared" si="20"/>
        <v>0</v>
      </c>
      <c r="AC34">
        <f t="shared" si="20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 s="3">
        <f t="shared" si="9"/>
        <v>0</v>
      </c>
      <c r="AI34">
        <f t="shared" si="10"/>
        <v>0</v>
      </c>
      <c r="AJ34" s="3">
        <f t="shared" si="11"/>
        <v>0</v>
      </c>
      <c r="AK34" s="3">
        <f t="shared" si="12"/>
        <v>0</v>
      </c>
      <c r="AL34" s="3">
        <f t="shared" si="13"/>
        <v>0</v>
      </c>
      <c r="AM34" s="3">
        <f t="shared" si="14"/>
        <v>0</v>
      </c>
      <c r="AN34" s="3">
        <f t="shared" si="15"/>
        <v>0</v>
      </c>
      <c r="AO34" s="3">
        <f t="shared" si="15"/>
        <v>0</v>
      </c>
      <c r="AP34" s="3">
        <f t="shared" si="15"/>
        <v>0</v>
      </c>
      <c r="AT34">
        <f t="shared" si="16"/>
        <v>0</v>
      </c>
    </row>
    <row r="35" spans="1:46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46" x14ac:dyDescent="0.2">
      <c r="W36" s="10">
        <f>SUM(W15:W35)</f>
        <v>950000</v>
      </c>
      <c r="AT36" s="11">
        <f>SUM(AT4:AT34)</f>
        <v>-259350</v>
      </c>
    </row>
    <row r="37" spans="1:46" x14ac:dyDescent="0.2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37"/>
  <sheetViews>
    <sheetView zoomScale="85" workbookViewId="0">
      <pane xSplit="1" topLeftCell="Y1" activePane="topRight" state="frozenSplit"/>
      <selection pane="topRight" activeCell="AH6" sqref="AH6"/>
    </sheetView>
  </sheetViews>
  <sheetFormatPr defaultRowHeight="12.75" x14ac:dyDescent="0.2"/>
  <cols>
    <col min="1" max="1" width="9.28515625" bestFit="1" customWidth="1"/>
    <col min="4" max="4" width="11" customWidth="1"/>
    <col min="5" max="5" width="10.140625" customWidth="1"/>
    <col min="6" max="6" width="9.85546875" bestFit="1" customWidth="1"/>
    <col min="36" max="36" width="13.140625" style="2" customWidth="1"/>
    <col min="37" max="37" width="2.85546875" style="8" customWidth="1"/>
    <col min="69" max="69" width="2.7109375" style="8" customWidth="1"/>
    <col min="70" max="70" width="12.28515625" bestFit="1" customWidth="1"/>
    <col min="73" max="73" width="13" bestFit="1" customWidth="1"/>
  </cols>
  <sheetData>
    <row r="1" spans="1:70" x14ac:dyDescent="0.2">
      <c r="B1" s="2" t="s">
        <v>0</v>
      </c>
      <c r="G1" t="s">
        <v>106</v>
      </c>
    </row>
    <row r="2" spans="1:70" x14ac:dyDescent="0.2">
      <c r="B2" s="6">
        <v>5.35</v>
      </c>
      <c r="C2" s="4"/>
      <c r="D2" s="126">
        <v>3.74</v>
      </c>
      <c r="E2" s="126">
        <v>3.67</v>
      </c>
      <c r="F2" s="127">
        <v>3.665</v>
      </c>
      <c r="G2" s="127">
        <v>3.645</v>
      </c>
      <c r="H2" s="127">
        <v>3.625</v>
      </c>
      <c r="I2" s="127">
        <v>3.625</v>
      </c>
      <c r="J2" s="127">
        <v>3.6349999999999998</v>
      </c>
      <c r="K2" s="127">
        <v>3.82</v>
      </c>
      <c r="L2" s="127">
        <v>3.81</v>
      </c>
      <c r="M2" s="127">
        <v>3.77</v>
      </c>
      <c r="N2" s="127">
        <v>3.79</v>
      </c>
      <c r="O2" s="127">
        <v>3.7850000000000001</v>
      </c>
      <c r="P2" s="127">
        <v>3.8149999999999999</v>
      </c>
      <c r="Q2" s="127">
        <v>3.855</v>
      </c>
      <c r="R2" s="127">
        <v>3.8650000000000002</v>
      </c>
      <c r="S2" s="127">
        <v>3.9550000000000001</v>
      </c>
      <c r="T2" s="127">
        <v>3.97</v>
      </c>
      <c r="U2" s="127">
        <v>4.04</v>
      </c>
      <c r="V2" s="127">
        <v>4.0350000000000001</v>
      </c>
      <c r="W2" s="127">
        <v>4.0599999999999996</v>
      </c>
      <c r="X2" s="127">
        <v>3.8149999999999999</v>
      </c>
      <c r="Y2" s="127">
        <v>3.8250000000000002</v>
      </c>
      <c r="Z2" s="127">
        <v>3.84</v>
      </c>
      <c r="AA2" s="127">
        <v>3.67</v>
      </c>
      <c r="AB2" s="127">
        <v>3.6924999999999999</v>
      </c>
      <c r="AC2" s="127">
        <v>3.6850000000000001</v>
      </c>
      <c r="AD2" s="127">
        <v>3.65</v>
      </c>
      <c r="AE2" s="127">
        <v>3.61</v>
      </c>
      <c r="AF2" s="127">
        <v>3.62</v>
      </c>
      <c r="AG2" s="127">
        <v>3.74</v>
      </c>
      <c r="AH2" s="127">
        <v>3.8</v>
      </c>
      <c r="AI2" s="127"/>
      <c r="AJ2" s="2" t="s">
        <v>4</v>
      </c>
    </row>
    <row r="3" spans="1:70" x14ac:dyDescent="0.2">
      <c r="B3" s="5">
        <v>0</v>
      </c>
      <c r="C3" t="s">
        <v>1</v>
      </c>
      <c r="BR3" t="s">
        <v>3</v>
      </c>
    </row>
    <row r="4" spans="1:70" x14ac:dyDescent="0.2">
      <c r="A4" s="107">
        <v>36951</v>
      </c>
      <c r="C4" s="5">
        <f>GasDaily!C4</f>
        <v>3.73</v>
      </c>
      <c r="D4" s="3">
        <v>-20000</v>
      </c>
      <c r="E4" s="3">
        <v>5000</v>
      </c>
      <c r="F4" s="3">
        <v>5000</v>
      </c>
      <c r="G4" s="3">
        <v>8500</v>
      </c>
      <c r="H4" s="3">
        <v>10000</v>
      </c>
      <c r="I4" s="3">
        <v>5000</v>
      </c>
      <c r="J4" s="3">
        <v>10000</v>
      </c>
      <c r="K4" s="3">
        <v>10000</v>
      </c>
      <c r="L4" s="3">
        <v>-10000</v>
      </c>
      <c r="M4" s="3">
        <v>-10000</v>
      </c>
      <c r="N4" s="3">
        <v>-10000</v>
      </c>
      <c r="O4" s="3">
        <v>10000</v>
      </c>
      <c r="P4" s="3">
        <v>10000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10">
        <f t="shared" ref="AJ4:AJ11" si="0">SUM(D4:AD4)</f>
        <v>23500</v>
      </c>
      <c r="AK4" s="9"/>
      <c r="AL4">
        <f t="shared" ref="AL4:AL32" si="1">D4*($C4-D$2)</f>
        <v>200.0000000000046</v>
      </c>
      <c r="AM4">
        <f t="shared" ref="AM4:AM32" si="2">E4*($C4-E$2)</f>
        <v>300.00000000000028</v>
      </c>
      <c r="AN4">
        <f t="shared" ref="AN4:AN32" si="3">F4*($C4-F$2)</f>
        <v>324.99999999999972</v>
      </c>
      <c r="AO4">
        <f t="shared" ref="AO4:AO32" si="4">G4*($C4-G$2)</f>
        <v>722.49999999999966</v>
      </c>
      <c r="AP4">
        <f t="shared" ref="AP4:AP32" si="5">H4*($C4-H$2)</f>
        <v>1049.9999999999998</v>
      </c>
      <c r="AQ4">
        <f t="shared" ref="AQ4:AQ32" si="6">I4*($C4-I$2)</f>
        <v>524.99999999999989</v>
      </c>
      <c r="AR4">
        <f t="shared" ref="AR4:AR34" si="7">J4*($C4-J$2)</f>
        <v>950.00000000000193</v>
      </c>
      <c r="AS4">
        <f t="shared" ref="AS4:AS34" si="8">K4*($C4-K$2)</f>
        <v>-899.99999999999864</v>
      </c>
      <c r="AT4">
        <f t="shared" ref="AT4:AU34" si="9">L4*($C4-L$2)</f>
        <v>800.00000000000068</v>
      </c>
      <c r="AU4">
        <f t="shared" si="9"/>
        <v>400.00000000000034</v>
      </c>
      <c r="AV4">
        <f t="shared" ref="AV4:AV34" si="10">N4*($C4-N$2)</f>
        <v>600.00000000000057</v>
      </c>
      <c r="AW4">
        <f t="shared" ref="AW4:AW34" si="11">O4*($C4-O$2)</f>
        <v>-550.00000000000159</v>
      </c>
      <c r="AX4">
        <f t="shared" ref="AX4:AX34" si="12">P4*($C4-P$2)</f>
        <v>-849.99999999999966</v>
      </c>
      <c r="AY4">
        <f t="shared" ref="AY4:AY34" si="13">Q4*($C4-Q$2)</f>
        <v>0</v>
      </c>
      <c r="AZ4">
        <f t="shared" ref="AZ4:AZ34" si="14">R4*($C4-R$2)</f>
        <v>0</v>
      </c>
      <c r="BA4">
        <f t="shared" ref="BA4:BA34" si="15">S4*($C4-S$2)</f>
        <v>0</v>
      </c>
      <c r="BB4">
        <f t="shared" ref="BB4:BB34" si="16">T4*($C4-T$2)</f>
        <v>0</v>
      </c>
      <c r="BR4">
        <f>SUM(AL4:BQ4)</f>
        <v>3572.5000000000068</v>
      </c>
    </row>
    <row r="5" spans="1:70" x14ac:dyDescent="0.2">
      <c r="A5" s="107">
        <v>36952</v>
      </c>
      <c r="B5">
        <f t="shared" ref="B5:B34" si="17">B$2+B$3</f>
        <v>5.35</v>
      </c>
      <c r="C5" s="5">
        <f>GasDaily!C5</f>
        <v>3.7050000000000001</v>
      </c>
      <c r="D5" s="3">
        <v>-20000</v>
      </c>
      <c r="E5" s="3">
        <v>5000</v>
      </c>
      <c r="F5" s="3">
        <v>5000</v>
      </c>
      <c r="G5" s="3">
        <v>8500</v>
      </c>
      <c r="H5" s="3">
        <v>10000</v>
      </c>
      <c r="I5" s="3">
        <v>5000</v>
      </c>
      <c r="J5" s="3">
        <v>10000</v>
      </c>
      <c r="K5" s="3">
        <v>10000</v>
      </c>
      <c r="L5" s="3">
        <v>-10000</v>
      </c>
      <c r="M5" s="3">
        <v>-10000</v>
      </c>
      <c r="N5" s="3">
        <v>-10000</v>
      </c>
      <c r="O5" s="3">
        <v>10000</v>
      </c>
      <c r="P5" s="3">
        <v>10000</v>
      </c>
      <c r="Q5" s="3">
        <v>-10000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0">
        <f t="shared" si="0"/>
        <v>13500</v>
      </c>
      <c r="AK5" s="9"/>
      <c r="AL5">
        <f t="shared" si="1"/>
        <v>700.00000000000284</v>
      </c>
      <c r="AM5">
        <f t="shared" si="2"/>
        <v>175.00000000000071</v>
      </c>
      <c r="AN5">
        <f t="shared" si="3"/>
        <v>200.00000000000017</v>
      </c>
      <c r="AO5">
        <f t="shared" si="4"/>
        <v>510.00000000000045</v>
      </c>
      <c r="AP5">
        <f t="shared" si="5"/>
        <v>800.00000000000068</v>
      </c>
      <c r="AQ5">
        <f t="shared" si="6"/>
        <v>400.00000000000034</v>
      </c>
      <c r="AR5">
        <f t="shared" si="7"/>
        <v>700.00000000000284</v>
      </c>
      <c r="AS5">
        <f t="shared" si="8"/>
        <v>-1149.9999999999977</v>
      </c>
      <c r="AT5">
        <f t="shared" si="9"/>
        <v>1049.9999999999998</v>
      </c>
      <c r="AU5">
        <f t="shared" si="9"/>
        <v>649.99999999999943</v>
      </c>
      <c r="AV5">
        <f t="shared" si="10"/>
        <v>849.99999999999966</v>
      </c>
      <c r="AW5">
        <f t="shared" si="11"/>
        <v>-800.00000000000068</v>
      </c>
      <c r="AX5">
        <f t="shared" si="12"/>
        <v>-1099.9999999999989</v>
      </c>
      <c r="AY5">
        <f t="shared" si="13"/>
        <v>1499.9999999999991</v>
      </c>
      <c r="AZ5">
        <f t="shared" si="14"/>
        <v>0</v>
      </c>
      <c r="BA5">
        <f t="shared" si="15"/>
        <v>0</v>
      </c>
      <c r="BB5">
        <f t="shared" si="16"/>
        <v>0</v>
      </c>
      <c r="BR5">
        <f t="shared" ref="BR5:BR34" si="18">SUM(AL5:BQ5)</f>
        <v>4485.0000000000082</v>
      </c>
    </row>
    <row r="6" spans="1:70" x14ac:dyDescent="0.2">
      <c r="A6" s="107">
        <v>36953</v>
      </c>
      <c r="B6">
        <f t="shared" si="17"/>
        <v>5.35</v>
      </c>
      <c r="C6" s="5">
        <f>GasDaily!C6</f>
        <v>3.7050000000000001</v>
      </c>
      <c r="D6" s="3">
        <v>-20000</v>
      </c>
      <c r="E6" s="3">
        <v>5000</v>
      </c>
      <c r="F6" s="3">
        <v>5000</v>
      </c>
      <c r="G6" s="3">
        <v>8500</v>
      </c>
      <c r="H6" s="3">
        <v>10000</v>
      </c>
      <c r="I6" s="3">
        <v>5000</v>
      </c>
      <c r="J6" s="3">
        <v>10000</v>
      </c>
      <c r="K6" s="3">
        <v>10000</v>
      </c>
      <c r="L6" s="3">
        <v>-10000</v>
      </c>
      <c r="M6" s="3">
        <v>-10000</v>
      </c>
      <c r="N6" s="3">
        <v>-10000</v>
      </c>
      <c r="O6" s="3">
        <v>10000</v>
      </c>
      <c r="P6" s="3">
        <v>10000</v>
      </c>
      <c r="Q6" s="3">
        <v>-10000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10">
        <f t="shared" si="0"/>
        <v>13500</v>
      </c>
      <c r="AK6" s="9"/>
      <c r="AL6">
        <f t="shared" si="1"/>
        <v>700.00000000000284</v>
      </c>
      <c r="AM6">
        <f t="shared" si="2"/>
        <v>175.00000000000071</v>
      </c>
      <c r="AN6">
        <f t="shared" si="3"/>
        <v>200.00000000000017</v>
      </c>
      <c r="AO6">
        <f t="shared" si="4"/>
        <v>510.00000000000045</v>
      </c>
      <c r="AP6">
        <f t="shared" si="5"/>
        <v>800.00000000000068</v>
      </c>
      <c r="AQ6">
        <f t="shared" si="6"/>
        <v>400.00000000000034</v>
      </c>
      <c r="AR6">
        <f t="shared" si="7"/>
        <v>700.00000000000284</v>
      </c>
      <c r="AS6">
        <f t="shared" si="8"/>
        <v>-1149.9999999999977</v>
      </c>
      <c r="AT6">
        <f t="shared" si="9"/>
        <v>1049.9999999999998</v>
      </c>
      <c r="AU6">
        <f t="shared" si="9"/>
        <v>649.99999999999943</v>
      </c>
      <c r="AV6">
        <f t="shared" si="10"/>
        <v>849.99999999999966</v>
      </c>
      <c r="AW6">
        <f t="shared" si="11"/>
        <v>-800.00000000000068</v>
      </c>
      <c r="AX6">
        <f t="shared" si="12"/>
        <v>-1099.9999999999989</v>
      </c>
      <c r="AY6">
        <f t="shared" si="13"/>
        <v>1499.9999999999991</v>
      </c>
      <c r="AZ6">
        <f t="shared" si="14"/>
        <v>0</v>
      </c>
      <c r="BA6">
        <f t="shared" si="15"/>
        <v>0</v>
      </c>
      <c r="BB6">
        <f t="shared" si="16"/>
        <v>0</v>
      </c>
      <c r="BR6">
        <f t="shared" si="18"/>
        <v>4485.0000000000082</v>
      </c>
    </row>
    <row r="7" spans="1:70" x14ac:dyDescent="0.2">
      <c r="A7" s="107">
        <v>36954</v>
      </c>
      <c r="B7">
        <f t="shared" si="17"/>
        <v>5.35</v>
      </c>
      <c r="C7" s="5">
        <f>GasDaily!C7</f>
        <v>3.7050000000000001</v>
      </c>
      <c r="D7" s="3">
        <v>-20000</v>
      </c>
      <c r="E7" s="3">
        <v>5000</v>
      </c>
      <c r="F7" s="3">
        <v>5000</v>
      </c>
      <c r="G7" s="3">
        <v>8500</v>
      </c>
      <c r="H7" s="3">
        <v>10000</v>
      </c>
      <c r="I7" s="3">
        <v>5000</v>
      </c>
      <c r="J7" s="3">
        <v>10000</v>
      </c>
      <c r="K7" s="3">
        <v>10000</v>
      </c>
      <c r="L7" s="3">
        <v>-10000</v>
      </c>
      <c r="M7" s="3">
        <v>-10000</v>
      </c>
      <c r="N7" s="3">
        <v>-10000</v>
      </c>
      <c r="O7" s="3">
        <v>10000</v>
      </c>
      <c r="P7" s="3">
        <v>10000</v>
      </c>
      <c r="Q7" s="3">
        <v>-10000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10">
        <f t="shared" si="0"/>
        <v>13500</v>
      </c>
      <c r="AK7" s="9"/>
      <c r="AL7">
        <f t="shared" si="1"/>
        <v>700.00000000000284</v>
      </c>
      <c r="AM7">
        <f t="shared" si="2"/>
        <v>175.00000000000071</v>
      </c>
      <c r="AN7">
        <f t="shared" si="3"/>
        <v>200.00000000000017</v>
      </c>
      <c r="AO7">
        <f t="shared" si="4"/>
        <v>510.00000000000045</v>
      </c>
      <c r="AP7">
        <f t="shared" si="5"/>
        <v>800.00000000000068</v>
      </c>
      <c r="AQ7">
        <f t="shared" si="6"/>
        <v>400.00000000000034</v>
      </c>
      <c r="AR7">
        <f t="shared" si="7"/>
        <v>700.00000000000284</v>
      </c>
      <c r="AS7">
        <f t="shared" si="8"/>
        <v>-1149.9999999999977</v>
      </c>
      <c r="AT7">
        <f t="shared" si="9"/>
        <v>1049.9999999999998</v>
      </c>
      <c r="AU7">
        <f t="shared" si="9"/>
        <v>649.99999999999943</v>
      </c>
      <c r="AV7">
        <f t="shared" si="10"/>
        <v>849.99999999999966</v>
      </c>
      <c r="AW7">
        <f t="shared" si="11"/>
        <v>-800.00000000000068</v>
      </c>
      <c r="AX7">
        <f t="shared" si="12"/>
        <v>-1099.9999999999989</v>
      </c>
      <c r="AY7">
        <f t="shared" si="13"/>
        <v>1499.9999999999991</v>
      </c>
      <c r="AZ7">
        <f t="shared" si="14"/>
        <v>0</v>
      </c>
      <c r="BA7">
        <f t="shared" si="15"/>
        <v>0</v>
      </c>
      <c r="BB7">
        <f t="shared" si="16"/>
        <v>0</v>
      </c>
      <c r="BR7">
        <f t="shared" si="18"/>
        <v>4485.0000000000082</v>
      </c>
    </row>
    <row r="8" spans="1:70" x14ac:dyDescent="0.2">
      <c r="A8" s="107">
        <v>36955</v>
      </c>
      <c r="B8">
        <f t="shared" si="17"/>
        <v>5.35</v>
      </c>
      <c r="C8" s="5">
        <f>GasDaily!C8</f>
        <v>3.9449999999999998</v>
      </c>
      <c r="D8" s="3">
        <v>-20000</v>
      </c>
      <c r="E8" s="3">
        <v>5000</v>
      </c>
      <c r="F8" s="3">
        <v>5000</v>
      </c>
      <c r="G8" s="3">
        <v>8500</v>
      </c>
      <c r="H8" s="3">
        <v>10000</v>
      </c>
      <c r="I8" s="3">
        <v>5000</v>
      </c>
      <c r="J8" s="3">
        <v>10000</v>
      </c>
      <c r="K8" s="3">
        <v>10000</v>
      </c>
      <c r="L8" s="3">
        <v>-10000</v>
      </c>
      <c r="M8" s="3">
        <v>-10000</v>
      </c>
      <c r="N8" s="3">
        <v>-10000</v>
      </c>
      <c r="O8" s="3">
        <v>10000</v>
      </c>
      <c r="P8" s="3">
        <v>10000</v>
      </c>
      <c r="Q8" s="3">
        <v>-10000</v>
      </c>
      <c r="R8" s="3">
        <v>10000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0">
        <f t="shared" si="0"/>
        <v>23500</v>
      </c>
      <c r="AK8" s="9"/>
      <c r="AL8">
        <f t="shared" si="1"/>
        <v>-4099.9999999999927</v>
      </c>
      <c r="AM8">
        <f t="shared" si="2"/>
        <v>1374.9999999999995</v>
      </c>
      <c r="AN8">
        <f t="shared" si="3"/>
        <v>1399.9999999999991</v>
      </c>
      <c r="AO8">
        <f t="shared" si="4"/>
        <v>2549.9999999999986</v>
      </c>
      <c r="AP8">
        <f t="shared" si="5"/>
        <v>3199.9999999999982</v>
      </c>
      <c r="AQ8">
        <f t="shared" si="6"/>
        <v>1599.9999999999991</v>
      </c>
      <c r="AR8">
        <f t="shared" si="7"/>
        <v>3100.0000000000005</v>
      </c>
      <c r="AS8">
        <f t="shared" si="8"/>
        <v>1250</v>
      </c>
      <c r="AT8">
        <f t="shared" si="9"/>
        <v>-1349.999999999998</v>
      </c>
      <c r="AU8">
        <f t="shared" si="9"/>
        <v>-1749.9999999999982</v>
      </c>
      <c r="AV8">
        <f t="shared" si="10"/>
        <v>-1549.999999999998</v>
      </c>
      <c r="AW8">
        <f t="shared" si="11"/>
        <v>1599.999999999997</v>
      </c>
      <c r="AX8">
        <f t="shared" si="12"/>
        <v>1299.9999999999989</v>
      </c>
      <c r="AY8">
        <f t="shared" si="13"/>
        <v>-899.99999999999864</v>
      </c>
      <c r="AZ8">
        <f t="shared" si="14"/>
        <v>799.99999999999625</v>
      </c>
      <c r="BA8">
        <f t="shared" si="15"/>
        <v>0</v>
      </c>
      <c r="BB8">
        <f t="shared" si="16"/>
        <v>0</v>
      </c>
      <c r="BC8">
        <f t="shared" ref="BC8:BC34" si="19">U8*($C8-U$2)</f>
        <v>0</v>
      </c>
      <c r="BD8">
        <f t="shared" ref="BD8:BD34" si="20">V8*($C8-V$2)</f>
        <v>0</v>
      </c>
      <c r="BE8">
        <f t="shared" ref="BE8:BL34" si="21">W8*($C8-W$2)</f>
        <v>0</v>
      </c>
      <c r="BF8">
        <f t="shared" si="21"/>
        <v>0</v>
      </c>
      <c r="BG8">
        <f t="shared" si="21"/>
        <v>0</v>
      </c>
      <c r="BH8">
        <f t="shared" si="21"/>
        <v>0</v>
      </c>
      <c r="BI8">
        <f t="shared" si="21"/>
        <v>0</v>
      </c>
      <c r="BJ8">
        <f t="shared" si="21"/>
        <v>0</v>
      </c>
      <c r="BK8">
        <f t="shared" si="21"/>
        <v>0</v>
      </c>
      <c r="BL8">
        <f t="shared" si="21"/>
        <v>0</v>
      </c>
      <c r="BM8">
        <f t="shared" ref="BM8:BO34" si="22">AE8*($C8-AE$2)</f>
        <v>0</v>
      </c>
      <c r="BN8">
        <f t="shared" si="22"/>
        <v>0</v>
      </c>
      <c r="BO8">
        <f t="shared" si="22"/>
        <v>0</v>
      </c>
      <c r="BR8">
        <f t="shared" si="18"/>
        <v>8525.0000000000018</v>
      </c>
    </row>
    <row r="9" spans="1:70" x14ac:dyDescent="0.2">
      <c r="A9" s="107">
        <v>36956</v>
      </c>
      <c r="B9">
        <f t="shared" si="17"/>
        <v>5.35</v>
      </c>
      <c r="C9" s="5">
        <f>GasDaily!C9</f>
        <v>3.9849999999999999</v>
      </c>
      <c r="D9" s="3">
        <v>-20000</v>
      </c>
      <c r="E9" s="3">
        <v>5000</v>
      </c>
      <c r="F9" s="3">
        <v>5000</v>
      </c>
      <c r="G9" s="3">
        <v>8500</v>
      </c>
      <c r="H9" s="3">
        <v>10000</v>
      </c>
      <c r="I9" s="3">
        <v>5000</v>
      </c>
      <c r="J9" s="3">
        <v>10000</v>
      </c>
      <c r="K9" s="3">
        <v>10000</v>
      </c>
      <c r="L9" s="3">
        <v>-10000</v>
      </c>
      <c r="M9" s="3">
        <v>-10000</v>
      </c>
      <c r="N9" s="3">
        <v>-10000</v>
      </c>
      <c r="O9" s="3">
        <v>10000</v>
      </c>
      <c r="P9" s="3">
        <v>10000</v>
      </c>
      <c r="Q9" s="3">
        <v>-10000</v>
      </c>
      <c r="R9" s="3">
        <v>10000</v>
      </c>
      <c r="S9" s="3">
        <v>10000</v>
      </c>
      <c r="T9" s="3">
        <v>10000</v>
      </c>
      <c r="U9" s="3">
        <v>-10000</v>
      </c>
      <c r="V9" s="3">
        <v>-10000</v>
      </c>
      <c r="W9" s="3">
        <v>10000</v>
      </c>
      <c r="X9" s="3">
        <v>-10000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10">
        <f t="shared" si="0"/>
        <v>23500</v>
      </c>
      <c r="AK9" s="9"/>
      <c r="AL9">
        <f t="shared" si="1"/>
        <v>-4899.9999999999936</v>
      </c>
      <c r="AM9">
        <f t="shared" si="2"/>
        <v>1574.9999999999998</v>
      </c>
      <c r="AN9">
        <f t="shared" si="3"/>
        <v>1599.9999999999991</v>
      </c>
      <c r="AO9">
        <f t="shared" si="4"/>
        <v>2889.9999999999986</v>
      </c>
      <c r="AP9">
        <f t="shared" si="5"/>
        <v>3599.9999999999986</v>
      </c>
      <c r="AQ9">
        <f t="shared" si="6"/>
        <v>1799.9999999999993</v>
      </c>
      <c r="AR9">
        <f t="shared" si="7"/>
        <v>3500.0000000000009</v>
      </c>
      <c r="AS9">
        <f t="shared" si="8"/>
        <v>1650.0000000000005</v>
      </c>
      <c r="AT9">
        <f t="shared" si="9"/>
        <v>-1749.9999999999982</v>
      </c>
      <c r="AU9">
        <f t="shared" si="9"/>
        <v>-2149.9999999999986</v>
      </c>
      <c r="AV9">
        <f t="shared" si="10"/>
        <v>-1949.9999999999984</v>
      </c>
      <c r="AW9">
        <f t="shared" si="11"/>
        <v>1999.9999999999973</v>
      </c>
      <c r="AX9">
        <f t="shared" si="12"/>
        <v>1699.9999999999993</v>
      </c>
      <c r="AY9">
        <f t="shared" si="13"/>
        <v>-1299.9999999999989</v>
      </c>
      <c r="AZ9">
        <f t="shared" si="14"/>
        <v>1199.9999999999966</v>
      </c>
      <c r="BA9">
        <f t="shared" si="15"/>
        <v>299.99999999999807</v>
      </c>
      <c r="BB9">
        <f t="shared" si="16"/>
        <v>149.99999999999682</v>
      </c>
      <c r="BC9">
        <f t="shared" si="19"/>
        <v>550.00000000000159</v>
      </c>
      <c r="BD9">
        <f t="shared" si="20"/>
        <v>500.00000000000267</v>
      </c>
      <c r="BE9">
        <f t="shared" si="21"/>
        <v>-749.99999999999739</v>
      </c>
      <c r="BF9">
        <f t="shared" si="21"/>
        <v>-1699.9999999999993</v>
      </c>
      <c r="BG9">
        <f t="shared" si="21"/>
        <v>0</v>
      </c>
      <c r="BH9">
        <f t="shared" si="21"/>
        <v>0</v>
      </c>
      <c r="BI9">
        <f t="shared" si="21"/>
        <v>0</v>
      </c>
      <c r="BJ9">
        <f t="shared" si="21"/>
        <v>0</v>
      </c>
      <c r="BK9">
        <f t="shared" si="21"/>
        <v>0</v>
      </c>
      <c r="BL9">
        <f t="shared" si="21"/>
        <v>0</v>
      </c>
      <c r="BM9">
        <f t="shared" si="22"/>
        <v>0</v>
      </c>
      <c r="BN9">
        <f t="shared" si="22"/>
        <v>0</v>
      </c>
      <c r="BO9">
        <f t="shared" si="22"/>
        <v>0</v>
      </c>
      <c r="BR9">
        <f t="shared" si="18"/>
        <v>8515.0000000000036</v>
      </c>
    </row>
    <row r="10" spans="1:70" x14ac:dyDescent="0.2">
      <c r="A10" s="107">
        <v>36957</v>
      </c>
      <c r="B10">
        <f t="shared" si="17"/>
        <v>5.35</v>
      </c>
      <c r="C10" s="5">
        <f>GasDaily!C10</f>
        <v>3.75</v>
      </c>
      <c r="D10" s="3">
        <v>-20000</v>
      </c>
      <c r="E10" s="3">
        <v>5000</v>
      </c>
      <c r="F10" s="3">
        <v>5000</v>
      </c>
      <c r="G10" s="3">
        <v>8500</v>
      </c>
      <c r="H10" s="3">
        <v>10000</v>
      </c>
      <c r="I10" s="3">
        <v>5000</v>
      </c>
      <c r="J10" s="3">
        <v>10000</v>
      </c>
      <c r="K10" s="3">
        <v>10000</v>
      </c>
      <c r="L10" s="3">
        <v>-10000</v>
      </c>
      <c r="M10" s="3">
        <v>-10000</v>
      </c>
      <c r="N10" s="3">
        <v>-10000</v>
      </c>
      <c r="O10" s="3">
        <v>10000</v>
      </c>
      <c r="P10" s="3">
        <v>10000</v>
      </c>
      <c r="Q10" s="3">
        <v>-10000</v>
      </c>
      <c r="R10" s="3">
        <v>10000</v>
      </c>
      <c r="S10" s="3">
        <v>10000</v>
      </c>
      <c r="T10" s="3">
        <v>10000</v>
      </c>
      <c r="U10" s="3">
        <v>-10000</v>
      </c>
      <c r="V10" s="3">
        <v>-10000</v>
      </c>
      <c r="W10" s="3">
        <v>10000</v>
      </c>
      <c r="X10" s="3">
        <v>-10000</v>
      </c>
      <c r="Y10" s="3">
        <v>4487</v>
      </c>
      <c r="Z10" s="3">
        <v>10000</v>
      </c>
      <c r="AA10" s="3"/>
      <c r="AB10" s="3"/>
      <c r="AC10" s="3"/>
      <c r="AD10" s="3"/>
      <c r="AE10" s="3"/>
      <c r="AF10" s="3"/>
      <c r="AG10" s="3"/>
      <c r="AH10" s="3"/>
      <c r="AI10" s="3"/>
      <c r="AJ10" s="10">
        <f t="shared" si="0"/>
        <v>37987</v>
      </c>
      <c r="AK10" s="9"/>
      <c r="AL10">
        <f t="shared" si="1"/>
        <v>-199.99999999999574</v>
      </c>
      <c r="AM10">
        <f t="shared" si="2"/>
        <v>400.00000000000034</v>
      </c>
      <c r="AN10">
        <f t="shared" si="3"/>
        <v>424.99999999999983</v>
      </c>
      <c r="AO10">
        <f t="shared" si="4"/>
        <v>892.49999999999989</v>
      </c>
      <c r="AP10">
        <f t="shared" si="5"/>
        <v>1250</v>
      </c>
      <c r="AQ10">
        <f t="shared" si="6"/>
        <v>625</v>
      </c>
      <c r="AR10">
        <f t="shared" si="7"/>
        <v>1150.000000000002</v>
      </c>
      <c r="AS10">
        <f t="shared" si="8"/>
        <v>-699.99999999999841</v>
      </c>
      <c r="AT10">
        <f t="shared" si="9"/>
        <v>600.00000000000057</v>
      </c>
      <c r="AU10">
        <f t="shared" si="9"/>
        <v>200.00000000000017</v>
      </c>
      <c r="AV10">
        <f t="shared" si="10"/>
        <v>400.00000000000034</v>
      </c>
      <c r="AW10">
        <f t="shared" si="11"/>
        <v>-350.00000000000142</v>
      </c>
      <c r="AX10">
        <f t="shared" si="12"/>
        <v>-649.99999999999943</v>
      </c>
      <c r="AY10">
        <f t="shared" si="13"/>
        <v>1049.9999999999998</v>
      </c>
      <c r="AZ10">
        <f t="shared" si="14"/>
        <v>-1150.000000000002</v>
      </c>
      <c r="BA10">
        <f t="shared" si="15"/>
        <v>-2050.0000000000009</v>
      </c>
      <c r="BB10">
        <f t="shared" si="16"/>
        <v>-2200.0000000000018</v>
      </c>
      <c r="BC10">
        <f t="shared" si="19"/>
        <v>2900.0000000000005</v>
      </c>
      <c r="BD10">
        <f t="shared" si="20"/>
        <v>2850.0000000000014</v>
      </c>
      <c r="BE10">
        <f t="shared" si="21"/>
        <v>-3099.9999999999959</v>
      </c>
      <c r="BF10">
        <f t="shared" si="21"/>
        <v>649.99999999999943</v>
      </c>
      <c r="BG10">
        <f t="shared" si="21"/>
        <v>-336.52500000000077</v>
      </c>
      <c r="BH10">
        <f t="shared" si="21"/>
        <v>-899.99999999999864</v>
      </c>
      <c r="BI10">
        <f t="shared" si="21"/>
        <v>0</v>
      </c>
      <c r="BJ10">
        <f t="shared" si="21"/>
        <v>0</v>
      </c>
      <c r="BK10">
        <f t="shared" si="21"/>
        <v>0</v>
      </c>
      <c r="BL10">
        <f t="shared" si="21"/>
        <v>0</v>
      </c>
      <c r="BM10">
        <f t="shared" si="22"/>
        <v>0</v>
      </c>
      <c r="BN10">
        <f t="shared" si="22"/>
        <v>0</v>
      </c>
      <c r="BO10">
        <f t="shared" si="22"/>
        <v>0</v>
      </c>
      <c r="BR10">
        <f t="shared" si="18"/>
        <v>1755.975000000009</v>
      </c>
    </row>
    <row r="11" spans="1:70" x14ac:dyDescent="0.2">
      <c r="A11" s="107">
        <v>36958</v>
      </c>
      <c r="B11">
        <f t="shared" si="17"/>
        <v>5.35</v>
      </c>
      <c r="C11" s="5">
        <f>GasDaily!C11</f>
        <v>3.68</v>
      </c>
      <c r="D11" s="3">
        <v>-20000</v>
      </c>
      <c r="E11" s="3">
        <v>5000</v>
      </c>
      <c r="F11" s="3">
        <v>5000</v>
      </c>
      <c r="G11" s="3">
        <v>8500</v>
      </c>
      <c r="H11" s="3">
        <v>10000</v>
      </c>
      <c r="I11" s="3">
        <v>5000</v>
      </c>
      <c r="J11" s="3">
        <v>10000</v>
      </c>
      <c r="K11" s="3">
        <v>10000</v>
      </c>
      <c r="L11" s="3">
        <v>-10000</v>
      </c>
      <c r="M11" s="3">
        <v>-10000</v>
      </c>
      <c r="N11" s="3">
        <v>-10000</v>
      </c>
      <c r="O11" s="3">
        <v>10000</v>
      </c>
      <c r="P11" s="3">
        <v>10000</v>
      </c>
      <c r="Q11" s="3">
        <v>-10000</v>
      </c>
      <c r="R11" s="3">
        <v>10000</v>
      </c>
      <c r="S11" s="3">
        <v>10000</v>
      </c>
      <c r="T11" s="3">
        <v>10000</v>
      </c>
      <c r="U11" s="3">
        <v>-10000</v>
      </c>
      <c r="V11" s="3">
        <v>-10000</v>
      </c>
      <c r="W11" s="3">
        <v>10000</v>
      </c>
      <c r="X11" s="3">
        <v>-10000</v>
      </c>
      <c r="Y11" s="3">
        <v>4487</v>
      </c>
      <c r="Z11" s="3">
        <v>10000</v>
      </c>
      <c r="AA11" s="3">
        <v>-11500</v>
      </c>
      <c r="AB11" s="3"/>
      <c r="AC11" s="3"/>
      <c r="AD11" s="3"/>
      <c r="AE11" s="3"/>
      <c r="AF11" s="3"/>
      <c r="AG11" s="3"/>
      <c r="AH11" s="3"/>
      <c r="AI11" s="3"/>
      <c r="AJ11" s="10">
        <f t="shared" si="0"/>
        <v>26487</v>
      </c>
      <c r="AK11" s="9"/>
      <c r="AL11">
        <f t="shared" si="1"/>
        <v>1200.0000000000011</v>
      </c>
      <c r="AM11">
        <f t="shared" si="2"/>
        <v>50.000000000001151</v>
      </c>
      <c r="AN11">
        <f t="shared" si="3"/>
        <v>75.000000000000625</v>
      </c>
      <c r="AO11">
        <f t="shared" si="4"/>
        <v>297.50000000000119</v>
      </c>
      <c r="AP11">
        <f t="shared" si="5"/>
        <v>550.00000000000159</v>
      </c>
      <c r="AQ11">
        <f t="shared" si="6"/>
        <v>275.0000000000008</v>
      </c>
      <c r="AR11">
        <f t="shared" si="7"/>
        <v>450.00000000000375</v>
      </c>
      <c r="AS11">
        <f t="shared" si="8"/>
        <v>-1399.9999999999968</v>
      </c>
      <c r="AT11">
        <f t="shared" si="9"/>
        <v>1299.9999999999989</v>
      </c>
      <c r="AU11">
        <f t="shared" si="9"/>
        <v>899.99999999999864</v>
      </c>
      <c r="AV11">
        <f t="shared" si="10"/>
        <v>1099.9999999999989</v>
      </c>
      <c r="AW11">
        <f t="shared" si="11"/>
        <v>-1049.9999999999998</v>
      </c>
      <c r="AX11">
        <f t="shared" si="12"/>
        <v>-1349.999999999998</v>
      </c>
      <c r="AY11">
        <f t="shared" si="13"/>
        <v>1749.9999999999982</v>
      </c>
      <c r="AZ11">
        <f t="shared" si="14"/>
        <v>-1850.0000000000005</v>
      </c>
      <c r="BA11">
        <f t="shared" si="15"/>
        <v>-2749.9999999999991</v>
      </c>
      <c r="BB11">
        <f t="shared" si="16"/>
        <v>-2900.0000000000005</v>
      </c>
      <c r="BC11">
        <f t="shared" si="19"/>
        <v>3599.9999999999986</v>
      </c>
      <c r="BD11">
        <f t="shared" si="20"/>
        <v>3550</v>
      </c>
      <c r="BE11">
        <f t="shared" si="21"/>
        <v>-3799.9999999999945</v>
      </c>
      <c r="BF11">
        <f t="shared" si="21"/>
        <v>1349.999999999998</v>
      </c>
      <c r="BG11">
        <f t="shared" si="21"/>
        <v>-650.61500000000012</v>
      </c>
      <c r="BH11">
        <f t="shared" si="21"/>
        <v>-1599.999999999997</v>
      </c>
      <c r="BI11">
        <f t="shared" si="21"/>
        <v>-115.00000000000266</v>
      </c>
      <c r="BJ11">
        <f t="shared" si="21"/>
        <v>0</v>
      </c>
      <c r="BK11">
        <f t="shared" si="21"/>
        <v>0</v>
      </c>
      <c r="BL11">
        <f t="shared" si="21"/>
        <v>0</v>
      </c>
      <c r="BM11">
        <f t="shared" si="22"/>
        <v>0</v>
      </c>
      <c r="BN11">
        <f t="shared" si="22"/>
        <v>0</v>
      </c>
      <c r="BO11">
        <f t="shared" si="22"/>
        <v>0</v>
      </c>
      <c r="BR11">
        <f t="shared" si="18"/>
        <v>-1018.1149999999886</v>
      </c>
    </row>
    <row r="12" spans="1:70" x14ac:dyDescent="0.2">
      <c r="A12" s="107">
        <v>36959</v>
      </c>
      <c r="B12">
        <f t="shared" si="17"/>
        <v>5.35</v>
      </c>
      <c r="C12" s="5">
        <f>GasDaily!C12</f>
        <v>3.62</v>
      </c>
      <c r="D12" s="3">
        <v>-20000</v>
      </c>
      <c r="E12" s="3">
        <v>5000</v>
      </c>
      <c r="F12" s="3">
        <v>5000</v>
      </c>
      <c r="G12" s="3">
        <v>8500</v>
      </c>
      <c r="H12" s="3">
        <v>10000</v>
      </c>
      <c r="I12" s="3">
        <v>5000</v>
      </c>
      <c r="J12" s="3">
        <v>10000</v>
      </c>
      <c r="K12" s="3">
        <v>10000</v>
      </c>
      <c r="L12" s="3">
        <v>-10000</v>
      </c>
      <c r="M12" s="3">
        <v>-10000</v>
      </c>
      <c r="N12" s="3">
        <v>-10000</v>
      </c>
      <c r="O12" s="3">
        <v>10000</v>
      </c>
      <c r="P12" s="3">
        <v>10000</v>
      </c>
      <c r="Q12" s="3">
        <v>-10000</v>
      </c>
      <c r="R12" s="3">
        <v>10000</v>
      </c>
      <c r="S12" s="3">
        <v>10000</v>
      </c>
      <c r="T12" s="3">
        <v>10000</v>
      </c>
      <c r="U12" s="3">
        <v>-10000</v>
      </c>
      <c r="V12" s="3">
        <v>-10000</v>
      </c>
      <c r="W12" s="3">
        <v>10000</v>
      </c>
      <c r="X12" s="3">
        <v>-10000</v>
      </c>
      <c r="Y12" s="3">
        <v>4487</v>
      </c>
      <c r="Z12" s="3">
        <v>10000</v>
      </c>
      <c r="AA12" s="3">
        <v>-11500</v>
      </c>
      <c r="AB12" s="3">
        <v>-15000</v>
      </c>
      <c r="AC12" s="3">
        <v>-10000</v>
      </c>
      <c r="AD12" s="3">
        <v>-10000</v>
      </c>
      <c r="AE12" s="3">
        <v>-15000</v>
      </c>
      <c r="AF12" s="3">
        <v>15000</v>
      </c>
      <c r="AG12" s="3"/>
      <c r="AH12" s="3"/>
      <c r="AI12" s="3"/>
      <c r="AJ12" s="10">
        <f>SUM(D12:AF12)</f>
        <v>-8513</v>
      </c>
      <c r="AK12" s="9"/>
      <c r="AL12">
        <f t="shared" si="1"/>
        <v>2400.0000000000023</v>
      </c>
      <c r="AM12">
        <f t="shared" si="2"/>
        <v>-249.99999999999912</v>
      </c>
      <c r="AN12">
        <f t="shared" si="3"/>
        <v>-224.99999999999966</v>
      </c>
      <c r="AO12">
        <f t="shared" si="4"/>
        <v>-212.49999999999923</v>
      </c>
      <c r="AP12">
        <f t="shared" si="5"/>
        <v>-49.999999999998934</v>
      </c>
      <c r="AQ12">
        <f t="shared" si="6"/>
        <v>-24.999999999999467</v>
      </c>
      <c r="AR12">
        <f t="shared" si="7"/>
        <v>-149.99999999999682</v>
      </c>
      <c r="AS12">
        <f t="shared" si="8"/>
        <v>-1999.9999999999973</v>
      </c>
      <c r="AT12">
        <f t="shared" si="9"/>
        <v>1899.9999999999995</v>
      </c>
      <c r="AU12">
        <f t="shared" si="9"/>
        <v>1499.9999999999991</v>
      </c>
      <c r="AV12">
        <f t="shared" si="10"/>
        <v>1699.9999999999993</v>
      </c>
      <c r="AW12">
        <f t="shared" si="11"/>
        <v>-1650.0000000000005</v>
      </c>
      <c r="AX12">
        <f t="shared" si="12"/>
        <v>-1949.9999999999984</v>
      </c>
      <c r="AY12">
        <f t="shared" si="13"/>
        <v>2349.9999999999986</v>
      </c>
      <c r="AZ12">
        <f t="shared" si="14"/>
        <v>-2450.0000000000009</v>
      </c>
      <c r="BA12">
        <f t="shared" si="15"/>
        <v>-3349.9999999999995</v>
      </c>
      <c r="BB12">
        <f t="shared" si="16"/>
        <v>-3500.0000000000009</v>
      </c>
      <c r="BC12">
        <f t="shared" si="19"/>
        <v>4199.9999999999991</v>
      </c>
      <c r="BD12">
        <f t="shared" si="20"/>
        <v>4150</v>
      </c>
      <c r="BE12">
        <f t="shared" si="21"/>
        <v>-4399.9999999999955</v>
      </c>
      <c r="BF12">
        <f t="shared" si="21"/>
        <v>1949.9999999999984</v>
      </c>
      <c r="BG12">
        <f t="shared" si="21"/>
        <v>-919.83500000000026</v>
      </c>
      <c r="BH12">
        <f t="shared" si="21"/>
        <v>-2199.9999999999977</v>
      </c>
      <c r="BI12">
        <f t="shared" si="21"/>
        <v>574.99999999999795</v>
      </c>
      <c r="BJ12">
        <f t="shared" si="21"/>
        <v>1087.4999999999968</v>
      </c>
      <c r="BK12">
        <f t="shared" si="21"/>
        <v>649.99999999999943</v>
      </c>
      <c r="BL12">
        <f t="shared" si="21"/>
        <v>299.99999999999807</v>
      </c>
      <c r="BM12">
        <f t="shared" si="22"/>
        <v>-150.00000000000347</v>
      </c>
      <c r="BN12">
        <f t="shared" si="22"/>
        <v>0</v>
      </c>
      <c r="BO12">
        <f t="shared" si="22"/>
        <v>0</v>
      </c>
      <c r="BR12">
        <f t="shared" si="18"/>
        <v>-719.83499999999822</v>
      </c>
    </row>
    <row r="13" spans="1:70" x14ac:dyDescent="0.2">
      <c r="A13" s="107">
        <v>36960</v>
      </c>
      <c r="B13">
        <f t="shared" si="17"/>
        <v>5.35</v>
      </c>
      <c r="C13" s="5">
        <f>GasDaily!C13</f>
        <v>3.62</v>
      </c>
      <c r="D13" s="3">
        <v>-20000</v>
      </c>
      <c r="E13" s="3">
        <v>5000</v>
      </c>
      <c r="F13" s="3">
        <v>5000</v>
      </c>
      <c r="G13" s="3">
        <v>8500</v>
      </c>
      <c r="H13" s="3">
        <v>10000</v>
      </c>
      <c r="I13" s="3">
        <v>5000</v>
      </c>
      <c r="J13" s="3">
        <v>10000</v>
      </c>
      <c r="K13" s="3">
        <v>10000</v>
      </c>
      <c r="L13" s="3">
        <v>-10000</v>
      </c>
      <c r="M13" s="3">
        <v>-10000</v>
      </c>
      <c r="N13" s="3">
        <v>-10000</v>
      </c>
      <c r="O13" s="3">
        <v>10000</v>
      </c>
      <c r="P13" s="3">
        <v>10000</v>
      </c>
      <c r="Q13" s="3">
        <v>-10000</v>
      </c>
      <c r="R13" s="3">
        <v>10000</v>
      </c>
      <c r="S13" s="3">
        <v>10000</v>
      </c>
      <c r="T13" s="3">
        <v>10000</v>
      </c>
      <c r="U13" s="3">
        <v>-10000</v>
      </c>
      <c r="V13" s="3">
        <v>-10000</v>
      </c>
      <c r="W13" s="3">
        <v>10000</v>
      </c>
      <c r="X13" s="3">
        <v>-10000</v>
      </c>
      <c r="Y13" s="3">
        <v>4487</v>
      </c>
      <c r="Z13" s="3">
        <v>10000</v>
      </c>
      <c r="AA13" s="3">
        <v>-11500</v>
      </c>
      <c r="AB13" s="3">
        <v>-15000</v>
      </c>
      <c r="AC13" s="3">
        <v>-10000</v>
      </c>
      <c r="AD13" s="3">
        <v>-10000</v>
      </c>
      <c r="AE13" s="3">
        <v>-15000</v>
      </c>
      <c r="AF13" s="3">
        <v>15000</v>
      </c>
      <c r="AG13" s="3"/>
      <c r="AH13" s="3"/>
      <c r="AI13" s="3"/>
      <c r="AJ13" s="10">
        <f>SUM(D13:AF13)</f>
        <v>-8513</v>
      </c>
      <c r="AK13" s="9"/>
      <c r="AL13">
        <f t="shared" si="1"/>
        <v>2400.0000000000023</v>
      </c>
      <c r="AM13">
        <f t="shared" si="2"/>
        <v>-249.99999999999912</v>
      </c>
      <c r="AN13">
        <f t="shared" si="3"/>
        <v>-224.99999999999966</v>
      </c>
      <c r="AO13">
        <f t="shared" si="4"/>
        <v>-212.49999999999923</v>
      </c>
      <c r="AP13">
        <f t="shared" si="5"/>
        <v>-49.999999999998934</v>
      </c>
      <c r="AQ13">
        <f t="shared" si="6"/>
        <v>-24.999999999999467</v>
      </c>
      <c r="AR13">
        <f t="shared" si="7"/>
        <v>-149.99999999999682</v>
      </c>
      <c r="AS13">
        <f t="shared" si="8"/>
        <v>-1999.9999999999973</v>
      </c>
      <c r="AT13">
        <f t="shared" si="9"/>
        <v>1899.9999999999995</v>
      </c>
      <c r="AU13">
        <f t="shared" si="9"/>
        <v>1499.9999999999991</v>
      </c>
      <c r="AV13">
        <f t="shared" si="10"/>
        <v>1699.9999999999993</v>
      </c>
      <c r="AW13">
        <f t="shared" si="11"/>
        <v>-1650.0000000000005</v>
      </c>
      <c r="AX13">
        <f t="shared" si="12"/>
        <v>-1949.9999999999984</v>
      </c>
      <c r="AY13">
        <f t="shared" si="13"/>
        <v>2349.9999999999986</v>
      </c>
      <c r="AZ13">
        <f t="shared" si="14"/>
        <v>-2450.0000000000009</v>
      </c>
      <c r="BA13">
        <f t="shared" si="15"/>
        <v>-3349.9999999999995</v>
      </c>
      <c r="BB13">
        <f t="shared" si="16"/>
        <v>-3500.0000000000009</v>
      </c>
      <c r="BC13">
        <f t="shared" si="19"/>
        <v>4199.9999999999991</v>
      </c>
      <c r="BD13">
        <f t="shared" si="20"/>
        <v>4150</v>
      </c>
      <c r="BE13">
        <f t="shared" si="21"/>
        <v>-4399.9999999999955</v>
      </c>
      <c r="BF13">
        <f t="shared" si="21"/>
        <v>1949.9999999999984</v>
      </c>
      <c r="BG13">
        <f t="shared" si="21"/>
        <v>-919.83500000000026</v>
      </c>
      <c r="BH13">
        <f t="shared" si="21"/>
        <v>-2199.9999999999977</v>
      </c>
      <c r="BI13">
        <f t="shared" si="21"/>
        <v>574.99999999999795</v>
      </c>
      <c r="BJ13">
        <f t="shared" si="21"/>
        <v>1087.4999999999968</v>
      </c>
      <c r="BK13">
        <f t="shared" si="21"/>
        <v>649.99999999999943</v>
      </c>
      <c r="BL13">
        <f t="shared" si="21"/>
        <v>299.99999999999807</v>
      </c>
      <c r="BM13">
        <f t="shared" si="22"/>
        <v>-150.00000000000347</v>
      </c>
      <c r="BN13">
        <f t="shared" si="22"/>
        <v>0</v>
      </c>
      <c r="BO13">
        <f t="shared" si="22"/>
        <v>0</v>
      </c>
      <c r="BR13">
        <f t="shared" si="18"/>
        <v>-719.83499999999822</v>
      </c>
    </row>
    <row r="14" spans="1:70" x14ac:dyDescent="0.2">
      <c r="A14" s="107">
        <v>36961</v>
      </c>
      <c r="B14">
        <f t="shared" si="17"/>
        <v>5.35</v>
      </c>
      <c r="C14" s="5">
        <f>GasDaily!C14</f>
        <v>3.62</v>
      </c>
      <c r="D14" s="3">
        <v>-20000</v>
      </c>
      <c r="E14" s="3">
        <v>5000</v>
      </c>
      <c r="F14" s="3">
        <v>5000</v>
      </c>
      <c r="G14" s="3">
        <v>8500</v>
      </c>
      <c r="H14" s="3">
        <v>10000</v>
      </c>
      <c r="I14" s="3">
        <v>5000</v>
      </c>
      <c r="J14" s="3">
        <v>10000</v>
      </c>
      <c r="K14" s="3">
        <v>10000</v>
      </c>
      <c r="L14" s="3">
        <v>-10000</v>
      </c>
      <c r="M14" s="3">
        <v>-10000</v>
      </c>
      <c r="N14" s="3">
        <v>-10000</v>
      </c>
      <c r="O14" s="3">
        <v>10000</v>
      </c>
      <c r="P14" s="3">
        <v>10000</v>
      </c>
      <c r="Q14" s="3">
        <v>-10000</v>
      </c>
      <c r="R14" s="3">
        <v>10000</v>
      </c>
      <c r="S14" s="3">
        <v>10000</v>
      </c>
      <c r="T14" s="3">
        <v>10000</v>
      </c>
      <c r="U14" s="3">
        <v>-10000</v>
      </c>
      <c r="V14" s="3">
        <v>-10000</v>
      </c>
      <c r="W14" s="3">
        <v>10000</v>
      </c>
      <c r="X14" s="3">
        <v>-10000</v>
      </c>
      <c r="Y14" s="3">
        <v>4487</v>
      </c>
      <c r="Z14" s="3">
        <v>10000</v>
      </c>
      <c r="AA14" s="3">
        <v>-11500</v>
      </c>
      <c r="AB14" s="3">
        <v>-15000</v>
      </c>
      <c r="AC14" s="3">
        <v>-10000</v>
      </c>
      <c r="AD14" s="3">
        <v>-10000</v>
      </c>
      <c r="AE14" s="3">
        <v>-15000</v>
      </c>
      <c r="AF14" s="3">
        <v>15000</v>
      </c>
      <c r="AG14" s="3"/>
      <c r="AH14" s="3"/>
      <c r="AI14" s="3"/>
      <c r="AJ14" s="10">
        <f>SUM(D14:AF14)</f>
        <v>-8513</v>
      </c>
      <c r="AK14" s="9"/>
      <c r="AL14">
        <f t="shared" si="1"/>
        <v>2400.0000000000023</v>
      </c>
      <c r="AM14">
        <f t="shared" si="2"/>
        <v>-249.99999999999912</v>
      </c>
      <c r="AN14">
        <f t="shared" si="3"/>
        <v>-224.99999999999966</v>
      </c>
      <c r="AO14">
        <f t="shared" si="4"/>
        <v>-212.49999999999923</v>
      </c>
      <c r="AP14">
        <f t="shared" si="5"/>
        <v>-49.999999999998934</v>
      </c>
      <c r="AQ14">
        <f t="shared" si="6"/>
        <v>-24.999999999999467</v>
      </c>
      <c r="AR14">
        <f t="shared" si="7"/>
        <v>-149.99999999999682</v>
      </c>
      <c r="AS14">
        <f t="shared" si="8"/>
        <v>-1999.9999999999973</v>
      </c>
      <c r="AT14">
        <f t="shared" si="9"/>
        <v>1899.9999999999995</v>
      </c>
      <c r="AU14">
        <f t="shared" si="9"/>
        <v>1499.9999999999991</v>
      </c>
      <c r="AV14">
        <f t="shared" si="10"/>
        <v>1699.9999999999993</v>
      </c>
      <c r="AW14">
        <f t="shared" si="11"/>
        <v>-1650.0000000000005</v>
      </c>
      <c r="AX14">
        <f t="shared" si="12"/>
        <v>-1949.9999999999984</v>
      </c>
      <c r="AY14">
        <f t="shared" si="13"/>
        <v>2349.9999999999986</v>
      </c>
      <c r="AZ14">
        <f t="shared" si="14"/>
        <v>-2450.0000000000009</v>
      </c>
      <c r="BA14">
        <f t="shared" si="15"/>
        <v>-3349.9999999999995</v>
      </c>
      <c r="BB14">
        <f t="shared" si="16"/>
        <v>-3500.0000000000009</v>
      </c>
      <c r="BC14">
        <f t="shared" si="19"/>
        <v>4199.9999999999991</v>
      </c>
      <c r="BD14">
        <f t="shared" si="20"/>
        <v>4150</v>
      </c>
      <c r="BE14">
        <f t="shared" si="21"/>
        <v>-4399.9999999999955</v>
      </c>
      <c r="BF14">
        <f t="shared" si="21"/>
        <v>1949.9999999999984</v>
      </c>
      <c r="BG14">
        <f t="shared" si="21"/>
        <v>-919.83500000000026</v>
      </c>
      <c r="BH14">
        <f t="shared" si="21"/>
        <v>-2199.9999999999977</v>
      </c>
      <c r="BI14">
        <f t="shared" si="21"/>
        <v>574.99999999999795</v>
      </c>
      <c r="BJ14">
        <f t="shared" si="21"/>
        <v>1087.4999999999968</v>
      </c>
      <c r="BK14">
        <f t="shared" si="21"/>
        <v>649.99999999999943</v>
      </c>
      <c r="BL14">
        <f t="shared" si="21"/>
        <v>299.99999999999807</v>
      </c>
      <c r="BM14">
        <f t="shared" si="22"/>
        <v>-150.00000000000347</v>
      </c>
      <c r="BN14">
        <f t="shared" si="22"/>
        <v>0</v>
      </c>
      <c r="BO14">
        <f t="shared" si="22"/>
        <v>0</v>
      </c>
      <c r="BR14">
        <f t="shared" si="18"/>
        <v>-719.83499999999822</v>
      </c>
    </row>
    <row r="15" spans="1:70" x14ac:dyDescent="0.2">
      <c r="A15" s="107">
        <v>36962</v>
      </c>
      <c r="B15">
        <f t="shared" si="17"/>
        <v>5.35</v>
      </c>
      <c r="C15" s="5">
        <f>GasDaily!C15</f>
        <v>3.77</v>
      </c>
      <c r="D15" s="3">
        <v>-20000</v>
      </c>
      <c r="E15" s="3">
        <v>5000</v>
      </c>
      <c r="F15" s="3">
        <v>5000</v>
      </c>
      <c r="G15" s="3">
        <v>8500</v>
      </c>
      <c r="H15" s="3">
        <v>10000</v>
      </c>
      <c r="I15" s="3">
        <v>5000</v>
      </c>
      <c r="J15" s="3">
        <v>10000</v>
      </c>
      <c r="K15" s="3">
        <v>10000</v>
      </c>
      <c r="L15" s="3">
        <v>-10000</v>
      </c>
      <c r="M15" s="3">
        <v>-10000</v>
      </c>
      <c r="N15" s="3">
        <v>-10000</v>
      </c>
      <c r="O15" s="3">
        <v>10000</v>
      </c>
      <c r="P15" s="3">
        <v>10000</v>
      </c>
      <c r="Q15" s="3">
        <v>-10000</v>
      </c>
      <c r="R15" s="3">
        <v>10000</v>
      </c>
      <c r="S15" s="3">
        <v>10000</v>
      </c>
      <c r="T15" s="3">
        <v>10000</v>
      </c>
      <c r="U15" s="3">
        <v>-10000</v>
      </c>
      <c r="V15" s="3">
        <v>-10000</v>
      </c>
      <c r="W15" s="3">
        <v>10000</v>
      </c>
      <c r="X15" s="3">
        <v>-10000</v>
      </c>
      <c r="Y15" s="3">
        <v>4487</v>
      </c>
      <c r="Z15" s="3">
        <v>10000</v>
      </c>
      <c r="AA15" s="3">
        <v>-11500</v>
      </c>
      <c r="AB15" s="3">
        <v>-15000</v>
      </c>
      <c r="AC15" s="3">
        <v>-10000</v>
      </c>
      <c r="AD15" s="3">
        <v>-10000</v>
      </c>
      <c r="AE15" s="3">
        <v>-15000</v>
      </c>
      <c r="AF15" s="3">
        <v>15000</v>
      </c>
      <c r="AG15" s="3">
        <v>-10000</v>
      </c>
      <c r="AH15" s="3">
        <v>10000</v>
      </c>
      <c r="AI15" s="3"/>
      <c r="AJ15" s="10">
        <f>SUM(D15:AI15)</f>
        <v>-8513</v>
      </c>
      <c r="AK15" s="9"/>
      <c r="AL15">
        <f t="shared" si="1"/>
        <v>-599.99999999999613</v>
      </c>
      <c r="AM15">
        <f t="shared" si="2"/>
        <v>500.00000000000045</v>
      </c>
      <c r="AN15">
        <f t="shared" si="3"/>
        <v>524.99999999999989</v>
      </c>
      <c r="AO15">
        <f t="shared" si="4"/>
        <v>1062.5</v>
      </c>
      <c r="AP15">
        <f t="shared" si="5"/>
        <v>1450.0000000000002</v>
      </c>
      <c r="AQ15">
        <f t="shared" si="6"/>
        <v>725.00000000000011</v>
      </c>
      <c r="AR15">
        <f t="shared" si="7"/>
        <v>1350.0000000000023</v>
      </c>
      <c r="AS15">
        <f t="shared" si="8"/>
        <v>-499.99999999999824</v>
      </c>
      <c r="AT15">
        <f t="shared" si="9"/>
        <v>400.00000000000034</v>
      </c>
      <c r="AU15">
        <f t="shared" si="9"/>
        <v>0</v>
      </c>
      <c r="AV15">
        <f t="shared" si="10"/>
        <v>200.00000000000017</v>
      </c>
      <c r="AW15">
        <f t="shared" si="11"/>
        <v>-150.00000000000125</v>
      </c>
      <c r="AX15">
        <f t="shared" si="12"/>
        <v>-449.99999999999932</v>
      </c>
      <c r="AY15">
        <f t="shared" si="13"/>
        <v>849.99999999999966</v>
      </c>
      <c r="AZ15">
        <f t="shared" si="14"/>
        <v>-950.00000000000193</v>
      </c>
      <c r="BA15">
        <f t="shared" si="15"/>
        <v>-1850.0000000000005</v>
      </c>
      <c r="BB15">
        <f t="shared" si="16"/>
        <v>-2000.0000000000018</v>
      </c>
      <c r="BC15">
        <f t="shared" si="19"/>
        <v>2700</v>
      </c>
      <c r="BD15">
        <f t="shared" si="20"/>
        <v>2650.0000000000014</v>
      </c>
      <c r="BE15">
        <f t="shared" si="21"/>
        <v>-2899.9999999999959</v>
      </c>
      <c r="BF15">
        <f t="shared" si="21"/>
        <v>449.99999999999932</v>
      </c>
      <c r="BG15">
        <f t="shared" si="21"/>
        <v>-246.78500000000071</v>
      </c>
      <c r="BH15">
        <f t="shared" si="21"/>
        <v>-699.99999999999841</v>
      </c>
      <c r="BI15">
        <f t="shared" si="21"/>
        <v>-1150.0000000000009</v>
      </c>
      <c r="BJ15">
        <f t="shared" si="21"/>
        <v>-1162.5000000000018</v>
      </c>
      <c r="BK15">
        <f t="shared" si="21"/>
        <v>-849.99999999999966</v>
      </c>
      <c r="BL15">
        <f t="shared" si="21"/>
        <v>-1200.0000000000011</v>
      </c>
      <c r="BM15">
        <f t="shared" si="22"/>
        <v>-2400.0000000000023</v>
      </c>
      <c r="BN15">
        <f t="shared" si="22"/>
        <v>2249.9999999999986</v>
      </c>
      <c r="BO15">
        <f t="shared" si="22"/>
        <v>-299.99999999999807</v>
      </c>
      <c r="BR15">
        <f t="shared" si="18"/>
        <v>-2296.7849999999939</v>
      </c>
    </row>
    <row r="16" spans="1:70" x14ac:dyDescent="0.2">
      <c r="A16" s="107">
        <v>36963</v>
      </c>
      <c r="B16">
        <f t="shared" si="17"/>
        <v>5.35</v>
      </c>
      <c r="C16" s="5">
        <f>GasDaily!C16</f>
        <v>3.77</v>
      </c>
      <c r="D16" s="3">
        <v>-20000</v>
      </c>
      <c r="E16" s="3">
        <v>5000</v>
      </c>
      <c r="F16" s="3">
        <v>5000</v>
      </c>
      <c r="G16" s="3">
        <v>8500</v>
      </c>
      <c r="H16" s="3">
        <v>10000</v>
      </c>
      <c r="I16" s="3">
        <v>5000</v>
      </c>
      <c r="J16" s="3">
        <v>10000</v>
      </c>
      <c r="K16" s="3">
        <v>10000</v>
      </c>
      <c r="L16" s="3">
        <v>-10000</v>
      </c>
      <c r="M16" s="3">
        <v>-10000</v>
      </c>
      <c r="N16" s="3">
        <v>-10000</v>
      </c>
      <c r="O16" s="3">
        <v>10000</v>
      </c>
      <c r="P16" s="3">
        <v>10000</v>
      </c>
      <c r="Q16" s="3">
        <v>-10000</v>
      </c>
      <c r="R16" s="3">
        <v>10000</v>
      </c>
      <c r="S16" s="3">
        <v>10000</v>
      </c>
      <c r="T16" s="3">
        <v>10000</v>
      </c>
      <c r="U16" s="3">
        <v>-10000</v>
      </c>
      <c r="V16" s="3">
        <v>-10000</v>
      </c>
      <c r="W16" s="3">
        <v>10000</v>
      </c>
      <c r="X16" s="3">
        <v>-10000</v>
      </c>
      <c r="Y16" s="3">
        <v>4487</v>
      </c>
      <c r="Z16" s="3">
        <v>10000</v>
      </c>
      <c r="AA16" s="3">
        <v>-11500</v>
      </c>
      <c r="AB16" s="3">
        <v>-15000</v>
      </c>
      <c r="AC16" s="3">
        <v>-10000</v>
      </c>
      <c r="AD16" s="3">
        <v>-10000</v>
      </c>
      <c r="AE16" s="3">
        <v>-15000</v>
      </c>
      <c r="AF16" s="3">
        <v>15000</v>
      </c>
      <c r="AG16" s="3">
        <v>-10000</v>
      </c>
      <c r="AH16" s="3">
        <v>10000</v>
      </c>
      <c r="AI16" s="3"/>
      <c r="AJ16" s="10">
        <f t="shared" ref="AJ16:AJ33" si="23">SUM(D16:AI16)</f>
        <v>-8513</v>
      </c>
      <c r="AK16" s="9"/>
      <c r="AL16">
        <f t="shared" si="1"/>
        <v>-599.99999999999613</v>
      </c>
      <c r="AM16">
        <f t="shared" si="2"/>
        <v>500.00000000000045</v>
      </c>
      <c r="AN16">
        <f t="shared" si="3"/>
        <v>524.99999999999989</v>
      </c>
      <c r="AO16">
        <f t="shared" si="4"/>
        <v>1062.5</v>
      </c>
      <c r="AP16">
        <f t="shared" si="5"/>
        <v>1450.0000000000002</v>
      </c>
      <c r="AQ16">
        <f t="shared" si="6"/>
        <v>725.00000000000011</v>
      </c>
      <c r="AR16">
        <f t="shared" si="7"/>
        <v>1350.0000000000023</v>
      </c>
      <c r="AS16">
        <f t="shared" si="8"/>
        <v>-499.99999999999824</v>
      </c>
      <c r="AT16">
        <f t="shared" si="9"/>
        <v>400.00000000000034</v>
      </c>
      <c r="AU16">
        <f t="shared" si="9"/>
        <v>0</v>
      </c>
      <c r="AV16">
        <f t="shared" si="10"/>
        <v>200.00000000000017</v>
      </c>
      <c r="AW16">
        <f t="shared" si="11"/>
        <v>-150.00000000000125</v>
      </c>
      <c r="AX16">
        <f t="shared" si="12"/>
        <v>-449.99999999999932</v>
      </c>
      <c r="AY16">
        <f t="shared" si="13"/>
        <v>849.99999999999966</v>
      </c>
      <c r="AZ16">
        <f t="shared" si="14"/>
        <v>-950.00000000000193</v>
      </c>
      <c r="BA16">
        <f t="shared" si="15"/>
        <v>-1850.0000000000005</v>
      </c>
      <c r="BB16">
        <f t="shared" si="16"/>
        <v>-2000.0000000000018</v>
      </c>
      <c r="BC16">
        <f t="shared" si="19"/>
        <v>2700</v>
      </c>
      <c r="BD16">
        <f t="shared" si="20"/>
        <v>2650.0000000000014</v>
      </c>
      <c r="BE16">
        <f t="shared" si="21"/>
        <v>-2899.9999999999959</v>
      </c>
      <c r="BF16">
        <f t="shared" si="21"/>
        <v>449.99999999999932</v>
      </c>
      <c r="BG16">
        <f t="shared" si="21"/>
        <v>-246.78500000000071</v>
      </c>
      <c r="BH16">
        <f t="shared" si="21"/>
        <v>-699.99999999999841</v>
      </c>
      <c r="BI16">
        <f t="shared" si="21"/>
        <v>-1150.0000000000009</v>
      </c>
      <c r="BJ16">
        <f t="shared" si="21"/>
        <v>-1162.5000000000018</v>
      </c>
      <c r="BK16">
        <f t="shared" si="21"/>
        <v>-849.99999999999966</v>
      </c>
      <c r="BL16">
        <f t="shared" si="21"/>
        <v>-1200.0000000000011</v>
      </c>
      <c r="BM16">
        <f t="shared" si="22"/>
        <v>-2400.0000000000023</v>
      </c>
      <c r="BN16">
        <f t="shared" si="22"/>
        <v>2249.9999999999986</v>
      </c>
      <c r="BO16">
        <f t="shared" si="22"/>
        <v>-299.99999999999807</v>
      </c>
      <c r="BR16">
        <f t="shared" si="18"/>
        <v>-2296.7849999999939</v>
      </c>
    </row>
    <row r="17" spans="1:70" x14ac:dyDescent="0.2">
      <c r="A17" s="107">
        <v>36964</v>
      </c>
      <c r="B17">
        <f t="shared" si="17"/>
        <v>5.35</v>
      </c>
      <c r="C17" s="5">
        <f>GasDaily!C17</f>
        <v>3.77</v>
      </c>
      <c r="D17" s="3">
        <v>-20000</v>
      </c>
      <c r="E17" s="3">
        <v>5000</v>
      </c>
      <c r="F17" s="3">
        <v>5000</v>
      </c>
      <c r="G17" s="3">
        <v>8500</v>
      </c>
      <c r="H17" s="3">
        <v>10000</v>
      </c>
      <c r="I17" s="3">
        <v>5000</v>
      </c>
      <c r="J17" s="3">
        <v>10000</v>
      </c>
      <c r="K17" s="3">
        <v>10000</v>
      </c>
      <c r="L17" s="3">
        <v>-10000</v>
      </c>
      <c r="M17" s="3">
        <v>-10000</v>
      </c>
      <c r="N17" s="3">
        <v>-10000</v>
      </c>
      <c r="O17" s="3">
        <v>10000</v>
      </c>
      <c r="P17" s="3">
        <v>10000</v>
      </c>
      <c r="Q17" s="3">
        <v>-10000</v>
      </c>
      <c r="R17" s="3">
        <v>10000</v>
      </c>
      <c r="S17" s="3">
        <v>10000</v>
      </c>
      <c r="T17" s="3">
        <v>10000</v>
      </c>
      <c r="U17" s="3">
        <v>-10000</v>
      </c>
      <c r="V17" s="3">
        <v>-10000</v>
      </c>
      <c r="W17" s="3">
        <v>10000</v>
      </c>
      <c r="X17" s="3">
        <v>-10000</v>
      </c>
      <c r="Y17" s="3">
        <v>4487</v>
      </c>
      <c r="Z17" s="3">
        <v>10000</v>
      </c>
      <c r="AA17" s="3">
        <v>-11500</v>
      </c>
      <c r="AB17" s="3">
        <v>-15000</v>
      </c>
      <c r="AC17" s="3">
        <v>-10000</v>
      </c>
      <c r="AD17" s="3">
        <v>-10000</v>
      </c>
      <c r="AE17" s="3">
        <v>-15000</v>
      </c>
      <c r="AF17" s="3">
        <v>15000</v>
      </c>
      <c r="AG17" s="3">
        <v>-10000</v>
      </c>
      <c r="AH17" s="3">
        <v>10000</v>
      </c>
      <c r="AI17" s="3"/>
      <c r="AJ17" s="10">
        <f t="shared" si="23"/>
        <v>-8513</v>
      </c>
      <c r="AK17" s="9"/>
      <c r="AL17">
        <f t="shared" si="1"/>
        <v>-599.99999999999613</v>
      </c>
      <c r="AM17">
        <f t="shared" si="2"/>
        <v>500.00000000000045</v>
      </c>
      <c r="AN17">
        <f t="shared" si="3"/>
        <v>524.99999999999989</v>
      </c>
      <c r="AO17">
        <f t="shared" si="4"/>
        <v>1062.5</v>
      </c>
      <c r="AP17">
        <f t="shared" si="5"/>
        <v>1450.0000000000002</v>
      </c>
      <c r="AQ17">
        <f t="shared" si="6"/>
        <v>725.00000000000011</v>
      </c>
      <c r="AR17">
        <f t="shared" si="7"/>
        <v>1350.0000000000023</v>
      </c>
      <c r="AS17">
        <f t="shared" si="8"/>
        <v>-499.99999999999824</v>
      </c>
      <c r="AT17">
        <f t="shared" si="9"/>
        <v>400.00000000000034</v>
      </c>
      <c r="AU17">
        <f t="shared" si="9"/>
        <v>0</v>
      </c>
      <c r="AV17">
        <f t="shared" si="10"/>
        <v>200.00000000000017</v>
      </c>
      <c r="AW17">
        <f t="shared" si="11"/>
        <v>-150.00000000000125</v>
      </c>
      <c r="AX17">
        <f t="shared" si="12"/>
        <v>-449.99999999999932</v>
      </c>
      <c r="AY17">
        <f t="shared" si="13"/>
        <v>849.99999999999966</v>
      </c>
      <c r="AZ17">
        <f t="shared" si="14"/>
        <v>-950.00000000000193</v>
      </c>
      <c r="BA17">
        <f t="shared" si="15"/>
        <v>-1850.0000000000005</v>
      </c>
      <c r="BB17">
        <f t="shared" si="16"/>
        <v>-2000.0000000000018</v>
      </c>
      <c r="BC17">
        <f t="shared" si="19"/>
        <v>2700</v>
      </c>
      <c r="BD17">
        <f t="shared" si="20"/>
        <v>2650.0000000000014</v>
      </c>
      <c r="BE17">
        <f t="shared" si="21"/>
        <v>-2899.9999999999959</v>
      </c>
      <c r="BF17">
        <f t="shared" si="21"/>
        <v>449.99999999999932</v>
      </c>
      <c r="BG17">
        <f t="shared" si="21"/>
        <v>-246.78500000000071</v>
      </c>
      <c r="BH17">
        <f t="shared" si="21"/>
        <v>-699.99999999999841</v>
      </c>
      <c r="BI17">
        <f t="shared" si="21"/>
        <v>-1150.0000000000009</v>
      </c>
      <c r="BJ17">
        <f t="shared" si="21"/>
        <v>-1162.5000000000018</v>
      </c>
      <c r="BK17">
        <f t="shared" si="21"/>
        <v>-849.99999999999966</v>
      </c>
      <c r="BL17">
        <f t="shared" si="21"/>
        <v>-1200.0000000000011</v>
      </c>
      <c r="BM17">
        <f t="shared" si="22"/>
        <v>-2400.0000000000023</v>
      </c>
      <c r="BN17">
        <f t="shared" si="22"/>
        <v>2249.9999999999986</v>
      </c>
      <c r="BO17">
        <f t="shared" si="22"/>
        <v>-299.99999999999807</v>
      </c>
      <c r="BR17">
        <f t="shared" si="18"/>
        <v>-2296.7849999999939</v>
      </c>
    </row>
    <row r="18" spans="1:70" x14ac:dyDescent="0.2">
      <c r="A18" s="107">
        <v>36965</v>
      </c>
      <c r="B18">
        <f t="shared" si="17"/>
        <v>5.35</v>
      </c>
      <c r="C18" s="5">
        <f>GasDaily!C18</f>
        <v>3.77</v>
      </c>
      <c r="D18" s="3">
        <v>-20000</v>
      </c>
      <c r="E18" s="3">
        <v>5000</v>
      </c>
      <c r="F18" s="3">
        <v>5000</v>
      </c>
      <c r="G18" s="3">
        <v>8500</v>
      </c>
      <c r="H18" s="3">
        <v>10000</v>
      </c>
      <c r="I18" s="3">
        <v>5000</v>
      </c>
      <c r="J18" s="3">
        <v>10000</v>
      </c>
      <c r="K18" s="3">
        <v>10000</v>
      </c>
      <c r="L18" s="3">
        <v>-10000</v>
      </c>
      <c r="M18" s="3">
        <v>-10000</v>
      </c>
      <c r="N18" s="3">
        <v>-10000</v>
      </c>
      <c r="O18" s="3">
        <v>10000</v>
      </c>
      <c r="P18" s="3">
        <v>10000</v>
      </c>
      <c r="Q18" s="3">
        <v>-10000</v>
      </c>
      <c r="R18" s="3">
        <v>10000</v>
      </c>
      <c r="S18" s="3">
        <v>10000</v>
      </c>
      <c r="T18" s="3">
        <v>10000</v>
      </c>
      <c r="U18" s="3">
        <v>-10000</v>
      </c>
      <c r="V18" s="3">
        <v>-10000</v>
      </c>
      <c r="W18" s="3">
        <v>10000</v>
      </c>
      <c r="X18" s="3">
        <v>-10000</v>
      </c>
      <c r="Y18" s="3">
        <v>4487</v>
      </c>
      <c r="Z18" s="3">
        <v>10000</v>
      </c>
      <c r="AA18" s="3">
        <v>-11500</v>
      </c>
      <c r="AB18" s="3">
        <v>-15000</v>
      </c>
      <c r="AC18" s="3">
        <v>-10000</v>
      </c>
      <c r="AD18" s="3">
        <v>-10000</v>
      </c>
      <c r="AE18" s="3">
        <v>-15000</v>
      </c>
      <c r="AF18" s="3">
        <v>15000</v>
      </c>
      <c r="AG18" s="3">
        <v>-10000</v>
      </c>
      <c r="AH18" s="3">
        <v>10000</v>
      </c>
      <c r="AI18" s="3"/>
      <c r="AJ18" s="10">
        <f t="shared" si="23"/>
        <v>-8513</v>
      </c>
      <c r="AK18" s="9"/>
      <c r="AL18">
        <f t="shared" si="1"/>
        <v>-599.99999999999613</v>
      </c>
      <c r="AM18">
        <f t="shared" si="2"/>
        <v>500.00000000000045</v>
      </c>
      <c r="AN18">
        <f t="shared" si="3"/>
        <v>524.99999999999989</v>
      </c>
      <c r="AO18">
        <f t="shared" si="4"/>
        <v>1062.5</v>
      </c>
      <c r="AP18">
        <f t="shared" si="5"/>
        <v>1450.0000000000002</v>
      </c>
      <c r="AQ18">
        <f t="shared" si="6"/>
        <v>725.00000000000011</v>
      </c>
      <c r="AR18">
        <f t="shared" si="7"/>
        <v>1350.0000000000023</v>
      </c>
      <c r="AS18">
        <f t="shared" si="8"/>
        <v>-499.99999999999824</v>
      </c>
      <c r="AT18">
        <f t="shared" si="9"/>
        <v>400.00000000000034</v>
      </c>
      <c r="AU18">
        <f t="shared" si="9"/>
        <v>0</v>
      </c>
      <c r="AV18">
        <f t="shared" si="10"/>
        <v>200.00000000000017</v>
      </c>
      <c r="AW18">
        <f t="shared" si="11"/>
        <v>-150.00000000000125</v>
      </c>
      <c r="AX18">
        <f t="shared" si="12"/>
        <v>-449.99999999999932</v>
      </c>
      <c r="AY18">
        <f t="shared" si="13"/>
        <v>849.99999999999966</v>
      </c>
      <c r="AZ18">
        <f t="shared" si="14"/>
        <v>-950.00000000000193</v>
      </c>
      <c r="BA18">
        <f t="shared" si="15"/>
        <v>-1850.0000000000005</v>
      </c>
      <c r="BB18">
        <f t="shared" si="16"/>
        <v>-2000.0000000000018</v>
      </c>
      <c r="BC18">
        <f t="shared" si="19"/>
        <v>2700</v>
      </c>
      <c r="BD18">
        <f t="shared" si="20"/>
        <v>2650.0000000000014</v>
      </c>
      <c r="BE18">
        <f t="shared" si="21"/>
        <v>-2899.9999999999959</v>
      </c>
      <c r="BF18">
        <f t="shared" si="21"/>
        <v>449.99999999999932</v>
      </c>
      <c r="BG18">
        <f t="shared" si="21"/>
        <v>-246.78500000000071</v>
      </c>
      <c r="BH18">
        <f t="shared" si="21"/>
        <v>-699.99999999999841</v>
      </c>
      <c r="BI18">
        <f t="shared" si="21"/>
        <v>-1150.0000000000009</v>
      </c>
      <c r="BJ18">
        <f t="shared" si="21"/>
        <v>-1162.5000000000018</v>
      </c>
      <c r="BK18">
        <f t="shared" si="21"/>
        <v>-849.99999999999966</v>
      </c>
      <c r="BL18">
        <f t="shared" si="21"/>
        <v>-1200.0000000000011</v>
      </c>
      <c r="BM18">
        <f t="shared" si="22"/>
        <v>-2400.0000000000023</v>
      </c>
      <c r="BN18">
        <f t="shared" si="22"/>
        <v>2249.9999999999986</v>
      </c>
      <c r="BO18">
        <f t="shared" si="22"/>
        <v>-299.99999999999807</v>
      </c>
      <c r="BR18">
        <f t="shared" si="18"/>
        <v>-2296.7849999999939</v>
      </c>
    </row>
    <row r="19" spans="1:70" x14ac:dyDescent="0.2">
      <c r="A19" s="107">
        <v>36966</v>
      </c>
      <c r="B19">
        <f t="shared" si="17"/>
        <v>5.35</v>
      </c>
      <c r="C19" s="5">
        <f>GasDaily!C19</f>
        <v>3.77</v>
      </c>
      <c r="D19" s="3">
        <v>-20000</v>
      </c>
      <c r="E19" s="3">
        <v>5000</v>
      </c>
      <c r="F19" s="3">
        <v>5000</v>
      </c>
      <c r="G19" s="3">
        <v>8500</v>
      </c>
      <c r="H19" s="3">
        <v>10000</v>
      </c>
      <c r="I19" s="3">
        <v>5000</v>
      </c>
      <c r="J19" s="3">
        <v>10000</v>
      </c>
      <c r="K19" s="3">
        <v>10000</v>
      </c>
      <c r="L19" s="3">
        <v>-10000</v>
      </c>
      <c r="M19" s="3">
        <v>-10000</v>
      </c>
      <c r="N19" s="3">
        <v>-10000</v>
      </c>
      <c r="O19" s="3">
        <v>10000</v>
      </c>
      <c r="P19" s="3">
        <v>10000</v>
      </c>
      <c r="Q19" s="3">
        <v>-10000</v>
      </c>
      <c r="R19" s="3">
        <v>10000</v>
      </c>
      <c r="S19" s="3">
        <v>10000</v>
      </c>
      <c r="T19" s="3">
        <v>10000</v>
      </c>
      <c r="U19" s="3">
        <v>-10000</v>
      </c>
      <c r="V19" s="3">
        <v>-10000</v>
      </c>
      <c r="W19" s="3">
        <v>10000</v>
      </c>
      <c r="X19" s="3">
        <v>-10000</v>
      </c>
      <c r="Y19" s="3">
        <v>4487</v>
      </c>
      <c r="Z19" s="3">
        <v>10000</v>
      </c>
      <c r="AA19" s="3">
        <v>-11500</v>
      </c>
      <c r="AB19" s="3">
        <v>-15000</v>
      </c>
      <c r="AC19" s="3">
        <v>-10000</v>
      </c>
      <c r="AD19" s="3">
        <v>-10000</v>
      </c>
      <c r="AE19" s="3">
        <v>-15000</v>
      </c>
      <c r="AF19" s="3">
        <v>15000</v>
      </c>
      <c r="AG19" s="3">
        <v>-10000</v>
      </c>
      <c r="AH19" s="3">
        <v>10000</v>
      </c>
      <c r="AI19" s="3"/>
      <c r="AJ19" s="10">
        <f t="shared" si="23"/>
        <v>-8513</v>
      </c>
      <c r="AK19" s="9"/>
      <c r="AL19">
        <f t="shared" si="1"/>
        <v>-599.99999999999613</v>
      </c>
      <c r="AM19">
        <f t="shared" si="2"/>
        <v>500.00000000000045</v>
      </c>
      <c r="AN19">
        <f t="shared" si="3"/>
        <v>524.99999999999989</v>
      </c>
      <c r="AO19">
        <f t="shared" si="4"/>
        <v>1062.5</v>
      </c>
      <c r="AP19">
        <f t="shared" si="5"/>
        <v>1450.0000000000002</v>
      </c>
      <c r="AQ19">
        <f t="shared" si="6"/>
        <v>725.00000000000011</v>
      </c>
      <c r="AR19">
        <f t="shared" si="7"/>
        <v>1350.0000000000023</v>
      </c>
      <c r="AS19">
        <f t="shared" si="8"/>
        <v>-499.99999999999824</v>
      </c>
      <c r="AT19">
        <f t="shared" si="9"/>
        <v>400.00000000000034</v>
      </c>
      <c r="AU19">
        <f t="shared" si="9"/>
        <v>0</v>
      </c>
      <c r="AV19">
        <f t="shared" si="10"/>
        <v>200.00000000000017</v>
      </c>
      <c r="AW19">
        <f t="shared" si="11"/>
        <v>-150.00000000000125</v>
      </c>
      <c r="AX19">
        <f t="shared" si="12"/>
        <v>-449.99999999999932</v>
      </c>
      <c r="AY19">
        <f t="shared" si="13"/>
        <v>849.99999999999966</v>
      </c>
      <c r="AZ19">
        <f t="shared" si="14"/>
        <v>-950.00000000000193</v>
      </c>
      <c r="BA19">
        <f t="shared" si="15"/>
        <v>-1850.0000000000005</v>
      </c>
      <c r="BB19">
        <f t="shared" si="16"/>
        <v>-2000.0000000000018</v>
      </c>
      <c r="BC19">
        <f t="shared" si="19"/>
        <v>2700</v>
      </c>
      <c r="BD19">
        <f t="shared" si="20"/>
        <v>2650.0000000000014</v>
      </c>
      <c r="BE19">
        <f t="shared" si="21"/>
        <v>-2899.9999999999959</v>
      </c>
      <c r="BF19">
        <f t="shared" si="21"/>
        <v>449.99999999999932</v>
      </c>
      <c r="BG19">
        <f t="shared" si="21"/>
        <v>-246.78500000000071</v>
      </c>
      <c r="BH19">
        <f t="shared" si="21"/>
        <v>-699.99999999999841</v>
      </c>
      <c r="BI19">
        <f t="shared" si="21"/>
        <v>-1150.0000000000009</v>
      </c>
      <c r="BJ19">
        <f t="shared" si="21"/>
        <v>-1162.5000000000018</v>
      </c>
      <c r="BK19">
        <f t="shared" si="21"/>
        <v>-849.99999999999966</v>
      </c>
      <c r="BL19">
        <f t="shared" si="21"/>
        <v>-1200.0000000000011</v>
      </c>
      <c r="BM19">
        <f t="shared" si="22"/>
        <v>-2400.0000000000023</v>
      </c>
      <c r="BN19">
        <f t="shared" si="22"/>
        <v>2249.9999999999986</v>
      </c>
      <c r="BO19">
        <f t="shared" si="22"/>
        <v>-299.99999999999807</v>
      </c>
      <c r="BR19">
        <f t="shared" si="18"/>
        <v>-2296.7849999999939</v>
      </c>
    </row>
    <row r="20" spans="1:70" x14ac:dyDescent="0.2">
      <c r="A20" s="107">
        <v>36967</v>
      </c>
      <c r="B20">
        <f t="shared" si="17"/>
        <v>5.35</v>
      </c>
      <c r="C20" s="5">
        <f>GasDaily!C20</f>
        <v>3.77</v>
      </c>
      <c r="D20" s="3">
        <v>-20000</v>
      </c>
      <c r="E20" s="3">
        <v>5000</v>
      </c>
      <c r="F20" s="3">
        <v>5000</v>
      </c>
      <c r="G20" s="3">
        <v>8500</v>
      </c>
      <c r="H20" s="3">
        <v>10000</v>
      </c>
      <c r="I20" s="3">
        <v>5000</v>
      </c>
      <c r="J20" s="3">
        <v>10000</v>
      </c>
      <c r="K20" s="3">
        <v>10000</v>
      </c>
      <c r="L20" s="3">
        <v>-10000</v>
      </c>
      <c r="M20" s="3">
        <v>-10000</v>
      </c>
      <c r="N20" s="3">
        <v>-10000</v>
      </c>
      <c r="O20" s="3">
        <v>10000</v>
      </c>
      <c r="P20" s="3">
        <v>10000</v>
      </c>
      <c r="Q20" s="3">
        <v>-10000</v>
      </c>
      <c r="R20" s="3">
        <v>10000</v>
      </c>
      <c r="S20" s="3">
        <v>10000</v>
      </c>
      <c r="T20" s="3">
        <v>10000</v>
      </c>
      <c r="U20" s="3">
        <v>-10000</v>
      </c>
      <c r="V20" s="3">
        <v>-10000</v>
      </c>
      <c r="W20" s="3">
        <v>10000</v>
      </c>
      <c r="X20" s="3">
        <v>-10000</v>
      </c>
      <c r="Y20" s="3">
        <v>4487</v>
      </c>
      <c r="Z20" s="3">
        <v>10000</v>
      </c>
      <c r="AA20" s="3">
        <v>-11500</v>
      </c>
      <c r="AB20" s="3">
        <v>-15000</v>
      </c>
      <c r="AC20" s="3">
        <v>-10000</v>
      </c>
      <c r="AD20" s="3">
        <v>-10000</v>
      </c>
      <c r="AE20" s="3">
        <v>-15000</v>
      </c>
      <c r="AF20" s="3">
        <v>15000</v>
      </c>
      <c r="AG20" s="3">
        <v>-10000</v>
      </c>
      <c r="AH20" s="3">
        <v>10000</v>
      </c>
      <c r="AI20" s="3"/>
      <c r="AJ20" s="10">
        <f t="shared" si="23"/>
        <v>-8513</v>
      </c>
      <c r="AK20" s="9"/>
      <c r="AL20">
        <f t="shared" si="1"/>
        <v>-599.99999999999613</v>
      </c>
      <c r="AM20">
        <f t="shared" si="2"/>
        <v>500.00000000000045</v>
      </c>
      <c r="AN20">
        <f t="shared" si="3"/>
        <v>524.99999999999989</v>
      </c>
      <c r="AO20">
        <f t="shared" si="4"/>
        <v>1062.5</v>
      </c>
      <c r="AP20">
        <f t="shared" si="5"/>
        <v>1450.0000000000002</v>
      </c>
      <c r="AQ20">
        <f t="shared" si="6"/>
        <v>725.00000000000011</v>
      </c>
      <c r="AR20">
        <f t="shared" si="7"/>
        <v>1350.0000000000023</v>
      </c>
      <c r="AS20">
        <f t="shared" si="8"/>
        <v>-499.99999999999824</v>
      </c>
      <c r="AT20">
        <f t="shared" si="9"/>
        <v>400.00000000000034</v>
      </c>
      <c r="AU20">
        <f t="shared" si="9"/>
        <v>0</v>
      </c>
      <c r="AV20">
        <f t="shared" si="10"/>
        <v>200.00000000000017</v>
      </c>
      <c r="AW20">
        <f t="shared" si="11"/>
        <v>-150.00000000000125</v>
      </c>
      <c r="AX20">
        <f t="shared" si="12"/>
        <v>-449.99999999999932</v>
      </c>
      <c r="AY20">
        <f t="shared" si="13"/>
        <v>849.99999999999966</v>
      </c>
      <c r="AZ20">
        <f t="shared" si="14"/>
        <v>-950.00000000000193</v>
      </c>
      <c r="BA20">
        <f t="shared" si="15"/>
        <v>-1850.0000000000005</v>
      </c>
      <c r="BB20">
        <f t="shared" si="16"/>
        <v>-2000.0000000000018</v>
      </c>
      <c r="BC20">
        <f t="shared" si="19"/>
        <v>2700</v>
      </c>
      <c r="BD20">
        <f t="shared" si="20"/>
        <v>2650.0000000000014</v>
      </c>
      <c r="BE20">
        <f t="shared" si="21"/>
        <v>-2899.9999999999959</v>
      </c>
      <c r="BF20">
        <f t="shared" si="21"/>
        <v>449.99999999999932</v>
      </c>
      <c r="BG20">
        <f t="shared" si="21"/>
        <v>-246.78500000000071</v>
      </c>
      <c r="BH20">
        <f t="shared" si="21"/>
        <v>-699.99999999999841</v>
      </c>
      <c r="BI20">
        <f t="shared" si="21"/>
        <v>-1150.0000000000009</v>
      </c>
      <c r="BJ20">
        <f t="shared" si="21"/>
        <v>-1162.5000000000018</v>
      </c>
      <c r="BK20">
        <f t="shared" si="21"/>
        <v>-849.99999999999966</v>
      </c>
      <c r="BL20">
        <f t="shared" si="21"/>
        <v>-1200.0000000000011</v>
      </c>
      <c r="BM20">
        <f t="shared" si="22"/>
        <v>-2400.0000000000023</v>
      </c>
      <c r="BN20">
        <f t="shared" si="22"/>
        <v>2249.9999999999986</v>
      </c>
      <c r="BO20">
        <f t="shared" si="22"/>
        <v>-299.99999999999807</v>
      </c>
      <c r="BR20">
        <f t="shared" si="18"/>
        <v>-2296.7849999999939</v>
      </c>
    </row>
    <row r="21" spans="1:70" x14ac:dyDescent="0.2">
      <c r="A21" s="107">
        <v>36968</v>
      </c>
      <c r="B21">
        <f t="shared" si="17"/>
        <v>5.35</v>
      </c>
      <c r="C21" s="5">
        <f>GasDaily!C21</f>
        <v>3.77</v>
      </c>
      <c r="D21" s="3">
        <v>-20000</v>
      </c>
      <c r="E21" s="3">
        <v>5000</v>
      </c>
      <c r="F21" s="3">
        <v>5000</v>
      </c>
      <c r="G21" s="3">
        <v>8500</v>
      </c>
      <c r="H21" s="3">
        <v>10000</v>
      </c>
      <c r="I21" s="3">
        <v>5000</v>
      </c>
      <c r="J21" s="3">
        <v>10000</v>
      </c>
      <c r="K21" s="3">
        <v>10000</v>
      </c>
      <c r="L21" s="3">
        <v>-10000</v>
      </c>
      <c r="M21" s="3">
        <v>-10000</v>
      </c>
      <c r="N21" s="3">
        <v>-10000</v>
      </c>
      <c r="O21" s="3">
        <v>10000</v>
      </c>
      <c r="P21" s="3">
        <v>10000</v>
      </c>
      <c r="Q21" s="3">
        <v>-10000</v>
      </c>
      <c r="R21" s="3">
        <v>10000</v>
      </c>
      <c r="S21" s="3">
        <v>10000</v>
      </c>
      <c r="T21" s="3">
        <v>10000</v>
      </c>
      <c r="U21" s="3">
        <v>-10000</v>
      </c>
      <c r="V21" s="3">
        <v>-10000</v>
      </c>
      <c r="W21" s="3">
        <v>10000</v>
      </c>
      <c r="X21" s="3">
        <v>-10000</v>
      </c>
      <c r="Y21" s="3">
        <v>4487</v>
      </c>
      <c r="Z21" s="3">
        <v>10000</v>
      </c>
      <c r="AA21" s="3">
        <v>-11500</v>
      </c>
      <c r="AB21" s="3">
        <v>-15000</v>
      </c>
      <c r="AC21" s="3">
        <v>-10000</v>
      </c>
      <c r="AD21" s="3">
        <v>-10000</v>
      </c>
      <c r="AE21" s="3">
        <v>-15000</v>
      </c>
      <c r="AF21" s="3">
        <v>15000</v>
      </c>
      <c r="AG21" s="3">
        <v>-10000</v>
      </c>
      <c r="AH21" s="3">
        <v>10000</v>
      </c>
      <c r="AI21" s="3"/>
      <c r="AJ21" s="10">
        <f t="shared" si="23"/>
        <v>-8513</v>
      </c>
      <c r="AK21" s="9"/>
      <c r="AL21">
        <f t="shared" si="1"/>
        <v>-599.99999999999613</v>
      </c>
      <c r="AM21">
        <f t="shared" si="2"/>
        <v>500.00000000000045</v>
      </c>
      <c r="AN21">
        <f t="shared" si="3"/>
        <v>524.99999999999989</v>
      </c>
      <c r="AO21">
        <f t="shared" si="4"/>
        <v>1062.5</v>
      </c>
      <c r="AP21">
        <f t="shared" si="5"/>
        <v>1450.0000000000002</v>
      </c>
      <c r="AQ21">
        <f t="shared" si="6"/>
        <v>725.00000000000011</v>
      </c>
      <c r="AR21">
        <f t="shared" si="7"/>
        <v>1350.0000000000023</v>
      </c>
      <c r="AS21">
        <f t="shared" si="8"/>
        <v>-499.99999999999824</v>
      </c>
      <c r="AT21">
        <f t="shared" si="9"/>
        <v>400.00000000000034</v>
      </c>
      <c r="AU21">
        <f t="shared" si="9"/>
        <v>0</v>
      </c>
      <c r="AV21">
        <f t="shared" si="10"/>
        <v>200.00000000000017</v>
      </c>
      <c r="AW21">
        <f t="shared" si="11"/>
        <v>-150.00000000000125</v>
      </c>
      <c r="AX21">
        <f t="shared" si="12"/>
        <v>-449.99999999999932</v>
      </c>
      <c r="AY21">
        <f t="shared" si="13"/>
        <v>849.99999999999966</v>
      </c>
      <c r="AZ21">
        <f t="shared" si="14"/>
        <v>-950.00000000000193</v>
      </c>
      <c r="BA21">
        <f t="shared" si="15"/>
        <v>-1850.0000000000005</v>
      </c>
      <c r="BB21">
        <f t="shared" si="16"/>
        <v>-2000.0000000000018</v>
      </c>
      <c r="BC21">
        <f t="shared" si="19"/>
        <v>2700</v>
      </c>
      <c r="BD21">
        <f t="shared" si="20"/>
        <v>2650.0000000000014</v>
      </c>
      <c r="BE21">
        <f t="shared" si="21"/>
        <v>-2899.9999999999959</v>
      </c>
      <c r="BF21">
        <f t="shared" si="21"/>
        <v>449.99999999999932</v>
      </c>
      <c r="BG21">
        <f t="shared" si="21"/>
        <v>-246.78500000000071</v>
      </c>
      <c r="BH21">
        <f t="shared" si="21"/>
        <v>-699.99999999999841</v>
      </c>
      <c r="BI21">
        <f t="shared" si="21"/>
        <v>-1150.0000000000009</v>
      </c>
      <c r="BJ21">
        <f t="shared" si="21"/>
        <v>-1162.5000000000018</v>
      </c>
      <c r="BK21">
        <f t="shared" si="21"/>
        <v>-849.99999999999966</v>
      </c>
      <c r="BL21">
        <f t="shared" si="21"/>
        <v>-1200.0000000000011</v>
      </c>
      <c r="BM21">
        <f t="shared" si="22"/>
        <v>-2400.0000000000023</v>
      </c>
      <c r="BN21">
        <f t="shared" si="22"/>
        <v>2249.9999999999986</v>
      </c>
      <c r="BO21">
        <f t="shared" si="22"/>
        <v>-299.99999999999807</v>
      </c>
      <c r="BR21">
        <f t="shared" si="18"/>
        <v>-2296.7849999999939</v>
      </c>
    </row>
    <row r="22" spans="1:70" x14ac:dyDescent="0.2">
      <c r="A22" s="107">
        <v>36969</v>
      </c>
      <c r="B22">
        <f t="shared" si="17"/>
        <v>5.35</v>
      </c>
      <c r="C22" s="5">
        <f>GasDaily!C22</f>
        <v>3.77</v>
      </c>
      <c r="D22" s="3">
        <v>-20000</v>
      </c>
      <c r="E22" s="3">
        <v>5000</v>
      </c>
      <c r="F22" s="3">
        <v>5000</v>
      </c>
      <c r="G22" s="3">
        <v>8500</v>
      </c>
      <c r="H22" s="3">
        <v>10000</v>
      </c>
      <c r="I22" s="3">
        <v>5000</v>
      </c>
      <c r="J22" s="3">
        <v>10000</v>
      </c>
      <c r="K22" s="3">
        <v>10000</v>
      </c>
      <c r="L22" s="3">
        <v>-10000</v>
      </c>
      <c r="M22" s="3">
        <v>-10000</v>
      </c>
      <c r="N22" s="3">
        <v>-10000</v>
      </c>
      <c r="O22" s="3">
        <v>10000</v>
      </c>
      <c r="P22" s="3">
        <v>10000</v>
      </c>
      <c r="Q22" s="3">
        <v>-10000</v>
      </c>
      <c r="R22" s="3">
        <v>10000</v>
      </c>
      <c r="S22" s="3">
        <v>10000</v>
      </c>
      <c r="T22" s="3">
        <v>10000</v>
      </c>
      <c r="U22" s="3">
        <v>-10000</v>
      </c>
      <c r="V22" s="3">
        <v>-10000</v>
      </c>
      <c r="W22" s="3">
        <v>10000</v>
      </c>
      <c r="X22" s="3">
        <v>-10000</v>
      </c>
      <c r="Y22" s="3">
        <v>4487</v>
      </c>
      <c r="Z22" s="3">
        <v>10000</v>
      </c>
      <c r="AA22" s="3">
        <v>-11500</v>
      </c>
      <c r="AB22" s="3">
        <v>-15000</v>
      </c>
      <c r="AC22" s="3">
        <v>-10000</v>
      </c>
      <c r="AD22" s="3">
        <v>-10000</v>
      </c>
      <c r="AE22" s="3">
        <v>-15000</v>
      </c>
      <c r="AF22" s="3">
        <v>15000</v>
      </c>
      <c r="AG22" s="3">
        <v>-10000</v>
      </c>
      <c r="AH22" s="3">
        <v>10000</v>
      </c>
      <c r="AI22" s="3"/>
      <c r="AJ22" s="10">
        <f t="shared" si="23"/>
        <v>-8513</v>
      </c>
      <c r="AK22" s="9"/>
      <c r="AL22">
        <f t="shared" si="1"/>
        <v>-599.99999999999613</v>
      </c>
      <c r="AM22">
        <f t="shared" si="2"/>
        <v>500.00000000000045</v>
      </c>
      <c r="AN22">
        <f t="shared" si="3"/>
        <v>524.99999999999989</v>
      </c>
      <c r="AO22">
        <f t="shared" si="4"/>
        <v>1062.5</v>
      </c>
      <c r="AP22">
        <f t="shared" si="5"/>
        <v>1450.0000000000002</v>
      </c>
      <c r="AQ22">
        <f t="shared" si="6"/>
        <v>725.00000000000011</v>
      </c>
      <c r="AR22">
        <f t="shared" si="7"/>
        <v>1350.0000000000023</v>
      </c>
      <c r="AS22">
        <f t="shared" si="8"/>
        <v>-499.99999999999824</v>
      </c>
      <c r="AT22">
        <f t="shared" si="9"/>
        <v>400.00000000000034</v>
      </c>
      <c r="AU22">
        <f t="shared" si="9"/>
        <v>0</v>
      </c>
      <c r="AV22">
        <f t="shared" si="10"/>
        <v>200.00000000000017</v>
      </c>
      <c r="AW22">
        <f t="shared" si="11"/>
        <v>-150.00000000000125</v>
      </c>
      <c r="AX22">
        <f t="shared" si="12"/>
        <v>-449.99999999999932</v>
      </c>
      <c r="AY22">
        <f t="shared" si="13"/>
        <v>849.99999999999966</v>
      </c>
      <c r="AZ22">
        <f t="shared" si="14"/>
        <v>-950.00000000000193</v>
      </c>
      <c r="BA22">
        <f t="shared" si="15"/>
        <v>-1850.0000000000005</v>
      </c>
      <c r="BB22">
        <f t="shared" si="16"/>
        <v>-2000.0000000000018</v>
      </c>
      <c r="BC22">
        <f t="shared" si="19"/>
        <v>2700</v>
      </c>
      <c r="BD22">
        <f t="shared" si="20"/>
        <v>2650.0000000000014</v>
      </c>
      <c r="BE22">
        <f t="shared" si="21"/>
        <v>-2899.9999999999959</v>
      </c>
      <c r="BF22">
        <f t="shared" si="21"/>
        <v>449.99999999999932</v>
      </c>
      <c r="BG22">
        <f t="shared" si="21"/>
        <v>-246.78500000000071</v>
      </c>
      <c r="BH22">
        <f t="shared" si="21"/>
        <v>-699.99999999999841</v>
      </c>
      <c r="BI22">
        <f t="shared" si="21"/>
        <v>-1150.0000000000009</v>
      </c>
      <c r="BJ22">
        <f t="shared" si="21"/>
        <v>-1162.5000000000018</v>
      </c>
      <c r="BK22">
        <f t="shared" si="21"/>
        <v>-849.99999999999966</v>
      </c>
      <c r="BL22">
        <f t="shared" si="21"/>
        <v>-1200.0000000000011</v>
      </c>
      <c r="BM22">
        <f t="shared" si="22"/>
        <v>-2400.0000000000023</v>
      </c>
      <c r="BN22">
        <f t="shared" si="22"/>
        <v>2249.9999999999986</v>
      </c>
      <c r="BO22">
        <f t="shared" si="22"/>
        <v>-299.99999999999807</v>
      </c>
      <c r="BR22">
        <f t="shared" si="18"/>
        <v>-2296.7849999999939</v>
      </c>
    </row>
    <row r="23" spans="1:70" x14ac:dyDescent="0.2">
      <c r="A23" s="107">
        <v>36970</v>
      </c>
      <c r="B23">
        <f t="shared" si="17"/>
        <v>5.35</v>
      </c>
      <c r="C23" s="5">
        <f>GasDaily!C23</f>
        <v>3.77</v>
      </c>
      <c r="D23" s="3">
        <v>-20000</v>
      </c>
      <c r="E23" s="3">
        <v>5000</v>
      </c>
      <c r="F23" s="3">
        <v>5000</v>
      </c>
      <c r="G23" s="3">
        <v>8500</v>
      </c>
      <c r="H23" s="3">
        <v>10000</v>
      </c>
      <c r="I23" s="3">
        <v>5000</v>
      </c>
      <c r="J23" s="3">
        <v>10000</v>
      </c>
      <c r="K23" s="3">
        <v>10000</v>
      </c>
      <c r="L23" s="3">
        <v>-10000</v>
      </c>
      <c r="M23" s="3">
        <v>-10000</v>
      </c>
      <c r="N23" s="3">
        <v>-10000</v>
      </c>
      <c r="O23" s="3">
        <v>10000</v>
      </c>
      <c r="P23" s="3">
        <v>10000</v>
      </c>
      <c r="Q23" s="3">
        <v>-10000</v>
      </c>
      <c r="R23" s="3">
        <v>10000</v>
      </c>
      <c r="S23" s="3">
        <v>10000</v>
      </c>
      <c r="T23" s="3">
        <v>10000</v>
      </c>
      <c r="U23" s="3">
        <v>-10000</v>
      </c>
      <c r="V23" s="3">
        <v>-10000</v>
      </c>
      <c r="W23" s="3">
        <v>10000</v>
      </c>
      <c r="X23" s="3">
        <v>-10000</v>
      </c>
      <c r="Y23" s="3">
        <v>4487</v>
      </c>
      <c r="Z23" s="3">
        <v>10000</v>
      </c>
      <c r="AA23" s="3">
        <v>-11500</v>
      </c>
      <c r="AB23" s="3">
        <v>-15000</v>
      </c>
      <c r="AC23" s="3">
        <v>-10000</v>
      </c>
      <c r="AD23" s="3">
        <v>-10000</v>
      </c>
      <c r="AE23" s="3">
        <v>-15000</v>
      </c>
      <c r="AF23" s="3">
        <v>15000</v>
      </c>
      <c r="AG23" s="3">
        <v>-10000</v>
      </c>
      <c r="AH23" s="3">
        <v>10000</v>
      </c>
      <c r="AI23" s="3"/>
      <c r="AJ23" s="10">
        <f t="shared" si="23"/>
        <v>-8513</v>
      </c>
      <c r="AK23" s="9"/>
      <c r="AL23">
        <f t="shared" si="1"/>
        <v>-599.99999999999613</v>
      </c>
      <c r="AM23">
        <f t="shared" si="2"/>
        <v>500.00000000000045</v>
      </c>
      <c r="AN23">
        <f t="shared" si="3"/>
        <v>524.99999999999989</v>
      </c>
      <c r="AO23">
        <f t="shared" si="4"/>
        <v>1062.5</v>
      </c>
      <c r="AP23">
        <f t="shared" si="5"/>
        <v>1450.0000000000002</v>
      </c>
      <c r="AQ23">
        <f t="shared" si="6"/>
        <v>725.00000000000011</v>
      </c>
      <c r="AR23">
        <f t="shared" si="7"/>
        <v>1350.0000000000023</v>
      </c>
      <c r="AS23">
        <f t="shared" si="8"/>
        <v>-499.99999999999824</v>
      </c>
      <c r="AT23">
        <f t="shared" si="9"/>
        <v>400.00000000000034</v>
      </c>
      <c r="AU23">
        <f t="shared" si="9"/>
        <v>0</v>
      </c>
      <c r="AV23">
        <f t="shared" si="10"/>
        <v>200.00000000000017</v>
      </c>
      <c r="AW23">
        <f t="shared" si="11"/>
        <v>-150.00000000000125</v>
      </c>
      <c r="AX23">
        <f t="shared" si="12"/>
        <v>-449.99999999999932</v>
      </c>
      <c r="AY23">
        <f t="shared" si="13"/>
        <v>849.99999999999966</v>
      </c>
      <c r="AZ23">
        <f t="shared" si="14"/>
        <v>-950.00000000000193</v>
      </c>
      <c r="BA23">
        <f t="shared" si="15"/>
        <v>-1850.0000000000005</v>
      </c>
      <c r="BB23">
        <f t="shared" si="16"/>
        <v>-2000.0000000000018</v>
      </c>
      <c r="BC23">
        <f t="shared" si="19"/>
        <v>2700</v>
      </c>
      <c r="BD23">
        <f t="shared" si="20"/>
        <v>2650.0000000000014</v>
      </c>
      <c r="BE23">
        <f t="shared" si="21"/>
        <v>-2899.9999999999959</v>
      </c>
      <c r="BF23">
        <f t="shared" si="21"/>
        <v>449.99999999999932</v>
      </c>
      <c r="BG23">
        <f t="shared" si="21"/>
        <v>-246.78500000000071</v>
      </c>
      <c r="BH23">
        <f t="shared" si="21"/>
        <v>-699.99999999999841</v>
      </c>
      <c r="BI23">
        <f t="shared" si="21"/>
        <v>-1150.0000000000009</v>
      </c>
      <c r="BJ23">
        <f t="shared" si="21"/>
        <v>-1162.5000000000018</v>
      </c>
      <c r="BK23">
        <f t="shared" si="21"/>
        <v>-849.99999999999966</v>
      </c>
      <c r="BL23">
        <f t="shared" si="21"/>
        <v>-1200.0000000000011</v>
      </c>
      <c r="BM23">
        <f t="shared" si="22"/>
        <v>-2400.0000000000023</v>
      </c>
      <c r="BN23">
        <f t="shared" si="22"/>
        <v>2249.9999999999986</v>
      </c>
      <c r="BO23">
        <f t="shared" si="22"/>
        <v>-299.99999999999807</v>
      </c>
      <c r="BR23">
        <f t="shared" si="18"/>
        <v>-2296.7849999999939</v>
      </c>
    </row>
    <row r="24" spans="1:70" x14ac:dyDescent="0.2">
      <c r="A24" s="107">
        <v>36971</v>
      </c>
      <c r="B24">
        <f t="shared" si="17"/>
        <v>5.35</v>
      </c>
      <c r="C24" s="5">
        <f>GasDaily!C24</f>
        <v>3.77</v>
      </c>
      <c r="D24" s="3">
        <v>-20000</v>
      </c>
      <c r="E24" s="3">
        <v>5000</v>
      </c>
      <c r="F24" s="3">
        <v>5000</v>
      </c>
      <c r="G24" s="3">
        <v>8500</v>
      </c>
      <c r="H24" s="3">
        <v>10000</v>
      </c>
      <c r="I24" s="3">
        <v>5000</v>
      </c>
      <c r="J24" s="3">
        <v>10000</v>
      </c>
      <c r="K24" s="3">
        <v>10000</v>
      </c>
      <c r="L24" s="3">
        <v>-10000</v>
      </c>
      <c r="M24" s="3">
        <v>-10000</v>
      </c>
      <c r="N24" s="3">
        <v>-10000</v>
      </c>
      <c r="O24" s="3">
        <v>10000</v>
      </c>
      <c r="P24" s="3">
        <v>10000</v>
      </c>
      <c r="Q24" s="3">
        <v>-10000</v>
      </c>
      <c r="R24" s="3">
        <v>10000</v>
      </c>
      <c r="S24" s="3">
        <v>10000</v>
      </c>
      <c r="T24" s="3">
        <v>10000</v>
      </c>
      <c r="U24" s="3">
        <v>-10000</v>
      </c>
      <c r="V24" s="3">
        <v>-10000</v>
      </c>
      <c r="W24" s="3">
        <v>10000</v>
      </c>
      <c r="X24" s="3">
        <v>-10000</v>
      </c>
      <c r="Y24" s="3">
        <v>4487</v>
      </c>
      <c r="Z24" s="3">
        <v>10000</v>
      </c>
      <c r="AA24" s="3">
        <v>-11500</v>
      </c>
      <c r="AB24" s="3">
        <v>-15000</v>
      </c>
      <c r="AC24" s="3">
        <v>-10000</v>
      </c>
      <c r="AD24" s="3">
        <v>-10000</v>
      </c>
      <c r="AE24" s="3">
        <v>-15000</v>
      </c>
      <c r="AF24" s="3">
        <v>15000</v>
      </c>
      <c r="AG24" s="3">
        <v>-10000</v>
      </c>
      <c r="AH24" s="3">
        <v>10000</v>
      </c>
      <c r="AI24" s="3"/>
      <c r="AJ24" s="10">
        <f t="shared" si="23"/>
        <v>-8513</v>
      </c>
      <c r="AK24" s="9"/>
      <c r="AL24">
        <f t="shared" si="1"/>
        <v>-599.99999999999613</v>
      </c>
      <c r="AM24">
        <f t="shared" si="2"/>
        <v>500.00000000000045</v>
      </c>
      <c r="AN24">
        <f t="shared" si="3"/>
        <v>524.99999999999989</v>
      </c>
      <c r="AO24">
        <f t="shared" si="4"/>
        <v>1062.5</v>
      </c>
      <c r="AP24">
        <f t="shared" si="5"/>
        <v>1450.0000000000002</v>
      </c>
      <c r="AQ24">
        <f t="shared" si="6"/>
        <v>725.00000000000011</v>
      </c>
      <c r="AR24">
        <f t="shared" si="7"/>
        <v>1350.0000000000023</v>
      </c>
      <c r="AS24">
        <f t="shared" si="8"/>
        <v>-499.99999999999824</v>
      </c>
      <c r="AT24">
        <f t="shared" si="9"/>
        <v>400.00000000000034</v>
      </c>
      <c r="AU24">
        <f t="shared" si="9"/>
        <v>0</v>
      </c>
      <c r="AV24">
        <f t="shared" si="10"/>
        <v>200.00000000000017</v>
      </c>
      <c r="AW24">
        <f t="shared" si="11"/>
        <v>-150.00000000000125</v>
      </c>
      <c r="AX24">
        <f t="shared" si="12"/>
        <v>-449.99999999999932</v>
      </c>
      <c r="AY24">
        <f t="shared" si="13"/>
        <v>849.99999999999966</v>
      </c>
      <c r="AZ24">
        <f t="shared" si="14"/>
        <v>-950.00000000000193</v>
      </c>
      <c r="BA24">
        <f t="shared" si="15"/>
        <v>-1850.0000000000005</v>
      </c>
      <c r="BB24">
        <f t="shared" si="16"/>
        <v>-2000.0000000000018</v>
      </c>
      <c r="BC24">
        <f t="shared" si="19"/>
        <v>2700</v>
      </c>
      <c r="BD24">
        <f t="shared" si="20"/>
        <v>2650.0000000000014</v>
      </c>
      <c r="BE24">
        <f t="shared" si="21"/>
        <v>-2899.9999999999959</v>
      </c>
      <c r="BF24">
        <f t="shared" si="21"/>
        <v>449.99999999999932</v>
      </c>
      <c r="BG24">
        <f t="shared" si="21"/>
        <v>-246.78500000000071</v>
      </c>
      <c r="BH24">
        <f t="shared" si="21"/>
        <v>-699.99999999999841</v>
      </c>
      <c r="BI24">
        <f t="shared" si="21"/>
        <v>-1150.0000000000009</v>
      </c>
      <c r="BJ24">
        <f t="shared" si="21"/>
        <v>-1162.5000000000018</v>
      </c>
      <c r="BK24">
        <f t="shared" si="21"/>
        <v>-849.99999999999966</v>
      </c>
      <c r="BL24">
        <f t="shared" si="21"/>
        <v>-1200.0000000000011</v>
      </c>
      <c r="BM24">
        <f t="shared" si="22"/>
        <v>-2400.0000000000023</v>
      </c>
      <c r="BN24">
        <f t="shared" si="22"/>
        <v>2249.9999999999986</v>
      </c>
      <c r="BO24">
        <f t="shared" si="22"/>
        <v>-299.99999999999807</v>
      </c>
      <c r="BR24">
        <f t="shared" si="18"/>
        <v>-2296.7849999999939</v>
      </c>
    </row>
    <row r="25" spans="1:70" x14ac:dyDescent="0.2">
      <c r="A25" s="107">
        <v>36972</v>
      </c>
      <c r="B25">
        <f t="shared" si="17"/>
        <v>5.35</v>
      </c>
      <c r="C25" s="5">
        <f>GasDaily!C25</f>
        <v>3.77</v>
      </c>
      <c r="D25" s="3">
        <v>-20000</v>
      </c>
      <c r="E25" s="3">
        <v>5000</v>
      </c>
      <c r="F25" s="3">
        <v>5000</v>
      </c>
      <c r="G25" s="3">
        <v>8500</v>
      </c>
      <c r="H25" s="3">
        <v>10000</v>
      </c>
      <c r="I25" s="3">
        <v>5000</v>
      </c>
      <c r="J25" s="3">
        <v>10000</v>
      </c>
      <c r="K25" s="3">
        <v>10000</v>
      </c>
      <c r="L25" s="3">
        <v>-10000</v>
      </c>
      <c r="M25" s="3">
        <v>-10000</v>
      </c>
      <c r="N25" s="3">
        <v>-10000</v>
      </c>
      <c r="O25" s="3">
        <v>10000</v>
      </c>
      <c r="P25" s="3">
        <v>10000</v>
      </c>
      <c r="Q25" s="3">
        <v>-10000</v>
      </c>
      <c r="R25" s="3">
        <v>10000</v>
      </c>
      <c r="S25" s="3">
        <v>10000</v>
      </c>
      <c r="T25" s="3">
        <v>10000</v>
      </c>
      <c r="U25" s="3">
        <v>-10000</v>
      </c>
      <c r="V25" s="3">
        <v>-10000</v>
      </c>
      <c r="W25" s="3">
        <v>10000</v>
      </c>
      <c r="X25" s="3">
        <v>-10000</v>
      </c>
      <c r="Y25" s="3">
        <v>4487</v>
      </c>
      <c r="Z25" s="3">
        <v>10000</v>
      </c>
      <c r="AA25" s="3">
        <v>-11500</v>
      </c>
      <c r="AB25" s="3">
        <v>-15000</v>
      </c>
      <c r="AC25" s="3">
        <v>-10000</v>
      </c>
      <c r="AD25" s="3">
        <v>-10000</v>
      </c>
      <c r="AE25" s="3">
        <v>-15000</v>
      </c>
      <c r="AF25" s="3">
        <v>15000</v>
      </c>
      <c r="AG25" s="3">
        <v>-10000</v>
      </c>
      <c r="AH25" s="3">
        <v>10000</v>
      </c>
      <c r="AI25" s="3"/>
      <c r="AJ25" s="10">
        <f t="shared" si="23"/>
        <v>-8513</v>
      </c>
      <c r="AK25" s="9"/>
      <c r="AL25">
        <f t="shared" si="1"/>
        <v>-599.99999999999613</v>
      </c>
      <c r="AM25">
        <f t="shared" si="2"/>
        <v>500.00000000000045</v>
      </c>
      <c r="AN25">
        <f t="shared" si="3"/>
        <v>524.99999999999989</v>
      </c>
      <c r="AO25">
        <f t="shared" si="4"/>
        <v>1062.5</v>
      </c>
      <c r="AP25">
        <f t="shared" si="5"/>
        <v>1450.0000000000002</v>
      </c>
      <c r="AQ25">
        <f t="shared" si="6"/>
        <v>725.00000000000011</v>
      </c>
      <c r="AR25">
        <f t="shared" si="7"/>
        <v>1350.0000000000023</v>
      </c>
      <c r="AS25">
        <f t="shared" si="8"/>
        <v>-499.99999999999824</v>
      </c>
      <c r="AT25">
        <f t="shared" si="9"/>
        <v>400.00000000000034</v>
      </c>
      <c r="AU25">
        <f t="shared" si="9"/>
        <v>0</v>
      </c>
      <c r="AV25">
        <f t="shared" si="10"/>
        <v>200.00000000000017</v>
      </c>
      <c r="AW25">
        <f t="shared" si="11"/>
        <v>-150.00000000000125</v>
      </c>
      <c r="AX25">
        <f t="shared" si="12"/>
        <v>-449.99999999999932</v>
      </c>
      <c r="AY25">
        <f t="shared" si="13"/>
        <v>849.99999999999966</v>
      </c>
      <c r="AZ25">
        <f t="shared" si="14"/>
        <v>-950.00000000000193</v>
      </c>
      <c r="BA25">
        <f t="shared" si="15"/>
        <v>-1850.0000000000005</v>
      </c>
      <c r="BB25">
        <f t="shared" si="16"/>
        <v>-2000.0000000000018</v>
      </c>
      <c r="BC25">
        <f t="shared" si="19"/>
        <v>2700</v>
      </c>
      <c r="BD25">
        <f t="shared" si="20"/>
        <v>2650.0000000000014</v>
      </c>
      <c r="BE25">
        <f t="shared" si="21"/>
        <v>-2899.9999999999959</v>
      </c>
      <c r="BF25">
        <f t="shared" si="21"/>
        <v>449.99999999999932</v>
      </c>
      <c r="BG25">
        <f t="shared" si="21"/>
        <v>-246.78500000000071</v>
      </c>
      <c r="BH25">
        <f t="shared" si="21"/>
        <v>-699.99999999999841</v>
      </c>
      <c r="BI25">
        <f t="shared" si="21"/>
        <v>-1150.0000000000009</v>
      </c>
      <c r="BJ25">
        <f t="shared" si="21"/>
        <v>-1162.5000000000018</v>
      </c>
      <c r="BK25">
        <f t="shared" si="21"/>
        <v>-849.99999999999966</v>
      </c>
      <c r="BL25">
        <f t="shared" si="21"/>
        <v>-1200.0000000000011</v>
      </c>
      <c r="BM25">
        <f t="shared" si="22"/>
        <v>-2400.0000000000023</v>
      </c>
      <c r="BN25">
        <f t="shared" si="22"/>
        <v>2249.9999999999986</v>
      </c>
      <c r="BO25">
        <f t="shared" si="22"/>
        <v>-299.99999999999807</v>
      </c>
      <c r="BR25">
        <f t="shared" si="18"/>
        <v>-2296.7849999999939</v>
      </c>
    </row>
    <row r="26" spans="1:70" x14ac:dyDescent="0.2">
      <c r="A26" s="107">
        <v>36973</v>
      </c>
      <c r="B26">
        <f t="shared" si="17"/>
        <v>5.35</v>
      </c>
      <c r="C26" s="5">
        <f>GasDaily!C26</f>
        <v>3.77</v>
      </c>
      <c r="D26" s="3">
        <v>-20000</v>
      </c>
      <c r="E26" s="3">
        <v>5000</v>
      </c>
      <c r="F26" s="3">
        <v>5000</v>
      </c>
      <c r="G26" s="3">
        <v>8500</v>
      </c>
      <c r="H26" s="3">
        <v>10000</v>
      </c>
      <c r="I26" s="3">
        <v>5000</v>
      </c>
      <c r="J26" s="3">
        <v>10000</v>
      </c>
      <c r="K26" s="3">
        <v>10000</v>
      </c>
      <c r="L26" s="3">
        <v>-10000</v>
      </c>
      <c r="M26" s="3">
        <v>-10000</v>
      </c>
      <c r="N26" s="3">
        <v>-10000</v>
      </c>
      <c r="O26" s="3">
        <v>10000</v>
      </c>
      <c r="P26" s="3">
        <v>10000</v>
      </c>
      <c r="Q26" s="3">
        <v>-10000</v>
      </c>
      <c r="R26" s="3">
        <v>10000</v>
      </c>
      <c r="S26" s="3">
        <v>10000</v>
      </c>
      <c r="T26" s="3">
        <v>10000</v>
      </c>
      <c r="U26" s="3">
        <v>-10000</v>
      </c>
      <c r="V26" s="3">
        <v>-10000</v>
      </c>
      <c r="W26" s="3">
        <v>10000</v>
      </c>
      <c r="X26" s="3">
        <v>-10000</v>
      </c>
      <c r="Y26" s="3">
        <v>4487</v>
      </c>
      <c r="Z26" s="3">
        <v>10000</v>
      </c>
      <c r="AA26" s="3">
        <v>-11500</v>
      </c>
      <c r="AB26" s="3">
        <v>-15000</v>
      </c>
      <c r="AC26" s="3">
        <v>-10000</v>
      </c>
      <c r="AD26" s="3">
        <v>-10000</v>
      </c>
      <c r="AE26" s="3">
        <v>-15000</v>
      </c>
      <c r="AF26" s="3">
        <v>15000</v>
      </c>
      <c r="AG26" s="3">
        <v>-10000</v>
      </c>
      <c r="AH26" s="3">
        <v>10000</v>
      </c>
      <c r="AI26" s="3"/>
      <c r="AJ26" s="10">
        <f t="shared" si="23"/>
        <v>-8513</v>
      </c>
      <c r="AK26" s="9"/>
      <c r="AL26">
        <f t="shared" si="1"/>
        <v>-599.99999999999613</v>
      </c>
      <c r="AM26">
        <f t="shared" si="2"/>
        <v>500.00000000000045</v>
      </c>
      <c r="AN26">
        <f t="shared" si="3"/>
        <v>524.99999999999989</v>
      </c>
      <c r="AO26">
        <f t="shared" si="4"/>
        <v>1062.5</v>
      </c>
      <c r="AP26">
        <f t="shared" si="5"/>
        <v>1450.0000000000002</v>
      </c>
      <c r="AQ26">
        <f t="shared" si="6"/>
        <v>725.00000000000011</v>
      </c>
      <c r="AR26">
        <f t="shared" si="7"/>
        <v>1350.0000000000023</v>
      </c>
      <c r="AS26">
        <f t="shared" si="8"/>
        <v>-499.99999999999824</v>
      </c>
      <c r="AT26">
        <f t="shared" si="9"/>
        <v>400.00000000000034</v>
      </c>
      <c r="AU26">
        <f t="shared" si="9"/>
        <v>0</v>
      </c>
      <c r="AV26">
        <f t="shared" si="10"/>
        <v>200.00000000000017</v>
      </c>
      <c r="AW26">
        <f t="shared" si="11"/>
        <v>-150.00000000000125</v>
      </c>
      <c r="AX26">
        <f t="shared" si="12"/>
        <v>-449.99999999999932</v>
      </c>
      <c r="AY26">
        <f t="shared" si="13"/>
        <v>849.99999999999966</v>
      </c>
      <c r="AZ26">
        <f t="shared" si="14"/>
        <v>-950.00000000000193</v>
      </c>
      <c r="BA26">
        <f t="shared" si="15"/>
        <v>-1850.0000000000005</v>
      </c>
      <c r="BB26">
        <f t="shared" si="16"/>
        <v>-2000.0000000000018</v>
      </c>
      <c r="BC26">
        <f t="shared" si="19"/>
        <v>2700</v>
      </c>
      <c r="BD26">
        <f t="shared" si="20"/>
        <v>2650.0000000000014</v>
      </c>
      <c r="BE26">
        <f t="shared" si="21"/>
        <v>-2899.9999999999959</v>
      </c>
      <c r="BF26">
        <f t="shared" si="21"/>
        <v>449.99999999999932</v>
      </c>
      <c r="BG26">
        <f t="shared" si="21"/>
        <v>-246.78500000000071</v>
      </c>
      <c r="BH26">
        <f t="shared" si="21"/>
        <v>-699.99999999999841</v>
      </c>
      <c r="BI26">
        <f t="shared" si="21"/>
        <v>-1150.0000000000009</v>
      </c>
      <c r="BJ26">
        <f t="shared" si="21"/>
        <v>-1162.5000000000018</v>
      </c>
      <c r="BK26">
        <f t="shared" si="21"/>
        <v>-849.99999999999966</v>
      </c>
      <c r="BL26">
        <f t="shared" si="21"/>
        <v>-1200.0000000000011</v>
      </c>
      <c r="BM26">
        <f t="shared" si="22"/>
        <v>-2400.0000000000023</v>
      </c>
      <c r="BN26">
        <f t="shared" si="22"/>
        <v>2249.9999999999986</v>
      </c>
      <c r="BO26">
        <f t="shared" si="22"/>
        <v>-299.99999999999807</v>
      </c>
      <c r="BR26">
        <f t="shared" si="18"/>
        <v>-2296.7849999999939</v>
      </c>
    </row>
    <row r="27" spans="1:70" x14ac:dyDescent="0.2">
      <c r="A27" s="107">
        <v>36974</v>
      </c>
      <c r="B27">
        <f t="shared" si="17"/>
        <v>5.35</v>
      </c>
      <c r="C27" s="5">
        <f>GasDaily!C27</f>
        <v>3.77</v>
      </c>
      <c r="D27" s="3">
        <v>-20000</v>
      </c>
      <c r="E27" s="3">
        <v>5000</v>
      </c>
      <c r="F27" s="3">
        <v>5000</v>
      </c>
      <c r="G27" s="3">
        <v>8500</v>
      </c>
      <c r="H27" s="3">
        <v>10000</v>
      </c>
      <c r="I27" s="3">
        <v>5000</v>
      </c>
      <c r="J27" s="3">
        <v>10000</v>
      </c>
      <c r="K27" s="3">
        <v>10000</v>
      </c>
      <c r="L27" s="3">
        <v>-10000</v>
      </c>
      <c r="M27" s="3">
        <v>-10000</v>
      </c>
      <c r="N27" s="3">
        <v>-10000</v>
      </c>
      <c r="O27" s="3">
        <v>10000</v>
      </c>
      <c r="P27" s="3">
        <v>10000</v>
      </c>
      <c r="Q27" s="3">
        <v>-10000</v>
      </c>
      <c r="R27" s="3">
        <v>10000</v>
      </c>
      <c r="S27" s="3">
        <v>10000</v>
      </c>
      <c r="T27" s="3">
        <v>10000</v>
      </c>
      <c r="U27" s="3">
        <v>-10000</v>
      </c>
      <c r="V27" s="3">
        <v>-10000</v>
      </c>
      <c r="W27" s="3">
        <v>10000</v>
      </c>
      <c r="X27" s="3">
        <v>-10000</v>
      </c>
      <c r="Y27" s="3">
        <v>4487</v>
      </c>
      <c r="Z27" s="3">
        <v>10000</v>
      </c>
      <c r="AA27" s="3">
        <v>-11500</v>
      </c>
      <c r="AB27" s="3">
        <v>-15000</v>
      </c>
      <c r="AC27" s="3">
        <v>-10000</v>
      </c>
      <c r="AD27" s="3">
        <v>-10000</v>
      </c>
      <c r="AE27" s="3">
        <v>-15000</v>
      </c>
      <c r="AF27" s="3">
        <v>15000</v>
      </c>
      <c r="AG27" s="3">
        <v>-10000</v>
      </c>
      <c r="AH27" s="3">
        <v>10000</v>
      </c>
      <c r="AI27" s="3"/>
      <c r="AJ27" s="10">
        <f t="shared" si="23"/>
        <v>-8513</v>
      </c>
      <c r="AK27" s="9"/>
      <c r="AL27">
        <f t="shared" si="1"/>
        <v>-599.99999999999613</v>
      </c>
      <c r="AM27">
        <f t="shared" si="2"/>
        <v>500.00000000000045</v>
      </c>
      <c r="AN27">
        <f t="shared" si="3"/>
        <v>524.99999999999989</v>
      </c>
      <c r="AO27">
        <f t="shared" si="4"/>
        <v>1062.5</v>
      </c>
      <c r="AP27">
        <f t="shared" si="5"/>
        <v>1450.0000000000002</v>
      </c>
      <c r="AQ27">
        <f t="shared" si="6"/>
        <v>725.00000000000011</v>
      </c>
      <c r="AR27">
        <f t="shared" si="7"/>
        <v>1350.0000000000023</v>
      </c>
      <c r="AS27">
        <f t="shared" si="8"/>
        <v>-499.99999999999824</v>
      </c>
      <c r="AT27">
        <f t="shared" si="9"/>
        <v>400.00000000000034</v>
      </c>
      <c r="AU27">
        <f t="shared" si="9"/>
        <v>0</v>
      </c>
      <c r="AV27">
        <f t="shared" si="10"/>
        <v>200.00000000000017</v>
      </c>
      <c r="AW27">
        <f t="shared" si="11"/>
        <v>-150.00000000000125</v>
      </c>
      <c r="AX27">
        <f t="shared" si="12"/>
        <v>-449.99999999999932</v>
      </c>
      <c r="AY27">
        <f t="shared" si="13"/>
        <v>849.99999999999966</v>
      </c>
      <c r="AZ27">
        <f t="shared" si="14"/>
        <v>-950.00000000000193</v>
      </c>
      <c r="BA27">
        <f t="shared" si="15"/>
        <v>-1850.0000000000005</v>
      </c>
      <c r="BB27">
        <f t="shared" si="16"/>
        <v>-2000.0000000000018</v>
      </c>
      <c r="BC27">
        <f t="shared" si="19"/>
        <v>2700</v>
      </c>
      <c r="BD27">
        <f t="shared" si="20"/>
        <v>2650.0000000000014</v>
      </c>
      <c r="BE27">
        <f t="shared" si="21"/>
        <v>-2899.9999999999959</v>
      </c>
      <c r="BF27">
        <f t="shared" si="21"/>
        <v>449.99999999999932</v>
      </c>
      <c r="BG27">
        <f t="shared" si="21"/>
        <v>-246.78500000000071</v>
      </c>
      <c r="BH27">
        <f t="shared" si="21"/>
        <v>-699.99999999999841</v>
      </c>
      <c r="BI27">
        <f t="shared" si="21"/>
        <v>-1150.0000000000009</v>
      </c>
      <c r="BJ27">
        <f t="shared" si="21"/>
        <v>-1162.5000000000018</v>
      </c>
      <c r="BK27">
        <f t="shared" si="21"/>
        <v>-849.99999999999966</v>
      </c>
      <c r="BL27">
        <f t="shared" si="21"/>
        <v>-1200.0000000000011</v>
      </c>
      <c r="BM27">
        <f t="shared" si="22"/>
        <v>-2400.0000000000023</v>
      </c>
      <c r="BN27">
        <f t="shared" si="22"/>
        <v>2249.9999999999986</v>
      </c>
      <c r="BO27">
        <f t="shared" si="22"/>
        <v>-299.99999999999807</v>
      </c>
      <c r="BR27">
        <f t="shared" si="18"/>
        <v>-2296.7849999999939</v>
      </c>
    </row>
    <row r="28" spans="1:70" x14ac:dyDescent="0.2">
      <c r="A28" s="107">
        <v>36975</v>
      </c>
      <c r="B28">
        <f t="shared" si="17"/>
        <v>5.35</v>
      </c>
      <c r="C28" s="5">
        <f>GasDaily!C28</f>
        <v>3.77</v>
      </c>
      <c r="D28" s="3">
        <v>-20000</v>
      </c>
      <c r="E28" s="3">
        <v>5000</v>
      </c>
      <c r="F28" s="3">
        <v>5000</v>
      </c>
      <c r="G28" s="3">
        <v>8500</v>
      </c>
      <c r="H28" s="3">
        <v>10000</v>
      </c>
      <c r="I28" s="3">
        <v>5000</v>
      </c>
      <c r="J28" s="3">
        <v>10000</v>
      </c>
      <c r="K28" s="3">
        <v>10000</v>
      </c>
      <c r="L28" s="3">
        <v>-10000</v>
      </c>
      <c r="M28" s="3">
        <v>-10000</v>
      </c>
      <c r="N28" s="3">
        <v>-10000</v>
      </c>
      <c r="O28" s="3">
        <v>10000</v>
      </c>
      <c r="P28" s="3">
        <v>10000</v>
      </c>
      <c r="Q28" s="3">
        <v>-10000</v>
      </c>
      <c r="R28" s="3">
        <v>10000</v>
      </c>
      <c r="S28" s="3">
        <v>10000</v>
      </c>
      <c r="T28" s="3">
        <v>10000</v>
      </c>
      <c r="U28" s="3">
        <v>-10000</v>
      </c>
      <c r="V28" s="3">
        <v>-10000</v>
      </c>
      <c r="W28" s="3">
        <v>10000</v>
      </c>
      <c r="X28" s="3">
        <v>-10000</v>
      </c>
      <c r="Y28" s="3">
        <v>4487</v>
      </c>
      <c r="Z28" s="3">
        <v>10000</v>
      </c>
      <c r="AA28" s="3">
        <v>-11500</v>
      </c>
      <c r="AB28" s="3">
        <v>-15000</v>
      </c>
      <c r="AC28" s="3">
        <v>-10000</v>
      </c>
      <c r="AD28" s="3">
        <v>-10000</v>
      </c>
      <c r="AE28" s="3">
        <v>-15000</v>
      </c>
      <c r="AF28" s="3">
        <v>15000</v>
      </c>
      <c r="AG28" s="3">
        <v>-10000</v>
      </c>
      <c r="AH28" s="3">
        <v>10000</v>
      </c>
      <c r="AI28" s="3"/>
      <c r="AJ28" s="10">
        <f t="shared" si="23"/>
        <v>-8513</v>
      </c>
      <c r="AK28" s="9"/>
      <c r="AL28">
        <f t="shared" si="1"/>
        <v>-599.99999999999613</v>
      </c>
      <c r="AM28">
        <f t="shared" si="2"/>
        <v>500.00000000000045</v>
      </c>
      <c r="AN28">
        <f t="shared" si="3"/>
        <v>524.99999999999989</v>
      </c>
      <c r="AO28">
        <f t="shared" si="4"/>
        <v>1062.5</v>
      </c>
      <c r="AP28">
        <f t="shared" si="5"/>
        <v>1450.0000000000002</v>
      </c>
      <c r="AQ28">
        <f t="shared" si="6"/>
        <v>725.00000000000011</v>
      </c>
      <c r="AR28">
        <f t="shared" si="7"/>
        <v>1350.0000000000023</v>
      </c>
      <c r="AS28">
        <f t="shared" si="8"/>
        <v>-499.99999999999824</v>
      </c>
      <c r="AT28">
        <f t="shared" si="9"/>
        <v>400.00000000000034</v>
      </c>
      <c r="AU28">
        <f t="shared" si="9"/>
        <v>0</v>
      </c>
      <c r="AV28">
        <f t="shared" si="10"/>
        <v>200.00000000000017</v>
      </c>
      <c r="AW28">
        <f t="shared" si="11"/>
        <v>-150.00000000000125</v>
      </c>
      <c r="AX28">
        <f t="shared" si="12"/>
        <v>-449.99999999999932</v>
      </c>
      <c r="AY28">
        <f t="shared" si="13"/>
        <v>849.99999999999966</v>
      </c>
      <c r="AZ28">
        <f t="shared" si="14"/>
        <v>-950.00000000000193</v>
      </c>
      <c r="BA28">
        <f t="shared" si="15"/>
        <v>-1850.0000000000005</v>
      </c>
      <c r="BB28">
        <f t="shared" si="16"/>
        <v>-2000.0000000000018</v>
      </c>
      <c r="BC28">
        <f t="shared" si="19"/>
        <v>2700</v>
      </c>
      <c r="BD28">
        <f t="shared" si="20"/>
        <v>2650.0000000000014</v>
      </c>
      <c r="BE28">
        <f t="shared" si="21"/>
        <v>-2899.9999999999959</v>
      </c>
      <c r="BF28">
        <f t="shared" si="21"/>
        <v>449.99999999999932</v>
      </c>
      <c r="BG28">
        <f t="shared" si="21"/>
        <v>-246.78500000000071</v>
      </c>
      <c r="BH28">
        <f t="shared" si="21"/>
        <v>-699.99999999999841</v>
      </c>
      <c r="BI28">
        <f t="shared" si="21"/>
        <v>-1150.0000000000009</v>
      </c>
      <c r="BJ28">
        <f t="shared" si="21"/>
        <v>-1162.5000000000018</v>
      </c>
      <c r="BK28">
        <f t="shared" si="21"/>
        <v>-849.99999999999966</v>
      </c>
      <c r="BL28">
        <f t="shared" si="21"/>
        <v>-1200.0000000000011</v>
      </c>
      <c r="BM28">
        <f t="shared" si="22"/>
        <v>-2400.0000000000023</v>
      </c>
      <c r="BN28">
        <f t="shared" si="22"/>
        <v>2249.9999999999986</v>
      </c>
      <c r="BO28">
        <f t="shared" si="22"/>
        <v>-299.99999999999807</v>
      </c>
      <c r="BR28">
        <f t="shared" si="18"/>
        <v>-2296.7849999999939</v>
      </c>
    </row>
    <row r="29" spans="1:70" x14ac:dyDescent="0.2">
      <c r="A29" s="107">
        <v>36976</v>
      </c>
      <c r="B29">
        <f t="shared" si="17"/>
        <v>5.35</v>
      </c>
      <c r="C29" s="5">
        <f>GasDaily!C29</f>
        <v>3.77</v>
      </c>
      <c r="D29" s="3">
        <v>-20000</v>
      </c>
      <c r="E29" s="3">
        <v>5000</v>
      </c>
      <c r="F29" s="3">
        <v>5000</v>
      </c>
      <c r="G29" s="3">
        <v>8500</v>
      </c>
      <c r="H29" s="3">
        <v>10000</v>
      </c>
      <c r="I29" s="3">
        <v>5000</v>
      </c>
      <c r="J29" s="3">
        <v>10000</v>
      </c>
      <c r="K29" s="3">
        <v>10000</v>
      </c>
      <c r="L29" s="3">
        <v>-10000</v>
      </c>
      <c r="M29" s="3">
        <v>-10000</v>
      </c>
      <c r="N29" s="3">
        <v>-10000</v>
      </c>
      <c r="O29" s="3">
        <v>10000</v>
      </c>
      <c r="P29" s="3">
        <v>10000</v>
      </c>
      <c r="Q29" s="3">
        <v>-10000</v>
      </c>
      <c r="R29" s="3">
        <v>10000</v>
      </c>
      <c r="S29" s="3">
        <v>10000</v>
      </c>
      <c r="T29" s="3">
        <v>10000</v>
      </c>
      <c r="U29" s="3">
        <v>-10000</v>
      </c>
      <c r="V29" s="3">
        <v>-10000</v>
      </c>
      <c r="W29" s="3">
        <v>10000</v>
      </c>
      <c r="X29" s="3">
        <v>-10000</v>
      </c>
      <c r="Y29" s="3">
        <v>4487</v>
      </c>
      <c r="Z29" s="3">
        <v>10000</v>
      </c>
      <c r="AA29" s="3">
        <v>-11500</v>
      </c>
      <c r="AB29" s="3">
        <v>-15000</v>
      </c>
      <c r="AC29" s="3">
        <v>-10000</v>
      </c>
      <c r="AD29" s="3">
        <v>-10000</v>
      </c>
      <c r="AE29" s="3">
        <v>-15000</v>
      </c>
      <c r="AF29" s="3">
        <v>15000</v>
      </c>
      <c r="AG29" s="3">
        <v>-10000</v>
      </c>
      <c r="AH29" s="3">
        <v>10000</v>
      </c>
      <c r="AI29" s="3"/>
      <c r="AJ29" s="10">
        <f t="shared" si="23"/>
        <v>-8513</v>
      </c>
      <c r="AK29" s="9"/>
      <c r="AL29">
        <f t="shared" si="1"/>
        <v>-599.99999999999613</v>
      </c>
      <c r="AM29">
        <f t="shared" si="2"/>
        <v>500.00000000000045</v>
      </c>
      <c r="AN29">
        <f t="shared" si="3"/>
        <v>524.99999999999989</v>
      </c>
      <c r="AO29">
        <f t="shared" si="4"/>
        <v>1062.5</v>
      </c>
      <c r="AP29">
        <f t="shared" si="5"/>
        <v>1450.0000000000002</v>
      </c>
      <c r="AQ29">
        <f t="shared" si="6"/>
        <v>725.00000000000011</v>
      </c>
      <c r="AR29">
        <f t="shared" si="7"/>
        <v>1350.0000000000023</v>
      </c>
      <c r="AS29">
        <f t="shared" si="8"/>
        <v>-499.99999999999824</v>
      </c>
      <c r="AT29">
        <f t="shared" si="9"/>
        <v>400.00000000000034</v>
      </c>
      <c r="AU29">
        <f t="shared" si="9"/>
        <v>0</v>
      </c>
      <c r="AV29">
        <f t="shared" si="10"/>
        <v>200.00000000000017</v>
      </c>
      <c r="AW29">
        <f t="shared" si="11"/>
        <v>-150.00000000000125</v>
      </c>
      <c r="AX29">
        <f t="shared" si="12"/>
        <v>-449.99999999999932</v>
      </c>
      <c r="AY29">
        <f t="shared" si="13"/>
        <v>849.99999999999966</v>
      </c>
      <c r="AZ29">
        <f t="shared" si="14"/>
        <v>-950.00000000000193</v>
      </c>
      <c r="BA29">
        <f t="shared" si="15"/>
        <v>-1850.0000000000005</v>
      </c>
      <c r="BB29">
        <f t="shared" si="16"/>
        <v>-2000.0000000000018</v>
      </c>
      <c r="BC29">
        <f t="shared" si="19"/>
        <v>2700</v>
      </c>
      <c r="BD29">
        <f t="shared" si="20"/>
        <v>2650.0000000000014</v>
      </c>
      <c r="BE29">
        <f t="shared" si="21"/>
        <v>-2899.9999999999959</v>
      </c>
      <c r="BF29">
        <f t="shared" si="21"/>
        <v>449.99999999999932</v>
      </c>
      <c r="BG29">
        <f t="shared" si="21"/>
        <v>-246.78500000000071</v>
      </c>
      <c r="BH29">
        <f t="shared" si="21"/>
        <v>-699.99999999999841</v>
      </c>
      <c r="BI29">
        <f t="shared" si="21"/>
        <v>-1150.0000000000009</v>
      </c>
      <c r="BJ29">
        <f t="shared" si="21"/>
        <v>-1162.5000000000018</v>
      </c>
      <c r="BK29">
        <f t="shared" si="21"/>
        <v>-849.99999999999966</v>
      </c>
      <c r="BL29">
        <f t="shared" si="21"/>
        <v>-1200.0000000000011</v>
      </c>
      <c r="BM29">
        <f t="shared" si="22"/>
        <v>-2400.0000000000023</v>
      </c>
      <c r="BN29">
        <f t="shared" si="22"/>
        <v>2249.9999999999986</v>
      </c>
      <c r="BO29">
        <f t="shared" si="22"/>
        <v>-299.99999999999807</v>
      </c>
      <c r="BR29">
        <f t="shared" si="18"/>
        <v>-2296.7849999999939</v>
      </c>
    </row>
    <row r="30" spans="1:70" x14ac:dyDescent="0.2">
      <c r="A30" s="107">
        <v>36977</v>
      </c>
      <c r="B30">
        <f t="shared" si="17"/>
        <v>5.35</v>
      </c>
      <c r="C30" s="5">
        <f>GasDaily!C30</f>
        <v>3.77</v>
      </c>
      <c r="D30" s="3">
        <v>-20000</v>
      </c>
      <c r="E30" s="3">
        <v>5000</v>
      </c>
      <c r="F30" s="3">
        <v>5000</v>
      </c>
      <c r="G30" s="3">
        <v>8500</v>
      </c>
      <c r="H30" s="3">
        <v>10000</v>
      </c>
      <c r="I30" s="3">
        <v>5000</v>
      </c>
      <c r="J30" s="3">
        <v>10000</v>
      </c>
      <c r="K30" s="3">
        <v>10000</v>
      </c>
      <c r="L30" s="3">
        <v>-10000</v>
      </c>
      <c r="M30" s="3">
        <v>-10000</v>
      </c>
      <c r="N30" s="3">
        <v>-10000</v>
      </c>
      <c r="O30" s="3">
        <v>10000</v>
      </c>
      <c r="P30" s="3">
        <v>10000</v>
      </c>
      <c r="Q30" s="3">
        <v>-10000</v>
      </c>
      <c r="R30" s="3">
        <v>10000</v>
      </c>
      <c r="S30" s="3">
        <v>10000</v>
      </c>
      <c r="T30" s="3">
        <v>10000</v>
      </c>
      <c r="U30" s="3">
        <v>-10000</v>
      </c>
      <c r="V30" s="3">
        <v>-10000</v>
      </c>
      <c r="W30" s="3">
        <v>10000</v>
      </c>
      <c r="X30" s="3">
        <v>-10000</v>
      </c>
      <c r="Y30" s="3">
        <v>4487</v>
      </c>
      <c r="Z30" s="3">
        <v>10000</v>
      </c>
      <c r="AA30" s="3">
        <v>-11500</v>
      </c>
      <c r="AB30" s="3">
        <v>-15000</v>
      </c>
      <c r="AC30" s="3">
        <v>-10000</v>
      </c>
      <c r="AD30" s="3">
        <v>-10000</v>
      </c>
      <c r="AE30" s="3">
        <v>-15000</v>
      </c>
      <c r="AF30" s="3">
        <v>15000</v>
      </c>
      <c r="AG30" s="3">
        <v>-10000</v>
      </c>
      <c r="AH30" s="3">
        <v>10000</v>
      </c>
      <c r="AI30" s="3"/>
      <c r="AJ30" s="10">
        <f t="shared" si="23"/>
        <v>-8513</v>
      </c>
      <c r="AK30" s="9"/>
      <c r="AL30">
        <f t="shared" si="1"/>
        <v>-599.99999999999613</v>
      </c>
      <c r="AM30">
        <f t="shared" si="2"/>
        <v>500.00000000000045</v>
      </c>
      <c r="AN30">
        <f t="shared" si="3"/>
        <v>524.99999999999989</v>
      </c>
      <c r="AO30">
        <f t="shared" si="4"/>
        <v>1062.5</v>
      </c>
      <c r="AP30">
        <f t="shared" si="5"/>
        <v>1450.0000000000002</v>
      </c>
      <c r="AQ30">
        <f t="shared" si="6"/>
        <v>725.00000000000011</v>
      </c>
      <c r="AR30">
        <f t="shared" si="7"/>
        <v>1350.0000000000023</v>
      </c>
      <c r="AS30">
        <f t="shared" si="8"/>
        <v>-499.99999999999824</v>
      </c>
      <c r="AT30">
        <f t="shared" si="9"/>
        <v>400.00000000000034</v>
      </c>
      <c r="AU30">
        <f t="shared" si="9"/>
        <v>0</v>
      </c>
      <c r="AV30">
        <f t="shared" si="10"/>
        <v>200.00000000000017</v>
      </c>
      <c r="AW30">
        <f t="shared" si="11"/>
        <v>-150.00000000000125</v>
      </c>
      <c r="AX30">
        <f t="shared" si="12"/>
        <v>-449.99999999999932</v>
      </c>
      <c r="AY30">
        <f t="shared" si="13"/>
        <v>849.99999999999966</v>
      </c>
      <c r="AZ30">
        <f t="shared" si="14"/>
        <v>-950.00000000000193</v>
      </c>
      <c r="BA30">
        <f t="shared" si="15"/>
        <v>-1850.0000000000005</v>
      </c>
      <c r="BB30">
        <f t="shared" si="16"/>
        <v>-2000.0000000000018</v>
      </c>
      <c r="BC30">
        <f t="shared" si="19"/>
        <v>2700</v>
      </c>
      <c r="BD30">
        <f t="shared" si="20"/>
        <v>2650.0000000000014</v>
      </c>
      <c r="BE30">
        <f t="shared" si="21"/>
        <v>-2899.9999999999959</v>
      </c>
      <c r="BF30">
        <f t="shared" si="21"/>
        <v>449.99999999999932</v>
      </c>
      <c r="BG30">
        <f t="shared" si="21"/>
        <v>-246.78500000000071</v>
      </c>
      <c r="BH30">
        <f t="shared" si="21"/>
        <v>-699.99999999999841</v>
      </c>
      <c r="BI30">
        <f t="shared" si="21"/>
        <v>-1150.0000000000009</v>
      </c>
      <c r="BJ30">
        <f t="shared" si="21"/>
        <v>-1162.5000000000018</v>
      </c>
      <c r="BK30">
        <f t="shared" si="21"/>
        <v>-849.99999999999966</v>
      </c>
      <c r="BL30">
        <f t="shared" si="21"/>
        <v>-1200.0000000000011</v>
      </c>
      <c r="BM30">
        <f t="shared" si="22"/>
        <v>-2400.0000000000023</v>
      </c>
      <c r="BN30">
        <f t="shared" si="22"/>
        <v>2249.9999999999986</v>
      </c>
      <c r="BO30">
        <f t="shared" si="22"/>
        <v>-299.99999999999807</v>
      </c>
      <c r="BR30">
        <f t="shared" si="18"/>
        <v>-2296.7849999999939</v>
      </c>
    </row>
    <row r="31" spans="1:70" x14ac:dyDescent="0.2">
      <c r="A31" s="107">
        <v>36978</v>
      </c>
      <c r="B31">
        <f t="shared" si="17"/>
        <v>5.35</v>
      </c>
      <c r="C31" s="5">
        <f>GasDaily!C31</f>
        <v>3.77</v>
      </c>
      <c r="D31" s="3">
        <v>-20000</v>
      </c>
      <c r="E31" s="3">
        <v>5000</v>
      </c>
      <c r="F31" s="3">
        <v>5000</v>
      </c>
      <c r="G31" s="3">
        <v>8500</v>
      </c>
      <c r="H31" s="3">
        <v>10000</v>
      </c>
      <c r="I31" s="3">
        <v>5000</v>
      </c>
      <c r="J31" s="3">
        <v>10000</v>
      </c>
      <c r="K31" s="3">
        <v>10000</v>
      </c>
      <c r="L31" s="3">
        <v>-10000</v>
      </c>
      <c r="M31" s="3">
        <v>-10000</v>
      </c>
      <c r="N31" s="3">
        <v>-10000</v>
      </c>
      <c r="O31" s="3">
        <v>10000</v>
      </c>
      <c r="P31" s="3">
        <v>10000</v>
      </c>
      <c r="Q31" s="3">
        <v>-10000</v>
      </c>
      <c r="R31" s="3">
        <v>10000</v>
      </c>
      <c r="S31" s="3">
        <v>10000</v>
      </c>
      <c r="T31" s="3">
        <v>10000</v>
      </c>
      <c r="U31" s="3">
        <v>-10000</v>
      </c>
      <c r="V31" s="3">
        <v>-10000</v>
      </c>
      <c r="W31" s="3">
        <v>10000</v>
      </c>
      <c r="X31" s="3">
        <v>-10000</v>
      </c>
      <c r="Y31" s="3">
        <v>4487</v>
      </c>
      <c r="Z31" s="3">
        <v>10000</v>
      </c>
      <c r="AA31" s="3">
        <v>-11500</v>
      </c>
      <c r="AB31" s="3">
        <v>-15000</v>
      </c>
      <c r="AC31" s="3">
        <v>-10000</v>
      </c>
      <c r="AD31" s="3">
        <v>-10000</v>
      </c>
      <c r="AE31" s="3">
        <v>-15000</v>
      </c>
      <c r="AF31" s="3">
        <v>15000</v>
      </c>
      <c r="AG31" s="3">
        <v>-10000</v>
      </c>
      <c r="AH31" s="3">
        <v>10000</v>
      </c>
      <c r="AI31" s="3"/>
      <c r="AJ31" s="10">
        <f t="shared" si="23"/>
        <v>-8513</v>
      </c>
      <c r="AK31" s="9"/>
      <c r="AL31">
        <f t="shared" si="1"/>
        <v>-599.99999999999613</v>
      </c>
      <c r="AM31">
        <f t="shared" si="2"/>
        <v>500.00000000000045</v>
      </c>
      <c r="AN31">
        <f t="shared" si="3"/>
        <v>524.99999999999989</v>
      </c>
      <c r="AO31">
        <f t="shared" si="4"/>
        <v>1062.5</v>
      </c>
      <c r="AP31">
        <f t="shared" si="5"/>
        <v>1450.0000000000002</v>
      </c>
      <c r="AQ31">
        <f t="shared" si="6"/>
        <v>725.00000000000011</v>
      </c>
      <c r="AR31">
        <f t="shared" si="7"/>
        <v>1350.0000000000023</v>
      </c>
      <c r="AS31">
        <f t="shared" si="8"/>
        <v>-499.99999999999824</v>
      </c>
      <c r="AT31">
        <f t="shared" si="9"/>
        <v>400.00000000000034</v>
      </c>
      <c r="AU31">
        <f t="shared" si="9"/>
        <v>0</v>
      </c>
      <c r="AV31">
        <f t="shared" si="10"/>
        <v>200.00000000000017</v>
      </c>
      <c r="AW31">
        <f t="shared" si="11"/>
        <v>-150.00000000000125</v>
      </c>
      <c r="AX31">
        <f t="shared" si="12"/>
        <v>-449.99999999999932</v>
      </c>
      <c r="AY31">
        <f t="shared" si="13"/>
        <v>849.99999999999966</v>
      </c>
      <c r="AZ31">
        <f t="shared" si="14"/>
        <v>-950.00000000000193</v>
      </c>
      <c r="BA31">
        <f t="shared" si="15"/>
        <v>-1850.0000000000005</v>
      </c>
      <c r="BB31">
        <f t="shared" si="16"/>
        <v>-2000.0000000000018</v>
      </c>
      <c r="BC31">
        <f t="shared" si="19"/>
        <v>2700</v>
      </c>
      <c r="BD31">
        <f t="shared" si="20"/>
        <v>2650.0000000000014</v>
      </c>
      <c r="BE31">
        <f t="shared" si="21"/>
        <v>-2899.9999999999959</v>
      </c>
      <c r="BF31">
        <f t="shared" si="21"/>
        <v>449.99999999999932</v>
      </c>
      <c r="BG31">
        <f t="shared" si="21"/>
        <v>-246.78500000000071</v>
      </c>
      <c r="BH31">
        <f t="shared" si="21"/>
        <v>-699.99999999999841</v>
      </c>
      <c r="BI31">
        <f t="shared" si="21"/>
        <v>-1150.0000000000009</v>
      </c>
      <c r="BJ31">
        <f t="shared" si="21"/>
        <v>-1162.5000000000018</v>
      </c>
      <c r="BK31">
        <f t="shared" si="21"/>
        <v>-849.99999999999966</v>
      </c>
      <c r="BL31">
        <f t="shared" si="21"/>
        <v>-1200.0000000000011</v>
      </c>
      <c r="BM31">
        <f t="shared" si="22"/>
        <v>-2400.0000000000023</v>
      </c>
      <c r="BN31">
        <f t="shared" si="22"/>
        <v>2249.9999999999986</v>
      </c>
      <c r="BO31">
        <f t="shared" si="22"/>
        <v>-299.99999999999807</v>
      </c>
      <c r="BR31">
        <f t="shared" si="18"/>
        <v>-2296.7849999999939</v>
      </c>
    </row>
    <row r="32" spans="1:70" x14ac:dyDescent="0.2">
      <c r="A32" s="107">
        <v>36979</v>
      </c>
      <c r="B32">
        <f t="shared" si="17"/>
        <v>5.35</v>
      </c>
      <c r="C32" s="5">
        <f>GasDaily!C32</f>
        <v>3.77</v>
      </c>
      <c r="D32" s="3">
        <v>-20000</v>
      </c>
      <c r="E32" s="3">
        <v>5000</v>
      </c>
      <c r="F32" s="3">
        <v>5000</v>
      </c>
      <c r="G32" s="3">
        <v>8500</v>
      </c>
      <c r="H32" s="3">
        <v>10000</v>
      </c>
      <c r="I32" s="3">
        <v>5000</v>
      </c>
      <c r="J32" s="3">
        <v>10000</v>
      </c>
      <c r="K32" s="3">
        <v>10000</v>
      </c>
      <c r="L32" s="3">
        <v>-10000</v>
      </c>
      <c r="M32" s="3">
        <v>-10000</v>
      </c>
      <c r="N32" s="3">
        <v>-10000</v>
      </c>
      <c r="O32" s="3">
        <v>10000</v>
      </c>
      <c r="P32" s="3">
        <v>10000</v>
      </c>
      <c r="Q32" s="3">
        <v>-10000</v>
      </c>
      <c r="R32" s="3">
        <v>10000</v>
      </c>
      <c r="S32" s="3">
        <v>10000</v>
      </c>
      <c r="T32" s="3">
        <v>10000</v>
      </c>
      <c r="U32" s="3">
        <v>-10000</v>
      </c>
      <c r="V32" s="3">
        <v>-10000</v>
      </c>
      <c r="W32" s="3">
        <v>10000</v>
      </c>
      <c r="X32" s="3">
        <v>-10000</v>
      </c>
      <c r="Y32" s="3">
        <v>4487</v>
      </c>
      <c r="Z32" s="3">
        <v>10000</v>
      </c>
      <c r="AA32" s="3">
        <v>-11500</v>
      </c>
      <c r="AB32" s="3">
        <v>-15000</v>
      </c>
      <c r="AC32" s="3">
        <v>-10000</v>
      </c>
      <c r="AD32" s="3">
        <v>-10000</v>
      </c>
      <c r="AE32" s="3">
        <v>-15000</v>
      </c>
      <c r="AF32" s="3">
        <v>15000</v>
      </c>
      <c r="AG32" s="3">
        <v>-10000</v>
      </c>
      <c r="AH32" s="3">
        <v>10000</v>
      </c>
      <c r="AI32" s="3"/>
      <c r="AJ32" s="10">
        <f t="shared" si="23"/>
        <v>-8513</v>
      </c>
      <c r="AK32" s="9"/>
      <c r="AL32">
        <f t="shared" si="1"/>
        <v>-599.99999999999613</v>
      </c>
      <c r="AM32">
        <f t="shared" si="2"/>
        <v>500.00000000000045</v>
      </c>
      <c r="AN32">
        <f t="shared" si="3"/>
        <v>524.99999999999989</v>
      </c>
      <c r="AO32">
        <f t="shared" si="4"/>
        <v>1062.5</v>
      </c>
      <c r="AP32">
        <f t="shared" si="5"/>
        <v>1450.0000000000002</v>
      </c>
      <c r="AQ32">
        <f t="shared" si="6"/>
        <v>725.00000000000011</v>
      </c>
      <c r="AR32">
        <f t="shared" si="7"/>
        <v>1350.0000000000023</v>
      </c>
      <c r="AS32">
        <f t="shared" si="8"/>
        <v>-499.99999999999824</v>
      </c>
      <c r="AT32">
        <f t="shared" si="9"/>
        <v>400.00000000000034</v>
      </c>
      <c r="AU32">
        <f t="shared" si="9"/>
        <v>0</v>
      </c>
      <c r="AV32">
        <f t="shared" si="10"/>
        <v>200.00000000000017</v>
      </c>
      <c r="AW32">
        <f t="shared" si="11"/>
        <v>-150.00000000000125</v>
      </c>
      <c r="AX32">
        <f t="shared" si="12"/>
        <v>-449.99999999999932</v>
      </c>
      <c r="AY32">
        <f t="shared" si="13"/>
        <v>849.99999999999966</v>
      </c>
      <c r="AZ32">
        <f t="shared" si="14"/>
        <v>-950.00000000000193</v>
      </c>
      <c r="BA32">
        <f t="shared" si="15"/>
        <v>-1850.0000000000005</v>
      </c>
      <c r="BB32">
        <f t="shared" si="16"/>
        <v>-2000.0000000000018</v>
      </c>
      <c r="BC32">
        <f t="shared" si="19"/>
        <v>2700</v>
      </c>
      <c r="BD32">
        <f t="shared" si="20"/>
        <v>2650.0000000000014</v>
      </c>
      <c r="BE32">
        <f t="shared" si="21"/>
        <v>-2899.9999999999959</v>
      </c>
      <c r="BF32">
        <f t="shared" si="21"/>
        <v>449.99999999999932</v>
      </c>
      <c r="BG32">
        <f t="shared" si="21"/>
        <v>-246.78500000000071</v>
      </c>
      <c r="BH32">
        <f t="shared" si="21"/>
        <v>-699.99999999999841</v>
      </c>
      <c r="BI32">
        <f t="shared" si="21"/>
        <v>-1150.0000000000009</v>
      </c>
      <c r="BJ32">
        <f t="shared" si="21"/>
        <v>-1162.5000000000018</v>
      </c>
      <c r="BK32">
        <f t="shared" si="21"/>
        <v>-849.99999999999966</v>
      </c>
      <c r="BL32">
        <f t="shared" si="21"/>
        <v>-1200.0000000000011</v>
      </c>
      <c r="BM32">
        <f t="shared" si="22"/>
        <v>-2400.0000000000023</v>
      </c>
      <c r="BN32">
        <f t="shared" si="22"/>
        <v>2249.9999999999986</v>
      </c>
      <c r="BO32">
        <f t="shared" si="22"/>
        <v>-299.99999999999807</v>
      </c>
      <c r="BR32">
        <f t="shared" si="18"/>
        <v>-2296.7849999999939</v>
      </c>
    </row>
    <row r="33" spans="1:73" x14ac:dyDescent="0.2">
      <c r="A33" s="107">
        <v>36980</v>
      </c>
      <c r="B33">
        <f t="shared" si="17"/>
        <v>5.35</v>
      </c>
      <c r="C33" s="5">
        <f>GasDaily!C33</f>
        <v>3.77</v>
      </c>
      <c r="D33" s="3">
        <v>-20000</v>
      </c>
      <c r="E33" s="3">
        <v>5000</v>
      </c>
      <c r="F33" s="3">
        <v>5000</v>
      </c>
      <c r="G33" s="3">
        <v>8500</v>
      </c>
      <c r="H33" s="3">
        <v>10000</v>
      </c>
      <c r="I33" s="3">
        <v>5000</v>
      </c>
      <c r="J33" s="3">
        <v>10000</v>
      </c>
      <c r="K33" s="3">
        <v>10000</v>
      </c>
      <c r="L33" s="3">
        <v>-10000</v>
      </c>
      <c r="M33" s="3">
        <v>-10000</v>
      </c>
      <c r="N33" s="3">
        <v>-10000</v>
      </c>
      <c r="O33" s="3">
        <v>10000</v>
      </c>
      <c r="P33" s="3">
        <v>10000</v>
      </c>
      <c r="Q33" s="3">
        <v>-10000</v>
      </c>
      <c r="R33" s="3">
        <v>10000</v>
      </c>
      <c r="S33" s="3">
        <v>10000</v>
      </c>
      <c r="T33" s="3">
        <v>10000</v>
      </c>
      <c r="U33" s="3">
        <v>-10000</v>
      </c>
      <c r="V33" s="3">
        <v>-10000</v>
      </c>
      <c r="W33" s="3">
        <v>10000</v>
      </c>
      <c r="X33" s="3">
        <v>-10000</v>
      </c>
      <c r="Y33" s="3">
        <v>4487</v>
      </c>
      <c r="Z33" s="3">
        <v>10000</v>
      </c>
      <c r="AA33" s="3">
        <v>-11500</v>
      </c>
      <c r="AB33" s="3">
        <v>-15000</v>
      </c>
      <c r="AC33" s="3">
        <v>-10000</v>
      </c>
      <c r="AD33" s="3">
        <v>-10000</v>
      </c>
      <c r="AE33" s="3">
        <v>-15000</v>
      </c>
      <c r="AF33" s="3">
        <v>15000</v>
      </c>
      <c r="AG33" s="3">
        <v>-10000</v>
      </c>
      <c r="AH33" s="3">
        <v>10000</v>
      </c>
      <c r="AI33" s="3"/>
      <c r="AJ33" s="10">
        <f t="shared" si="23"/>
        <v>-8513</v>
      </c>
      <c r="AL33">
        <f t="shared" ref="AL33:AQ34" si="24">D33*($C33-D$2)</f>
        <v>-599.99999999999613</v>
      </c>
      <c r="AM33">
        <f t="shared" si="24"/>
        <v>500.00000000000045</v>
      </c>
      <c r="AN33">
        <f t="shared" si="24"/>
        <v>524.99999999999989</v>
      </c>
      <c r="AO33">
        <f t="shared" si="24"/>
        <v>1062.5</v>
      </c>
      <c r="AP33">
        <f t="shared" si="24"/>
        <v>1450.0000000000002</v>
      </c>
      <c r="AQ33">
        <f t="shared" si="24"/>
        <v>725.00000000000011</v>
      </c>
      <c r="AR33">
        <f t="shared" si="7"/>
        <v>1350.0000000000023</v>
      </c>
      <c r="AS33">
        <f t="shared" si="8"/>
        <v>-499.99999999999824</v>
      </c>
      <c r="AT33">
        <f t="shared" si="9"/>
        <v>400.00000000000034</v>
      </c>
      <c r="AU33">
        <f t="shared" si="9"/>
        <v>0</v>
      </c>
      <c r="AV33">
        <f t="shared" si="10"/>
        <v>200.00000000000017</v>
      </c>
      <c r="AW33">
        <f t="shared" si="11"/>
        <v>-150.00000000000125</v>
      </c>
      <c r="AX33">
        <f t="shared" si="12"/>
        <v>-449.99999999999932</v>
      </c>
      <c r="AY33">
        <f t="shared" si="13"/>
        <v>849.99999999999966</v>
      </c>
      <c r="AZ33">
        <f t="shared" si="14"/>
        <v>-950.00000000000193</v>
      </c>
      <c r="BA33">
        <f t="shared" si="15"/>
        <v>-1850.0000000000005</v>
      </c>
      <c r="BB33">
        <f t="shared" si="16"/>
        <v>-2000.0000000000018</v>
      </c>
      <c r="BC33">
        <f t="shared" si="19"/>
        <v>2700</v>
      </c>
      <c r="BD33">
        <f t="shared" si="20"/>
        <v>2650.0000000000014</v>
      </c>
      <c r="BE33">
        <f t="shared" si="21"/>
        <v>-2899.9999999999959</v>
      </c>
      <c r="BF33">
        <f t="shared" si="21"/>
        <v>449.99999999999932</v>
      </c>
      <c r="BG33">
        <f t="shared" si="21"/>
        <v>-246.78500000000071</v>
      </c>
      <c r="BH33">
        <f t="shared" si="21"/>
        <v>-699.99999999999841</v>
      </c>
      <c r="BI33">
        <f t="shared" si="21"/>
        <v>-1150.0000000000009</v>
      </c>
      <c r="BJ33">
        <f t="shared" si="21"/>
        <v>-1162.5000000000018</v>
      </c>
      <c r="BK33">
        <f t="shared" si="21"/>
        <v>-849.99999999999966</v>
      </c>
      <c r="BL33">
        <f t="shared" si="21"/>
        <v>-1200.0000000000011</v>
      </c>
      <c r="BM33">
        <f t="shared" si="22"/>
        <v>-2400.0000000000023</v>
      </c>
      <c r="BN33">
        <f t="shared" si="22"/>
        <v>2249.9999999999986</v>
      </c>
      <c r="BO33">
        <f t="shared" si="22"/>
        <v>-299.99999999999807</v>
      </c>
      <c r="BR33">
        <f t="shared" si="18"/>
        <v>-2296.7849999999939</v>
      </c>
    </row>
    <row r="34" spans="1:73" x14ac:dyDescent="0.2">
      <c r="A34" s="107">
        <v>36981</v>
      </c>
      <c r="B34">
        <f t="shared" si="17"/>
        <v>5.35</v>
      </c>
      <c r="C34" s="5">
        <f>GasDaily!C34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10">
        <f>SUM(D34:AD34)</f>
        <v>0</v>
      </c>
      <c r="AL34">
        <f t="shared" si="24"/>
        <v>0</v>
      </c>
      <c r="AM34">
        <f t="shared" si="24"/>
        <v>0</v>
      </c>
      <c r="AN34">
        <f t="shared" si="24"/>
        <v>0</v>
      </c>
      <c r="AO34">
        <f t="shared" si="24"/>
        <v>0</v>
      </c>
      <c r="AP34">
        <f t="shared" si="24"/>
        <v>0</v>
      </c>
      <c r="AQ34">
        <f t="shared" si="24"/>
        <v>0</v>
      </c>
      <c r="AR34">
        <f t="shared" si="7"/>
        <v>0</v>
      </c>
      <c r="AS34">
        <f t="shared" si="8"/>
        <v>0</v>
      </c>
      <c r="AT34">
        <f t="shared" si="9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  <c r="BC34">
        <f t="shared" si="19"/>
        <v>0</v>
      </c>
      <c r="BD34">
        <f t="shared" si="20"/>
        <v>0</v>
      </c>
      <c r="BE34">
        <f t="shared" si="21"/>
        <v>0</v>
      </c>
      <c r="BF34">
        <f t="shared" si="21"/>
        <v>0</v>
      </c>
      <c r="BG34">
        <f t="shared" si="21"/>
        <v>0</v>
      </c>
      <c r="BH34">
        <f t="shared" si="21"/>
        <v>0</v>
      </c>
      <c r="BI34">
        <f t="shared" si="21"/>
        <v>0</v>
      </c>
      <c r="BJ34">
        <f t="shared" si="21"/>
        <v>0</v>
      </c>
      <c r="BK34">
        <f t="shared" si="21"/>
        <v>0</v>
      </c>
      <c r="BL34">
        <f t="shared" si="21"/>
        <v>0</v>
      </c>
      <c r="BM34">
        <f t="shared" si="22"/>
        <v>0</v>
      </c>
      <c r="BN34">
        <f t="shared" si="22"/>
        <v>0</v>
      </c>
      <c r="BO34">
        <f t="shared" si="22"/>
        <v>0</v>
      </c>
      <c r="BR34">
        <f t="shared" si="18"/>
        <v>0</v>
      </c>
    </row>
    <row r="35" spans="1:73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BU35" t="s">
        <v>5</v>
      </c>
    </row>
    <row r="36" spans="1:73" x14ac:dyDescent="0.2">
      <c r="D36" s="3">
        <f t="shared" ref="D36:K36" si="25">SUM(D4:D34)</f>
        <v>-600000</v>
      </c>
      <c r="E36" s="3">
        <f t="shared" si="25"/>
        <v>150000</v>
      </c>
      <c r="F36" s="3">
        <f t="shared" si="25"/>
        <v>150000</v>
      </c>
      <c r="G36" s="3">
        <f t="shared" si="25"/>
        <v>255000</v>
      </c>
      <c r="H36" s="3">
        <f t="shared" si="25"/>
        <v>300000</v>
      </c>
      <c r="I36" s="3">
        <f t="shared" si="25"/>
        <v>150000</v>
      </c>
      <c r="J36" s="3">
        <f t="shared" si="25"/>
        <v>300000</v>
      </c>
      <c r="K36" s="3">
        <f t="shared" si="25"/>
        <v>300000</v>
      </c>
      <c r="L36" s="3">
        <f>SUM(L4:L34)</f>
        <v>-300000</v>
      </c>
      <c r="M36" s="3">
        <f t="shared" ref="M36:AH36" si="26">SUM(M4:M34)</f>
        <v>-300000</v>
      </c>
      <c r="N36" s="3">
        <f t="shared" si="26"/>
        <v>-300000</v>
      </c>
      <c r="O36" s="3">
        <f t="shared" si="26"/>
        <v>300000</v>
      </c>
      <c r="P36" s="3">
        <f t="shared" si="26"/>
        <v>300000</v>
      </c>
      <c r="Q36" s="3">
        <f t="shared" si="26"/>
        <v>-290000</v>
      </c>
      <c r="R36" s="3">
        <f t="shared" si="26"/>
        <v>260000</v>
      </c>
      <c r="S36" s="3">
        <f t="shared" si="26"/>
        <v>250000</v>
      </c>
      <c r="T36" s="3">
        <f t="shared" si="26"/>
        <v>250000</v>
      </c>
      <c r="U36" s="3">
        <f t="shared" si="26"/>
        <v>-250000</v>
      </c>
      <c r="V36" s="3">
        <f t="shared" si="26"/>
        <v>-250000</v>
      </c>
      <c r="W36" s="3">
        <f t="shared" si="26"/>
        <v>250000</v>
      </c>
      <c r="X36" s="3">
        <f t="shared" si="26"/>
        <v>-250000</v>
      </c>
      <c r="Y36" s="3">
        <f t="shared" si="26"/>
        <v>107688</v>
      </c>
      <c r="Z36" s="3">
        <f t="shared" si="26"/>
        <v>240000</v>
      </c>
      <c r="AA36" s="3">
        <f t="shared" si="26"/>
        <v>-264500</v>
      </c>
      <c r="AB36" s="3">
        <f t="shared" si="26"/>
        <v>-330000</v>
      </c>
      <c r="AC36" s="3">
        <f t="shared" si="26"/>
        <v>-220000</v>
      </c>
      <c r="AD36" s="3">
        <f t="shared" si="26"/>
        <v>-220000</v>
      </c>
      <c r="AE36" s="3">
        <f t="shared" si="26"/>
        <v>-330000</v>
      </c>
      <c r="AF36" s="3">
        <f t="shared" si="26"/>
        <v>330000</v>
      </c>
      <c r="AG36" s="3">
        <f t="shared" si="26"/>
        <v>-190000</v>
      </c>
      <c r="AH36" s="3">
        <f t="shared" si="26"/>
        <v>190000</v>
      </c>
      <c r="AI36" s="3"/>
      <c r="AJ36" s="10">
        <f>SUM(AJ15:AJ34)</f>
        <v>-161747</v>
      </c>
      <c r="BR36" s="11">
        <f>SUM(BR4:BR34)</f>
        <v>-10993.059999999832</v>
      </c>
      <c r="BU36" s="12" t="e">
        <f>BR36+#REF!+#REF!+#REF!</f>
        <v>#REF!</v>
      </c>
    </row>
    <row r="37" spans="1:73" x14ac:dyDescent="0.2">
      <c r="A37">
        <f>COUNT(A18:A33)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2"/>
  <dimension ref="A1:AE37"/>
  <sheetViews>
    <sheetView zoomScale="85" workbookViewId="0">
      <pane xSplit="1" topLeftCell="D1" activePane="topRight" state="frozenSplit"/>
      <selection pane="topRight" activeCell="P37" sqref="P37"/>
    </sheetView>
  </sheetViews>
  <sheetFormatPr defaultRowHeight="12.75" x14ac:dyDescent="0.2"/>
  <cols>
    <col min="16" max="16" width="13.140625" style="2" customWidth="1"/>
    <col min="17" max="17" width="2.85546875" style="8" customWidth="1"/>
    <col min="30" max="30" width="2.7109375" style="8" customWidth="1"/>
    <col min="31" max="31" width="10.85546875" bestFit="1" customWidth="1"/>
  </cols>
  <sheetData>
    <row r="1" spans="1:31" x14ac:dyDescent="0.2">
      <c r="B1" s="2" t="s">
        <v>0</v>
      </c>
    </row>
    <row r="2" spans="1:31" x14ac:dyDescent="0.2">
      <c r="B2" s="6">
        <v>3.86</v>
      </c>
      <c r="C2" s="4"/>
      <c r="P2" s="2" t="s">
        <v>4</v>
      </c>
    </row>
    <row r="3" spans="1:31" x14ac:dyDescent="0.2">
      <c r="B3" s="5">
        <v>0</v>
      </c>
      <c r="C3" t="s">
        <v>1</v>
      </c>
      <c r="D3" s="5">
        <v>3.665</v>
      </c>
      <c r="E3" s="5">
        <v>3.7850000000000001</v>
      </c>
      <c r="F3" s="5">
        <v>3.82</v>
      </c>
      <c r="G3" s="5">
        <v>3.8450000000000002</v>
      </c>
      <c r="H3" s="5">
        <v>3.85</v>
      </c>
      <c r="I3" s="5">
        <v>3.8849999999999998</v>
      </c>
      <c r="J3" s="5">
        <v>4.0199999999999996</v>
      </c>
      <c r="K3" s="5">
        <v>4.0350000000000001</v>
      </c>
      <c r="L3" s="5">
        <v>3.96</v>
      </c>
      <c r="M3" s="5">
        <v>3.8650000000000002</v>
      </c>
      <c r="N3" s="5">
        <v>3.6349999999999998</v>
      </c>
      <c r="O3" s="5"/>
      <c r="AE3" t="s">
        <v>3</v>
      </c>
    </row>
    <row r="4" spans="1:31" x14ac:dyDescent="0.2">
      <c r="A4" s="7">
        <v>36586</v>
      </c>
      <c r="B4">
        <f t="shared" ref="B4:B34" si="0">B$2+B$3</f>
        <v>3.86</v>
      </c>
      <c r="C4" s="5">
        <f>GasDaily!AF4</f>
        <v>3.83</v>
      </c>
      <c r="D4" s="3">
        <v>5000</v>
      </c>
      <c r="E4" s="3">
        <v>15000</v>
      </c>
      <c r="F4" s="3">
        <v>10000</v>
      </c>
      <c r="G4" s="3"/>
      <c r="H4" s="3"/>
      <c r="I4" s="3"/>
      <c r="J4" s="3"/>
      <c r="K4" s="3"/>
      <c r="L4" s="3"/>
      <c r="M4" s="3"/>
      <c r="N4" s="3"/>
      <c r="O4" s="3"/>
      <c r="P4" s="10">
        <f t="shared" ref="P4:P9" si="1">SUM(D4:M4)</f>
        <v>30000</v>
      </c>
      <c r="Q4" s="9"/>
      <c r="R4">
        <f t="shared" ref="R4:R31" si="2">D4*($C4-D$3)</f>
        <v>825.00000000000023</v>
      </c>
      <c r="S4">
        <f t="shared" ref="S4:S31" si="3">E4*($C4-E$3)</f>
        <v>674.99999999999898</v>
      </c>
      <c r="T4">
        <f t="shared" ref="T4:T34" si="4">F4*($C4-F$3)</f>
        <v>100.0000000000023</v>
      </c>
      <c r="U4">
        <f t="shared" ref="U4:U34" si="5">G4*($C4-G$3)</f>
        <v>0</v>
      </c>
      <c r="V4">
        <f t="shared" ref="V4:V34" si="6">H4*($C4-H$3)</f>
        <v>0</v>
      </c>
      <c r="AE4">
        <f t="shared" ref="AE4:AE34" si="7">SUM(R4:AD4)</f>
        <v>1600.0000000000014</v>
      </c>
    </row>
    <row r="5" spans="1:31" x14ac:dyDescent="0.2">
      <c r="A5" s="7">
        <v>36587</v>
      </c>
      <c r="B5">
        <f t="shared" si="0"/>
        <v>3.86</v>
      </c>
      <c r="C5" s="5">
        <f>GasDaily!AF5</f>
        <v>3.77</v>
      </c>
      <c r="D5" s="3">
        <v>5000</v>
      </c>
      <c r="E5" s="3">
        <v>15000</v>
      </c>
      <c r="F5" s="3">
        <v>10000</v>
      </c>
      <c r="G5" s="3">
        <v>-15000</v>
      </c>
      <c r="H5" s="3"/>
      <c r="I5" s="3"/>
      <c r="J5" s="3"/>
      <c r="K5" s="3"/>
      <c r="L5" s="3"/>
      <c r="M5" s="3"/>
      <c r="N5" s="3"/>
      <c r="O5" s="3"/>
      <c r="P5" s="10">
        <f t="shared" si="1"/>
        <v>15000</v>
      </c>
      <c r="Q5" s="9"/>
      <c r="R5">
        <f t="shared" si="2"/>
        <v>524.99999999999989</v>
      </c>
      <c r="S5">
        <f t="shared" si="3"/>
        <v>-225.00000000000188</v>
      </c>
      <c r="T5">
        <f t="shared" si="4"/>
        <v>-499.99999999999824</v>
      </c>
      <c r="U5">
        <f t="shared" si="5"/>
        <v>1125.0000000000027</v>
      </c>
      <c r="V5">
        <f t="shared" si="6"/>
        <v>0</v>
      </c>
      <c r="W5">
        <f t="shared" ref="W5:W34" si="8">I5*($C5-I$3)</f>
        <v>0</v>
      </c>
      <c r="X5">
        <f t="shared" ref="X5:AB34" si="9">J5*($C5-J$3)</f>
        <v>0</v>
      </c>
      <c r="Y5">
        <f t="shared" si="9"/>
        <v>0</v>
      </c>
      <c r="Z5">
        <f t="shared" si="9"/>
        <v>0</v>
      </c>
      <c r="AA5">
        <f t="shared" si="9"/>
        <v>0</v>
      </c>
      <c r="AB5">
        <f t="shared" si="9"/>
        <v>0</v>
      </c>
      <c r="AE5">
        <f t="shared" si="7"/>
        <v>925.0000000000025</v>
      </c>
    </row>
    <row r="6" spans="1:31" x14ac:dyDescent="0.2">
      <c r="A6" s="7">
        <v>36588</v>
      </c>
      <c r="B6">
        <f t="shared" si="0"/>
        <v>3.86</v>
      </c>
      <c r="C6" s="5">
        <f>GasDaily!AF6</f>
        <v>3.77</v>
      </c>
      <c r="D6" s="3">
        <v>5000</v>
      </c>
      <c r="E6" s="3">
        <v>15000</v>
      </c>
      <c r="F6" s="3">
        <v>10000</v>
      </c>
      <c r="G6" s="3">
        <v>-15000</v>
      </c>
      <c r="H6" s="3"/>
      <c r="I6" s="3"/>
      <c r="J6" s="3"/>
      <c r="K6" s="3"/>
      <c r="L6" s="3"/>
      <c r="M6" s="3"/>
      <c r="N6" s="3"/>
      <c r="O6" s="3"/>
      <c r="P6" s="10">
        <f t="shared" si="1"/>
        <v>15000</v>
      </c>
      <c r="Q6" s="9"/>
      <c r="R6">
        <f t="shared" si="2"/>
        <v>524.99999999999989</v>
      </c>
      <c r="S6">
        <f t="shared" si="3"/>
        <v>-225.00000000000188</v>
      </c>
      <c r="T6">
        <f t="shared" si="4"/>
        <v>-499.99999999999824</v>
      </c>
      <c r="U6">
        <f t="shared" si="5"/>
        <v>1125.0000000000027</v>
      </c>
      <c r="V6">
        <f t="shared" si="6"/>
        <v>0</v>
      </c>
      <c r="W6">
        <f t="shared" si="8"/>
        <v>0</v>
      </c>
      <c r="X6">
        <f t="shared" si="9"/>
        <v>0</v>
      </c>
      <c r="Y6">
        <f t="shared" si="9"/>
        <v>0</v>
      </c>
      <c r="Z6">
        <f t="shared" si="9"/>
        <v>0</v>
      </c>
      <c r="AA6">
        <f t="shared" si="9"/>
        <v>0</v>
      </c>
      <c r="AB6">
        <f t="shared" si="9"/>
        <v>0</v>
      </c>
      <c r="AE6">
        <f t="shared" si="7"/>
        <v>925.0000000000025</v>
      </c>
    </row>
    <row r="7" spans="1:31" x14ac:dyDescent="0.2">
      <c r="A7" s="7">
        <v>36589</v>
      </c>
      <c r="B7">
        <f t="shared" si="0"/>
        <v>3.86</v>
      </c>
      <c r="C7" s="5">
        <f>GasDaily!AF7</f>
        <v>3.77</v>
      </c>
      <c r="D7" s="3">
        <v>5000</v>
      </c>
      <c r="E7" s="3">
        <v>15000</v>
      </c>
      <c r="F7" s="3">
        <v>10000</v>
      </c>
      <c r="G7" s="3">
        <v>-15000</v>
      </c>
      <c r="H7" s="3"/>
      <c r="I7" s="3"/>
      <c r="J7" s="3"/>
      <c r="K7" s="3"/>
      <c r="L7" s="3"/>
      <c r="M7" s="3"/>
      <c r="N7" s="3"/>
      <c r="O7" s="3"/>
      <c r="P7" s="10">
        <f t="shared" si="1"/>
        <v>15000</v>
      </c>
      <c r="Q7" s="9"/>
      <c r="R7">
        <f t="shared" si="2"/>
        <v>524.99999999999989</v>
      </c>
      <c r="S7">
        <f t="shared" si="3"/>
        <v>-225.00000000000188</v>
      </c>
      <c r="T7">
        <f t="shared" si="4"/>
        <v>-499.99999999999824</v>
      </c>
      <c r="U7">
        <f t="shared" si="5"/>
        <v>1125.0000000000027</v>
      </c>
      <c r="V7">
        <f t="shared" si="6"/>
        <v>0</v>
      </c>
      <c r="W7">
        <f t="shared" si="8"/>
        <v>0</v>
      </c>
      <c r="X7">
        <f t="shared" si="9"/>
        <v>0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0</v>
      </c>
      <c r="AE7">
        <f t="shared" si="7"/>
        <v>925.0000000000025</v>
      </c>
    </row>
    <row r="8" spans="1:31" x14ac:dyDescent="0.2">
      <c r="A8" s="7">
        <v>36590</v>
      </c>
      <c r="B8">
        <f t="shared" si="0"/>
        <v>3.86</v>
      </c>
      <c r="C8" s="5">
        <f>GasDaily!AF8</f>
        <v>3.9950000000000001</v>
      </c>
      <c r="D8" s="3">
        <v>5000</v>
      </c>
      <c r="E8" s="3">
        <v>15000</v>
      </c>
      <c r="F8" s="3">
        <v>10000</v>
      </c>
      <c r="G8" s="3">
        <v>-15000</v>
      </c>
      <c r="H8" s="3">
        <v>10000</v>
      </c>
      <c r="I8" s="3">
        <v>-15000</v>
      </c>
      <c r="J8" s="3"/>
      <c r="K8" s="3"/>
      <c r="L8" s="3"/>
      <c r="M8" s="3"/>
      <c r="N8" s="3"/>
      <c r="O8" s="3"/>
      <c r="P8" s="10">
        <f t="shared" si="1"/>
        <v>10000</v>
      </c>
      <c r="Q8" s="9"/>
      <c r="R8">
        <f t="shared" si="2"/>
        <v>1650.0000000000005</v>
      </c>
      <c r="S8">
        <f t="shared" si="3"/>
        <v>3149.9999999999995</v>
      </c>
      <c r="T8">
        <f t="shared" si="4"/>
        <v>1750.0000000000027</v>
      </c>
      <c r="U8">
        <f t="shared" si="5"/>
        <v>-2249.9999999999986</v>
      </c>
      <c r="V8">
        <f t="shared" si="6"/>
        <v>1450.0000000000002</v>
      </c>
      <c r="W8">
        <f t="shared" si="8"/>
        <v>-1650.0000000000048</v>
      </c>
      <c r="X8">
        <f t="shared" si="9"/>
        <v>0</v>
      </c>
      <c r="Y8">
        <f t="shared" si="9"/>
        <v>0</v>
      </c>
      <c r="Z8">
        <f t="shared" si="9"/>
        <v>0</v>
      </c>
      <c r="AA8">
        <f t="shared" si="9"/>
        <v>0</v>
      </c>
      <c r="AB8">
        <f t="shared" si="9"/>
        <v>0</v>
      </c>
      <c r="AE8">
        <f t="shared" si="7"/>
        <v>4099.9999999999991</v>
      </c>
    </row>
    <row r="9" spans="1:31" x14ac:dyDescent="0.2">
      <c r="A9" s="7">
        <v>36591</v>
      </c>
      <c r="B9">
        <f t="shared" si="0"/>
        <v>3.86</v>
      </c>
      <c r="C9" s="5">
        <f>GasDaily!AF9</f>
        <v>4.0750000000000002</v>
      </c>
      <c r="D9" s="3">
        <v>5000</v>
      </c>
      <c r="E9" s="3">
        <v>15000</v>
      </c>
      <c r="F9" s="3">
        <v>10000</v>
      </c>
      <c r="G9" s="3">
        <v>-15000</v>
      </c>
      <c r="H9" s="3">
        <v>10000</v>
      </c>
      <c r="I9" s="3">
        <v>-15000</v>
      </c>
      <c r="J9" s="3">
        <v>10000</v>
      </c>
      <c r="K9" s="3">
        <v>15000</v>
      </c>
      <c r="L9" s="3">
        <v>-15000</v>
      </c>
      <c r="M9" s="3"/>
      <c r="N9" s="3"/>
      <c r="O9" s="3"/>
      <c r="P9" s="10">
        <f t="shared" si="1"/>
        <v>20000</v>
      </c>
      <c r="Q9" s="9"/>
      <c r="R9">
        <f t="shared" si="2"/>
        <v>2050.0000000000009</v>
      </c>
      <c r="S9">
        <f t="shared" si="3"/>
        <v>4350.0000000000009</v>
      </c>
      <c r="T9">
        <f t="shared" si="4"/>
        <v>2550.0000000000032</v>
      </c>
      <c r="U9">
        <f t="shared" si="5"/>
        <v>-3449.9999999999995</v>
      </c>
      <c r="V9">
        <f t="shared" si="6"/>
        <v>2250.0000000000009</v>
      </c>
      <c r="W9">
        <f t="shared" si="8"/>
        <v>-2850.0000000000059</v>
      </c>
      <c r="X9">
        <f t="shared" si="9"/>
        <v>550.00000000000603</v>
      </c>
      <c r="Y9">
        <f t="shared" si="9"/>
        <v>600.00000000000057</v>
      </c>
      <c r="Z9">
        <f t="shared" si="9"/>
        <v>-1725.0000000000032</v>
      </c>
      <c r="AA9">
        <f t="shared" si="9"/>
        <v>0</v>
      </c>
      <c r="AB9">
        <f t="shared" si="9"/>
        <v>0</v>
      </c>
      <c r="AE9">
        <f t="shared" si="7"/>
        <v>4325.0000000000036</v>
      </c>
    </row>
    <row r="10" spans="1:31" x14ac:dyDescent="0.2">
      <c r="A10" s="7">
        <v>36592</v>
      </c>
      <c r="B10">
        <f t="shared" si="0"/>
        <v>3.86</v>
      </c>
      <c r="C10" s="5">
        <f>GasDaily!AF10</f>
        <v>3.7949999999999999</v>
      </c>
      <c r="D10" s="3">
        <v>5000</v>
      </c>
      <c r="E10" s="3">
        <v>15000</v>
      </c>
      <c r="F10" s="3">
        <v>10000</v>
      </c>
      <c r="G10" s="3">
        <v>-15000</v>
      </c>
      <c r="H10" s="3">
        <v>10000</v>
      </c>
      <c r="I10" s="3">
        <v>-15000</v>
      </c>
      <c r="J10" s="3">
        <v>10000</v>
      </c>
      <c r="K10" s="3">
        <v>15000</v>
      </c>
      <c r="L10" s="3">
        <v>-15000</v>
      </c>
      <c r="M10" s="3">
        <v>-10000</v>
      </c>
      <c r="N10" s="3"/>
      <c r="O10" s="3"/>
      <c r="P10" s="10">
        <f>SUM(D10:N10)</f>
        <v>10000</v>
      </c>
      <c r="Q10" s="9"/>
      <c r="R10">
        <f t="shared" si="2"/>
        <v>649.99999999999943</v>
      </c>
      <c r="S10">
        <f t="shared" si="3"/>
        <v>149.99999999999682</v>
      </c>
      <c r="T10">
        <f t="shared" si="4"/>
        <v>-249.99999999999912</v>
      </c>
      <c r="U10">
        <f t="shared" si="5"/>
        <v>750.00000000000398</v>
      </c>
      <c r="V10">
        <f t="shared" si="6"/>
        <v>-550.00000000000159</v>
      </c>
      <c r="W10">
        <f t="shared" si="8"/>
        <v>1349.999999999998</v>
      </c>
      <c r="X10">
        <f t="shared" si="9"/>
        <v>-2249.9999999999964</v>
      </c>
      <c r="Y10">
        <f t="shared" si="9"/>
        <v>-3600.0000000000032</v>
      </c>
      <c r="Z10">
        <f t="shared" si="9"/>
        <v>2475.0000000000005</v>
      </c>
      <c r="AA10">
        <f t="shared" si="9"/>
        <v>700.00000000000284</v>
      </c>
      <c r="AB10">
        <f t="shared" si="9"/>
        <v>0</v>
      </c>
      <c r="AE10">
        <f t="shared" si="7"/>
        <v>-574.99999999999898</v>
      </c>
    </row>
    <row r="11" spans="1:31" x14ac:dyDescent="0.2">
      <c r="A11" s="7">
        <v>36593</v>
      </c>
      <c r="B11">
        <f t="shared" si="0"/>
        <v>3.86</v>
      </c>
      <c r="C11" s="5">
        <f>GasDaily!AF11</f>
        <v>3.6850000000000001</v>
      </c>
      <c r="D11" s="3">
        <v>5000</v>
      </c>
      <c r="E11" s="3">
        <v>15000</v>
      </c>
      <c r="F11" s="3">
        <v>10000</v>
      </c>
      <c r="G11" s="3">
        <v>-15000</v>
      </c>
      <c r="H11" s="3">
        <v>10000</v>
      </c>
      <c r="I11" s="3">
        <v>-15000</v>
      </c>
      <c r="J11" s="3">
        <v>10000</v>
      </c>
      <c r="K11" s="3">
        <v>15000</v>
      </c>
      <c r="L11" s="3">
        <v>-15000</v>
      </c>
      <c r="M11" s="3">
        <v>-10000</v>
      </c>
      <c r="N11" s="3"/>
      <c r="O11" s="3"/>
      <c r="P11" s="10">
        <f>SUM(D11:M11)</f>
        <v>10000</v>
      </c>
      <c r="Q11" s="9"/>
      <c r="R11">
        <f t="shared" si="2"/>
        <v>100.00000000000009</v>
      </c>
      <c r="S11">
        <f t="shared" si="3"/>
        <v>-1500.0000000000014</v>
      </c>
      <c r="T11">
        <f t="shared" si="4"/>
        <v>-1349.999999999998</v>
      </c>
      <c r="U11">
        <f t="shared" si="5"/>
        <v>2400.0000000000023</v>
      </c>
      <c r="V11">
        <f t="shared" si="6"/>
        <v>-1650.0000000000005</v>
      </c>
      <c r="W11">
        <f t="shared" si="8"/>
        <v>2999.9999999999959</v>
      </c>
      <c r="X11">
        <f t="shared" si="9"/>
        <v>-3349.999999999995</v>
      </c>
      <c r="Y11">
        <f t="shared" si="9"/>
        <v>-5250.0000000000009</v>
      </c>
      <c r="Z11">
        <f t="shared" si="9"/>
        <v>4124.9999999999991</v>
      </c>
      <c r="AA11">
        <f t="shared" si="9"/>
        <v>1800.0000000000016</v>
      </c>
      <c r="AB11">
        <f t="shared" si="9"/>
        <v>0</v>
      </c>
      <c r="AE11">
        <f t="shared" si="7"/>
        <v>-1674.9999999999966</v>
      </c>
    </row>
    <row r="12" spans="1:31" x14ac:dyDescent="0.2">
      <c r="A12" s="7">
        <v>36594</v>
      </c>
      <c r="B12">
        <f t="shared" si="0"/>
        <v>3.86</v>
      </c>
      <c r="C12" s="5">
        <f>GasDaily!AF12</f>
        <v>3.63</v>
      </c>
      <c r="D12" s="3">
        <v>5000</v>
      </c>
      <c r="E12" s="3">
        <v>15000</v>
      </c>
      <c r="F12" s="3">
        <v>10000</v>
      </c>
      <c r="G12" s="3">
        <v>-15000</v>
      </c>
      <c r="H12" s="3">
        <v>10000</v>
      </c>
      <c r="I12" s="3">
        <v>-15000</v>
      </c>
      <c r="J12" s="3">
        <v>10000</v>
      </c>
      <c r="K12" s="3">
        <v>15000</v>
      </c>
      <c r="L12" s="3">
        <v>-15000</v>
      </c>
      <c r="M12" s="3">
        <v>-10000</v>
      </c>
      <c r="N12" s="3">
        <v>15000</v>
      </c>
      <c r="O12" s="3"/>
      <c r="P12" s="10">
        <f>SUM(D12:N12)</f>
        <v>25000</v>
      </c>
      <c r="Q12" s="9"/>
      <c r="R12">
        <f t="shared" si="2"/>
        <v>-175.00000000000071</v>
      </c>
      <c r="S12">
        <f t="shared" si="3"/>
        <v>-2325.0000000000036</v>
      </c>
      <c r="T12">
        <f t="shared" si="4"/>
        <v>-1899.9999999999995</v>
      </c>
      <c r="U12">
        <f t="shared" si="5"/>
        <v>3225.0000000000045</v>
      </c>
      <c r="V12">
        <f t="shared" si="6"/>
        <v>-2200.0000000000018</v>
      </c>
      <c r="W12">
        <f t="shared" si="8"/>
        <v>3824.9999999999982</v>
      </c>
      <c r="X12">
        <f t="shared" si="9"/>
        <v>-3899.9999999999968</v>
      </c>
      <c r="Y12">
        <f t="shared" si="9"/>
        <v>-6075.0000000000036</v>
      </c>
      <c r="Z12">
        <f t="shared" si="9"/>
        <v>4950.0000000000009</v>
      </c>
      <c r="AA12">
        <f t="shared" si="9"/>
        <v>2350.0000000000032</v>
      </c>
      <c r="AB12">
        <f t="shared" si="9"/>
        <v>-74.999999999998408</v>
      </c>
      <c r="AE12">
        <f t="shared" si="7"/>
        <v>-2299.9999999999982</v>
      </c>
    </row>
    <row r="13" spans="1:31" x14ac:dyDescent="0.2">
      <c r="A13" s="7">
        <v>36595</v>
      </c>
      <c r="B13">
        <f t="shared" si="0"/>
        <v>3.86</v>
      </c>
      <c r="C13" s="5">
        <f>GasDaily!AF13</f>
        <v>3.64</v>
      </c>
      <c r="D13" s="3">
        <v>5000</v>
      </c>
      <c r="E13" s="3">
        <v>15000</v>
      </c>
      <c r="F13" s="3">
        <v>10000</v>
      </c>
      <c r="G13" s="3">
        <v>-15000</v>
      </c>
      <c r="H13" s="3">
        <v>10000</v>
      </c>
      <c r="I13" s="3">
        <v>-15000</v>
      </c>
      <c r="J13" s="3">
        <v>10000</v>
      </c>
      <c r="K13" s="3">
        <v>15000</v>
      </c>
      <c r="L13" s="3">
        <v>-15000</v>
      </c>
      <c r="M13" s="3">
        <v>-10000</v>
      </c>
      <c r="N13" s="3">
        <v>15000</v>
      </c>
      <c r="O13" s="3"/>
      <c r="P13" s="10">
        <f t="shared" ref="P13:P33" si="10">SUM(D13:N13)</f>
        <v>25000</v>
      </c>
      <c r="Q13" s="9"/>
      <c r="R13">
        <f t="shared" si="2"/>
        <v>-124.99999999999956</v>
      </c>
      <c r="S13">
        <f t="shared" si="3"/>
        <v>-2175.0000000000005</v>
      </c>
      <c r="T13">
        <f t="shared" si="4"/>
        <v>-1799.9999999999973</v>
      </c>
      <c r="U13">
        <f t="shared" si="5"/>
        <v>3075.0000000000009</v>
      </c>
      <c r="V13">
        <f t="shared" si="6"/>
        <v>-2099.9999999999995</v>
      </c>
      <c r="W13">
        <f t="shared" si="8"/>
        <v>3674.999999999995</v>
      </c>
      <c r="X13">
        <f t="shared" si="9"/>
        <v>-3799.9999999999945</v>
      </c>
      <c r="Y13">
        <f t="shared" si="9"/>
        <v>-5925</v>
      </c>
      <c r="Z13">
        <f t="shared" si="9"/>
        <v>4799.9999999999973</v>
      </c>
      <c r="AA13">
        <f t="shared" si="9"/>
        <v>2250.0000000000009</v>
      </c>
      <c r="AB13">
        <f t="shared" si="9"/>
        <v>75.000000000005059</v>
      </c>
      <c r="AE13">
        <f t="shared" si="7"/>
        <v>-2049.9999999999932</v>
      </c>
    </row>
    <row r="14" spans="1:31" x14ac:dyDescent="0.2">
      <c r="A14" s="7">
        <v>36596</v>
      </c>
      <c r="B14">
        <f t="shared" si="0"/>
        <v>3.86</v>
      </c>
      <c r="C14" s="5">
        <f>GasDaily!AF14</f>
        <v>3.64</v>
      </c>
      <c r="D14" s="3">
        <v>5000</v>
      </c>
      <c r="E14" s="3">
        <v>15000</v>
      </c>
      <c r="F14" s="3">
        <v>10000</v>
      </c>
      <c r="G14" s="3">
        <v>-15000</v>
      </c>
      <c r="H14" s="3">
        <v>10000</v>
      </c>
      <c r="I14" s="3">
        <v>-15000</v>
      </c>
      <c r="J14" s="3">
        <v>10000</v>
      </c>
      <c r="K14" s="3">
        <v>15000</v>
      </c>
      <c r="L14" s="3">
        <v>-15000</v>
      </c>
      <c r="M14" s="3">
        <v>-10000</v>
      </c>
      <c r="N14" s="3">
        <v>15000</v>
      </c>
      <c r="O14" s="3"/>
      <c r="P14" s="10">
        <f t="shared" si="10"/>
        <v>25000</v>
      </c>
      <c r="Q14" s="9"/>
      <c r="R14">
        <f t="shared" si="2"/>
        <v>-124.99999999999956</v>
      </c>
      <c r="S14">
        <f t="shared" si="3"/>
        <v>-2175.0000000000005</v>
      </c>
      <c r="T14">
        <f t="shared" si="4"/>
        <v>-1799.9999999999973</v>
      </c>
      <c r="U14">
        <f t="shared" si="5"/>
        <v>3075.0000000000009</v>
      </c>
      <c r="V14">
        <f t="shared" si="6"/>
        <v>-2099.9999999999995</v>
      </c>
      <c r="W14">
        <f t="shared" si="8"/>
        <v>3674.999999999995</v>
      </c>
      <c r="X14">
        <f t="shared" si="9"/>
        <v>-3799.9999999999945</v>
      </c>
      <c r="Y14">
        <f t="shared" si="9"/>
        <v>-5925</v>
      </c>
      <c r="Z14">
        <f t="shared" si="9"/>
        <v>4799.9999999999973</v>
      </c>
      <c r="AA14">
        <f t="shared" si="9"/>
        <v>2250.0000000000009</v>
      </c>
      <c r="AB14">
        <f t="shared" si="9"/>
        <v>75.000000000005059</v>
      </c>
      <c r="AE14">
        <f t="shared" si="7"/>
        <v>-2049.9999999999932</v>
      </c>
    </row>
    <row r="15" spans="1:31" x14ac:dyDescent="0.2">
      <c r="A15" s="7">
        <v>36597</v>
      </c>
      <c r="B15">
        <f t="shared" si="0"/>
        <v>3.86</v>
      </c>
      <c r="C15" s="5">
        <f>GasDaily!AF15</f>
        <v>3.81</v>
      </c>
      <c r="D15" s="3">
        <v>5000</v>
      </c>
      <c r="E15" s="3">
        <v>15000</v>
      </c>
      <c r="F15" s="3">
        <v>10000</v>
      </c>
      <c r="G15" s="3">
        <v>-15000</v>
      </c>
      <c r="H15" s="3">
        <v>10000</v>
      </c>
      <c r="I15" s="3">
        <v>-15000</v>
      </c>
      <c r="J15" s="3">
        <v>10000</v>
      </c>
      <c r="K15" s="3">
        <v>15000</v>
      </c>
      <c r="L15" s="3">
        <v>-15000</v>
      </c>
      <c r="M15" s="3">
        <v>-10000</v>
      </c>
      <c r="N15" s="3">
        <v>15000</v>
      </c>
      <c r="O15" s="3"/>
      <c r="P15" s="10">
        <f t="shared" si="10"/>
        <v>25000</v>
      </c>
      <c r="Q15" s="9"/>
      <c r="R15">
        <f t="shared" si="2"/>
        <v>725.00000000000011</v>
      </c>
      <c r="S15">
        <f t="shared" si="3"/>
        <v>374.99999999999869</v>
      </c>
      <c r="T15">
        <f t="shared" si="4"/>
        <v>-99.999999999997868</v>
      </c>
      <c r="U15">
        <f t="shared" si="5"/>
        <v>525.00000000000216</v>
      </c>
      <c r="V15">
        <f t="shared" si="6"/>
        <v>-400.00000000000034</v>
      </c>
      <c r="W15">
        <f t="shared" si="8"/>
        <v>1124.9999999999959</v>
      </c>
      <c r="X15">
        <f t="shared" si="9"/>
        <v>-2099.999999999995</v>
      </c>
      <c r="Y15">
        <f t="shared" si="9"/>
        <v>-3375.0000000000014</v>
      </c>
      <c r="Z15">
        <f t="shared" si="9"/>
        <v>2249.9999999999986</v>
      </c>
      <c r="AA15">
        <f t="shared" si="9"/>
        <v>550.00000000000159</v>
      </c>
      <c r="AB15">
        <f t="shared" si="9"/>
        <v>2625.0000000000041</v>
      </c>
      <c r="AE15">
        <f t="shared" si="7"/>
        <v>2200.0000000000064</v>
      </c>
    </row>
    <row r="16" spans="1:31" x14ac:dyDescent="0.2">
      <c r="A16" s="7">
        <v>36598</v>
      </c>
      <c r="B16">
        <f t="shared" si="0"/>
        <v>3.86</v>
      </c>
      <c r="C16" s="5">
        <f>GasDaily!AF16</f>
        <v>3.81</v>
      </c>
      <c r="D16" s="3">
        <v>5000</v>
      </c>
      <c r="E16" s="3">
        <v>15000</v>
      </c>
      <c r="F16" s="3">
        <v>10000</v>
      </c>
      <c r="G16" s="3">
        <v>-15000</v>
      </c>
      <c r="H16" s="3">
        <v>10000</v>
      </c>
      <c r="I16" s="3">
        <v>-15000</v>
      </c>
      <c r="J16" s="3">
        <v>10000</v>
      </c>
      <c r="K16" s="3">
        <v>15000</v>
      </c>
      <c r="L16" s="3">
        <v>-15000</v>
      </c>
      <c r="M16" s="3">
        <v>-10000</v>
      </c>
      <c r="N16" s="3">
        <v>15000</v>
      </c>
      <c r="O16" s="3"/>
      <c r="P16" s="10">
        <f t="shared" si="10"/>
        <v>25000</v>
      </c>
      <c r="Q16" s="9"/>
      <c r="R16">
        <f t="shared" si="2"/>
        <v>725.00000000000011</v>
      </c>
      <c r="S16">
        <f t="shared" si="3"/>
        <v>374.99999999999869</v>
      </c>
      <c r="T16">
        <f t="shared" si="4"/>
        <v>-99.999999999997868</v>
      </c>
      <c r="U16">
        <f t="shared" si="5"/>
        <v>525.00000000000216</v>
      </c>
      <c r="V16">
        <f t="shared" si="6"/>
        <v>-400.00000000000034</v>
      </c>
      <c r="W16">
        <f t="shared" si="8"/>
        <v>1124.9999999999959</v>
      </c>
      <c r="X16">
        <f t="shared" si="9"/>
        <v>-2099.999999999995</v>
      </c>
      <c r="Y16">
        <f t="shared" si="9"/>
        <v>-3375.0000000000014</v>
      </c>
      <c r="Z16">
        <f t="shared" si="9"/>
        <v>2249.9999999999986</v>
      </c>
      <c r="AA16">
        <f t="shared" si="9"/>
        <v>550.00000000000159</v>
      </c>
      <c r="AB16">
        <f t="shared" si="9"/>
        <v>2625.0000000000041</v>
      </c>
      <c r="AE16">
        <f t="shared" si="7"/>
        <v>2200.0000000000064</v>
      </c>
    </row>
    <row r="17" spans="1:31" x14ac:dyDescent="0.2">
      <c r="A17" s="7">
        <v>36599</v>
      </c>
      <c r="B17">
        <f t="shared" si="0"/>
        <v>3.86</v>
      </c>
      <c r="C17" s="5">
        <f>GasDaily!AF17</f>
        <v>3.81</v>
      </c>
      <c r="D17" s="3">
        <v>5000</v>
      </c>
      <c r="E17" s="3">
        <v>15000</v>
      </c>
      <c r="F17" s="3">
        <v>10000</v>
      </c>
      <c r="G17" s="3">
        <v>-15000</v>
      </c>
      <c r="H17" s="3">
        <v>10000</v>
      </c>
      <c r="I17" s="3">
        <v>-15000</v>
      </c>
      <c r="J17" s="3">
        <v>10000</v>
      </c>
      <c r="K17" s="3">
        <v>15000</v>
      </c>
      <c r="L17" s="3">
        <v>-15000</v>
      </c>
      <c r="M17" s="3">
        <v>-10000</v>
      </c>
      <c r="N17" s="3">
        <v>15000</v>
      </c>
      <c r="O17" s="3"/>
      <c r="P17" s="10">
        <f t="shared" si="10"/>
        <v>25000</v>
      </c>
      <c r="Q17" s="9"/>
      <c r="R17">
        <f t="shared" si="2"/>
        <v>725.00000000000011</v>
      </c>
      <c r="S17">
        <f t="shared" si="3"/>
        <v>374.99999999999869</v>
      </c>
      <c r="T17">
        <f t="shared" si="4"/>
        <v>-99.999999999997868</v>
      </c>
      <c r="U17">
        <f t="shared" si="5"/>
        <v>525.00000000000216</v>
      </c>
      <c r="V17">
        <f t="shared" si="6"/>
        <v>-400.00000000000034</v>
      </c>
      <c r="W17">
        <f t="shared" si="8"/>
        <v>1124.9999999999959</v>
      </c>
      <c r="X17">
        <f t="shared" si="9"/>
        <v>-2099.999999999995</v>
      </c>
      <c r="Y17">
        <f t="shared" si="9"/>
        <v>-3375.0000000000014</v>
      </c>
      <c r="Z17">
        <f t="shared" si="9"/>
        <v>2249.9999999999986</v>
      </c>
      <c r="AA17">
        <f t="shared" si="9"/>
        <v>550.00000000000159</v>
      </c>
      <c r="AB17">
        <f t="shared" si="9"/>
        <v>2625.0000000000041</v>
      </c>
      <c r="AE17">
        <f t="shared" si="7"/>
        <v>2200.0000000000064</v>
      </c>
    </row>
    <row r="18" spans="1:31" x14ac:dyDescent="0.2">
      <c r="A18" s="7">
        <v>36600</v>
      </c>
      <c r="B18">
        <f t="shared" si="0"/>
        <v>3.86</v>
      </c>
      <c r="C18" s="5">
        <f>GasDaily!AF18</f>
        <v>3.81</v>
      </c>
      <c r="D18" s="3">
        <v>5000</v>
      </c>
      <c r="E18" s="3">
        <v>15000</v>
      </c>
      <c r="F18" s="3">
        <v>10000</v>
      </c>
      <c r="G18" s="3">
        <v>-15000</v>
      </c>
      <c r="H18" s="3">
        <v>10000</v>
      </c>
      <c r="I18" s="3">
        <v>-15000</v>
      </c>
      <c r="J18" s="3">
        <v>10000</v>
      </c>
      <c r="K18" s="3">
        <v>15000</v>
      </c>
      <c r="L18" s="3">
        <v>-15000</v>
      </c>
      <c r="M18" s="3">
        <v>-10000</v>
      </c>
      <c r="N18" s="3">
        <v>15000</v>
      </c>
      <c r="O18" s="3"/>
      <c r="P18" s="10">
        <f t="shared" si="10"/>
        <v>25000</v>
      </c>
      <c r="Q18" s="9"/>
      <c r="R18">
        <f t="shared" si="2"/>
        <v>725.00000000000011</v>
      </c>
      <c r="S18">
        <f t="shared" si="3"/>
        <v>374.99999999999869</v>
      </c>
      <c r="T18">
        <f t="shared" si="4"/>
        <v>-99.999999999997868</v>
      </c>
      <c r="U18">
        <f t="shared" si="5"/>
        <v>525.00000000000216</v>
      </c>
      <c r="V18">
        <f t="shared" si="6"/>
        <v>-400.00000000000034</v>
      </c>
      <c r="W18">
        <f t="shared" si="8"/>
        <v>1124.9999999999959</v>
      </c>
      <c r="X18">
        <f t="shared" si="9"/>
        <v>-2099.999999999995</v>
      </c>
      <c r="Y18">
        <f t="shared" si="9"/>
        <v>-3375.0000000000014</v>
      </c>
      <c r="Z18">
        <f t="shared" si="9"/>
        <v>2249.9999999999986</v>
      </c>
      <c r="AA18">
        <f t="shared" si="9"/>
        <v>550.00000000000159</v>
      </c>
      <c r="AB18">
        <f t="shared" si="9"/>
        <v>2625.0000000000041</v>
      </c>
      <c r="AE18">
        <f t="shared" si="7"/>
        <v>2200.0000000000064</v>
      </c>
    </row>
    <row r="19" spans="1:31" x14ac:dyDescent="0.2">
      <c r="A19" s="7">
        <v>36601</v>
      </c>
      <c r="B19">
        <f t="shared" si="0"/>
        <v>3.86</v>
      </c>
      <c r="C19" s="5">
        <f>GasDaily!AF19</f>
        <v>3.81</v>
      </c>
      <c r="D19" s="3">
        <v>5000</v>
      </c>
      <c r="E19" s="3">
        <v>15000</v>
      </c>
      <c r="F19" s="3">
        <v>10000</v>
      </c>
      <c r="G19" s="3">
        <v>-15000</v>
      </c>
      <c r="H19" s="3">
        <v>10000</v>
      </c>
      <c r="I19" s="3">
        <v>-15000</v>
      </c>
      <c r="J19" s="3">
        <v>10000</v>
      </c>
      <c r="K19" s="3">
        <v>15000</v>
      </c>
      <c r="L19" s="3">
        <v>-15000</v>
      </c>
      <c r="M19" s="3">
        <v>-10000</v>
      </c>
      <c r="N19" s="3">
        <v>15000</v>
      </c>
      <c r="O19" s="3"/>
      <c r="P19" s="10">
        <f t="shared" si="10"/>
        <v>25000</v>
      </c>
      <c r="Q19" s="9"/>
      <c r="R19">
        <f t="shared" si="2"/>
        <v>725.00000000000011</v>
      </c>
      <c r="S19">
        <f t="shared" si="3"/>
        <v>374.99999999999869</v>
      </c>
      <c r="T19">
        <f t="shared" si="4"/>
        <v>-99.999999999997868</v>
      </c>
      <c r="U19">
        <f t="shared" si="5"/>
        <v>525.00000000000216</v>
      </c>
      <c r="V19">
        <f t="shared" si="6"/>
        <v>-400.00000000000034</v>
      </c>
      <c r="W19">
        <f t="shared" si="8"/>
        <v>1124.9999999999959</v>
      </c>
      <c r="X19">
        <f t="shared" si="9"/>
        <v>-2099.999999999995</v>
      </c>
      <c r="Y19">
        <f t="shared" si="9"/>
        <v>-3375.0000000000014</v>
      </c>
      <c r="Z19">
        <f t="shared" si="9"/>
        <v>2249.9999999999986</v>
      </c>
      <c r="AA19">
        <f t="shared" si="9"/>
        <v>550.00000000000159</v>
      </c>
      <c r="AB19">
        <f t="shared" si="9"/>
        <v>2625.0000000000041</v>
      </c>
      <c r="AE19">
        <f t="shared" si="7"/>
        <v>2200.0000000000064</v>
      </c>
    </row>
    <row r="20" spans="1:31" x14ac:dyDescent="0.2">
      <c r="A20" s="7">
        <v>36602</v>
      </c>
      <c r="B20">
        <f t="shared" si="0"/>
        <v>3.86</v>
      </c>
      <c r="C20" s="5">
        <f>GasDaily!AF20</f>
        <v>3.81</v>
      </c>
      <c r="D20" s="3">
        <v>5000</v>
      </c>
      <c r="E20" s="3">
        <v>15000</v>
      </c>
      <c r="F20" s="3">
        <v>10000</v>
      </c>
      <c r="G20" s="3">
        <v>-15000</v>
      </c>
      <c r="H20" s="3">
        <v>10000</v>
      </c>
      <c r="I20" s="3">
        <v>-15000</v>
      </c>
      <c r="J20" s="3">
        <v>10000</v>
      </c>
      <c r="K20" s="3">
        <v>15000</v>
      </c>
      <c r="L20" s="3">
        <v>-15000</v>
      </c>
      <c r="M20" s="3">
        <v>-10000</v>
      </c>
      <c r="N20" s="3">
        <v>15000</v>
      </c>
      <c r="O20" s="3"/>
      <c r="P20" s="10">
        <f t="shared" si="10"/>
        <v>25000</v>
      </c>
      <c r="Q20" s="9"/>
      <c r="R20">
        <f t="shared" si="2"/>
        <v>725.00000000000011</v>
      </c>
      <c r="S20">
        <f t="shared" si="3"/>
        <v>374.99999999999869</v>
      </c>
      <c r="T20">
        <f t="shared" si="4"/>
        <v>-99.999999999997868</v>
      </c>
      <c r="U20">
        <f t="shared" si="5"/>
        <v>525.00000000000216</v>
      </c>
      <c r="V20">
        <f t="shared" si="6"/>
        <v>-400.00000000000034</v>
      </c>
      <c r="W20">
        <f t="shared" si="8"/>
        <v>1124.9999999999959</v>
      </c>
      <c r="X20">
        <f t="shared" si="9"/>
        <v>-2099.999999999995</v>
      </c>
      <c r="Y20">
        <f t="shared" si="9"/>
        <v>-3375.0000000000014</v>
      </c>
      <c r="Z20">
        <f t="shared" si="9"/>
        <v>2249.9999999999986</v>
      </c>
      <c r="AA20">
        <f t="shared" si="9"/>
        <v>550.00000000000159</v>
      </c>
      <c r="AB20">
        <f t="shared" si="9"/>
        <v>2625.0000000000041</v>
      </c>
      <c r="AE20">
        <f t="shared" si="7"/>
        <v>2200.0000000000064</v>
      </c>
    </row>
    <row r="21" spans="1:31" x14ac:dyDescent="0.2">
      <c r="A21" s="7">
        <v>36603</v>
      </c>
      <c r="B21">
        <f t="shared" si="0"/>
        <v>3.86</v>
      </c>
      <c r="C21" s="5">
        <f>GasDaily!AF21</f>
        <v>3.81</v>
      </c>
      <c r="D21" s="3">
        <v>5000</v>
      </c>
      <c r="E21" s="3">
        <v>15000</v>
      </c>
      <c r="F21" s="3">
        <v>10000</v>
      </c>
      <c r="G21" s="3">
        <v>-15000</v>
      </c>
      <c r="H21" s="3">
        <v>10000</v>
      </c>
      <c r="I21" s="3">
        <v>-15000</v>
      </c>
      <c r="J21" s="3">
        <v>10000</v>
      </c>
      <c r="K21" s="3">
        <v>15000</v>
      </c>
      <c r="L21" s="3">
        <v>-15000</v>
      </c>
      <c r="M21" s="3">
        <v>-10000</v>
      </c>
      <c r="N21" s="3">
        <v>15000</v>
      </c>
      <c r="O21" s="3"/>
      <c r="P21" s="10">
        <f t="shared" si="10"/>
        <v>25000</v>
      </c>
      <c r="Q21" s="9"/>
      <c r="R21">
        <f t="shared" si="2"/>
        <v>725.00000000000011</v>
      </c>
      <c r="S21">
        <f t="shared" si="3"/>
        <v>374.99999999999869</v>
      </c>
      <c r="T21">
        <f t="shared" si="4"/>
        <v>-99.999999999997868</v>
      </c>
      <c r="U21">
        <f t="shared" si="5"/>
        <v>525.00000000000216</v>
      </c>
      <c r="V21">
        <f t="shared" si="6"/>
        <v>-400.00000000000034</v>
      </c>
      <c r="W21">
        <f t="shared" si="8"/>
        <v>1124.9999999999959</v>
      </c>
      <c r="X21">
        <f t="shared" si="9"/>
        <v>-2099.999999999995</v>
      </c>
      <c r="Y21">
        <f t="shared" si="9"/>
        <v>-3375.0000000000014</v>
      </c>
      <c r="Z21">
        <f t="shared" si="9"/>
        <v>2249.9999999999986</v>
      </c>
      <c r="AA21">
        <f t="shared" si="9"/>
        <v>550.00000000000159</v>
      </c>
      <c r="AB21">
        <f t="shared" si="9"/>
        <v>2625.0000000000041</v>
      </c>
      <c r="AE21">
        <f t="shared" si="7"/>
        <v>2200.0000000000064</v>
      </c>
    </row>
    <row r="22" spans="1:31" x14ac:dyDescent="0.2">
      <c r="A22" s="7">
        <v>36604</v>
      </c>
      <c r="B22">
        <f t="shared" si="0"/>
        <v>3.86</v>
      </c>
      <c r="C22" s="5">
        <f>GasDaily!AF22</f>
        <v>3.81</v>
      </c>
      <c r="D22" s="3">
        <v>5000</v>
      </c>
      <c r="E22" s="3">
        <v>15000</v>
      </c>
      <c r="F22" s="3">
        <v>10000</v>
      </c>
      <c r="G22" s="3">
        <v>-15000</v>
      </c>
      <c r="H22" s="3">
        <v>10000</v>
      </c>
      <c r="I22" s="3">
        <v>-15000</v>
      </c>
      <c r="J22" s="3">
        <v>10000</v>
      </c>
      <c r="K22" s="3">
        <v>15000</v>
      </c>
      <c r="L22" s="3">
        <v>-15000</v>
      </c>
      <c r="M22" s="3">
        <v>-10000</v>
      </c>
      <c r="N22" s="3">
        <v>15000</v>
      </c>
      <c r="O22" s="3"/>
      <c r="P22" s="10">
        <f t="shared" si="10"/>
        <v>25000</v>
      </c>
      <c r="Q22" s="9"/>
      <c r="R22">
        <f t="shared" si="2"/>
        <v>725.00000000000011</v>
      </c>
      <c r="S22">
        <f t="shared" si="3"/>
        <v>374.99999999999869</v>
      </c>
      <c r="T22">
        <f t="shared" si="4"/>
        <v>-99.999999999997868</v>
      </c>
      <c r="U22">
        <f t="shared" si="5"/>
        <v>525.00000000000216</v>
      </c>
      <c r="V22">
        <f t="shared" si="6"/>
        <v>-400.00000000000034</v>
      </c>
      <c r="W22">
        <f t="shared" si="8"/>
        <v>1124.9999999999959</v>
      </c>
      <c r="X22">
        <f t="shared" si="9"/>
        <v>-2099.999999999995</v>
      </c>
      <c r="Y22">
        <f t="shared" si="9"/>
        <v>-3375.0000000000014</v>
      </c>
      <c r="Z22">
        <f t="shared" si="9"/>
        <v>2249.9999999999986</v>
      </c>
      <c r="AA22">
        <f t="shared" si="9"/>
        <v>550.00000000000159</v>
      </c>
      <c r="AB22">
        <f t="shared" si="9"/>
        <v>2625.0000000000041</v>
      </c>
      <c r="AE22">
        <f t="shared" si="7"/>
        <v>2200.0000000000064</v>
      </c>
    </row>
    <row r="23" spans="1:31" x14ac:dyDescent="0.2">
      <c r="A23" s="7">
        <v>36605</v>
      </c>
      <c r="B23">
        <f t="shared" si="0"/>
        <v>3.86</v>
      </c>
      <c r="C23" s="5">
        <f>GasDaily!AF23</f>
        <v>3.81</v>
      </c>
      <c r="D23" s="3">
        <v>5000</v>
      </c>
      <c r="E23" s="3">
        <v>15000</v>
      </c>
      <c r="F23" s="3">
        <v>10000</v>
      </c>
      <c r="G23" s="3">
        <v>-15000</v>
      </c>
      <c r="H23" s="3">
        <v>10000</v>
      </c>
      <c r="I23" s="3">
        <v>-15000</v>
      </c>
      <c r="J23" s="3">
        <v>10000</v>
      </c>
      <c r="K23" s="3">
        <v>15000</v>
      </c>
      <c r="L23" s="3">
        <v>-15000</v>
      </c>
      <c r="M23" s="3">
        <v>-10000</v>
      </c>
      <c r="N23" s="3">
        <v>15000</v>
      </c>
      <c r="O23" s="3"/>
      <c r="P23" s="10">
        <f t="shared" si="10"/>
        <v>25000</v>
      </c>
      <c r="Q23" s="9"/>
      <c r="R23">
        <f t="shared" si="2"/>
        <v>725.00000000000011</v>
      </c>
      <c r="S23">
        <f t="shared" si="3"/>
        <v>374.99999999999869</v>
      </c>
      <c r="T23">
        <f t="shared" si="4"/>
        <v>-99.999999999997868</v>
      </c>
      <c r="U23">
        <f t="shared" si="5"/>
        <v>525.00000000000216</v>
      </c>
      <c r="V23">
        <f t="shared" si="6"/>
        <v>-400.00000000000034</v>
      </c>
      <c r="W23">
        <f t="shared" si="8"/>
        <v>1124.9999999999959</v>
      </c>
      <c r="X23">
        <f t="shared" si="9"/>
        <v>-2099.999999999995</v>
      </c>
      <c r="Y23">
        <f t="shared" si="9"/>
        <v>-3375.0000000000014</v>
      </c>
      <c r="Z23">
        <f t="shared" si="9"/>
        <v>2249.9999999999986</v>
      </c>
      <c r="AA23">
        <f t="shared" si="9"/>
        <v>550.00000000000159</v>
      </c>
      <c r="AB23">
        <f t="shared" si="9"/>
        <v>2625.0000000000041</v>
      </c>
      <c r="AE23">
        <f t="shared" si="7"/>
        <v>2200.0000000000064</v>
      </c>
    </row>
    <row r="24" spans="1:31" x14ac:dyDescent="0.2">
      <c r="A24" s="7">
        <v>36606</v>
      </c>
      <c r="B24">
        <f t="shared" si="0"/>
        <v>3.86</v>
      </c>
      <c r="C24" s="5">
        <f>GasDaily!AF24</f>
        <v>3.81</v>
      </c>
      <c r="D24" s="3">
        <v>5000</v>
      </c>
      <c r="E24" s="3">
        <v>15000</v>
      </c>
      <c r="F24" s="3">
        <v>10000</v>
      </c>
      <c r="G24" s="3">
        <v>-15000</v>
      </c>
      <c r="H24" s="3">
        <v>10000</v>
      </c>
      <c r="I24" s="3">
        <v>-15000</v>
      </c>
      <c r="J24" s="3">
        <v>10000</v>
      </c>
      <c r="K24" s="3">
        <v>15000</v>
      </c>
      <c r="L24" s="3">
        <v>-15000</v>
      </c>
      <c r="M24" s="3">
        <v>-10000</v>
      </c>
      <c r="N24" s="3">
        <v>15000</v>
      </c>
      <c r="O24" s="3"/>
      <c r="P24" s="10">
        <f t="shared" si="10"/>
        <v>25000</v>
      </c>
      <c r="Q24" s="9"/>
      <c r="R24">
        <f t="shared" si="2"/>
        <v>725.00000000000011</v>
      </c>
      <c r="S24">
        <f t="shared" si="3"/>
        <v>374.99999999999869</v>
      </c>
      <c r="T24">
        <f t="shared" si="4"/>
        <v>-99.999999999997868</v>
      </c>
      <c r="U24">
        <f t="shared" si="5"/>
        <v>525.00000000000216</v>
      </c>
      <c r="V24">
        <f t="shared" si="6"/>
        <v>-400.00000000000034</v>
      </c>
      <c r="W24">
        <f t="shared" si="8"/>
        <v>1124.9999999999959</v>
      </c>
      <c r="X24">
        <f t="shared" si="9"/>
        <v>-2099.999999999995</v>
      </c>
      <c r="Y24">
        <f t="shared" si="9"/>
        <v>-3375.0000000000014</v>
      </c>
      <c r="Z24">
        <f t="shared" si="9"/>
        <v>2249.9999999999986</v>
      </c>
      <c r="AA24">
        <f t="shared" si="9"/>
        <v>550.00000000000159</v>
      </c>
      <c r="AB24">
        <f t="shared" si="9"/>
        <v>2625.0000000000041</v>
      </c>
      <c r="AE24">
        <f t="shared" si="7"/>
        <v>2200.0000000000064</v>
      </c>
    </row>
    <row r="25" spans="1:31" x14ac:dyDescent="0.2">
      <c r="A25" s="7">
        <v>36607</v>
      </c>
      <c r="B25">
        <f t="shared" si="0"/>
        <v>3.86</v>
      </c>
      <c r="C25" s="5">
        <f>GasDaily!AF25</f>
        <v>3.81</v>
      </c>
      <c r="D25" s="3">
        <v>5000</v>
      </c>
      <c r="E25" s="3">
        <v>15000</v>
      </c>
      <c r="F25" s="3">
        <v>10000</v>
      </c>
      <c r="G25" s="3">
        <v>-15000</v>
      </c>
      <c r="H25" s="3">
        <v>10000</v>
      </c>
      <c r="I25" s="3">
        <v>-15000</v>
      </c>
      <c r="J25" s="3">
        <v>10000</v>
      </c>
      <c r="K25" s="3">
        <v>15000</v>
      </c>
      <c r="L25" s="3">
        <v>-15000</v>
      </c>
      <c r="M25" s="3">
        <v>-10000</v>
      </c>
      <c r="N25" s="3">
        <v>15000</v>
      </c>
      <c r="O25" s="3"/>
      <c r="P25" s="10">
        <f t="shared" si="10"/>
        <v>25000</v>
      </c>
      <c r="Q25" s="9"/>
      <c r="R25">
        <f t="shared" si="2"/>
        <v>725.00000000000011</v>
      </c>
      <c r="S25">
        <f t="shared" si="3"/>
        <v>374.99999999999869</v>
      </c>
      <c r="T25">
        <f t="shared" si="4"/>
        <v>-99.999999999997868</v>
      </c>
      <c r="U25">
        <f t="shared" si="5"/>
        <v>525.00000000000216</v>
      </c>
      <c r="V25">
        <f t="shared" si="6"/>
        <v>-400.00000000000034</v>
      </c>
      <c r="W25">
        <f t="shared" si="8"/>
        <v>1124.9999999999959</v>
      </c>
      <c r="X25">
        <f t="shared" si="9"/>
        <v>-2099.999999999995</v>
      </c>
      <c r="Y25">
        <f t="shared" si="9"/>
        <v>-3375.0000000000014</v>
      </c>
      <c r="Z25">
        <f t="shared" si="9"/>
        <v>2249.9999999999986</v>
      </c>
      <c r="AA25">
        <f t="shared" si="9"/>
        <v>550.00000000000159</v>
      </c>
      <c r="AB25">
        <f t="shared" si="9"/>
        <v>2625.0000000000041</v>
      </c>
      <c r="AE25">
        <f t="shared" si="7"/>
        <v>2200.0000000000064</v>
      </c>
    </row>
    <row r="26" spans="1:31" x14ac:dyDescent="0.2">
      <c r="A26" s="7">
        <v>36608</v>
      </c>
      <c r="B26">
        <f t="shared" si="0"/>
        <v>3.86</v>
      </c>
      <c r="C26" s="5">
        <f>GasDaily!AF26</f>
        <v>3.81</v>
      </c>
      <c r="D26" s="3">
        <v>5000</v>
      </c>
      <c r="E26" s="3">
        <v>15000</v>
      </c>
      <c r="F26" s="3">
        <v>10000</v>
      </c>
      <c r="G26" s="3">
        <v>-15000</v>
      </c>
      <c r="H26" s="3">
        <v>10000</v>
      </c>
      <c r="I26" s="3">
        <v>-15000</v>
      </c>
      <c r="J26" s="3">
        <v>10000</v>
      </c>
      <c r="K26" s="3">
        <v>15000</v>
      </c>
      <c r="L26" s="3">
        <v>-15000</v>
      </c>
      <c r="M26" s="3">
        <v>-10000</v>
      </c>
      <c r="N26" s="3">
        <v>15000</v>
      </c>
      <c r="O26" s="3"/>
      <c r="P26" s="10">
        <f t="shared" si="10"/>
        <v>25000</v>
      </c>
      <c r="Q26" s="9"/>
      <c r="R26">
        <f t="shared" si="2"/>
        <v>725.00000000000011</v>
      </c>
      <c r="S26">
        <f t="shared" si="3"/>
        <v>374.99999999999869</v>
      </c>
      <c r="T26">
        <f t="shared" si="4"/>
        <v>-99.999999999997868</v>
      </c>
      <c r="U26">
        <f t="shared" si="5"/>
        <v>525.00000000000216</v>
      </c>
      <c r="V26">
        <f t="shared" si="6"/>
        <v>-400.00000000000034</v>
      </c>
      <c r="W26">
        <f t="shared" si="8"/>
        <v>1124.9999999999959</v>
      </c>
      <c r="X26">
        <f t="shared" si="9"/>
        <v>-2099.999999999995</v>
      </c>
      <c r="Y26">
        <f t="shared" si="9"/>
        <v>-3375.0000000000014</v>
      </c>
      <c r="Z26">
        <f t="shared" si="9"/>
        <v>2249.9999999999986</v>
      </c>
      <c r="AA26">
        <f t="shared" si="9"/>
        <v>550.00000000000159</v>
      </c>
      <c r="AB26">
        <f t="shared" si="9"/>
        <v>2625.0000000000041</v>
      </c>
      <c r="AE26">
        <f t="shared" si="7"/>
        <v>2200.0000000000064</v>
      </c>
    </row>
    <row r="27" spans="1:31" x14ac:dyDescent="0.2">
      <c r="A27" s="7">
        <v>36609</v>
      </c>
      <c r="B27">
        <f t="shared" si="0"/>
        <v>3.86</v>
      </c>
      <c r="C27" s="5">
        <f>GasDaily!AF27</f>
        <v>3.81</v>
      </c>
      <c r="D27" s="3">
        <v>5000</v>
      </c>
      <c r="E27" s="3">
        <v>15000</v>
      </c>
      <c r="F27" s="3">
        <v>10000</v>
      </c>
      <c r="G27" s="3">
        <v>-15000</v>
      </c>
      <c r="H27" s="3">
        <v>10000</v>
      </c>
      <c r="I27" s="3">
        <v>-15000</v>
      </c>
      <c r="J27" s="3">
        <v>10000</v>
      </c>
      <c r="K27" s="3">
        <v>15000</v>
      </c>
      <c r="L27" s="3">
        <v>-15000</v>
      </c>
      <c r="M27" s="3">
        <v>-10000</v>
      </c>
      <c r="N27" s="3">
        <v>15000</v>
      </c>
      <c r="O27" s="3"/>
      <c r="P27" s="10">
        <f t="shared" si="10"/>
        <v>25000</v>
      </c>
      <c r="Q27" s="9"/>
      <c r="R27">
        <f t="shared" si="2"/>
        <v>725.00000000000011</v>
      </c>
      <c r="S27">
        <f t="shared" si="3"/>
        <v>374.99999999999869</v>
      </c>
      <c r="T27">
        <f t="shared" si="4"/>
        <v>-99.999999999997868</v>
      </c>
      <c r="U27">
        <f t="shared" si="5"/>
        <v>525.00000000000216</v>
      </c>
      <c r="V27">
        <f t="shared" si="6"/>
        <v>-400.00000000000034</v>
      </c>
      <c r="W27">
        <f t="shared" si="8"/>
        <v>1124.9999999999959</v>
      </c>
      <c r="X27">
        <f t="shared" si="9"/>
        <v>-2099.999999999995</v>
      </c>
      <c r="Y27">
        <f t="shared" si="9"/>
        <v>-3375.0000000000014</v>
      </c>
      <c r="Z27">
        <f t="shared" si="9"/>
        <v>2249.9999999999986</v>
      </c>
      <c r="AA27">
        <f t="shared" si="9"/>
        <v>550.00000000000159</v>
      </c>
      <c r="AB27">
        <f t="shared" si="9"/>
        <v>2625.0000000000041</v>
      </c>
      <c r="AE27">
        <f t="shared" si="7"/>
        <v>2200.0000000000064</v>
      </c>
    </row>
    <row r="28" spans="1:31" x14ac:dyDescent="0.2">
      <c r="A28" s="7">
        <v>36610</v>
      </c>
      <c r="B28">
        <f t="shared" si="0"/>
        <v>3.86</v>
      </c>
      <c r="C28" s="5">
        <f>GasDaily!AF28</f>
        <v>3.81</v>
      </c>
      <c r="D28" s="3">
        <v>5000</v>
      </c>
      <c r="E28" s="3">
        <v>15000</v>
      </c>
      <c r="F28" s="3">
        <v>10000</v>
      </c>
      <c r="G28" s="3">
        <v>-15000</v>
      </c>
      <c r="H28" s="3">
        <v>10000</v>
      </c>
      <c r="I28" s="3">
        <v>-15000</v>
      </c>
      <c r="J28" s="3">
        <v>10000</v>
      </c>
      <c r="K28" s="3">
        <v>15000</v>
      </c>
      <c r="L28" s="3">
        <v>-15000</v>
      </c>
      <c r="M28" s="3">
        <v>-10000</v>
      </c>
      <c r="N28" s="3">
        <v>15000</v>
      </c>
      <c r="O28" s="3"/>
      <c r="P28" s="10">
        <f t="shared" si="10"/>
        <v>25000</v>
      </c>
      <c r="Q28" s="9"/>
      <c r="R28">
        <f t="shared" si="2"/>
        <v>725.00000000000011</v>
      </c>
      <c r="S28">
        <f t="shared" si="3"/>
        <v>374.99999999999869</v>
      </c>
      <c r="T28">
        <f t="shared" si="4"/>
        <v>-99.999999999997868</v>
      </c>
      <c r="U28">
        <f t="shared" si="5"/>
        <v>525.00000000000216</v>
      </c>
      <c r="V28">
        <f t="shared" si="6"/>
        <v>-400.00000000000034</v>
      </c>
      <c r="W28">
        <f t="shared" si="8"/>
        <v>1124.9999999999959</v>
      </c>
      <c r="X28">
        <f t="shared" si="9"/>
        <v>-2099.999999999995</v>
      </c>
      <c r="Y28">
        <f t="shared" si="9"/>
        <v>-3375.0000000000014</v>
      </c>
      <c r="Z28">
        <f t="shared" si="9"/>
        <v>2249.9999999999986</v>
      </c>
      <c r="AA28">
        <f t="shared" si="9"/>
        <v>550.00000000000159</v>
      </c>
      <c r="AB28">
        <f t="shared" si="9"/>
        <v>2625.0000000000041</v>
      </c>
      <c r="AE28">
        <f t="shared" si="7"/>
        <v>2200.0000000000064</v>
      </c>
    </row>
    <row r="29" spans="1:31" x14ac:dyDescent="0.2">
      <c r="A29" s="7">
        <v>36611</v>
      </c>
      <c r="B29">
        <f t="shared" si="0"/>
        <v>3.86</v>
      </c>
      <c r="C29" s="5">
        <f>GasDaily!AF29</f>
        <v>3.81</v>
      </c>
      <c r="D29" s="3">
        <v>5000</v>
      </c>
      <c r="E29" s="3">
        <v>15000</v>
      </c>
      <c r="F29" s="3">
        <v>10000</v>
      </c>
      <c r="G29" s="3">
        <v>-15000</v>
      </c>
      <c r="H29" s="3">
        <v>10000</v>
      </c>
      <c r="I29" s="3">
        <v>-15000</v>
      </c>
      <c r="J29" s="3">
        <v>10000</v>
      </c>
      <c r="K29" s="3">
        <v>15000</v>
      </c>
      <c r="L29" s="3">
        <v>-15000</v>
      </c>
      <c r="M29" s="3">
        <v>-10000</v>
      </c>
      <c r="N29" s="3">
        <v>15000</v>
      </c>
      <c r="O29" s="3"/>
      <c r="P29" s="10">
        <f t="shared" si="10"/>
        <v>25000</v>
      </c>
      <c r="Q29" s="9"/>
      <c r="R29">
        <f t="shared" si="2"/>
        <v>725.00000000000011</v>
      </c>
      <c r="S29">
        <f t="shared" si="3"/>
        <v>374.99999999999869</v>
      </c>
      <c r="T29">
        <f t="shared" si="4"/>
        <v>-99.999999999997868</v>
      </c>
      <c r="U29">
        <f t="shared" si="5"/>
        <v>525.00000000000216</v>
      </c>
      <c r="V29">
        <f t="shared" si="6"/>
        <v>-400.00000000000034</v>
      </c>
      <c r="W29">
        <f t="shared" si="8"/>
        <v>1124.9999999999959</v>
      </c>
      <c r="X29">
        <f t="shared" si="9"/>
        <v>-2099.999999999995</v>
      </c>
      <c r="Y29">
        <f t="shared" si="9"/>
        <v>-3375.0000000000014</v>
      </c>
      <c r="Z29">
        <f t="shared" si="9"/>
        <v>2249.9999999999986</v>
      </c>
      <c r="AA29">
        <f t="shared" si="9"/>
        <v>550.00000000000159</v>
      </c>
      <c r="AB29">
        <f t="shared" si="9"/>
        <v>2625.0000000000041</v>
      </c>
      <c r="AE29">
        <f t="shared" si="7"/>
        <v>2200.0000000000064</v>
      </c>
    </row>
    <row r="30" spans="1:31" x14ac:dyDescent="0.2">
      <c r="A30" s="7">
        <v>36612</v>
      </c>
      <c r="B30">
        <f t="shared" si="0"/>
        <v>3.86</v>
      </c>
      <c r="C30" s="5">
        <f>GasDaily!AF30</f>
        <v>3.81</v>
      </c>
      <c r="D30" s="3">
        <v>5000</v>
      </c>
      <c r="E30" s="3">
        <v>15000</v>
      </c>
      <c r="F30" s="3">
        <v>10000</v>
      </c>
      <c r="G30" s="3">
        <v>-15000</v>
      </c>
      <c r="H30" s="3">
        <v>10000</v>
      </c>
      <c r="I30" s="3">
        <v>-15000</v>
      </c>
      <c r="J30" s="3">
        <v>10000</v>
      </c>
      <c r="K30" s="3">
        <v>15000</v>
      </c>
      <c r="L30" s="3">
        <v>-15000</v>
      </c>
      <c r="M30" s="3">
        <v>-10000</v>
      </c>
      <c r="N30" s="3">
        <v>15000</v>
      </c>
      <c r="O30" s="3"/>
      <c r="P30" s="10">
        <f t="shared" si="10"/>
        <v>25000</v>
      </c>
      <c r="Q30" s="9"/>
      <c r="R30">
        <f t="shared" si="2"/>
        <v>725.00000000000011</v>
      </c>
      <c r="S30">
        <f t="shared" si="3"/>
        <v>374.99999999999869</v>
      </c>
      <c r="T30">
        <f t="shared" si="4"/>
        <v>-99.999999999997868</v>
      </c>
      <c r="U30">
        <f t="shared" si="5"/>
        <v>525.00000000000216</v>
      </c>
      <c r="V30">
        <f t="shared" si="6"/>
        <v>-400.00000000000034</v>
      </c>
      <c r="W30">
        <f t="shared" si="8"/>
        <v>1124.9999999999959</v>
      </c>
      <c r="X30">
        <f t="shared" si="9"/>
        <v>-2099.999999999995</v>
      </c>
      <c r="Y30">
        <f t="shared" si="9"/>
        <v>-3375.0000000000014</v>
      </c>
      <c r="Z30">
        <f t="shared" si="9"/>
        <v>2249.9999999999986</v>
      </c>
      <c r="AA30">
        <f t="shared" si="9"/>
        <v>550.00000000000159</v>
      </c>
      <c r="AB30">
        <f t="shared" si="9"/>
        <v>2625.0000000000041</v>
      </c>
      <c r="AE30">
        <f t="shared" si="7"/>
        <v>2200.0000000000064</v>
      </c>
    </row>
    <row r="31" spans="1:31" x14ac:dyDescent="0.2">
      <c r="A31" s="7">
        <v>36613</v>
      </c>
      <c r="B31">
        <f t="shared" si="0"/>
        <v>3.86</v>
      </c>
      <c r="C31" s="5">
        <f>GasDaily!AF31</f>
        <v>3.81</v>
      </c>
      <c r="D31" s="3">
        <v>5000</v>
      </c>
      <c r="E31" s="3">
        <v>15000</v>
      </c>
      <c r="F31" s="3">
        <v>10000</v>
      </c>
      <c r="G31" s="3">
        <v>-15000</v>
      </c>
      <c r="H31" s="3">
        <v>10000</v>
      </c>
      <c r="I31" s="3">
        <v>-15000</v>
      </c>
      <c r="J31" s="3">
        <v>10000</v>
      </c>
      <c r="K31" s="3">
        <v>15000</v>
      </c>
      <c r="L31" s="3">
        <v>-15000</v>
      </c>
      <c r="M31" s="3">
        <v>-10000</v>
      </c>
      <c r="N31" s="3">
        <v>15000</v>
      </c>
      <c r="O31" s="3"/>
      <c r="P31" s="10">
        <f t="shared" si="10"/>
        <v>25000</v>
      </c>
      <c r="Q31" s="9"/>
      <c r="R31">
        <f t="shared" si="2"/>
        <v>725.00000000000011</v>
      </c>
      <c r="S31">
        <f t="shared" si="3"/>
        <v>374.99999999999869</v>
      </c>
      <c r="T31">
        <f t="shared" si="4"/>
        <v>-99.999999999997868</v>
      </c>
      <c r="U31">
        <f t="shared" si="5"/>
        <v>525.00000000000216</v>
      </c>
      <c r="V31">
        <f t="shared" si="6"/>
        <v>-400.00000000000034</v>
      </c>
      <c r="W31">
        <f t="shared" si="8"/>
        <v>1124.9999999999959</v>
      </c>
      <c r="X31">
        <f t="shared" si="9"/>
        <v>-2099.999999999995</v>
      </c>
      <c r="Y31">
        <f t="shared" si="9"/>
        <v>-3375.0000000000014</v>
      </c>
      <c r="Z31">
        <f t="shared" si="9"/>
        <v>2249.9999999999986</v>
      </c>
      <c r="AA31">
        <f t="shared" si="9"/>
        <v>550.00000000000159</v>
      </c>
      <c r="AB31">
        <f t="shared" si="9"/>
        <v>2625.0000000000041</v>
      </c>
      <c r="AE31">
        <f t="shared" si="7"/>
        <v>2200.0000000000064</v>
      </c>
    </row>
    <row r="32" spans="1:31" x14ac:dyDescent="0.2">
      <c r="A32" s="7">
        <v>36614</v>
      </c>
      <c r="B32">
        <f t="shared" si="0"/>
        <v>3.86</v>
      </c>
      <c r="C32" s="5">
        <f>GasDaily!AF32</f>
        <v>3.81</v>
      </c>
      <c r="D32" s="3">
        <v>5000</v>
      </c>
      <c r="E32" s="3">
        <v>15000</v>
      </c>
      <c r="F32" s="3">
        <v>10000</v>
      </c>
      <c r="G32" s="3">
        <v>-15000</v>
      </c>
      <c r="H32" s="3">
        <v>10000</v>
      </c>
      <c r="I32" s="3">
        <v>-15000</v>
      </c>
      <c r="J32" s="3">
        <v>10000</v>
      </c>
      <c r="K32" s="3">
        <v>15000</v>
      </c>
      <c r="L32" s="3">
        <v>-15000</v>
      </c>
      <c r="M32" s="3">
        <v>-10000</v>
      </c>
      <c r="N32" s="3">
        <v>15000</v>
      </c>
      <c r="O32" s="3"/>
      <c r="P32" s="10">
        <f t="shared" si="10"/>
        <v>25000</v>
      </c>
      <c r="Q32" s="9"/>
      <c r="R32">
        <f>D32*(C32-D$3)</f>
        <v>725.00000000000011</v>
      </c>
      <c r="S32">
        <f>E32*($C32-E$3)</f>
        <v>374.99999999999869</v>
      </c>
      <c r="T32">
        <f t="shared" si="4"/>
        <v>-99.999999999997868</v>
      </c>
      <c r="U32">
        <f t="shared" si="5"/>
        <v>525.00000000000216</v>
      </c>
      <c r="V32">
        <f t="shared" si="6"/>
        <v>-400.00000000000034</v>
      </c>
      <c r="W32">
        <f t="shared" si="8"/>
        <v>1124.9999999999959</v>
      </c>
      <c r="X32">
        <f t="shared" si="9"/>
        <v>-2099.999999999995</v>
      </c>
      <c r="Y32">
        <f t="shared" si="9"/>
        <v>-3375.0000000000014</v>
      </c>
      <c r="Z32">
        <f t="shared" si="9"/>
        <v>2249.9999999999986</v>
      </c>
      <c r="AA32">
        <f t="shared" si="9"/>
        <v>550.00000000000159</v>
      </c>
      <c r="AB32">
        <f t="shared" si="9"/>
        <v>2625.0000000000041</v>
      </c>
      <c r="AE32">
        <f t="shared" si="7"/>
        <v>2200.0000000000064</v>
      </c>
    </row>
    <row r="33" spans="1:31" x14ac:dyDescent="0.2">
      <c r="A33" s="7">
        <v>36615</v>
      </c>
      <c r="B33">
        <f t="shared" si="0"/>
        <v>3.86</v>
      </c>
      <c r="C33" s="5">
        <f>GasDaily!AF33</f>
        <v>3.81</v>
      </c>
      <c r="D33" s="3">
        <v>5000</v>
      </c>
      <c r="E33" s="3">
        <v>15000</v>
      </c>
      <c r="F33" s="3">
        <v>10000</v>
      </c>
      <c r="G33" s="3">
        <v>-15000</v>
      </c>
      <c r="H33" s="3">
        <v>10000</v>
      </c>
      <c r="I33" s="3">
        <v>-15000</v>
      </c>
      <c r="J33" s="3">
        <v>10000</v>
      </c>
      <c r="K33" s="3">
        <v>15000</v>
      </c>
      <c r="L33" s="3">
        <v>-15000</v>
      </c>
      <c r="M33" s="3">
        <v>-10000</v>
      </c>
      <c r="N33" s="3">
        <v>15000</v>
      </c>
      <c r="P33" s="10">
        <f t="shared" si="10"/>
        <v>25000</v>
      </c>
      <c r="R33">
        <f>D33*(C33-D$3)</f>
        <v>725.00000000000011</v>
      </c>
      <c r="S33">
        <f>E33*($C33-E$3)</f>
        <v>374.99999999999869</v>
      </c>
      <c r="T33">
        <f t="shared" si="4"/>
        <v>-99.999999999997868</v>
      </c>
      <c r="U33">
        <f t="shared" si="5"/>
        <v>525.00000000000216</v>
      </c>
      <c r="V33">
        <f t="shared" si="6"/>
        <v>-400.00000000000034</v>
      </c>
      <c r="W33">
        <f t="shared" si="8"/>
        <v>1124.9999999999959</v>
      </c>
      <c r="X33">
        <f t="shared" si="9"/>
        <v>-2099.999999999995</v>
      </c>
      <c r="Y33">
        <f t="shared" si="9"/>
        <v>-3375.0000000000014</v>
      </c>
      <c r="Z33">
        <f t="shared" si="9"/>
        <v>2249.9999999999986</v>
      </c>
      <c r="AA33">
        <f t="shared" si="9"/>
        <v>550.00000000000159</v>
      </c>
      <c r="AB33">
        <f t="shared" si="9"/>
        <v>2625.0000000000041</v>
      </c>
      <c r="AE33">
        <f t="shared" si="7"/>
        <v>2200.0000000000064</v>
      </c>
    </row>
    <row r="34" spans="1:31" x14ac:dyDescent="0.2">
      <c r="A34" s="7">
        <v>36616</v>
      </c>
      <c r="B34">
        <f t="shared" si="0"/>
        <v>3.86</v>
      </c>
      <c r="C34" s="5">
        <f>GasDaily!AF34</f>
        <v>0.04</v>
      </c>
      <c r="D34" s="3"/>
      <c r="E34" s="3"/>
      <c r="F34" s="3"/>
      <c r="G34" s="3"/>
      <c r="H34" s="3"/>
      <c r="I34" s="3"/>
      <c r="J34" s="3"/>
      <c r="K34" s="3"/>
      <c r="L34" s="3"/>
      <c r="P34" s="10">
        <f>SUM(D34:M34)</f>
        <v>0</v>
      </c>
      <c r="R34">
        <f>D34*(C34-D$3)</f>
        <v>0</v>
      </c>
      <c r="S34">
        <f>E34*($C34-E$3)</f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8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E34">
        <f t="shared" si="7"/>
        <v>0</v>
      </c>
    </row>
    <row r="35" spans="1:31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31" x14ac:dyDescent="0.2">
      <c r="P36" s="10">
        <f>SUM(P15:P34)</f>
        <v>475000</v>
      </c>
      <c r="AE36" s="11">
        <f>SUM(AE4:AE34)</f>
        <v>45950.000000000167</v>
      </c>
    </row>
    <row r="37" spans="1:31" x14ac:dyDescent="0.2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3"/>
  <dimension ref="A1:AE37"/>
  <sheetViews>
    <sheetView zoomScale="85" workbookViewId="0">
      <pane xSplit="1" topLeftCell="R1" activePane="topRight" state="frozenSplit"/>
      <selection pane="topRight" activeCell="AE12" sqref="AE12:AE14"/>
    </sheetView>
  </sheetViews>
  <sheetFormatPr defaultRowHeight="12.75" x14ac:dyDescent="0.2"/>
  <cols>
    <col min="16" max="16" width="13.140625" style="2" customWidth="1"/>
    <col min="17" max="17" width="2.85546875" style="8" customWidth="1"/>
    <col min="30" max="30" width="2.7109375" style="8" customWidth="1"/>
    <col min="31" max="31" width="10.85546875" bestFit="1" customWidth="1"/>
  </cols>
  <sheetData>
    <row r="1" spans="1:31" x14ac:dyDescent="0.2">
      <c r="B1" s="2" t="s">
        <v>0</v>
      </c>
    </row>
    <row r="2" spans="1:31" x14ac:dyDescent="0.2">
      <c r="B2" s="6">
        <v>3.86</v>
      </c>
      <c r="C2" s="4"/>
      <c r="P2" s="2" t="s">
        <v>4</v>
      </c>
    </row>
    <row r="3" spans="1:31" x14ac:dyDescent="0.2">
      <c r="B3" s="5">
        <v>0</v>
      </c>
      <c r="C3" t="s">
        <v>1</v>
      </c>
      <c r="D3" s="5">
        <v>3.415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AE3" t="s">
        <v>3</v>
      </c>
    </row>
    <row r="4" spans="1:31" x14ac:dyDescent="0.2">
      <c r="A4" s="7">
        <v>36586</v>
      </c>
      <c r="B4">
        <f t="shared" ref="B4:B34" si="0">B$2+B$3</f>
        <v>3.86</v>
      </c>
      <c r="C4" s="5">
        <f>GasDaily!X4</f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0">
        <f t="shared" ref="P4:P9" si="1">SUM(D4:M4)</f>
        <v>0</v>
      </c>
      <c r="Q4" s="9"/>
      <c r="R4">
        <f t="shared" ref="R4:R31" si="2">D4*($C4-D$3)</f>
        <v>0</v>
      </c>
      <c r="S4">
        <f t="shared" ref="S4:S31" si="3">E4*($C4-E$3)</f>
        <v>0</v>
      </c>
      <c r="T4">
        <f t="shared" ref="T4:T31" si="4">F4*($C4-F$3)</f>
        <v>0</v>
      </c>
      <c r="U4">
        <f t="shared" ref="U4:U31" si="5">G4*($C4-G$3)</f>
        <v>0</v>
      </c>
      <c r="V4">
        <f t="shared" ref="V4:V31" si="6">H4*($C4-H$3)</f>
        <v>0</v>
      </c>
      <c r="AE4">
        <f t="shared" ref="AE4:AE34" si="7">SUM(R4:AD4)</f>
        <v>0</v>
      </c>
    </row>
    <row r="5" spans="1:31" x14ac:dyDescent="0.2">
      <c r="A5" s="7">
        <v>36587</v>
      </c>
      <c r="B5">
        <f t="shared" si="0"/>
        <v>3.86</v>
      </c>
      <c r="C5" s="5">
        <f>GasDaily!X5</f>
        <v>3.51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>
        <f t="shared" si="1"/>
        <v>0</v>
      </c>
      <c r="Q5" s="9"/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ref="W5:W34" si="8">I5*($C5-I$3)</f>
        <v>0</v>
      </c>
      <c r="X5">
        <f t="shared" ref="X5:X34" si="9">J5*($C5-J$3)</f>
        <v>0</v>
      </c>
      <c r="Y5">
        <f t="shared" ref="Y5:Y34" si="10">K5*($C5-K$3)</f>
        <v>0</v>
      </c>
      <c r="Z5">
        <f t="shared" ref="Z5:Z34" si="11">L5*($C5-L$3)</f>
        <v>0</v>
      </c>
      <c r="AA5">
        <f t="shared" ref="AA5:AA34" si="12">M5*($C5-M$3)</f>
        <v>0</v>
      </c>
      <c r="AB5">
        <f t="shared" ref="AB5:AB34" si="13">N5*($C5-N$3)</f>
        <v>0</v>
      </c>
      <c r="AE5">
        <f t="shared" si="7"/>
        <v>0</v>
      </c>
    </row>
    <row r="6" spans="1:31" x14ac:dyDescent="0.2">
      <c r="A6" s="7">
        <v>36588</v>
      </c>
      <c r="B6">
        <f t="shared" si="0"/>
        <v>3.86</v>
      </c>
      <c r="C6" s="5">
        <f>GasDaily!X6</f>
        <v>3.51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>
        <f t="shared" si="1"/>
        <v>0</v>
      </c>
      <c r="Q6" s="9"/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  <c r="AB6">
        <f t="shared" si="13"/>
        <v>0</v>
      </c>
      <c r="AE6">
        <f t="shared" si="7"/>
        <v>0</v>
      </c>
    </row>
    <row r="7" spans="1:31" x14ac:dyDescent="0.2">
      <c r="A7" s="7">
        <v>36589</v>
      </c>
      <c r="B7">
        <f t="shared" si="0"/>
        <v>3.86</v>
      </c>
      <c r="C7" s="5">
        <f>GasDaily!X7</f>
        <v>3.51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0">
        <f t="shared" si="1"/>
        <v>0</v>
      </c>
      <c r="Q7" s="9"/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8"/>
        <v>0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</v>
      </c>
      <c r="AB7">
        <f t="shared" si="13"/>
        <v>0</v>
      </c>
      <c r="AE7">
        <f t="shared" si="7"/>
        <v>0</v>
      </c>
    </row>
    <row r="8" spans="1:31" x14ac:dyDescent="0.2">
      <c r="A8" s="7">
        <v>36590</v>
      </c>
      <c r="B8">
        <f t="shared" si="0"/>
        <v>3.86</v>
      </c>
      <c r="C8" s="5">
        <f>GasDaily!X8</f>
        <v>4.0049999999999999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0">
        <f t="shared" si="1"/>
        <v>0</v>
      </c>
      <c r="Q8" s="9"/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13"/>
        <v>0</v>
      </c>
      <c r="AE8">
        <f t="shared" si="7"/>
        <v>0</v>
      </c>
    </row>
    <row r="9" spans="1:31" x14ac:dyDescent="0.2">
      <c r="A9" s="7">
        <v>36591</v>
      </c>
      <c r="B9">
        <f t="shared" si="0"/>
        <v>3.86</v>
      </c>
      <c r="C9" s="5">
        <f>GasDaily!X9</f>
        <v>4.0250000000000004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0">
        <f t="shared" si="1"/>
        <v>0</v>
      </c>
      <c r="Q9" s="9"/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8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0</v>
      </c>
      <c r="AE9">
        <f t="shared" si="7"/>
        <v>0</v>
      </c>
    </row>
    <row r="10" spans="1:31" x14ac:dyDescent="0.2">
      <c r="A10" s="7">
        <v>36592</v>
      </c>
      <c r="B10">
        <f t="shared" si="0"/>
        <v>3.86</v>
      </c>
      <c r="C10" s="5">
        <f>GasDaily!X10</f>
        <v>3.6349999999999998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0">
        <f>SUM(D10:N10)</f>
        <v>0</v>
      </c>
      <c r="Q10" s="9"/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0</v>
      </c>
      <c r="AE10">
        <f t="shared" si="7"/>
        <v>0</v>
      </c>
    </row>
    <row r="11" spans="1:31" x14ac:dyDescent="0.2">
      <c r="A11" s="7">
        <v>36593</v>
      </c>
      <c r="B11">
        <f t="shared" si="0"/>
        <v>3.86</v>
      </c>
      <c r="C11" s="5">
        <f>GasDaily!X11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0">
        <f>SUM(D11:M11)</f>
        <v>0</v>
      </c>
      <c r="Q11" s="9"/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  <c r="AE11">
        <f t="shared" si="7"/>
        <v>0</v>
      </c>
    </row>
    <row r="12" spans="1:31" x14ac:dyDescent="0.2">
      <c r="A12" s="7">
        <v>36594</v>
      </c>
      <c r="B12">
        <f t="shared" si="0"/>
        <v>3.86</v>
      </c>
      <c r="C12" s="5">
        <f>GasDaily!X12</f>
        <v>3.22</v>
      </c>
      <c r="D12" s="3">
        <v>5000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0">
        <f t="shared" ref="P12:P33" si="14">SUM(D12:N12)</f>
        <v>5000</v>
      </c>
      <c r="Q12" s="9"/>
      <c r="R12">
        <f t="shared" si="2"/>
        <v>-974.9999999999992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E12">
        <f t="shared" si="7"/>
        <v>-974.9999999999992</v>
      </c>
    </row>
    <row r="13" spans="1:31" x14ac:dyDescent="0.2">
      <c r="A13" s="7">
        <v>36595</v>
      </c>
      <c r="B13">
        <f t="shared" si="0"/>
        <v>3.86</v>
      </c>
      <c r="C13" s="5">
        <f>GasDaily!X13</f>
        <v>3.22</v>
      </c>
      <c r="D13" s="3">
        <v>5000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0">
        <f t="shared" si="14"/>
        <v>5000</v>
      </c>
      <c r="Q13" s="9"/>
      <c r="R13">
        <f t="shared" si="2"/>
        <v>-974.9999999999992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13"/>
        <v>0</v>
      </c>
      <c r="AE13">
        <f t="shared" si="7"/>
        <v>-974.9999999999992</v>
      </c>
    </row>
    <row r="14" spans="1:31" x14ac:dyDescent="0.2">
      <c r="A14" s="7">
        <v>36596</v>
      </c>
      <c r="B14">
        <f t="shared" si="0"/>
        <v>3.86</v>
      </c>
      <c r="C14" s="5">
        <f>GasDaily!X14</f>
        <v>3.22</v>
      </c>
      <c r="D14" s="3">
        <v>5000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0">
        <f t="shared" si="14"/>
        <v>5000</v>
      </c>
      <c r="Q14" s="9"/>
      <c r="R14">
        <f t="shared" si="2"/>
        <v>-974.9999999999992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  <c r="AE14">
        <f t="shared" si="7"/>
        <v>-974.9999999999992</v>
      </c>
    </row>
    <row r="15" spans="1:31" x14ac:dyDescent="0.2">
      <c r="A15" s="7">
        <v>36597</v>
      </c>
      <c r="B15">
        <f t="shared" si="0"/>
        <v>3.86</v>
      </c>
      <c r="C15" s="5">
        <f>GasDaily!X15</f>
        <v>3.6</v>
      </c>
      <c r="D15" s="3">
        <v>5000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>
        <f t="shared" si="14"/>
        <v>5000</v>
      </c>
      <c r="Q15" s="9"/>
      <c r="R15">
        <f t="shared" si="2"/>
        <v>925.00000000000023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0</v>
      </c>
      <c r="AE15">
        <f t="shared" si="7"/>
        <v>925.00000000000023</v>
      </c>
    </row>
    <row r="16" spans="1:31" x14ac:dyDescent="0.2">
      <c r="A16" s="7">
        <v>36598</v>
      </c>
      <c r="B16">
        <f t="shared" si="0"/>
        <v>3.86</v>
      </c>
      <c r="C16" s="5">
        <f>GasDaily!X16</f>
        <v>3.6</v>
      </c>
      <c r="D16" s="3">
        <v>5000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0">
        <f t="shared" si="14"/>
        <v>5000</v>
      </c>
      <c r="Q16" s="9"/>
      <c r="R16">
        <f t="shared" si="2"/>
        <v>925.00000000000023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  <c r="AE16">
        <f t="shared" si="7"/>
        <v>925.00000000000023</v>
      </c>
    </row>
    <row r="17" spans="1:31" x14ac:dyDescent="0.2">
      <c r="A17" s="7">
        <v>36599</v>
      </c>
      <c r="B17">
        <f t="shared" si="0"/>
        <v>3.86</v>
      </c>
      <c r="C17" s="5">
        <f>GasDaily!X17</f>
        <v>3.6</v>
      </c>
      <c r="D17" s="3">
        <v>5000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0">
        <f t="shared" si="14"/>
        <v>5000</v>
      </c>
      <c r="Q17" s="9"/>
      <c r="R17">
        <f t="shared" si="2"/>
        <v>925.00000000000023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8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</v>
      </c>
      <c r="AE17">
        <f t="shared" si="7"/>
        <v>925.00000000000023</v>
      </c>
    </row>
    <row r="18" spans="1:31" x14ac:dyDescent="0.2">
      <c r="A18" s="7">
        <v>36600</v>
      </c>
      <c r="B18">
        <f t="shared" si="0"/>
        <v>3.86</v>
      </c>
      <c r="C18" s="5">
        <f>GasDaily!X18</f>
        <v>3.6</v>
      </c>
      <c r="D18" s="3">
        <v>5000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0">
        <f t="shared" si="14"/>
        <v>5000</v>
      </c>
      <c r="Q18" s="9"/>
      <c r="R18">
        <f t="shared" si="2"/>
        <v>925.00000000000023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  <c r="AE18">
        <f t="shared" si="7"/>
        <v>925.00000000000023</v>
      </c>
    </row>
    <row r="19" spans="1:31" x14ac:dyDescent="0.2">
      <c r="A19" s="7">
        <v>36601</v>
      </c>
      <c r="B19">
        <f t="shared" si="0"/>
        <v>3.86</v>
      </c>
      <c r="C19" s="5">
        <f>GasDaily!X19</f>
        <v>3.6</v>
      </c>
      <c r="D19" s="3">
        <v>5000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>
        <f t="shared" si="14"/>
        <v>5000</v>
      </c>
      <c r="Q19" s="9"/>
      <c r="R19">
        <f t="shared" si="2"/>
        <v>925.00000000000023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  <c r="AE19">
        <f t="shared" si="7"/>
        <v>925.00000000000023</v>
      </c>
    </row>
    <row r="20" spans="1:31" x14ac:dyDescent="0.2">
      <c r="A20" s="7">
        <v>36602</v>
      </c>
      <c r="B20">
        <f t="shared" si="0"/>
        <v>3.86</v>
      </c>
      <c r="C20" s="5">
        <f>GasDaily!X20</f>
        <v>3.6</v>
      </c>
      <c r="D20" s="3">
        <v>5000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">
        <f t="shared" si="14"/>
        <v>5000</v>
      </c>
      <c r="Q20" s="9"/>
      <c r="R20">
        <f t="shared" si="2"/>
        <v>925.00000000000023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E20">
        <f t="shared" si="7"/>
        <v>925.00000000000023</v>
      </c>
    </row>
    <row r="21" spans="1:31" x14ac:dyDescent="0.2">
      <c r="A21" s="7">
        <v>36603</v>
      </c>
      <c r="B21">
        <f t="shared" si="0"/>
        <v>3.86</v>
      </c>
      <c r="C21" s="5">
        <f>GasDaily!X21</f>
        <v>3.6</v>
      </c>
      <c r="D21" s="3">
        <v>5000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0">
        <f t="shared" si="14"/>
        <v>5000</v>
      </c>
      <c r="Q21" s="9"/>
      <c r="R21">
        <f t="shared" si="2"/>
        <v>925.00000000000023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  <c r="AE21">
        <f t="shared" si="7"/>
        <v>925.00000000000023</v>
      </c>
    </row>
    <row r="22" spans="1:31" x14ac:dyDescent="0.2">
      <c r="A22" s="7">
        <v>36604</v>
      </c>
      <c r="B22">
        <f t="shared" si="0"/>
        <v>3.86</v>
      </c>
      <c r="C22" s="5">
        <f>GasDaily!X22</f>
        <v>3.6</v>
      </c>
      <c r="D22" s="3">
        <v>5000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0">
        <f t="shared" si="14"/>
        <v>5000</v>
      </c>
      <c r="Q22" s="9"/>
      <c r="R22">
        <f t="shared" si="2"/>
        <v>925.00000000000023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E22">
        <f t="shared" si="7"/>
        <v>925.00000000000023</v>
      </c>
    </row>
    <row r="23" spans="1:31" x14ac:dyDescent="0.2">
      <c r="A23" s="7">
        <v>36605</v>
      </c>
      <c r="B23">
        <f t="shared" si="0"/>
        <v>3.86</v>
      </c>
      <c r="C23" s="5">
        <f>GasDaily!X23</f>
        <v>3.6</v>
      </c>
      <c r="D23" s="3">
        <v>5000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0">
        <f t="shared" si="14"/>
        <v>5000</v>
      </c>
      <c r="Q23" s="9"/>
      <c r="R23">
        <f t="shared" si="2"/>
        <v>925.00000000000023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8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0</v>
      </c>
      <c r="AB23">
        <f t="shared" si="13"/>
        <v>0</v>
      </c>
      <c r="AE23">
        <f t="shared" si="7"/>
        <v>925.00000000000023</v>
      </c>
    </row>
    <row r="24" spans="1:31" x14ac:dyDescent="0.2">
      <c r="A24" s="7">
        <v>36606</v>
      </c>
      <c r="B24">
        <f t="shared" si="0"/>
        <v>3.86</v>
      </c>
      <c r="C24" s="5">
        <f>GasDaily!X24</f>
        <v>3.6</v>
      </c>
      <c r="D24" s="3">
        <v>5000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0">
        <f t="shared" si="14"/>
        <v>5000</v>
      </c>
      <c r="Q24" s="9"/>
      <c r="R24">
        <f t="shared" si="2"/>
        <v>925.00000000000023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E24">
        <f t="shared" si="7"/>
        <v>925.00000000000023</v>
      </c>
    </row>
    <row r="25" spans="1:31" x14ac:dyDescent="0.2">
      <c r="A25" s="7">
        <v>36607</v>
      </c>
      <c r="B25">
        <f t="shared" si="0"/>
        <v>3.86</v>
      </c>
      <c r="C25" s="5">
        <f>GasDaily!X25</f>
        <v>3.6</v>
      </c>
      <c r="D25" s="3">
        <v>5000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0">
        <f t="shared" si="14"/>
        <v>5000</v>
      </c>
      <c r="Q25" s="9"/>
      <c r="R25">
        <f t="shared" si="2"/>
        <v>925.00000000000023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  <c r="AE25">
        <f t="shared" si="7"/>
        <v>925.00000000000023</v>
      </c>
    </row>
    <row r="26" spans="1:31" x14ac:dyDescent="0.2">
      <c r="A26" s="7">
        <v>36608</v>
      </c>
      <c r="B26">
        <f t="shared" si="0"/>
        <v>3.86</v>
      </c>
      <c r="C26" s="5">
        <f>GasDaily!X26</f>
        <v>3.6</v>
      </c>
      <c r="D26" s="3">
        <v>5000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0">
        <f t="shared" si="14"/>
        <v>5000</v>
      </c>
      <c r="Q26" s="9"/>
      <c r="R26">
        <f t="shared" si="2"/>
        <v>925.00000000000023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  <c r="AE26">
        <f t="shared" si="7"/>
        <v>925.00000000000023</v>
      </c>
    </row>
    <row r="27" spans="1:31" x14ac:dyDescent="0.2">
      <c r="A27" s="7">
        <v>36609</v>
      </c>
      <c r="B27">
        <f t="shared" si="0"/>
        <v>3.86</v>
      </c>
      <c r="C27" s="5">
        <f>GasDaily!X27</f>
        <v>3.6</v>
      </c>
      <c r="D27" s="3">
        <v>5000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0">
        <f t="shared" si="14"/>
        <v>5000</v>
      </c>
      <c r="Q27" s="9"/>
      <c r="R27">
        <f t="shared" si="2"/>
        <v>925.00000000000023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0</v>
      </c>
      <c r="AE27">
        <f t="shared" si="7"/>
        <v>925.00000000000023</v>
      </c>
    </row>
    <row r="28" spans="1:31" x14ac:dyDescent="0.2">
      <c r="A28" s="7">
        <v>36610</v>
      </c>
      <c r="B28">
        <f t="shared" si="0"/>
        <v>3.86</v>
      </c>
      <c r="C28" s="5">
        <f>GasDaily!X28</f>
        <v>3.6</v>
      </c>
      <c r="D28" s="3">
        <v>5000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0">
        <f t="shared" si="14"/>
        <v>5000</v>
      </c>
      <c r="Q28" s="9"/>
      <c r="R28">
        <f t="shared" si="2"/>
        <v>925.00000000000023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E28">
        <f t="shared" si="7"/>
        <v>925.00000000000023</v>
      </c>
    </row>
    <row r="29" spans="1:31" x14ac:dyDescent="0.2">
      <c r="A29" s="7">
        <v>36611</v>
      </c>
      <c r="B29">
        <f t="shared" si="0"/>
        <v>3.86</v>
      </c>
      <c r="C29" s="5">
        <f>GasDaily!X29</f>
        <v>3.6</v>
      </c>
      <c r="D29" s="3">
        <v>5000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0">
        <f t="shared" si="14"/>
        <v>5000</v>
      </c>
      <c r="Q29" s="9"/>
      <c r="R29">
        <f t="shared" si="2"/>
        <v>925.00000000000023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</v>
      </c>
      <c r="AA29">
        <f t="shared" si="12"/>
        <v>0</v>
      </c>
      <c r="AB29">
        <f t="shared" si="13"/>
        <v>0</v>
      </c>
      <c r="AE29">
        <f t="shared" si="7"/>
        <v>925.00000000000023</v>
      </c>
    </row>
    <row r="30" spans="1:31" x14ac:dyDescent="0.2">
      <c r="A30" s="7">
        <v>36612</v>
      </c>
      <c r="B30">
        <f t="shared" si="0"/>
        <v>3.86</v>
      </c>
      <c r="C30" s="5">
        <f>GasDaily!X30</f>
        <v>3.6</v>
      </c>
      <c r="D30" s="3">
        <v>5000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0">
        <f t="shared" si="14"/>
        <v>5000</v>
      </c>
      <c r="Q30" s="9"/>
      <c r="R30">
        <f t="shared" si="2"/>
        <v>925.00000000000023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0</v>
      </c>
      <c r="AE30">
        <f t="shared" si="7"/>
        <v>925.00000000000023</v>
      </c>
    </row>
    <row r="31" spans="1:31" x14ac:dyDescent="0.2">
      <c r="A31" s="7">
        <v>36613</v>
      </c>
      <c r="B31">
        <f t="shared" si="0"/>
        <v>3.86</v>
      </c>
      <c r="C31" s="5">
        <f>GasDaily!X31</f>
        <v>3.6</v>
      </c>
      <c r="D31" s="3">
        <v>5000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0">
        <f t="shared" si="14"/>
        <v>5000</v>
      </c>
      <c r="Q31" s="9"/>
      <c r="R31">
        <f t="shared" si="2"/>
        <v>925.00000000000023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0</v>
      </c>
      <c r="AE31">
        <f t="shared" si="7"/>
        <v>925.00000000000023</v>
      </c>
    </row>
    <row r="32" spans="1:31" x14ac:dyDescent="0.2">
      <c r="A32" s="7">
        <v>36614</v>
      </c>
      <c r="B32">
        <f t="shared" si="0"/>
        <v>3.86</v>
      </c>
      <c r="C32" s="5">
        <f>GasDaily!X32</f>
        <v>3.6</v>
      </c>
      <c r="D32" s="3">
        <v>5000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0">
        <f t="shared" si="14"/>
        <v>5000</v>
      </c>
      <c r="Q32" s="9"/>
      <c r="R32">
        <f>D32*(C32-D$3)</f>
        <v>925.00000000000023</v>
      </c>
      <c r="S32">
        <f t="shared" ref="S32:V34" si="15">E32*($C32-E$3)</f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E32">
        <f t="shared" si="7"/>
        <v>925.00000000000023</v>
      </c>
    </row>
    <row r="33" spans="1:31" x14ac:dyDescent="0.2">
      <c r="A33" s="7">
        <v>36615</v>
      </c>
      <c r="B33">
        <f t="shared" si="0"/>
        <v>3.86</v>
      </c>
      <c r="C33" s="5">
        <f>GasDaily!X33</f>
        <v>3.6</v>
      </c>
      <c r="D33" s="3">
        <v>5000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P33" s="10">
        <f t="shared" si="14"/>
        <v>5000</v>
      </c>
      <c r="R33">
        <f>D33*(C33-D$3)</f>
        <v>925.00000000000023</v>
      </c>
      <c r="S33">
        <f t="shared" si="15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8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0</v>
      </c>
      <c r="AE33">
        <f t="shared" si="7"/>
        <v>925.00000000000023</v>
      </c>
    </row>
    <row r="34" spans="1:31" x14ac:dyDescent="0.2">
      <c r="A34" s="7">
        <v>36616</v>
      </c>
      <c r="B34">
        <f t="shared" si="0"/>
        <v>3.86</v>
      </c>
      <c r="C34" s="5">
        <f>GasDaily!X34</f>
        <v>-0.2</v>
      </c>
      <c r="D34" s="3"/>
      <c r="E34" s="3"/>
      <c r="F34" s="3"/>
      <c r="G34" s="3"/>
      <c r="H34" s="3"/>
      <c r="I34" s="3"/>
      <c r="J34" s="3"/>
      <c r="K34" s="3"/>
      <c r="L34" s="3"/>
      <c r="P34" s="10">
        <f>SUM(D34:M34)</f>
        <v>0</v>
      </c>
      <c r="R34">
        <f>D34*(C34-D$3)</f>
        <v>0</v>
      </c>
      <c r="S34">
        <f t="shared" si="15"/>
        <v>0</v>
      </c>
      <c r="T34">
        <f t="shared" si="15"/>
        <v>0</v>
      </c>
      <c r="U34">
        <f t="shared" si="15"/>
        <v>0</v>
      </c>
      <c r="V34">
        <f t="shared" si="15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0</v>
      </c>
      <c r="AE34">
        <f t="shared" si="7"/>
        <v>0</v>
      </c>
    </row>
    <row r="35" spans="1:31" x14ac:dyDescent="0.2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31" x14ac:dyDescent="0.2">
      <c r="P36" s="10">
        <f>SUM(P15:P34)</f>
        <v>95000</v>
      </c>
      <c r="AE36" s="11">
        <f>SUM(AE4:AE34)</f>
        <v>14650.000000000004</v>
      </c>
    </row>
    <row r="37" spans="1:31" x14ac:dyDescent="0.2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M53"/>
  <sheetViews>
    <sheetView zoomScale="80" workbookViewId="0">
      <selection activeCell="F24" sqref="F24"/>
    </sheetView>
  </sheetViews>
  <sheetFormatPr defaultRowHeight="12.75" x14ac:dyDescent="0.2"/>
  <cols>
    <col min="1" max="1" width="9.140625" style="32"/>
    <col min="2" max="2" width="9.42578125" customWidth="1"/>
    <col min="3" max="3" width="17.140625" style="33" customWidth="1"/>
    <col min="4" max="4" width="3.140625" customWidth="1"/>
    <col min="5" max="5" width="10.140625" style="38" customWidth="1"/>
    <col min="6" max="6" width="9.42578125" customWidth="1"/>
    <col min="7" max="7" width="15.28515625" style="39" customWidth="1"/>
    <col min="8" max="8" width="2.85546875" customWidth="1"/>
    <col min="9" max="9" width="14.85546875" style="35" customWidth="1"/>
    <col min="10" max="10" width="2.140625" customWidth="1"/>
    <col min="11" max="11" width="21.7109375" customWidth="1"/>
  </cols>
  <sheetData>
    <row r="1" spans="1:13" x14ac:dyDescent="0.2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3" x14ac:dyDescent="0.2">
      <c r="A2" s="20">
        <v>106</v>
      </c>
      <c r="B2" s="15">
        <v>3.81</v>
      </c>
      <c r="C2" s="16">
        <f t="shared" ref="C2:C35" si="0">A2*B2*10000</f>
        <v>4038600</v>
      </c>
      <c r="D2" s="17"/>
      <c r="E2" s="21">
        <v>31</v>
      </c>
      <c r="F2" s="22">
        <v>3.76</v>
      </c>
      <c r="G2" s="23">
        <f t="shared" ref="G2:G35" si="1">E2*F2*10000</f>
        <v>1165599.9999999998</v>
      </c>
      <c r="I2" s="24"/>
    </row>
    <row r="3" spans="1:13" x14ac:dyDescent="0.2">
      <c r="A3" s="20">
        <v>46.5</v>
      </c>
      <c r="B3" s="15">
        <v>3.79</v>
      </c>
      <c r="C3" s="16">
        <f t="shared" si="0"/>
        <v>1762350.0000000002</v>
      </c>
      <c r="D3" s="17"/>
      <c r="E3" s="25">
        <v>31</v>
      </c>
      <c r="F3" s="15">
        <v>3.76</v>
      </c>
      <c r="G3" s="23">
        <f t="shared" si="1"/>
        <v>1165599.9999999998</v>
      </c>
      <c r="I3" s="13"/>
      <c r="K3" s="26"/>
    </row>
    <row r="4" spans="1:13" x14ac:dyDescent="0.2">
      <c r="A4" s="27">
        <v>23.25</v>
      </c>
      <c r="B4" s="22">
        <v>3.9249999999999998</v>
      </c>
      <c r="C4" s="16">
        <f t="shared" si="0"/>
        <v>912562.5</v>
      </c>
      <c r="D4" s="17"/>
      <c r="E4" s="25">
        <v>38.75</v>
      </c>
      <c r="F4" s="15">
        <v>3.7050000000000001</v>
      </c>
      <c r="G4" s="23">
        <f t="shared" si="1"/>
        <v>1435687.5</v>
      </c>
      <c r="J4" s="24"/>
      <c r="K4" s="17">
        <f>4.69+0.032</f>
        <v>4.7220000000000004</v>
      </c>
    </row>
    <row r="5" spans="1:13" x14ac:dyDescent="0.2">
      <c r="A5" s="27">
        <v>31</v>
      </c>
      <c r="B5" s="22">
        <v>4.0650000000000004</v>
      </c>
      <c r="C5" s="16">
        <f t="shared" si="0"/>
        <v>1260150.0000000002</v>
      </c>
      <c r="D5" s="17"/>
      <c r="E5" s="21">
        <v>15.5</v>
      </c>
      <c r="F5" s="22">
        <v>3.6949999999999998</v>
      </c>
      <c r="G5" s="23">
        <f t="shared" si="1"/>
        <v>572725</v>
      </c>
      <c r="I5" s="24"/>
      <c r="J5" s="28"/>
      <c r="K5" s="17"/>
    </row>
    <row r="6" spans="1:13" x14ac:dyDescent="0.2">
      <c r="A6" s="29">
        <v>15.5</v>
      </c>
      <c r="B6" s="30">
        <v>4.05</v>
      </c>
      <c r="C6" s="16">
        <f t="shared" si="0"/>
        <v>627750</v>
      </c>
      <c r="D6" s="17"/>
      <c r="E6" s="25">
        <v>38.75</v>
      </c>
      <c r="F6" s="15">
        <v>3.9049999999999998</v>
      </c>
      <c r="G6" s="23">
        <f t="shared" si="1"/>
        <v>1513187.5</v>
      </c>
      <c r="I6" s="24"/>
      <c r="J6" s="28"/>
      <c r="K6" s="17"/>
    </row>
    <row r="7" spans="1:13" x14ac:dyDescent="0.2">
      <c r="A7" s="25">
        <v>31</v>
      </c>
      <c r="B7" s="15">
        <v>3.98</v>
      </c>
      <c r="C7" s="16">
        <f t="shared" si="0"/>
        <v>1233800</v>
      </c>
      <c r="D7" s="17"/>
      <c r="E7" s="25">
        <v>31</v>
      </c>
      <c r="F7" s="15">
        <v>3.81</v>
      </c>
      <c r="G7" s="23">
        <f t="shared" si="1"/>
        <v>1181100</v>
      </c>
      <c r="I7" s="31"/>
    </row>
    <row r="8" spans="1:13" x14ac:dyDescent="0.2">
      <c r="A8" s="25">
        <v>31</v>
      </c>
      <c r="B8" s="15">
        <v>3.9849999999999999</v>
      </c>
      <c r="C8" s="16">
        <f t="shared" si="0"/>
        <v>1235350</v>
      </c>
      <c r="D8" s="17"/>
      <c r="E8" s="25">
        <v>31</v>
      </c>
      <c r="F8" s="15">
        <v>3.895</v>
      </c>
      <c r="G8" s="23">
        <f t="shared" si="1"/>
        <v>1207450</v>
      </c>
      <c r="I8" s="31"/>
      <c r="K8" s="17"/>
    </row>
    <row r="9" spans="1:13" x14ac:dyDescent="0.2">
      <c r="A9" s="25">
        <v>31</v>
      </c>
      <c r="B9" s="15">
        <v>3.86</v>
      </c>
      <c r="C9" s="16">
        <f t="shared" si="0"/>
        <v>1196600</v>
      </c>
      <c r="D9" s="17"/>
      <c r="E9" s="25">
        <v>23.25</v>
      </c>
      <c r="F9" s="15">
        <v>3.9249999999999998</v>
      </c>
      <c r="G9" s="23">
        <f t="shared" si="1"/>
        <v>912562.5</v>
      </c>
      <c r="I9" s="31"/>
    </row>
    <row r="10" spans="1:13" x14ac:dyDescent="0.2">
      <c r="A10" s="25">
        <v>31</v>
      </c>
      <c r="B10" s="15">
        <v>3.95</v>
      </c>
      <c r="C10" s="16">
        <f t="shared" si="0"/>
        <v>1224500</v>
      </c>
      <c r="D10" s="17"/>
      <c r="E10" s="25">
        <v>23.25</v>
      </c>
      <c r="F10" s="15">
        <v>3.82</v>
      </c>
      <c r="G10" s="23">
        <f t="shared" si="1"/>
        <v>888150</v>
      </c>
      <c r="I10" s="31"/>
    </row>
    <row r="11" spans="1:13" x14ac:dyDescent="0.2">
      <c r="A11" s="25">
        <v>31</v>
      </c>
      <c r="B11" s="15">
        <v>4.04</v>
      </c>
      <c r="C11" s="16">
        <f t="shared" si="0"/>
        <v>1252400</v>
      </c>
      <c r="D11" s="17"/>
      <c r="E11" s="25">
        <v>15.5</v>
      </c>
      <c r="F11" s="15">
        <v>4.0599999999999996</v>
      </c>
      <c r="G11" s="23">
        <f t="shared" si="1"/>
        <v>629299.99999999988</v>
      </c>
      <c r="I11" s="31"/>
    </row>
    <row r="12" spans="1:13" x14ac:dyDescent="0.2">
      <c r="A12" s="25">
        <v>15.5</v>
      </c>
      <c r="B12" s="15">
        <v>4.1349999999999998</v>
      </c>
      <c r="C12" s="16">
        <f t="shared" si="0"/>
        <v>640925</v>
      </c>
      <c r="D12" s="17"/>
      <c r="E12" s="25">
        <v>46.5</v>
      </c>
      <c r="F12" s="15">
        <v>4.16</v>
      </c>
      <c r="G12" s="23">
        <f t="shared" si="1"/>
        <v>1934400</v>
      </c>
      <c r="I12" s="31"/>
    </row>
    <row r="13" spans="1:13" x14ac:dyDescent="0.2">
      <c r="A13" s="25">
        <v>15.5</v>
      </c>
      <c r="B13" s="15">
        <v>4.1500000000000004</v>
      </c>
      <c r="C13" s="16">
        <f t="shared" si="0"/>
        <v>643250</v>
      </c>
      <c r="D13" s="17"/>
      <c r="E13" s="25">
        <v>15.5</v>
      </c>
      <c r="F13" s="15">
        <v>4.0350000000000001</v>
      </c>
      <c r="G13" s="23">
        <f t="shared" si="1"/>
        <v>625425</v>
      </c>
      <c r="I13" s="31"/>
      <c r="L13">
        <f>2500*31</f>
        <v>77500</v>
      </c>
      <c r="M13">
        <f>L13/10000</f>
        <v>7.75</v>
      </c>
    </row>
    <row r="14" spans="1:13" x14ac:dyDescent="0.2">
      <c r="A14" s="25">
        <v>15.5</v>
      </c>
      <c r="B14" s="15">
        <v>4.17</v>
      </c>
      <c r="C14" s="16">
        <f t="shared" si="0"/>
        <v>646350</v>
      </c>
      <c r="D14" s="17"/>
      <c r="E14" s="21">
        <v>31</v>
      </c>
      <c r="F14" s="22">
        <v>3.9624999999999999</v>
      </c>
      <c r="G14" s="23">
        <f t="shared" si="1"/>
        <v>1228375</v>
      </c>
      <c r="I14" s="31"/>
      <c r="L14">
        <f>5000*31</f>
        <v>155000</v>
      </c>
      <c r="M14">
        <f>L14/10000</f>
        <v>15.5</v>
      </c>
    </row>
    <row r="15" spans="1:13" x14ac:dyDescent="0.2">
      <c r="A15" s="25">
        <v>31</v>
      </c>
      <c r="B15" s="15">
        <v>4.13</v>
      </c>
      <c r="C15" s="16">
        <f t="shared" si="0"/>
        <v>1280300</v>
      </c>
      <c r="D15" s="17"/>
      <c r="E15" s="21">
        <v>31</v>
      </c>
      <c r="F15" s="22">
        <v>3.88</v>
      </c>
      <c r="G15" s="23">
        <f t="shared" si="1"/>
        <v>1202800</v>
      </c>
      <c r="I15" s="31"/>
      <c r="L15">
        <f>7500*31</f>
        <v>232500</v>
      </c>
      <c r="M15">
        <f>L15/10000</f>
        <v>23.25</v>
      </c>
    </row>
    <row r="16" spans="1:13" x14ac:dyDescent="0.2">
      <c r="A16" s="25">
        <v>31</v>
      </c>
      <c r="B16" s="15">
        <v>3.9249999999999998</v>
      </c>
      <c r="C16" s="16">
        <f t="shared" si="0"/>
        <v>1216750</v>
      </c>
      <c r="D16" s="17"/>
      <c r="E16" s="21">
        <v>31</v>
      </c>
      <c r="F16" s="22">
        <v>3.77</v>
      </c>
      <c r="G16" s="23">
        <f t="shared" si="1"/>
        <v>1168700</v>
      </c>
      <c r="I16" s="31"/>
      <c r="L16">
        <f>12500*31</f>
        <v>387500</v>
      </c>
      <c r="M16">
        <f>L16/10000</f>
        <v>38.75</v>
      </c>
    </row>
    <row r="17" spans="1:13" x14ac:dyDescent="0.2">
      <c r="A17" s="25">
        <v>31</v>
      </c>
      <c r="B17" s="15">
        <v>3.85</v>
      </c>
      <c r="C17" s="16">
        <f t="shared" si="0"/>
        <v>1193500</v>
      </c>
      <c r="D17" s="17"/>
      <c r="E17" s="21">
        <v>15.5</v>
      </c>
      <c r="F17" s="22">
        <v>3.7650000000000001</v>
      </c>
      <c r="G17" s="23">
        <f t="shared" si="1"/>
        <v>583575</v>
      </c>
      <c r="I17" s="31"/>
      <c r="L17">
        <f>17500*31</f>
        <v>542500</v>
      </c>
      <c r="M17">
        <f>L17/10000</f>
        <v>54.25</v>
      </c>
    </row>
    <row r="18" spans="1:13" x14ac:dyDescent="0.2">
      <c r="A18" s="25">
        <v>15.5</v>
      </c>
      <c r="B18" s="15">
        <v>3.87</v>
      </c>
      <c r="C18" s="16">
        <f t="shared" si="0"/>
        <v>599850</v>
      </c>
      <c r="D18" s="17"/>
      <c r="E18" s="21">
        <v>31</v>
      </c>
      <c r="F18" s="22">
        <v>3.7524999999999999</v>
      </c>
      <c r="G18" s="23">
        <f t="shared" si="1"/>
        <v>1163275</v>
      </c>
      <c r="I18" s="31"/>
    </row>
    <row r="19" spans="1:13" x14ac:dyDescent="0.2">
      <c r="A19" s="25">
        <v>31</v>
      </c>
      <c r="B19" s="15">
        <v>3.8650000000000002</v>
      </c>
      <c r="C19" s="16">
        <f t="shared" si="0"/>
        <v>1198150.0000000002</v>
      </c>
      <c r="D19" s="17"/>
      <c r="E19" s="21">
        <v>31</v>
      </c>
      <c r="F19" s="22">
        <v>3.7825000000000002</v>
      </c>
      <c r="G19" s="23">
        <f t="shared" si="1"/>
        <v>1172575</v>
      </c>
      <c r="I19" s="31"/>
    </row>
    <row r="20" spans="1:13" x14ac:dyDescent="0.2">
      <c r="A20" s="25">
        <v>31</v>
      </c>
      <c r="B20" s="15">
        <v>3.7749999999999999</v>
      </c>
      <c r="C20" s="16">
        <f t="shared" si="0"/>
        <v>1170250</v>
      </c>
      <c r="D20" s="17"/>
      <c r="E20" s="21">
        <v>15.5</v>
      </c>
      <c r="F20" s="22">
        <v>3.79</v>
      </c>
      <c r="G20" s="23">
        <f t="shared" si="1"/>
        <v>587450</v>
      </c>
      <c r="I20" s="31"/>
    </row>
    <row r="21" spans="1:13" x14ac:dyDescent="0.2">
      <c r="A21" s="25">
        <v>15.5</v>
      </c>
      <c r="B21" s="15">
        <v>3.8</v>
      </c>
      <c r="C21" s="16">
        <f t="shared" si="0"/>
        <v>589000</v>
      </c>
      <c r="D21" s="17"/>
      <c r="E21" s="21">
        <v>46.5</v>
      </c>
      <c r="F21" s="22">
        <v>3.85</v>
      </c>
      <c r="G21" s="23">
        <f t="shared" si="1"/>
        <v>1790250</v>
      </c>
      <c r="I21" s="31"/>
    </row>
    <row r="22" spans="1:13" x14ac:dyDescent="0.2">
      <c r="A22" s="25">
        <v>23.25</v>
      </c>
      <c r="B22" s="15">
        <v>3.78</v>
      </c>
      <c r="C22" s="16">
        <f t="shared" si="0"/>
        <v>878849.99999999988</v>
      </c>
      <c r="D22" s="17"/>
      <c r="E22" s="21">
        <v>31</v>
      </c>
      <c r="F22" s="22">
        <v>3.855</v>
      </c>
      <c r="G22" s="23">
        <f t="shared" si="1"/>
        <v>1195050</v>
      </c>
      <c r="I22" s="31"/>
    </row>
    <row r="23" spans="1:13" x14ac:dyDescent="0.2">
      <c r="A23" s="25">
        <v>15.5</v>
      </c>
      <c r="B23" s="15">
        <v>3.83</v>
      </c>
      <c r="C23" s="16">
        <f t="shared" si="0"/>
        <v>593650</v>
      </c>
      <c r="D23" s="17"/>
      <c r="E23" s="21">
        <v>62</v>
      </c>
      <c r="F23" s="22">
        <v>3.9</v>
      </c>
      <c r="G23" s="23">
        <f t="shared" si="1"/>
        <v>2418000</v>
      </c>
      <c r="I23" s="31"/>
    </row>
    <row r="24" spans="1:13" ht="12" customHeight="1" x14ac:dyDescent="0.2">
      <c r="A24" s="25">
        <v>31</v>
      </c>
      <c r="B24" s="15">
        <v>3.7850000000000001</v>
      </c>
      <c r="C24" s="16">
        <f t="shared" si="0"/>
        <v>1173350</v>
      </c>
      <c r="D24" s="17"/>
      <c r="E24" s="21"/>
      <c r="F24" s="22"/>
      <c r="G24" s="23">
        <f t="shared" si="1"/>
        <v>0</v>
      </c>
      <c r="I24" s="31"/>
    </row>
    <row r="25" spans="1:13" ht="12" customHeight="1" x14ac:dyDescent="0.2">
      <c r="A25" s="25">
        <v>31</v>
      </c>
      <c r="B25" s="15">
        <v>3.83</v>
      </c>
      <c r="C25" s="16">
        <f t="shared" si="0"/>
        <v>1187300</v>
      </c>
      <c r="D25" s="17"/>
      <c r="E25" s="21"/>
      <c r="F25" s="22"/>
      <c r="G25" s="23">
        <f t="shared" si="1"/>
        <v>0</v>
      </c>
      <c r="I25" s="31"/>
    </row>
    <row r="26" spans="1:13" ht="12" customHeight="1" x14ac:dyDescent="0.2">
      <c r="A26" s="25">
        <v>15.5</v>
      </c>
      <c r="B26" s="15">
        <v>3.8650000000000002</v>
      </c>
      <c r="C26" s="16">
        <f t="shared" si="0"/>
        <v>599075.00000000012</v>
      </c>
      <c r="D26" s="17"/>
      <c r="E26" s="21"/>
      <c r="F26" s="22"/>
      <c r="G26" s="23">
        <f t="shared" si="1"/>
        <v>0</v>
      </c>
      <c r="I26" s="24" t="s">
        <v>101</v>
      </c>
      <c r="K26">
        <f>7500*31</f>
        <v>232500</v>
      </c>
    </row>
    <row r="27" spans="1:13" ht="12" customHeight="1" x14ac:dyDescent="0.2">
      <c r="A27" s="25">
        <v>15.5</v>
      </c>
      <c r="B27" s="15">
        <v>3.87</v>
      </c>
      <c r="C27" s="16">
        <f t="shared" si="0"/>
        <v>599850</v>
      </c>
      <c r="D27" s="17"/>
      <c r="E27" s="21"/>
      <c r="F27" s="22"/>
      <c r="G27" s="23">
        <f t="shared" si="1"/>
        <v>0</v>
      </c>
      <c r="I27" s="31"/>
    </row>
    <row r="28" spans="1:13" ht="12" customHeight="1" x14ac:dyDescent="0.2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3" ht="12" customHeight="1" x14ac:dyDescent="0.2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3" ht="10.5" customHeight="1" x14ac:dyDescent="0.2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3" ht="10.5" customHeight="1" x14ac:dyDescent="0.2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3" ht="10.5" customHeight="1" x14ac:dyDescent="0.2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2" customHeight="1" x14ac:dyDescent="0.2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24"/>
    </row>
    <row r="36" spans="1:13" x14ac:dyDescent="0.2">
      <c r="E36" s="32"/>
      <c r="G36" s="34"/>
    </row>
    <row r="37" spans="1:13" x14ac:dyDescent="0.2">
      <c r="A37" s="25">
        <f>SUM(A1:A36)</f>
        <v>741.5</v>
      </c>
      <c r="B37" s="15">
        <f>IF(A37=0, 0, C37/A37/10000)</f>
        <v>3.9048499662845586</v>
      </c>
      <c r="C37" s="16">
        <f>SUM(C1:C36)</f>
        <v>28954462.5</v>
      </c>
      <c r="E37" s="25">
        <f>SUM(E1:E36)</f>
        <v>666.5</v>
      </c>
      <c r="F37" s="15">
        <f>IF(E37=0, 0, G37/E37/10000)</f>
        <v>3.8621511627906977</v>
      </c>
      <c r="G37" s="23">
        <f>SUM(G1:G36)</f>
        <v>25741237.5</v>
      </c>
      <c r="I37" s="36">
        <f>MIN(A37,E37)*(B37-F37)*10000</f>
        <v>284587.52528658288</v>
      </c>
      <c r="J37" s="37"/>
      <c r="K37" s="37" t="s">
        <v>8</v>
      </c>
      <c r="L37" s="17"/>
      <c r="M37" s="17"/>
    </row>
    <row r="38" spans="1:13" x14ac:dyDescent="0.2">
      <c r="I38" s="36"/>
      <c r="J38" s="37"/>
      <c r="K38" s="37"/>
      <c r="L38" s="17"/>
      <c r="M38" s="17"/>
    </row>
    <row r="39" spans="1:13" x14ac:dyDescent="0.2">
      <c r="E39" s="38">
        <f>-A37+E37</f>
        <v>-75</v>
      </c>
      <c r="F39">
        <f>IF(E39&lt;0,B37,F37)</f>
        <v>3.9048499662845586</v>
      </c>
      <c r="G39" s="39">
        <f>IF(E39&lt;0, (F39-B42)*ABS(E39)*10000, -1*(F39-B42)*ABS(E39)*10000)</f>
        <v>-12862.525286581162</v>
      </c>
      <c r="I39" s="36">
        <f>G39</f>
        <v>-12862.525286581162</v>
      </c>
      <c r="J39" s="37"/>
      <c r="K39" s="37" t="s">
        <v>9</v>
      </c>
      <c r="L39" s="17"/>
      <c r="M39" s="17" t="s">
        <v>10</v>
      </c>
    </row>
    <row r="40" spans="1:13" x14ac:dyDescent="0.2">
      <c r="L40" s="17"/>
      <c r="M40" s="17"/>
    </row>
    <row r="41" spans="1:13" x14ac:dyDescent="0.2">
      <c r="E41" s="38">
        <f>-A37+E37</f>
        <v>-75</v>
      </c>
      <c r="F41">
        <f>IF(E41&lt;0, (B37+(I37/(ABS(E41)*10000))), IF(E41 = 0, 0, (F37-(I37/(ABS(E41)*10000)))))</f>
        <v>4.2843000000000027</v>
      </c>
      <c r="G41" s="39">
        <f>IF(E41&lt;0, (F41-B42)*ABS(E41)*10000, IF(E41 = 0, 0, -1*(F41-B42)*ABS(E41)*10000))</f>
        <v>271725.00000000186</v>
      </c>
      <c r="I41" s="40">
        <f>G41</f>
        <v>271725.00000000186</v>
      </c>
      <c r="J41" s="41"/>
      <c r="K41" s="41" t="s">
        <v>11</v>
      </c>
      <c r="L41" s="17"/>
      <c r="M41" s="17" t="s">
        <v>12</v>
      </c>
    </row>
    <row r="42" spans="1:13" x14ac:dyDescent="0.2">
      <c r="B42">
        <f>IF(ISBLANK(B43),'[1]Nymex Prices'!B10,B43)</f>
        <v>3.9220000000000002</v>
      </c>
      <c r="C42" s="42" t="s">
        <v>13</v>
      </c>
      <c r="L42" s="17"/>
      <c r="M42" s="17"/>
    </row>
    <row r="43" spans="1:13" x14ac:dyDescent="0.2">
      <c r="B43">
        <f>Summary!B5</f>
        <v>3.9220000000000002</v>
      </c>
      <c r="C43" s="42" t="s">
        <v>14</v>
      </c>
      <c r="I43" s="43">
        <f>I37+I39</f>
        <v>271725.00000000175</v>
      </c>
      <c r="J43" s="44"/>
      <c r="K43" s="44" t="s">
        <v>15</v>
      </c>
      <c r="L43" s="17"/>
      <c r="M43" s="17"/>
    </row>
    <row r="46" spans="1:13" x14ac:dyDescent="0.2">
      <c r="A46" s="45"/>
    </row>
    <row r="47" spans="1:13" x14ac:dyDescent="0.2">
      <c r="A47" s="45"/>
      <c r="C47" s="42"/>
    </row>
    <row r="48" spans="1:13" x14ac:dyDescent="0.2">
      <c r="A48" s="45"/>
    </row>
    <row r="49" spans="1:1" x14ac:dyDescent="0.2">
      <c r="A49" s="45"/>
    </row>
    <row r="50" spans="1:1" x14ac:dyDescent="0.2">
      <c r="A50" s="38"/>
    </row>
    <row r="51" spans="1:1" x14ac:dyDescent="0.2">
      <c r="A51" s="46"/>
    </row>
    <row r="52" spans="1:1" x14ac:dyDescent="0.2">
      <c r="A52" s="46"/>
    </row>
    <row r="53" spans="1:1" x14ac:dyDescent="0.2">
      <c r="A53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Summary</vt:lpstr>
      <vt:lpstr>KATHY_PHYS</vt:lpstr>
      <vt:lpstr>WAHA_swap</vt:lpstr>
      <vt:lpstr>KATY_SWAP</vt:lpstr>
      <vt:lpstr>HH_SWAP</vt:lpstr>
      <vt:lpstr>HSC_SWAP</vt:lpstr>
      <vt:lpstr>PERMIAN</vt:lpstr>
      <vt:lpstr>NYMEX_juL1</vt:lpstr>
      <vt:lpstr>NYMEX_juL2</vt:lpstr>
      <vt:lpstr>JUL Swap</vt:lpstr>
      <vt:lpstr>NYMEX_AUG</vt:lpstr>
      <vt:lpstr>GasDaily</vt:lpstr>
      <vt:lpstr>NYMEX_SEP</vt:lpstr>
      <vt:lpstr>basis</vt:lpstr>
      <vt:lpstr>X_H</vt:lpstr>
      <vt:lpstr>N_V</vt:lpstr>
      <vt:lpstr>SCALE</vt:lpstr>
      <vt:lpstr>JUN_PHY</vt:lpstr>
      <vt:lpstr>GasDaily!Print_Area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Jan Havlíček</cp:lastModifiedBy>
  <cp:lastPrinted>2001-06-06T12:11:09Z</cp:lastPrinted>
  <dcterms:created xsi:type="dcterms:W3CDTF">2000-01-26T17:26:34Z</dcterms:created>
  <dcterms:modified xsi:type="dcterms:W3CDTF">2023-09-17T01:39:39Z</dcterms:modified>
</cp:coreProperties>
</file>