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5ECCC-9C5D-49DE-A825-E6851FF6A976}" xr6:coauthVersionLast="47" xr6:coauthVersionMax="47" xr10:uidLastSave="{00000000-0000-0000-0000-000000000000}"/>
  <bookViews>
    <workbookView xWindow="-120" yWindow="-120" windowWidth="38640" windowHeight="15720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L32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E28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F33" i="2"/>
  <c r="G33" i="2"/>
  <c r="J33" i="2"/>
  <c r="E34" i="2"/>
  <c r="J34" i="2"/>
  <c r="L34" i="2"/>
  <c r="E35" i="2"/>
  <c r="J35" i="2"/>
  <c r="E36" i="2"/>
  <c r="J36" i="2"/>
  <c r="E37" i="2"/>
  <c r="J37" i="2"/>
  <c r="E38" i="2"/>
  <c r="J38" i="2"/>
  <c r="E39" i="2"/>
  <c r="F39" i="2"/>
  <c r="G39" i="2"/>
  <c r="J39" i="2"/>
  <c r="J40" i="2"/>
  <c r="F41" i="2"/>
  <c r="G41" i="2"/>
  <c r="J41" i="2"/>
  <c r="J42" i="2"/>
  <c r="J2" i="18"/>
  <c r="A3" i="18"/>
  <c r="D3" i="18"/>
  <c r="H3" i="18"/>
  <c r="D4" i="18"/>
  <c r="H4" i="18"/>
  <c r="J4" i="18"/>
  <c r="D5" i="18"/>
  <c r="H5" i="18"/>
  <c r="D6" i="18"/>
  <c r="H6" i="18"/>
  <c r="J6" i="18"/>
  <c r="D7" i="18"/>
  <c r="H7" i="18"/>
  <c r="D8" i="18"/>
  <c r="H8" i="18"/>
  <c r="D9" i="18"/>
  <c r="H9" i="18"/>
  <c r="J9" i="18"/>
  <c r="D10" i="18"/>
  <c r="H10" i="18"/>
  <c r="D11" i="18"/>
  <c r="H11" i="18"/>
  <c r="J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C27" i="18"/>
  <c r="D27" i="18"/>
  <c r="F27" i="18"/>
  <c r="G27" i="18"/>
  <c r="H27" i="18"/>
  <c r="F29" i="18"/>
  <c r="G29" i="18"/>
  <c r="H29" i="18"/>
  <c r="F30" i="18"/>
  <c r="G30" i="18"/>
  <c r="H30" i="18"/>
  <c r="F32" i="18"/>
  <c r="F34" i="18"/>
  <c r="F35" i="18"/>
  <c r="F37" i="18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<sst xmlns="http://schemas.openxmlformats.org/spreadsheetml/2006/main" count="318" uniqueCount="56">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</sst>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2.637</v>
      </c>
      <c r="C4" s="51" t="s">
        <v>46</v>
      </c>
      <c r="D4" s="57">
        <f>DEC_SWAP!J11</f>
        <v>-64.5</v>
      </c>
      <c r="F4" s="50">
        <f>DEC_SWAP!J4</f>
        <v>-2480.0000000000023</v>
      </c>
      <c r="G4" s="50">
        <f>DEC_SWAP!J2</f>
        <v>0</v>
      </c>
      <c r="H4" s="50">
        <f>F4+G4</f>
        <v>-2480.0000000000023</v>
      </c>
      <c r="K4">
        <v>2.6760000000000002</v>
      </c>
      <c r="L4" s="62">
        <f t="shared" ref="L4:L16" si="0">B4-K4</f>
        <v>-3.9000000000000146E-2</v>
      </c>
      <c r="M4" s="57">
        <v>-46.5</v>
      </c>
      <c r="N4" s="43">
        <f t="shared" ref="N4:N19" si="1">D4-M4</f>
        <v>-18</v>
      </c>
      <c r="O4" s="48">
        <v>37043</v>
      </c>
    </row>
    <row r="5" spans="1:15" x14ac:dyDescent="0.2">
      <c r="B5" s="79">
        <f>B4+0.213</f>
        <v>2.85</v>
      </c>
      <c r="C5" s="51" t="s">
        <v>48</v>
      </c>
      <c r="D5" s="57">
        <f>JAN_SWAP!J11</f>
        <v>0</v>
      </c>
      <c r="F5" s="50">
        <f>JAN_SWAP!J4</f>
        <v>0</v>
      </c>
      <c r="G5" s="50">
        <f>JAN_SWAP!J2</f>
        <v>0</v>
      </c>
      <c r="H5" s="50">
        <f t="shared" ref="H5:H16" si="2">F5+G5</f>
        <v>0</v>
      </c>
      <c r="K5">
        <v>2.8840000000000003</v>
      </c>
      <c r="L5" s="62">
        <f t="shared" si="0"/>
        <v>-3.4000000000000252E-2</v>
      </c>
      <c r="M5" s="57">
        <v>-9.3000000000000007</v>
      </c>
      <c r="N5" s="43">
        <f t="shared" si="1"/>
        <v>9.3000000000000007</v>
      </c>
      <c r="O5" s="48">
        <v>37044</v>
      </c>
    </row>
    <row r="6" spans="1:15" x14ac:dyDescent="0.2">
      <c r="B6" s="79">
        <f>B5+0.053</f>
        <v>2.903</v>
      </c>
      <c r="C6" s="51" t="s">
        <v>53</v>
      </c>
      <c r="D6" s="57">
        <f>FEB_SWAP!J11</f>
        <v>0</v>
      </c>
      <c r="F6" s="50">
        <f>FEB_SWAP!J4</f>
        <v>0</v>
      </c>
      <c r="G6" s="50">
        <f>FEB_SWAP!J2</f>
        <v>0</v>
      </c>
      <c r="H6" s="50">
        <f t="shared" si="2"/>
        <v>0</v>
      </c>
      <c r="K6">
        <v>2.9320000000000004</v>
      </c>
      <c r="L6" s="62">
        <f t="shared" si="0"/>
        <v>-2.9000000000000359E-2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79">
        <f>B6-0.005</f>
        <v>2.8980000000000001</v>
      </c>
      <c r="C7" s="51" t="s">
        <v>54</v>
      </c>
      <c r="D7" s="57">
        <f>MAR_SWAP!J11</f>
        <v>54.25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2.9240000000000004</v>
      </c>
      <c r="L7" s="62">
        <f t="shared" si="0"/>
        <v>-2.6000000000000245E-2</v>
      </c>
      <c r="M7" s="57">
        <v>0</v>
      </c>
      <c r="N7" s="43">
        <f t="shared" si="1"/>
        <v>54.25</v>
      </c>
      <c r="O7" s="48">
        <v>37046</v>
      </c>
    </row>
    <row r="8" spans="1:15" x14ac:dyDescent="0.2">
      <c r="B8" s="79">
        <f>B4+0.185</f>
        <v>2.8220000000000001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2.8540000000000001</v>
      </c>
      <c r="L8" s="62">
        <f t="shared" si="0"/>
        <v>-3.2000000000000028E-2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79">
        <f>B8+0.177</f>
        <v>2.9990000000000001</v>
      </c>
      <c r="C9" s="51" t="s">
        <v>50</v>
      </c>
      <c r="D9" s="57">
        <f>'J-V_SWAP'!J11</f>
        <v>-53.5</v>
      </c>
      <c r="F9" s="50">
        <f>'Z-H_SWAP'!J5</f>
        <v>0</v>
      </c>
      <c r="G9" s="50">
        <f>'J-V_SWAP'!J6</f>
        <v>0</v>
      </c>
      <c r="H9" s="50">
        <f>F9+G9</f>
        <v>0</v>
      </c>
      <c r="K9">
        <v>3.0310000000000001</v>
      </c>
      <c r="L9" s="62">
        <f>B9-K9</f>
        <v>-3.2000000000000028E-2</v>
      </c>
      <c r="M9" s="57">
        <v>1</v>
      </c>
      <c r="N9" s="43">
        <f>D9-M9</f>
        <v>-54.5</v>
      </c>
      <c r="O9" s="48"/>
    </row>
    <row r="10" spans="1:15" x14ac:dyDescent="0.2">
      <c r="B10" s="79">
        <f>B8+0.21</f>
        <v>3.032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3.0740000000000003</v>
      </c>
      <c r="L10" s="62">
        <f>B10-K10</f>
        <v>-4.2000000000000259E-2</v>
      </c>
      <c r="M10" s="57">
        <v>2</v>
      </c>
      <c r="N10" s="43">
        <f>D10-M10</f>
        <v>-2</v>
      </c>
      <c r="O10" s="48"/>
    </row>
    <row r="11" spans="1:15" x14ac:dyDescent="0.2">
      <c r="B11" s="83">
        <f>B4-0.487</f>
        <v>2.15</v>
      </c>
      <c r="C11" s="84" t="s">
        <v>5</v>
      </c>
      <c r="D11" s="57">
        <f>HH_SWAP!J9</f>
        <v>27.5</v>
      </c>
      <c r="E11" s="44">
        <f>HH_SWAP!J10</f>
        <v>1.9642857142857142</v>
      </c>
      <c r="F11" s="50">
        <f>HH_SWAP!J4</f>
        <v>0</v>
      </c>
      <c r="G11" s="50">
        <f>HH_SWAP!J2</f>
        <v>0</v>
      </c>
      <c r="H11" s="50">
        <f t="shared" si="2"/>
        <v>0</v>
      </c>
      <c r="I11">
        <f t="shared" ref="I11:I16" si="3">IF(J11&lt;1,B11,J11)</f>
        <v>1.72</v>
      </c>
      <c r="J11" s="52">
        <v>1.72</v>
      </c>
      <c r="K11">
        <v>2.2799999999999998</v>
      </c>
      <c r="L11" s="62">
        <f t="shared" si="0"/>
        <v>-0.12999999999999989</v>
      </c>
      <c r="M11" s="57">
        <v>-69.7</v>
      </c>
      <c r="N11" s="43">
        <f t="shared" si="1"/>
        <v>97.2</v>
      </c>
      <c r="O11" s="48">
        <v>37048</v>
      </c>
    </row>
    <row r="12" spans="1:15" x14ac:dyDescent="0.2">
      <c r="B12" s="85">
        <f>B11-0.04</f>
        <v>2.11</v>
      </c>
      <c r="C12" s="84" t="s">
        <v>6</v>
      </c>
      <c r="D12" s="57">
        <f>HSC_SWAP!J9</f>
        <v>-38.5</v>
      </c>
      <c r="E12" s="44">
        <f>HSC_SWAP!J10</f>
        <v>-2.75</v>
      </c>
      <c r="F12" s="50">
        <f>HSC_SWAP!J4</f>
        <v>0</v>
      </c>
      <c r="G12" s="50">
        <f>HSC_SWAP!J2</f>
        <v>0</v>
      </c>
      <c r="H12" s="50">
        <f t="shared" si="2"/>
        <v>0</v>
      </c>
      <c r="I12">
        <f t="shared" si="3"/>
        <v>1.58</v>
      </c>
      <c r="J12" s="52">
        <v>1.58</v>
      </c>
      <c r="K12">
        <v>2.25</v>
      </c>
      <c r="L12" s="62">
        <f t="shared" si="0"/>
        <v>-0.14000000000000012</v>
      </c>
      <c r="M12" s="57">
        <v>0</v>
      </c>
      <c r="N12" s="43">
        <f t="shared" si="1"/>
        <v>-38.5</v>
      </c>
      <c r="O12" s="48">
        <v>37049</v>
      </c>
    </row>
    <row r="13" spans="1:15" x14ac:dyDescent="0.2">
      <c r="B13" s="85">
        <f>B12-0.05</f>
        <v>2.06</v>
      </c>
      <c r="C13" s="84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2.06</v>
      </c>
      <c r="J13" s="52"/>
      <c r="K13">
        <v>2.2000000000000002</v>
      </c>
      <c r="L13" s="62">
        <f t="shared" si="0"/>
        <v>-0.14000000000000012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5">
        <f>B12-0.27</f>
        <v>1.8399999999999999</v>
      </c>
      <c r="C14" s="84" t="s">
        <v>8</v>
      </c>
      <c r="D14" s="57">
        <f>WAHA_SWAP!J9</f>
        <v>11</v>
      </c>
      <c r="E14" s="44">
        <f>WAHA_SWAP!J10</f>
        <v>0.7857142857142857</v>
      </c>
      <c r="F14" s="50">
        <f>WAHA_SWAP!J4</f>
        <v>0</v>
      </c>
      <c r="G14" s="50">
        <f>WAHA_SWAP!J2</f>
        <v>-2.4424906541753444E-11</v>
      </c>
      <c r="H14" s="50">
        <f t="shared" si="2"/>
        <v>-2.4424906541753444E-11</v>
      </c>
      <c r="I14">
        <f t="shared" si="3"/>
        <v>1.385</v>
      </c>
      <c r="J14" s="52">
        <v>1.385</v>
      </c>
      <c r="K14">
        <v>1.98</v>
      </c>
      <c r="L14" s="62">
        <f t="shared" si="0"/>
        <v>-0.14000000000000012</v>
      </c>
      <c r="M14" s="57">
        <v>0</v>
      </c>
      <c r="N14" s="43">
        <f t="shared" si="1"/>
        <v>11</v>
      </c>
      <c r="O14" s="48">
        <v>37051</v>
      </c>
    </row>
    <row r="15" spans="1:15" x14ac:dyDescent="0.2">
      <c r="B15" s="83">
        <f>B11-0.215</f>
        <v>1.9349999999999998</v>
      </c>
      <c r="C15" s="84" t="s">
        <v>9</v>
      </c>
      <c r="D15" s="57">
        <f>PERM_SWAP!J9</f>
        <v>0</v>
      </c>
      <c r="E15" s="44">
        <f>PERM_SWAP!J10</f>
        <v>0</v>
      </c>
      <c r="F15" s="50">
        <f>PERM_SWAP!J4</f>
        <v>0</v>
      </c>
      <c r="G15" s="50">
        <f>PERM_SWAP!J2</f>
        <v>0</v>
      </c>
      <c r="H15" s="50">
        <f t="shared" si="2"/>
        <v>0</v>
      </c>
      <c r="I15">
        <f t="shared" si="3"/>
        <v>1.9349999999999998</v>
      </c>
      <c r="J15" s="52"/>
      <c r="K15">
        <v>2.0649999999999999</v>
      </c>
      <c r="L15" s="62">
        <f t="shared" si="0"/>
        <v>-0.13000000000000012</v>
      </c>
      <c r="M15" s="57">
        <v>0</v>
      </c>
      <c r="N15" s="43">
        <f t="shared" si="1"/>
        <v>0</v>
      </c>
      <c r="O15" s="48">
        <v>37052</v>
      </c>
    </row>
    <row r="16" spans="1:15" x14ac:dyDescent="0.2">
      <c r="A16" s="43">
        <f>SUM(D11:D16)</f>
        <v>0</v>
      </c>
      <c r="B16" s="85">
        <f>B12-0.05</f>
        <v>2.06</v>
      </c>
      <c r="C16" s="84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2.06</v>
      </c>
      <c r="J16" s="52"/>
      <c r="K16">
        <v>2.2000000000000002</v>
      </c>
      <c r="L16" s="62">
        <f t="shared" si="0"/>
        <v>-0.14000000000000012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6">
        <f>SUM(D4:D16)</f>
        <v>-63.75</v>
      </c>
      <c r="E17" s="44">
        <f>SUM(E11:E16)</f>
        <v>-1.1102230246251565E-16</v>
      </c>
      <c r="F17" s="70">
        <f>SUM(F4:F16)</f>
        <v>-2480.0000000000023</v>
      </c>
      <c r="G17" s="70">
        <f>SUM(G4:G16)</f>
        <v>-2.4424906541753444E-11</v>
      </c>
      <c r="H17" s="59">
        <f>SUM(H4:H16)</f>
        <v>-2480.0000000000268</v>
      </c>
      <c r="M17" s="69">
        <v>-54.2</v>
      </c>
      <c r="N17" s="68">
        <f t="shared" si="1"/>
        <v>-9.5499999999999972</v>
      </c>
      <c r="O17" s="48">
        <v>37054</v>
      </c>
    </row>
    <row r="18" spans="1:16" x14ac:dyDescent="0.2">
      <c r="B18" s="77">
        <f>KATY_aug!C31</f>
        <v>2.67</v>
      </c>
      <c r="C18" s="77" t="s">
        <v>43</v>
      </c>
      <c r="D18" s="78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7">
        <f>B4-0.015</f>
        <v>2.6219999999999999</v>
      </c>
      <c r="C19" s="77" t="s">
        <v>44</v>
      </c>
      <c r="D19" s="78" t="s">
        <v>47</v>
      </c>
      <c r="F19" s="59"/>
      <c r="G19" s="93">
        <f>F17+G17</f>
        <v>-2480.0000000000268</v>
      </c>
      <c r="H19" s="93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7">
        <f>hsc_aug!C31</f>
        <v>2.6619999999999999</v>
      </c>
      <c r="C20" s="77" t="s">
        <v>45</v>
      </c>
      <c r="D20" s="78">
        <f>hsc_aug!J11</f>
        <v>0</v>
      </c>
      <c r="F20" t="s">
        <v>49</v>
      </c>
      <c r="G20" s="81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-63.75</v>
      </c>
      <c r="G22" s="81">
        <f>G21+G20+G19:G19</f>
        <v>-2480.0000000000268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14</v>
      </c>
      <c r="F24">
        <v>1</v>
      </c>
      <c r="G24" s="52">
        <f>F24*E24</f>
        <v>14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0</v>
      </c>
      <c r="F25">
        <f>E25/E24</f>
        <v>0</v>
      </c>
      <c r="G25">
        <f>F25*3</f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2.637</v>
      </c>
      <c r="E27" s="58"/>
      <c r="I27">
        <v>3.3969999999999998</v>
      </c>
      <c r="J27" t="e">
        <f>#REF!-I27</f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2.85</v>
      </c>
      <c r="E28" s="58">
        <f>D28-D27</f>
        <v>0.21300000000000008</v>
      </c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2.903</v>
      </c>
      <c r="E29" s="58">
        <f t="shared" ref="E29:E39" si="4">D29-D28</f>
        <v>5.2999999999999936E-2</v>
      </c>
      <c r="F29" s="92"/>
      <c r="G29" s="62"/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2.8980000000000001</v>
      </c>
      <c r="E30" s="58">
        <f t="shared" si="4"/>
        <v>-4.9999999999998934E-3</v>
      </c>
      <c r="H30">
        <v>3.2519999999999998</v>
      </c>
      <c r="I30">
        <v>3.125</v>
      </c>
      <c r="J30">
        <f t="shared" ref="J30:J42" si="5">D27-I30</f>
        <v>-0.48799999999999999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37347</v>
      </c>
      <c r="D31">
        <v>2.8780000000000001</v>
      </c>
      <c r="E31" s="58">
        <f t="shared" si="4"/>
        <v>-2.0000000000000018E-2</v>
      </c>
      <c r="H31">
        <v>3.4220000000000002</v>
      </c>
      <c r="I31">
        <v>3.3029999999999999</v>
      </c>
      <c r="J31">
        <f t="shared" si="5"/>
        <v>-0.45299999999999985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2.9209999999999998</v>
      </c>
      <c r="E32" s="58">
        <f t="shared" si="4"/>
        <v>4.2999999999999705E-2</v>
      </c>
      <c r="H32">
        <v>3.3940000000000001</v>
      </c>
      <c r="I32">
        <v>3.28</v>
      </c>
      <c r="J32">
        <f t="shared" si="5"/>
        <v>-0.37699999999999978</v>
      </c>
      <c r="O32" s="48">
        <v>37069</v>
      </c>
      <c r="P32">
        <v>25000</v>
      </c>
    </row>
    <row r="33" spans="3:16" x14ac:dyDescent="0.2">
      <c r="C33" s="49">
        <v>37408</v>
      </c>
      <c r="D33">
        <v>2.9660000000000002</v>
      </c>
      <c r="E33" s="58">
        <f t="shared" si="4"/>
        <v>4.5000000000000373E-2</v>
      </c>
      <c r="F33" s="92">
        <f>AVERAGE(D27:D30)</f>
        <v>2.8220000000000001</v>
      </c>
      <c r="G33">
        <f>F33-D27</f>
        <v>0.18500000000000005</v>
      </c>
      <c r="H33">
        <v>3.3250000000000002</v>
      </c>
      <c r="I33">
        <v>3.2149999999999999</v>
      </c>
      <c r="J33">
        <f t="shared" si="5"/>
        <v>-0.31699999999999973</v>
      </c>
      <c r="O33" s="48">
        <v>37070</v>
      </c>
      <c r="P33">
        <v>25000</v>
      </c>
    </row>
    <row r="34" spans="3:16" x14ac:dyDescent="0.2">
      <c r="C34" s="49">
        <v>37438</v>
      </c>
      <c r="D34">
        <v>3.0089999999999999</v>
      </c>
      <c r="E34" s="58">
        <f t="shared" si="4"/>
        <v>4.2999999999999705E-2</v>
      </c>
      <c r="F34" s="62"/>
      <c r="H34">
        <v>3.2320000000000002</v>
      </c>
      <c r="I34">
        <v>3.125</v>
      </c>
      <c r="J34">
        <f t="shared" si="5"/>
        <v>-0.24699999999999989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3.052</v>
      </c>
      <c r="E35" s="58">
        <f t="shared" si="4"/>
        <v>4.3000000000000149E-2</v>
      </c>
      <c r="F35" s="62"/>
      <c r="H35">
        <v>3.2519999999999998</v>
      </c>
      <c r="I35">
        <v>3.15</v>
      </c>
      <c r="J35">
        <f t="shared" si="5"/>
        <v>-0.22900000000000009</v>
      </c>
      <c r="O35" s="48">
        <v>37072</v>
      </c>
      <c r="P35">
        <v>25000</v>
      </c>
    </row>
    <row r="36" spans="3:16" x14ac:dyDescent="0.2">
      <c r="C36" s="49">
        <v>37500</v>
      </c>
      <c r="D36">
        <v>3.0640000000000001</v>
      </c>
      <c r="E36" s="58">
        <f t="shared" si="4"/>
        <v>1.2000000000000011E-2</v>
      </c>
      <c r="F36" s="62"/>
      <c r="H36">
        <v>3.2850000000000001</v>
      </c>
      <c r="I36">
        <v>3.1850000000000001</v>
      </c>
      <c r="J36">
        <f t="shared" si="5"/>
        <v>-0.21899999999999986</v>
      </c>
      <c r="L36" t="s">
        <v>52</v>
      </c>
      <c r="P36">
        <v>25000</v>
      </c>
    </row>
    <row r="37" spans="3:16" x14ac:dyDescent="0.2">
      <c r="C37" s="49">
        <v>37530</v>
      </c>
      <c r="D37">
        <v>3.1040000000000001</v>
      </c>
      <c r="E37" s="58">
        <f t="shared" si="4"/>
        <v>4.0000000000000036E-2</v>
      </c>
      <c r="F37" s="62"/>
      <c r="H37">
        <v>3.3250000000000002</v>
      </c>
      <c r="I37">
        <v>3.2250000000000001</v>
      </c>
      <c r="J37">
        <f t="shared" si="5"/>
        <v>-0.21600000000000019</v>
      </c>
    </row>
    <row r="38" spans="3:16" x14ac:dyDescent="0.2">
      <c r="C38" s="49">
        <v>37561</v>
      </c>
      <c r="D38">
        <v>3.2970000000000002</v>
      </c>
      <c r="E38" s="58">
        <f t="shared" si="4"/>
        <v>0.19300000000000006</v>
      </c>
      <c r="F38" s="62"/>
      <c r="H38">
        <v>3.3620000000000001</v>
      </c>
      <c r="I38">
        <v>3.262</v>
      </c>
      <c r="J38">
        <f t="shared" si="5"/>
        <v>-0.20999999999999996</v>
      </c>
    </row>
    <row r="39" spans="3:16" x14ac:dyDescent="0.2">
      <c r="C39" s="49">
        <v>37591</v>
      </c>
      <c r="D39">
        <v>3.4950000000000001</v>
      </c>
      <c r="E39" s="58">
        <f t="shared" si="4"/>
        <v>0.19799999999999995</v>
      </c>
      <c r="F39" s="92">
        <f>AVERAGE(D31:D37)</f>
        <v>2.9991428571428571</v>
      </c>
      <c r="G39" s="62">
        <f>F39-F33</f>
        <v>0.17714285714285705</v>
      </c>
      <c r="H39">
        <v>3.36</v>
      </c>
      <c r="I39">
        <v>3.26</v>
      </c>
      <c r="J39">
        <f t="shared" si="5"/>
        <v>-0.19599999999999973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f t="shared" si="5"/>
        <v>-0.16799999999999971</v>
      </c>
    </row>
    <row r="41" spans="3:16" x14ac:dyDescent="0.2">
      <c r="C41" s="49"/>
      <c r="E41" s="58"/>
      <c r="F41" s="82">
        <f>AVERAGE(D28:D39)</f>
        <v>3.0364166666666663</v>
      </c>
      <c r="G41" s="44">
        <f>F41-F33</f>
        <v>0.21441666666666626</v>
      </c>
      <c r="H41">
        <v>3.532</v>
      </c>
      <c r="I41">
        <v>3.4319999999999999</v>
      </c>
      <c r="J41">
        <f t="shared" si="5"/>
        <v>-0.13499999999999979</v>
      </c>
    </row>
    <row r="42" spans="3:16" x14ac:dyDescent="0.2">
      <c r="C42" s="49"/>
      <c r="H42">
        <v>3.6949999999999998</v>
      </c>
      <c r="I42">
        <v>3.5950000000000002</v>
      </c>
      <c r="J42">
        <f t="shared" si="5"/>
        <v>-0.10000000000000009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2.903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F3:G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>
        <v>54.25</v>
      </c>
      <c r="G2" s="27">
        <v>2.8980000000000001</v>
      </c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54.25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54.25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2.8980000000000001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2.8220000000000001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53.5</v>
      </c>
      <c r="C2" s="27">
        <v>2.9990000000000001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-53.5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-53.5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2.9990000000000001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2.67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2.6619999999999999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-17258.064516129034</v>
      </c>
      <c r="F2" s="43">
        <f>POSTION!D4</f>
        <v>-64.5</v>
      </c>
      <c r="G2" s="43">
        <f>POSTION!D5</f>
        <v>0</v>
      </c>
      <c r="H2" s="43">
        <f>POSTION!D6</f>
        <v>0</v>
      </c>
      <c r="I2" s="43">
        <f>POSTION!D7</f>
        <v>54.25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-53.5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-53.5</v>
      </c>
      <c r="E8" s="43">
        <f>E7</f>
        <v>0</v>
      </c>
      <c r="F8" s="43">
        <f>SUM(F2:F7)</f>
        <v>-64.5</v>
      </c>
      <c r="G8" s="43">
        <f>SUM(G2:G7)</f>
        <v>0</v>
      </c>
      <c r="H8" s="43">
        <f>SUM(H2:H7)</f>
        <v>0</v>
      </c>
      <c r="I8" s="43">
        <f>SUM(I2:I7)</f>
        <v>0.5</v>
      </c>
      <c r="J8" s="43">
        <f>SUM(J2:J7)</f>
        <v>0</v>
      </c>
    </row>
    <row r="10" spans="1:10" x14ac:dyDescent="0.2">
      <c r="B10" s="75">
        <f>SUM(A8:E8)+SUM(G8:J8)</f>
        <v>176.4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zoomScale="80" workbookViewId="0">
      <selection activeCell="E21" sqref="E21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6">
        <v>2.637</v>
      </c>
      <c r="C4" s="51" t="s">
        <v>46</v>
      </c>
      <c r="D4" s="57">
        <v>-95.5</v>
      </c>
      <c r="F4" s="50">
        <v>-65797.499999999884</v>
      </c>
      <c r="G4" s="50">
        <v>-35474.999999999942</v>
      </c>
      <c r="H4" s="50">
        <v>-101272.5</v>
      </c>
      <c r="K4">
        <v>2.6760000000000002</v>
      </c>
      <c r="L4" s="62">
        <v>-3.9000000000000146E-2</v>
      </c>
      <c r="M4" s="57">
        <v>-46.5</v>
      </c>
      <c r="N4" s="43">
        <v>-49</v>
      </c>
      <c r="O4" s="48">
        <v>37043</v>
      </c>
    </row>
    <row r="5" spans="1:15" x14ac:dyDescent="0.2">
      <c r="B5" s="79">
        <v>2.85</v>
      </c>
      <c r="C5" s="51" t="s">
        <v>48</v>
      </c>
      <c r="D5" s="57">
        <v>0</v>
      </c>
      <c r="F5" s="50">
        <v>43400</v>
      </c>
      <c r="G5" s="50">
        <v>-25730.000000000058</v>
      </c>
      <c r="H5" s="50">
        <v>17670</v>
      </c>
      <c r="K5">
        <v>2.8840000000000003</v>
      </c>
      <c r="L5" s="62">
        <v>-3.4000000000000252E-2</v>
      </c>
      <c r="M5" s="57">
        <v>-9.3000000000000007</v>
      </c>
      <c r="N5" s="43">
        <v>9.3000000000000007</v>
      </c>
      <c r="O5" s="48">
        <v>37044</v>
      </c>
    </row>
    <row r="6" spans="1:15" x14ac:dyDescent="0.2">
      <c r="B6" s="79">
        <v>2.903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2.9320000000000004</v>
      </c>
      <c r="L6" s="62">
        <v>-2.9000000000000359E-2</v>
      </c>
      <c r="M6" s="57">
        <v>-3.1</v>
      </c>
      <c r="N6" s="43">
        <v>3.1</v>
      </c>
      <c r="O6" s="48">
        <v>37045</v>
      </c>
    </row>
    <row r="7" spans="1:15" x14ac:dyDescent="0.2">
      <c r="B7" s="79">
        <v>2.8980000000000001</v>
      </c>
      <c r="C7" s="51" t="s">
        <v>54</v>
      </c>
      <c r="D7" s="57">
        <v>54.25</v>
      </c>
      <c r="F7" s="50">
        <v>42508.750000000087</v>
      </c>
      <c r="G7" s="50">
        <v>0</v>
      </c>
      <c r="H7" s="50">
        <v>42508.750000000087</v>
      </c>
      <c r="K7">
        <v>2.9240000000000004</v>
      </c>
      <c r="L7" s="62">
        <v>-2.6000000000000245E-2</v>
      </c>
      <c r="M7" s="57">
        <v>0</v>
      </c>
      <c r="N7" s="43">
        <v>54.25</v>
      </c>
      <c r="O7" s="48">
        <v>37046</v>
      </c>
    </row>
    <row r="8" spans="1:15" x14ac:dyDescent="0.2">
      <c r="B8" s="79">
        <v>2.8220000000000001</v>
      </c>
      <c r="C8" s="51" t="s">
        <v>55</v>
      </c>
      <c r="D8" s="57">
        <v>0</v>
      </c>
      <c r="F8" s="50">
        <v>0</v>
      </c>
      <c r="G8" s="50">
        <v>0</v>
      </c>
      <c r="H8" s="50">
        <v>0</v>
      </c>
      <c r="K8">
        <v>2.8540000000000001</v>
      </c>
      <c r="L8" s="62">
        <v>-3.2000000000000028E-2</v>
      </c>
      <c r="M8" s="57">
        <v>0</v>
      </c>
      <c r="N8" s="43">
        <v>0</v>
      </c>
      <c r="O8" s="48">
        <v>37047</v>
      </c>
    </row>
    <row r="9" spans="1:15" x14ac:dyDescent="0.2">
      <c r="B9" s="79">
        <v>2.9990000000000001</v>
      </c>
      <c r="C9" s="51" t="s">
        <v>50</v>
      </c>
      <c r="D9" s="57">
        <v>-53.5</v>
      </c>
      <c r="F9" s="50">
        <v>0</v>
      </c>
      <c r="G9" s="50">
        <v>-33571.25000000016</v>
      </c>
      <c r="H9" s="50">
        <v>-33571.25000000016</v>
      </c>
      <c r="K9">
        <v>3.0310000000000001</v>
      </c>
      <c r="L9" s="62">
        <v>-3.2000000000000028E-2</v>
      </c>
      <c r="M9" s="57">
        <v>1</v>
      </c>
      <c r="N9" s="43">
        <v>-54.5</v>
      </c>
      <c r="O9" s="48"/>
    </row>
    <row r="10" spans="1:15" x14ac:dyDescent="0.2">
      <c r="B10" s="79">
        <v>3.032</v>
      </c>
      <c r="C10" s="51" t="s">
        <v>51</v>
      </c>
      <c r="D10" s="57">
        <v>0</v>
      </c>
      <c r="F10" s="50"/>
      <c r="G10" s="50"/>
      <c r="H10" s="50">
        <v>0</v>
      </c>
      <c r="K10">
        <v>3.0740000000000003</v>
      </c>
      <c r="L10" s="62">
        <v>-4.2000000000000259E-2</v>
      </c>
      <c r="M10" s="57">
        <v>2</v>
      </c>
      <c r="N10" s="43">
        <v>-2</v>
      </c>
      <c r="O10" s="48"/>
    </row>
    <row r="11" spans="1:15" x14ac:dyDescent="0.2">
      <c r="B11" s="83">
        <v>2.1419999999999999</v>
      </c>
      <c r="C11" s="84" t="s">
        <v>5</v>
      </c>
      <c r="D11" s="57">
        <v>27.5</v>
      </c>
      <c r="E11" s="44">
        <v>1.9642857142857142</v>
      </c>
      <c r="F11" s="50">
        <v>-31650</v>
      </c>
      <c r="G11" s="50">
        <v>39200</v>
      </c>
      <c r="H11" s="50">
        <v>7550.00000000004</v>
      </c>
      <c r="I11">
        <v>1.72</v>
      </c>
      <c r="J11" s="52">
        <v>1.72</v>
      </c>
      <c r="K11">
        <v>2.2799999999999998</v>
      </c>
      <c r="L11" s="62">
        <v>-0.1379999999999999</v>
      </c>
      <c r="M11" s="57">
        <v>-69.7</v>
      </c>
      <c r="N11" s="43">
        <v>97.2</v>
      </c>
      <c r="O11" s="48">
        <v>37048</v>
      </c>
    </row>
    <row r="12" spans="1:15" x14ac:dyDescent="0.2">
      <c r="B12" s="85">
        <v>2.1019999999999999</v>
      </c>
      <c r="C12" s="84" t="s">
        <v>6</v>
      </c>
      <c r="D12" s="57">
        <v>-38.5</v>
      </c>
      <c r="E12" s="44">
        <v>-2.75</v>
      </c>
      <c r="F12" s="50">
        <v>54810</v>
      </c>
      <c r="G12" s="50">
        <v>-49979.999999999935</v>
      </c>
      <c r="H12" s="50">
        <v>4830.0000000000437</v>
      </c>
      <c r="I12">
        <v>1.58</v>
      </c>
      <c r="J12" s="52">
        <v>1.58</v>
      </c>
      <c r="K12">
        <v>2.25</v>
      </c>
      <c r="L12" s="62">
        <v>-0.14800000000000013</v>
      </c>
      <c r="M12" s="57">
        <v>0</v>
      </c>
      <c r="N12" s="43">
        <v>-38.5</v>
      </c>
      <c r="O12" s="48">
        <v>37049</v>
      </c>
    </row>
    <row r="13" spans="1:15" x14ac:dyDescent="0.2">
      <c r="B13" s="85">
        <v>2.052</v>
      </c>
      <c r="C13" s="84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2.052</v>
      </c>
      <c r="J13" s="52"/>
      <c r="K13">
        <v>2.2000000000000002</v>
      </c>
      <c r="L13" s="62">
        <v>-0.14800000000000013</v>
      </c>
      <c r="M13" s="57">
        <v>15.5</v>
      </c>
      <c r="N13" s="43">
        <v>-15.5</v>
      </c>
      <c r="O13" s="48">
        <v>37050</v>
      </c>
    </row>
    <row r="14" spans="1:15" x14ac:dyDescent="0.2">
      <c r="B14" s="85">
        <v>1.8319999999999999</v>
      </c>
      <c r="C14" s="84" t="s">
        <v>8</v>
      </c>
      <c r="D14" s="57">
        <v>11</v>
      </c>
      <c r="E14" s="44">
        <v>0.7857142857142857</v>
      </c>
      <c r="F14" s="50">
        <v>-3209.9999999999864</v>
      </c>
      <c r="G14" s="50">
        <v>11480</v>
      </c>
      <c r="H14" s="50">
        <v>8269.9999999999927</v>
      </c>
      <c r="I14">
        <v>1.385</v>
      </c>
      <c r="J14" s="52">
        <v>1.385</v>
      </c>
      <c r="K14">
        <v>1.98</v>
      </c>
      <c r="L14" s="62">
        <v>-0.14800000000000013</v>
      </c>
      <c r="M14" s="57">
        <v>0</v>
      </c>
      <c r="N14" s="43">
        <v>11</v>
      </c>
      <c r="O14" s="48">
        <v>37051</v>
      </c>
    </row>
    <row r="15" spans="1:15" x14ac:dyDescent="0.2">
      <c r="B15" s="83">
        <v>1.9269999999999998</v>
      </c>
      <c r="C15" s="84" t="s">
        <v>9</v>
      </c>
      <c r="D15" s="57">
        <v>0</v>
      </c>
      <c r="E15" s="44">
        <v>0</v>
      </c>
      <c r="F15" s="50">
        <v>0</v>
      </c>
      <c r="G15" s="50">
        <v>0</v>
      </c>
      <c r="H15" s="50">
        <v>0</v>
      </c>
      <c r="I15">
        <v>1.9269999999999998</v>
      </c>
      <c r="J15" s="52"/>
      <c r="K15">
        <v>2.0649999999999999</v>
      </c>
      <c r="L15" s="62">
        <v>-0.13800000000000012</v>
      </c>
      <c r="M15" s="57">
        <v>0</v>
      </c>
      <c r="N15" s="43">
        <v>0</v>
      </c>
      <c r="O15" s="48">
        <v>37052</v>
      </c>
    </row>
    <row r="16" spans="1:15" x14ac:dyDescent="0.2">
      <c r="A16" s="43">
        <v>0</v>
      </c>
      <c r="B16" s="85">
        <v>2.052</v>
      </c>
      <c r="C16" s="84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2.052</v>
      </c>
      <c r="J16" s="52"/>
      <c r="K16">
        <v>2.2000000000000002</v>
      </c>
      <c r="L16" s="62">
        <v>-0.14800000000000013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6">
        <v>-94.75</v>
      </c>
      <c r="E17" s="44">
        <v>-1.1102230246251565E-16</v>
      </c>
      <c r="F17" s="70">
        <v>40061.250000000233</v>
      </c>
      <c r="G17" s="70">
        <v>-94076.250000000073</v>
      </c>
      <c r="H17" s="59">
        <v>-54014.999999999847</v>
      </c>
      <c r="M17" s="69">
        <v>-54.2</v>
      </c>
      <c r="N17" s="68">
        <v>-40.549999999999997</v>
      </c>
      <c r="O17" s="48">
        <v>37054</v>
      </c>
    </row>
    <row r="18" spans="1:16" x14ac:dyDescent="0.2">
      <c r="B18" s="77">
        <v>2.67</v>
      </c>
      <c r="C18" s="77" t="s">
        <v>43</v>
      </c>
      <c r="D18" s="78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7">
        <v>2.6219999999999999</v>
      </c>
      <c r="C19" s="77" t="s">
        <v>44</v>
      </c>
      <c r="D19" s="78" t="s">
        <v>47</v>
      </c>
      <c r="F19" s="59"/>
      <c r="G19" s="93">
        <v>-54014.99999999984</v>
      </c>
      <c r="H19" s="93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7">
        <v>2.6619999999999999</v>
      </c>
      <c r="C20" s="77" t="s">
        <v>45</v>
      </c>
      <c r="D20" s="78">
        <v>0</v>
      </c>
      <c r="F20" t="s">
        <v>49</v>
      </c>
      <c r="G20" s="81">
        <v>57000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-94.75</v>
      </c>
      <c r="G22" s="81">
        <v>2985.0000000001601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14</v>
      </c>
      <c r="F24">
        <v>1</v>
      </c>
      <c r="G24" s="52">
        <v>14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0</v>
      </c>
      <c r="F25">
        <v>0</v>
      </c>
      <c r="G25"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49">
        <v>37226</v>
      </c>
      <c r="D27">
        <v>2.637</v>
      </c>
      <c r="E27" s="58"/>
      <c r="I27">
        <v>3.3969999999999998</v>
      </c>
      <c r="J27" t="e">
        <v>#REF!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37257</v>
      </c>
      <c r="D28">
        <v>2.85</v>
      </c>
      <c r="E28" s="58">
        <v>0.21300000000000008</v>
      </c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37288</v>
      </c>
      <c r="D29">
        <v>2.903</v>
      </c>
      <c r="E29" s="58">
        <v>5.2999999999999936E-2</v>
      </c>
      <c r="F29" s="92"/>
      <c r="G29" s="62"/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37316</v>
      </c>
      <c r="D30">
        <v>2.8980000000000001</v>
      </c>
      <c r="E30" s="58">
        <v>-4.9999999999998934E-3</v>
      </c>
      <c r="H30">
        <v>3.2519999999999998</v>
      </c>
      <c r="I30">
        <v>3.125</v>
      </c>
      <c r="J30">
        <v>-0.48799999999999999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37347</v>
      </c>
      <c r="D31">
        <v>2.8780000000000001</v>
      </c>
      <c r="E31" s="58">
        <v>-0.02</v>
      </c>
      <c r="H31">
        <v>3.4220000000000002</v>
      </c>
      <c r="I31">
        <v>3.3029999999999999</v>
      </c>
      <c r="J31">
        <v>-0.45299999999999985</v>
      </c>
      <c r="M31">
        <v>105000</v>
      </c>
      <c r="O31" s="48">
        <v>37068</v>
      </c>
      <c r="P31">
        <v>25000</v>
      </c>
    </row>
    <row r="32" spans="1:16" x14ac:dyDescent="0.2">
      <c r="C32" s="49">
        <v>37377</v>
      </c>
      <c r="D32">
        <v>2.9209999999999998</v>
      </c>
      <c r="E32" s="58">
        <v>4.2999999999999705E-2</v>
      </c>
      <c r="H32">
        <v>3.3940000000000001</v>
      </c>
      <c r="I32">
        <v>3.28</v>
      </c>
      <c r="J32">
        <v>-0.37699999999999978</v>
      </c>
      <c r="O32" s="48">
        <v>37069</v>
      </c>
      <c r="P32">
        <v>25000</v>
      </c>
    </row>
    <row r="33" spans="3:16" x14ac:dyDescent="0.2">
      <c r="C33" s="49">
        <v>37408</v>
      </c>
      <c r="D33">
        <v>2.9660000000000002</v>
      </c>
      <c r="E33" s="58">
        <v>4.5000000000000373E-2</v>
      </c>
      <c r="F33" s="92">
        <v>2.8220000000000001</v>
      </c>
      <c r="G33">
        <v>0.185</v>
      </c>
      <c r="H33">
        <v>3.3250000000000002</v>
      </c>
      <c r="I33">
        <v>3.2149999999999999</v>
      </c>
      <c r="J33">
        <v>-0.31699999999999973</v>
      </c>
      <c r="O33" s="48">
        <v>37070</v>
      </c>
      <c r="P33">
        <v>25000</v>
      </c>
    </row>
    <row r="34" spans="3:16" x14ac:dyDescent="0.2">
      <c r="C34" s="49">
        <v>37438</v>
      </c>
      <c r="D34">
        <v>3.0089999999999999</v>
      </c>
      <c r="E34" s="58">
        <v>4.2999999999999705E-2</v>
      </c>
      <c r="F34" s="62"/>
      <c r="H34">
        <v>3.2320000000000002</v>
      </c>
      <c r="I34">
        <v>3.125</v>
      </c>
      <c r="J34">
        <v>-0.24699999999999989</v>
      </c>
      <c r="L34">
        <v>122</v>
      </c>
      <c r="O34" s="48">
        <v>37071</v>
      </c>
      <c r="P34">
        <v>25000</v>
      </c>
    </row>
    <row r="35" spans="3:16" x14ac:dyDescent="0.2">
      <c r="C35" s="49">
        <v>37469</v>
      </c>
      <c r="D35">
        <v>3.052</v>
      </c>
      <c r="E35" s="58">
        <v>4.3000000000000149E-2</v>
      </c>
      <c r="F35" s="62"/>
      <c r="H35">
        <v>3.2519999999999998</v>
      </c>
      <c r="I35">
        <v>3.15</v>
      </c>
      <c r="J35">
        <v>-0.22900000000000009</v>
      </c>
      <c r="O35" s="48">
        <v>37072</v>
      </c>
      <c r="P35">
        <v>25000</v>
      </c>
    </row>
    <row r="36" spans="3:16" x14ac:dyDescent="0.2">
      <c r="C36" s="49">
        <v>37500</v>
      </c>
      <c r="D36">
        <v>3.0640000000000001</v>
      </c>
      <c r="E36" s="58">
        <v>1.2000000000000011E-2</v>
      </c>
      <c r="F36" s="62"/>
      <c r="H36">
        <v>3.2850000000000001</v>
      </c>
      <c r="I36">
        <v>3.1850000000000001</v>
      </c>
      <c r="J36">
        <v>-0.21899999999999986</v>
      </c>
      <c r="L36" t="s">
        <v>52</v>
      </c>
      <c r="P36">
        <v>25000</v>
      </c>
    </row>
    <row r="37" spans="3:16" x14ac:dyDescent="0.2">
      <c r="C37" s="49">
        <v>37530</v>
      </c>
      <c r="D37">
        <v>3.1040000000000001</v>
      </c>
      <c r="E37" s="58">
        <v>0.04</v>
      </c>
      <c r="F37" s="62"/>
      <c r="H37">
        <v>3.3250000000000002</v>
      </c>
      <c r="I37">
        <v>3.2250000000000001</v>
      </c>
      <c r="J37">
        <v>-0.21600000000000019</v>
      </c>
    </row>
    <row r="38" spans="3:16" x14ac:dyDescent="0.2">
      <c r="C38" s="49">
        <v>37561</v>
      </c>
      <c r="D38">
        <v>3.2970000000000002</v>
      </c>
      <c r="E38" s="58">
        <v>0.19300000000000006</v>
      </c>
      <c r="F38" s="62"/>
      <c r="H38">
        <v>3.3620000000000001</v>
      </c>
      <c r="I38">
        <v>3.262</v>
      </c>
      <c r="J38">
        <v>-0.21</v>
      </c>
    </row>
    <row r="39" spans="3:16" x14ac:dyDescent="0.2">
      <c r="C39" s="49">
        <v>37591</v>
      </c>
      <c r="D39">
        <v>3.4950000000000001</v>
      </c>
      <c r="E39" s="58">
        <v>0.19799999999999995</v>
      </c>
      <c r="F39" s="92">
        <v>2.9991428571428571</v>
      </c>
      <c r="G39" s="62">
        <v>0.17714285714285705</v>
      </c>
      <c r="H39">
        <v>3.36</v>
      </c>
      <c r="I39">
        <v>3.26</v>
      </c>
      <c r="J39">
        <v>-0.19599999999999973</v>
      </c>
    </row>
    <row r="40" spans="3:16" x14ac:dyDescent="0.2">
      <c r="C40" s="49"/>
      <c r="E40" s="58"/>
      <c r="H40">
        <v>3.3719999999999999</v>
      </c>
      <c r="I40">
        <v>3.2719999999999998</v>
      </c>
      <c r="J40">
        <v>-0.16799999999999971</v>
      </c>
    </row>
    <row r="41" spans="3:16" x14ac:dyDescent="0.2">
      <c r="C41" s="49"/>
      <c r="E41" s="58"/>
      <c r="F41" s="82">
        <v>3.0364166666666663</v>
      </c>
      <c r="G41" s="44">
        <v>0.21441666666666626</v>
      </c>
      <c r="H41">
        <v>3.532</v>
      </c>
      <c r="I41">
        <v>3.4319999999999999</v>
      </c>
      <c r="J41">
        <v>-0.13500000000000001</v>
      </c>
    </row>
    <row r="42" spans="3:16" x14ac:dyDescent="0.2">
      <c r="C42" s="49"/>
      <c r="H42">
        <v>3.6949999999999998</v>
      </c>
      <c r="I42">
        <v>3.5950000000000002</v>
      </c>
      <c r="J42">
        <v>-0.1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14</v>
      </c>
      <c r="B3" s="8">
        <v>15.5</v>
      </c>
      <c r="C3" s="3">
        <v>2.73</v>
      </c>
      <c r="D3" s="4">
        <f t="shared" ref="D3:D25" si="0">B3*C3*10000</f>
        <v>423150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23.25</v>
      </c>
      <c r="C4" s="3">
        <v>2.7450000000000001</v>
      </c>
      <c r="D4" s="4">
        <f t="shared" si="0"/>
        <v>638212.5</v>
      </c>
      <c r="E4" s="5"/>
      <c r="F4" s="9"/>
      <c r="G4" s="3"/>
      <c r="H4" s="10">
        <f t="shared" si="1"/>
        <v>0</v>
      </c>
      <c r="J4" s="23">
        <f>F37</f>
        <v>-55412.500000000095</v>
      </c>
      <c r="K4" s="11"/>
      <c r="L4" s="5" t="s">
        <v>20</v>
      </c>
    </row>
    <row r="5" spans="1:13" x14ac:dyDescent="0.2">
      <c r="B5" s="8">
        <v>31</v>
      </c>
      <c r="C5" s="3">
        <v>2.7650000000000001</v>
      </c>
      <c r="D5" s="4">
        <f t="shared" si="0"/>
        <v>857150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>
        <v>46.5</v>
      </c>
      <c r="C6" s="3">
        <v>2.78</v>
      </c>
      <c r="D6" s="4">
        <f t="shared" si="0"/>
        <v>1292699.9999999998</v>
      </c>
      <c r="E6" s="5"/>
      <c r="F6" s="9"/>
      <c r="G6" s="3"/>
      <c r="H6" s="10">
        <f t="shared" si="1"/>
        <v>0</v>
      </c>
      <c r="J6" s="42">
        <f>J2+J3+J4</f>
        <v>-55412.500000000095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-116.25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-116.25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116.25</v>
      </c>
      <c r="C27" s="18">
        <f>IF(B27=0, 0, D27/B27/10000)</f>
        <v>2.7623333333333333</v>
      </c>
      <c r="D27" s="4">
        <f>SUM(D2:D26)</f>
        <v>3211212.5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-116.25</v>
      </c>
      <c r="G29" s="6">
        <f>IF(F29&lt;0,C27,G27)</f>
        <v>2.7623333333333333</v>
      </c>
      <c r="H29" s="21">
        <f>IF(F29&lt;0, (G29-C31)*ABS(F29)*10000, -1*(G29-C31)*ABS(F29)*10000)</f>
        <v>-55412.500000000095</v>
      </c>
      <c r="J29" s="28"/>
      <c r="K29" s="29"/>
      <c r="L29" s="29"/>
      <c r="M29" s="5"/>
      <c r="N29" s="5"/>
    </row>
    <row r="30" spans="2:14" x14ac:dyDescent="0.2">
      <c r="F30" s="22">
        <f>-B27+F27</f>
        <v>-116.25</v>
      </c>
      <c r="G30" s="6">
        <f>IF(F30&lt;0, (C27+(J26/(ABS(F30)*10000))), IF(F30 = 0, 0, (G27-(J26/(ABS(F30)*10000)))))</f>
        <v>2.7623333333333333</v>
      </c>
      <c r="H30" s="21">
        <f>IF(F30&lt;0, (G30-C31)*ABS(F30)*10000, IF(F30 = 0, 0, -1*(G30-C31)*ABS(F30)*10000))</f>
        <v>-55412.500000000095</v>
      </c>
      <c r="J30" s="28"/>
      <c r="K30" s="29"/>
      <c r="L30" s="29"/>
      <c r="M30" s="5"/>
      <c r="N30" s="5"/>
    </row>
    <row r="31" spans="2:14" x14ac:dyDescent="0.2">
      <c r="C31" s="6">
        <v>2.81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-55412.500000000095</v>
      </c>
      <c r="G34" s="1"/>
      <c r="H34" s="1" t="s">
        <v>1</v>
      </c>
    </row>
    <row r="35" spans="1:8" x14ac:dyDescent="0.2">
      <c r="A35" s="7"/>
      <c r="B35" s="26"/>
      <c r="F35" s="23">
        <f>$H$30</f>
        <v>-55412.500000000095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-55412.500000000095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2.06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B5" sqref="B5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27.5</v>
      </c>
      <c r="G2" s="27">
        <v>2.15</v>
      </c>
      <c r="H2" s="34"/>
      <c r="J2" s="35">
        <f>IF(F2&lt;1,(C2-C31)*(B2*10000),(C31-G2)*(F2*10000))</f>
        <v>0</v>
      </c>
      <c r="L2" s="7" t="s">
        <v>15</v>
      </c>
    </row>
    <row r="3" spans="1:18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-8446.4285714285688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27.5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1.9642857142857142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27.5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5.8928571428571423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1.72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80">
        <f>POSTION!D22</f>
        <v>-63.75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2.15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F7" sqref="F7: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>
        <v>38.5</v>
      </c>
      <c r="C2" s="27">
        <v>2.11</v>
      </c>
      <c r="D2" s="32"/>
      <c r="E2" s="5"/>
      <c r="F2" s="33"/>
      <c r="G2" s="27"/>
      <c r="H2" s="34"/>
      <c r="J2" s="35">
        <f>IF(F2&lt;1,(C2-C37)*(B2*10000),(C37-G2)*(F2*10000))</f>
        <v>0</v>
      </c>
      <c r="L2" s="7" t="s">
        <v>15</v>
      </c>
    </row>
    <row r="3" spans="1:13" x14ac:dyDescent="0.2">
      <c r="A3" s="6">
        <f>POSTION!$E$24</f>
        <v>14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14574.999999999995</v>
      </c>
      <c r="L3" s="12" t="s">
        <v>17</v>
      </c>
    </row>
    <row r="4" spans="1:13" x14ac:dyDescent="0.2">
      <c r="B4" s="90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F43</f>
        <v>0</v>
      </c>
      <c r="K4" s="11"/>
      <c r="L4" s="5" t="s">
        <v>20</v>
      </c>
    </row>
    <row r="5" spans="1:13" x14ac:dyDescent="0.2">
      <c r="B5" s="90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F36-B2+F2</f>
        <v>-38.5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-2.75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-38.5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-8.25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8"/>
      <c r="C21" s="89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1">
        <f>POSTION!D22</f>
        <v>-63.75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0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48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0</v>
      </c>
      <c r="C33" s="18">
        <f>IF(B33=0, 0, D33/B33/10000)</f>
        <v>0</v>
      </c>
      <c r="D33" s="4">
        <f>SUM(D2:D32)</f>
        <v>0</v>
      </c>
      <c r="F33" s="9">
        <f>SUM(F3:F32)</f>
        <v>0</v>
      </c>
      <c r="G33" s="3">
        <f>IF(F33=0, 0, H33/F33/10000)</f>
        <v>0</v>
      </c>
      <c r="H33" s="10">
        <f>SUM(H2:H32)</f>
        <v>0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0</v>
      </c>
      <c r="G35" s="6">
        <f>IF(F35&lt;0,C33,G33)</f>
        <v>0</v>
      </c>
      <c r="H35" s="21">
        <f>IF(F35&lt;0, (G35-C37)*ABS(F35)*10000, -1*(G35-C37)*ABS(F35)*10000)</f>
        <v>0</v>
      </c>
      <c r="M35" s="5"/>
      <c r="N35" s="5"/>
    </row>
    <row r="36" spans="1:14" x14ac:dyDescent="0.2">
      <c r="C36" s="6">
        <f>POSTION!I12</f>
        <v>1.58</v>
      </c>
      <c r="D36" s="16" t="s">
        <v>14</v>
      </c>
      <c r="F36" s="22">
        <f>-B33+F33</f>
        <v>0</v>
      </c>
      <c r="G36" s="6">
        <f>IF(F36&lt;0, (C33+(J29/(ABS(F36)*10000))), IF(F36 = 0, 0, (G33-(J29/(ABS(F36)*10000)))))</f>
        <v>0</v>
      </c>
      <c r="H36" s="21">
        <f>IF(F36&lt;0, (G36-C37)*ABS(F36)*10000, IF(F36 = 0, 0, -1*(G36-C37)*ABS(F36)*10000))</f>
        <v>0</v>
      </c>
    </row>
    <row r="37" spans="1:14" x14ac:dyDescent="0.2">
      <c r="C37" s="6">
        <f>POSTION!B12</f>
        <v>2.11</v>
      </c>
      <c r="D37" s="16" t="s">
        <v>13</v>
      </c>
    </row>
    <row r="38" spans="1:14" x14ac:dyDescent="0.2">
      <c r="A38" s="7"/>
      <c r="F38" s="19">
        <f>MIN($B$33,$F$33)*($C$33-$G$33)*10000</f>
        <v>0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0</v>
      </c>
      <c r="G40" s="1"/>
      <c r="H40" s="1" t="s">
        <v>1</v>
      </c>
    </row>
    <row r="41" spans="1:14" x14ac:dyDescent="0.2">
      <c r="B41" s="26"/>
      <c r="F41" s="23">
        <f>$H$36</f>
        <v>0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0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2.06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2.06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B5: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11</v>
      </c>
      <c r="G2" s="27">
        <v>1.84</v>
      </c>
      <c r="H2" s="34"/>
      <c r="J2" s="35">
        <f>IF(F2&lt;1,(C2-C31)*(B2*10000),(C31-G2)*(F2*10000))</f>
        <v>-2.4424906541753444E-11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-3575.0000000000005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-2.4424906541753444E-11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11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0.7857142857142857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11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2.3571428571428572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0">
        <f>POSTION!D22</f>
        <v>-63.75</v>
      </c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POSTION!I14</f>
        <v>1.385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POSTION!B14</f>
        <v>1.8399999999999999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14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POSTION!I15</f>
        <v>1.9349999999999998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POSTION!B15</f>
        <v>1.9349999999999998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95.5</v>
      </c>
      <c r="C2" s="27">
        <v>2.637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>
        <v>31</v>
      </c>
      <c r="G3" s="3">
        <v>2.645</v>
      </c>
      <c r="H3" s="10">
        <f t="shared" ref="H3:H25" si="1">F3*G3*10000</f>
        <v>819950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-2480.0000000000023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-2480.0000000000023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-64.5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-64.5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31</v>
      </c>
      <c r="G27" s="3">
        <f>IF(F27=0, 0, H27/F27/10000)</f>
        <v>2.645</v>
      </c>
      <c r="H27" s="10">
        <f>SUM(H2:H26)</f>
        <v>819950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-1.7500000000000002E-2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31</v>
      </c>
      <c r="G29" s="6">
        <f>IF(F29&lt;0,C27,G27)</f>
        <v>2.645</v>
      </c>
      <c r="H29" s="21">
        <f>IF(F29&lt;0, (G29-C31)*ABS(F29)*10000, -1*(G29-C31)*ABS(F29)*10000)</f>
        <v>-2480.0000000000023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31</v>
      </c>
      <c r="G30" s="6">
        <f>IF(F30&lt;0, (C27+(J26/(ABS(F30)*10000))), IF(F30 = 0, 0, (G27-(J26/(ABS(F30)*10000)))))</f>
        <v>2.645</v>
      </c>
      <c r="H30" s="21">
        <f>IF(F30&lt;0, (G30-C31)*ABS(F30)*10000, IF(F30 = 0, 0, -1*(G30-C31)*ABS(F30)*10000))</f>
        <v>-2480.0000000000023</v>
      </c>
      <c r="J30" s="28"/>
      <c r="K30" s="29"/>
      <c r="L30" s="29"/>
      <c r="M30" s="5"/>
      <c r="N30" s="5"/>
    </row>
    <row r="31" spans="2:14" x14ac:dyDescent="0.2">
      <c r="C31" s="73">
        <f>POSTION!B4</f>
        <v>2.637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-2480.0000000000023</v>
      </c>
      <c r="G34" s="1"/>
      <c r="H34" s="1" t="s">
        <v>1</v>
      </c>
    </row>
    <row r="35" spans="1:13" x14ac:dyDescent="0.2">
      <c r="A35" s="7"/>
      <c r="B35" s="26"/>
      <c r="F35" s="23">
        <f>$H$30</f>
        <v>-2480.0000000000023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-2480.0000000000023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0</v>
      </c>
      <c r="C2" s="27">
        <v>0</v>
      </c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14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POSTION!B5</f>
        <v>2.85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cp:lastPrinted>2001-07-24T16:55:32Z</cp:lastPrinted>
  <dcterms:created xsi:type="dcterms:W3CDTF">2001-06-05T02:27:59Z</dcterms:created>
  <dcterms:modified xsi:type="dcterms:W3CDTF">2023-09-17T01:42:56Z</dcterms:modified>
</cp:coreProperties>
</file>