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8E9C4C-933F-4629-A1A6-16DE443B6118}" xr6:coauthVersionLast="47" xr6:coauthVersionMax="47" xr10:uidLastSave="{00000000-0000-0000-0000-000000000000}"/>
  <bookViews>
    <workbookView xWindow="-120" yWindow="-120" windowWidth="38640" windowHeight="15720" tabRatio="498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M4" i="1"/>
  <c r="A7" i="1"/>
  <c r="I7" i="1"/>
  <c r="J7" i="1"/>
  <c r="K7" i="1"/>
  <c r="M7" i="1"/>
  <c r="A8" i="1"/>
  <c r="I8" i="1"/>
  <c r="J8" i="1"/>
  <c r="K8" i="1"/>
  <c r="M8" i="1"/>
  <c r="A9" i="1"/>
  <c r="G9" i="1"/>
  <c r="I9" i="1"/>
  <c r="J9" i="1"/>
  <c r="K9" i="1"/>
  <c r="L9" i="1"/>
  <c r="M9" i="1"/>
  <c r="A10" i="1"/>
  <c r="G10" i="1"/>
  <c r="I10" i="1"/>
  <c r="J10" i="1"/>
  <c r="K10" i="1"/>
  <c r="L10" i="1"/>
  <c r="M10" i="1"/>
  <c r="A11" i="1"/>
  <c r="G11" i="1"/>
  <c r="I11" i="1"/>
  <c r="J11" i="1"/>
  <c r="K11" i="1"/>
  <c r="L11" i="1"/>
  <c r="M11" i="1"/>
  <c r="A12" i="1"/>
  <c r="G12" i="1"/>
  <c r="I12" i="1"/>
  <c r="J12" i="1"/>
  <c r="K12" i="1"/>
  <c r="L12" i="1"/>
  <c r="M12" i="1"/>
  <c r="A13" i="1"/>
  <c r="G13" i="1"/>
  <c r="I13" i="1"/>
  <c r="J13" i="1"/>
  <c r="K13" i="1"/>
  <c r="L13" i="1"/>
  <c r="M13" i="1"/>
  <c r="A14" i="1"/>
  <c r="G14" i="1"/>
  <c r="I14" i="1"/>
  <c r="J14" i="1"/>
  <c r="K14" i="1"/>
  <c r="L14" i="1"/>
  <c r="M14" i="1"/>
  <c r="A15" i="1"/>
  <c r="G15" i="1"/>
  <c r="I15" i="1"/>
  <c r="J15" i="1"/>
  <c r="K15" i="1"/>
  <c r="L15" i="1"/>
  <c r="M15" i="1"/>
  <c r="N15" i="1"/>
  <c r="B22" i="1"/>
  <c r="B23" i="1"/>
  <c r="C26" i="1"/>
  <c r="H26" i="1"/>
  <c r="D2" i="2"/>
  <c r="F2" i="2"/>
  <c r="H2" i="2"/>
  <c r="J2" i="2"/>
  <c r="N2" i="2"/>
  <c r="P2" i="2"/>
  <c r="Q2" i="2"/>
  <c r="E3" i="2"/>
  <c r="F3" i="2"/>
  <c r="G3" i="2"/>
  <c r="H3" i="2"/>
  <c r="O3" i="2"/>
  <c r="A5" i="2"/>
  <c r="I5" i="2"/>
  <c r="K5" i="2"/>
  <c r="L5" i="2"/>
  <c r="M5" i="2"/>
  <c r="N5" i="2"/>
  <c r="P5" i="2"/>
  <c r="A6" i="2"/>
  <c r="G6" i="2"/>
  <c r="H6" i="2"/>
  <c r="I6" i="2"/>
  <c r="K6" i="2"/>
  <c r="L6" i="2"/>
  <c r="M6" i="2"/>
  <c r="N6" i="2"/>
  <c r="O6" i="2"/>
  <c r="P6" i="2"/>
  <c r="A7" i="2"/>
  <c r="G7" i="2"/>
  <c r="H7" i="2"/>
  <c r="I7" i="2"/>
  <c r="K7" i="2"/>
  <c r="L7" i="2"/>
  <c r="M7" i="2"/>
  <c r="N7" i="2"/>
  <c r="O7" i="2"/>
  <c r="A8" i="2"/>
  <c r="G8" i="2"/>
  <c r="H8" i="2"/>
  <c r="I8" i="2"/>
  <c r="K8" i="2"/>
  <c r="L8" i="2"/>
  <c r="M8" i="2"/>
  <c r="N8" i="2"/>
  <c r="O8" i="2"/>
  <c r="A9" i="2"/>
  <c r="G9" i="2"/>
  <c r="H9" i="2"/>
  <c r="I9" i="2"/>
  <c r="K9" i="2"/>
  <c r="L9" i="2"/>
  <c r="M9" i="2"/>
  <c r="N9" i="2"/>
  <c r="O9" i="2"/>
  <c r="A10" i="2"/>
  <c r="G10" i="2"/>
  <c r="H10" i="2"/>
  <c r="I10" i="2"/>
  <c r="K10" i="2"/>
  <c r="L10" i="2"/>
  <c r="M10" i="2"/>
  <c r="N10" i="2"/>
  <c r="O10" i="2"/>
  <c r="A11" i="2"/>
  <c r="G11" i="2"/>
  <c r="H11" i="2"/>
  <c r="I11" i="2"/>
  <c r="K11" i="2"/>
  <c r="L11" i="2"/>
  <c r="M11" i="2"/>
  <c r="N11" i="2"/>
  <c r="O11" i="2"/>
  <c r="A12" i="2"/>
  <c r="G12" i="2"/>
  <c r="H12" i="2"/>
  <c r="I12" i="2"/>
  <c r="K12" i="2"/>
  <c r="L12" i="2"/>
  <c r="M12" i="2"/>
  <c r="N12" i="2"/>
  <c r="O12" i="2"/>
  <c r="A13" i="2"/>
  <c r="G13" i="2"/>
  <c r="H13" i="2"/>
  <c r="I13" i="2"/>
  <c r="K13" i="2"/>
  <c r="L13" i="2"/>
  <c r="M13" i="2"/>
  <c r="N13" i="2"/>
  <c r="O13" i="2"/>
  <c r="A14" i="2"/>
  <c r="G14" i="2"/>
  <c r="H14" i="2"/>
  <c r="I14" i="2"/>
  <c r="K14" i="2"/>
  <c r="L14" i="2"/>
  <c r="M14" i="2"/>
  <c r="N14" i="2"/>
  <c r="O14" i="2"/>
  <c r="P14" i="2"/>
  <c r="A15" i="2"/>
  <c r="G15" i="2"/>
  <c r="H15" i="2"/>
  <c r="I15" i="2"/>
  <c r="K15" i="2"/>
  <c r="L15" i="2"/>
  <c r="M15" i="2"/>
  <c r="N15" i="2"/>
  <c r="O15" i="2"/>
  <c r="A16" i="2"/>
  <c r="G16" i="2"/>
  <c r="H16" i="2"/>
  <c r="I16" i="2"/>
  <c r="K16" i="2"/>
  <c r="L16" i="2"/>
  <c r="M16" i="2"/>
  <c r="N16" i="2"/>
  <c r="O16" i="2"/>
  <c r="A17" i="2"/>
  <c r="G17" i="2"/>
  <c r="H17" i="2"/>
  <c r="I17" i="2"/>
  <c r="K17" i="2"/>
  <c r="L17" i="2"/>
  <c r="M17" i="2"/>
  <c r="N17" i="2"/>
  <c r="O17" i="2"/>
  <c r="A18" i="2"/>
  <c r="G18" i="2"/>
  <c r="H18" i="2"/>
  <c r="I18" i="2"/>
  <c r="K18" i="2"/>
  <c r="L18" i="2"/>
  <c r="M18" i="2"/>
  <c r="N18" i="2"/>
  <c r="O18" i="2"/>
  <c r="A19" i="2"/>
  <c r="G19" i="2"/>
  <c r="H19" i="2"/>
  <c r="I19" i="2"/>
  <c r="K19" i="2"/>
  <c r="L19" i="2"/>
  <c r="M19" i="2"/>
  <c r="N19" i="2"/>
  <c r="O19" i="2"/>
  <c r="P19" i="2"/>
  <c r="Q19" i="2"/>
  <c r="A20" i="2"/>
  <c r="G20" i="2"/>
  <c r="H20" i="2"/>
  <c r="I20" i="2"/>
  <c r="K20" i="2"/>
  <c r="L20" i="2"/>
  <c r="M20" i="2"/>
  <c r="N20" i="2"/>
  <c r="O20" i="2"/>
  <c r="A21" i="2"/>
  <c r="G21" i="2"/>
  <c r="H21" i="2"/>
  <c r="I21" i="2"/>
  <c r="K21" i="2"/>
  <c r="L21" i="2"/>
  <c r="M21" i="2"/>
  <c r="N21" i="2"/>
  <c r="O21" i="2"/>
  <c r="A22" i="2"/>
  <c r="G22" i="2"/>
  <c r="H22" i="2"/>
  <c r="I22" i="2"/>
  <c r="K22" i="2"/>
  <c r="L22" i="2"/>
  <c r="M22" i="2"/>
  <c r="N22" i="2"/>
  <c r="O22" i="2"/>
  <c r="A23" i="2"/>
  <c r="G23" i="2"/>
  <c r="H23" i="2"/>
  <c r="I23" i="2"/>
  <c r="K23" i="2"/>
  <c r="L23" i="2"/>
  <c r="M23" i="2"/>
  <c r="N23" i="2"/>
  <c r="O23" i="2"/>
  <c r="A24" i="2"/>
  <c r="G24" i="2"/>
  <c r="H24" i="2"/>
  <c r="I24" i="2"/>
  <c r="K24" i="2"/>
  <c r="L24" i="2"/>
  <c r="M24" i="2"/>
  <c r="N24" i="2"/>
  <c r="O24" i="2"/>
  <c r="A25" i="2"/>
  <c r="G25" i="2"/>
  <c r="H25" i="2"/>
  <c r="I25" i="2"/>
  <c r="K25" i="2"/>
  <c r="L25" i="2"/>
  <c r="M25" i="2"/>
  <c r="N25" i="2"/>
  <c r="O25" i="2"/>
  <c r="A26" i="2"/>
  <c r="G26" i="2"/>
  <c r="H26" i="2"/>
  <c r="I26" i="2"/>
  <c r="K26" i="2"/>
  <c r="L26" i="2"/>
  <c r="M26" i="2"/>
  <c r="N26" i="2"/>
  <c r="O26" i="2"/>
  <c r="F27" i="2"/>
  <c r="I28" i="2"/>
  <c r="L28" i="2"/>
  <c r="D29" i="2"/>
  <c r="E29" i="2"/>
  <c r="F29" i="2"/>
  <c r="I29" i="2"/>
  <c r="E30" i="2"/>
  <c r="I30" i="2"/>
  <c r="R32" i="2"/>
  <c r="G34" i="2"/>
  <c r="G35" i="2"/>
  <c r="G36" i="2"/>
  <c r="P36" i="2"/>
  <c r="R36" i="2"/>
  <c r="G37" i="2"/>
  <c r="P37" i="2"/>
  <c r="R37" i="2"/>
  <c r="G38" i="2"/>
  <c r="P38" i="2"/>
  <c r="R38" i="2"/>
  <c r="G39" i="2"/>
  <c r="I39" i="2"/>
  <c r="P39" i="2"/>
  <c r="R39" i="2"/>
  <c r="G40" i="2"/>
  <c r="P40" i="2"/>
  <c r="R40" i="2"/>
  <c r="G41" i="2"/>
  <c r="P41" i="2"/>
  <c r="R41" i="2"/>
  <c r="G42" i="2"/>
  <c r="P42" i="2"/>
  <c r="R42" i="2"/>
  <c r="G43" i="2"/>
  <c r="P43" i="2"/>
  <c r="R43" i="2"/>
  <c r="G44" i="2"/>
  <c r="P44" i="2"/>
  <c r="R44" i="2"/>
  <c r="G45" i="2"/>
  <c r="P45" i="2"/>
  <c r="R45" i="2"/>
  <c r="G46" i="2"/>
  <c r="P46" i="2"/>
  <c r="R46" i="2"/>
  <c r="G47" i="2"/>
  <c r="P47" i="2"/>
  <c r="R47" i="2"/>
  <c r="G48" i="2"/>
  <c r="H48" i="2"/>
  <c r="P48" i="2"/>
  <c r="R48" i="2"/>
  <c r="G49" i="2"/>
  <c r="H49" i="2"/>
  <c r="P49" i="2"/>
  <c r="R49" i="2"/>
  <c r="G50" i="2"/>
  <c r="R50" i="2"/>
  <c r="G51" i="2"/>
  <c r="R51" i="2"/>
</calcChain>
</file>

<file path=xl/sharedStrings.xml><?xml version="1.0" encoding="utf-8"?>
<sst xmlns="http://schemas.openxmlformats.org/spreadsheetml/2006/main" count="45" uniqueCount="33">
  <si>
    <t>Price</t>
  </si>
  <si>
    <t>PV Price</t>
  </si>
  <si>
    <t>PV Basis</t>
  </si>
  <si>
    <t>PV Index</t>
  </si>
  <si>
    <t>PV FXF</t>
  </si>
  <si>
    <t>capex</t>
  </si>
  <si>
    <t>PV Lease</t>
  </si>
  <si>
    <t>Lease</t>
  </si>
  <si>
    <t>HH Fee</t>
  </si>
  <si>
    <t>Trransport</t>
  </si>
  <si>
    <t>Lease per month</t>
  </si>
  <si>
    <t>Balance(Mmbtu)</t>
  </si>
  <si>
    <t>Price A is the pruposed sale of the pad gas at Apr Nymex -.03</t>
  </si>
  <si>
    <t>Price B is the PV value of forward prices if the pad gas were to be with drawn and sold in the forward market.</t>
  </si>
  <si>
    <t>Capex:</t>
  </si>
  <si>
    <t>monthly w/draw(MMmbtu)</t>
  </si>
  <si>
    <t>A</t>
  </si>
  <si>
    <t>B</t>
  </si>
  <si>
    <t>Lease:</t>
  </si>
  <si>
    <t>Expenses for the construction of a line to inject brine to replace pad gas.Estimated to be approximately $800,000</t>
  </si>
  <si>
    <t>Lease expense is estimated at $2,000 per day</t>
  </si>
  <si>
    <t>With draw rate is assumed to be 675,244MMbtu per month.</t>
  </si>
  <si>
    <t>Assumptions:</t>
  </si>
  <si>
    <t>Inludes: 7.5 cents for transportation; 3 cent Henry Hub fees, capex of 800,000, and approximately 9 cents for lease expenses.</t>
  </si>
  <si>
    <t>sep</t>
  </si>
  <si>
    <t>dec</t>
  </si>
  <si>
    <t>Live Prices</t>
  </si>
  <si>
    <t>Basis</t>
  </si>
  <si>
    <t>Index</t>
  </si>
  <si>
    <t>Settle Prices</t>
  </si>
  <si>
    <t>M-V</t>
  </si>
  <si>
    <t>X-H</t>
  </si>
  <si>
    <t>CALO2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</si>
</sst>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0.0000"/>
    <numFmt numFmtId="166" formatCode="0.0%"/>
    <numFmt numFmtId="168" formatCode="_(* #,##0_);_(* \(#,##0\);_(* &quot;-&quot;??_);_(@_)"/>
    <numFmt numFmtId="177" formatCode="0.00_);[Red]\(0.00\)"/>
    <numFmt numFmtId="178" formatCode="0.000_);[Red]\(0.000\)"/>
    <numFmt numFmtId="179" formatCode="0.00;[Red]0.00"/>
  </numFmts>
  <fonts count="5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2"/>
    <xf numFmtId="14" fontId="2" fillId="2" borderId="1" xfId="2" applyNumberFormat="1" applyFill="1" applyBorder="1"/>
    <xf numFmtId="164" fontId="2" fillId="0" borderId="0" xfId="2" applyNumberFormat="1"/>
    <xf numFmtId="0" fontId="2" fillId="0" borderId="0" xfId="2" applyFont="1"/>
    <xf numFmtId="0" fontId="3" fillId="0" borderId="2" xfId="2" applyFont="1" applyBorder="1" applyAlignment="1">
      <alignment horizontal="center"/>
    </xf>
    <xf numFmtId="166" fontId="2" fillId="0" borderId="0" xfId="3" applyNumberFormat="1" applyFont="1"/>
    <xf numFmtId="164" fontId="2" fillId="0" borderId="0" xfId="2" applyNumberFormat="1" applyBorder="1"/>
    <xf numFmtId="0" fontId="3" fillId="0" borderId="0" xfId="2" applyFont="1" applyBorder="1" applyAlignment="1">
      <alignment horizontal="centerContinuous"/>
    </xf>
    <xf numFmtId="164" fontId="2" fillId="0" borderId="0" xfId="2" applyNumberFormat="1" applyFont="1" applyBorder="1"/>
    <xf numFmtId="0" fontId="2" fillId="0" borderId="0" xfId="2" applyBorder="1"/>
    <xf numFmtId="17" fontId="2" fillId="0" borderId="0" xfId="2" applyNumberFormat="1" applyBorder="1"/>
    <xf numFmtId="168" fontId="0" fillId="0" borderId="0" xfId="1" applyNumberFormat="1" applyFont="1"/>
    <xf numFmtId="165" fontId="2" fillId="0" borderId="0" xfId="2" applyNumberFormat="1" applyBorder="1"/>
    <xf numFmtId="2" fontId="2" fillId="0" borderId="0" xfId="2" applyNumberFormat="1" applyBorder="1"/>
    <xf numFmtId="14" fontId="2" fillId="0" borderId="0" xfId="2" applyNumberFormat="1" applyBorder="1"/>
    <xf numFmtId="10" fontId="2" fillId="0" borderId="0" xfId="3" applyNumberFormat="1" applyFont="1" applyBorder="1"/>
    <xf numFmtId="166" fontId="2" fillId="0" borderId="0" xfId="3" applyNumberFormat="1" applyFont="1" applyBorder="1"/>
    <xf numFmtId="0" fontId="2" fillId="0" borderId="2" xfId="2" applyBorder="1"/>
    <xf numFmtId="164" fontId="0" fillId="3" borderId="0" xfId="0" applyNumberFormat="1" applyFill="1"/>
    <xf numFmtId="0" fontId="0" fillId="0" borderId="0" xfId="0" applyAlignment="1">
      <alignment horizontal="center"/>
    </xf>
    <xf numFmtId="0" fontId="4" fillId="0" borderId="0" xfId="0" applyFont="1"/>
    <xf numFmtId="17" fontId="2" fillId="0" borderId="3" xfId="2" applyNumberFormat="1" applyBorder="1"/>
    <xf numFmtId="164" fontId="2" fillId="3" borderId="4" xfId="2" applyNumberFormat="1" applyFill="1" applyBorder="1"/>
    <xf numFmtId="164" fontId="2" fillId="0" borderId="4" xfId="2" applyNumberFormat="1" applyFont="1" applyBorder="1"/>
    <xf numFmtId="17" fontId="2" fillId="0" borderId="4" xfId="2" applyNumberFormat="1" applyBorder="1"/>
    <xf numFmtId="164" fontId="2" fillId="0" borderId="4" xfId="2" applyNumberFormat="1" applyBorder="1"/>
    <xf numFmtId="164" fontId="2" fillId="0" borderId="5" xfId="2" applyNumberFormat="1" applyFont="1" applyBorder="1"/>
    <xf numFmtId="17" fontId="2" fillId="0" borderId="6" xfId="2" applyNumberFormat="1" applyBorder="1"/>
    <xf numFmtId="164" fontId="2" fillId="0" borderId="7" xfId="2" applyNumberFormat="1" applyFont="1" applyBorder="1"/>
    <xf numFmtId="17" fontId="2" fillId="0" borderId="8" xfId="2" applyNumberFormat="1" applyBorder="1"/>
    <xf numFmtId="164" fontId="2" fillId="0" borderId="2" xfId="2" applyNumberFormat="1" applyBorder="1"/>
    <xf numFmtId="164" fontId="2" fillId="0" borderId="2" xfId="2" applyNumberFormat="1" applyFont="1" applyBorder="1"/>
    <xf numFmtId="17" fontId="2" fillId="0" borderId="2" xfId="2" applyNumberFormat="1" applyBorder="1"/>
    <xf numFmtId="164" fontId="2" fillId="0" borderId="9" xfId="2" applyNumberFormat="1" applyFont="1" applyBorder="1"/>
    <xf numFmtId="165" fontId="2" fillId="0" borderId="0" xfId="2" applyNumberFormat="1" applyFont="1"/>
    <xf numFmtId="177" fontId="2" fillId="0" borderId="0" xfId="2" applyNumberFormat="1"/>
    <xf numFmtId="165" fontId="2" fillId="0" borderId="0" xfId="2" applyNumberFormat="1"/>
    <xf numFmtId="2" fontId="2" fillId="0" borderId="0" xfId="2" applyNumberFormat="1"/>
    <xf numFmtId="0" fontId="3" fillId="0" borderId="3" xfId="2" applyFont="1" applyBorder="1" applyAlignment="1">
      <alignment horizontal="centerContinuous"/>
    </xf>
    <xf numFmtId="0" fontId="3" fillId="0" borderId="4" xfId="2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14" fontId="2" fillId="0" borderId="0" xfId="2" applyNumberFormat="1"/>
    <xf numFmtId="0" fontId="3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10" fontId="2" fillId="0" borderId="0" xfId="3" applyNumberFormat="1" applyFont="1"/>
    <xf numFmtId="17" fontId="2" fillId="0" borderId="0" xfId="2" applyNumberFormat="1"/>
    <xf numFmtId="164" fontId="2" fillId="0" borderId="3" xfId="2" applyNumberFormat="1" applyFont="1" applyBorder="1"/>
    <xf numFmtId="164" fontId="2" fillId="0" borderId="6" xfId="2" applyNumberFormat="1" applyBorder="1"/>
    <xf numFmtId="178" fontId="2" fillId="0" borderId="0" xfId="2" applyNumberFormat="1"/>
    <xf numFmtId="164" fontId="2" fillId="0" borderId="6" xfId="2" applyNumberFormat="1" applyFont="1" applyBorder="1"/>
    <xf numFmtId="168" fontId="2" fillId="0" borderId="0" xfId="1" applyNumberFormat="1" applyFont="1" applyBorder="1"/>
    <xf numFmtId="8" fontId="2" fillId="0" borderId="0" xfId="1" applyNumberFormat="1" applyFont="1" applyBorder="1"/>
    <xf numFmtId="179" fontId="2" fillId="0" borderId="0" xfId="2" applyNumberFormat="1"/>
    <xf numFmtId="0" fontId="2" fillId="0" borderId="0" xfId="2" applyAlignment="1">
      <alignment horizontal="center"/>
    </xf>
    <xf numFmtId="164" fontId="2" fillId="0" borderId="3" xfId="2" applyNumberFormat="1" applyBorder="1"/>
    <xf numFmtId="164" fontId="2" fillId="0" borderId="5" xfId="2" applyNumberFormat="1" applyBorder="1"/>
    <xf numFmtId="164" fontId="2" fillId="0" borderId="7" xfId="2" applyNumberFormat="1" applyBorder="1"/>
    <xf numFmtId="14" fontId="0" fillId="0" borderId="0" xfId="0" applyNumberFormat="1"/>
    <xf numFmtId="10" fontId="0" fillId="0" borderId="0" xfId="3" applyNumberFormat="1" applyFont="1"/>
    <xf numFmtId="164" fontId="2" fillId="0" borderId="0" xfId="2" applyNumberFormat="1" applyAlignment="1">
      <alignment horizontal="center"/>
    </xf>
    <xf numFmtId="164" fontId="2" fillId="0" borderId="8" xfId="2" applyNumberFormat="1" applyBorder="1"/>
    <xf numFmtId="164" fontId="2" fillId="0" borderId="9" xfId="2" applyNumberFormat="1" applyBorder="1"/>
  </cellXfs>
  <cellStyles count="4">
    <cellStyle name="Comma" xfId="1" builtinId="3"/>
    <cellStyle name="Normal" xfId="0" builtinId="0"/>
    <cellStyle name="Normal_pmim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4"/>
  <sheetViews>
    <sheetView tabSelected="1" topLeftCell="B1" workbookViewId="0">
      <selection activeCell="G18" sqref="G18"/>
    </sheetView>
  </sheetViews>
  <sheetFormatPr defaultRowHeight="12.75" x14ac:dyDescent="0.2"/>
  <cols>
    <col min="1" max="1" width="19.140625" customWidth="1"/>
    <col min="2" max="2" width="12.85546875" bestFit="1" customWidth="1"/>
    <col min="3" max="4" width="10.28515625" bestFit="1" customWidth="1"/>
    <col min="5" max="5" width="9.7109375" bestFit="1" customWidth="1"/>
    <col min="6" max="7" width="6.7109375" customWidth="1"/>
    <col min="8" max="8" width="10.28515625" customWidth="1"/>
  </cols>
  <sheetData>
    <row r="2" spans="1:14" x14ac:dyDescent="0.2">
      <c r="A2" s="1"/>
      <c r="B2" s="1"/>
      <c r="C2" s="1"/>
      <c r="D2" s="2">
        <f ca="1">TODAY()</f>
        <v>37279</v>
      </c>
      <c r="E2" s="3"/>
      <c r="F2" s="4"/>
      <c r="G2" s="4"/>
    </row>
    <row r="3" spans="1:14" x14ac:dyDescent="0.2">
      <c r="A3" s="1"/>
      <c r="B3" s="1"/>
      <c r="C3" s="1"/>
      <c r="D3" s="3"/>
      <c r="E3" s="1"/>
      <c r="F3" s="1"/>
      <c r="G3" s="1"/>
    </row>
    <row r="4" spans="1:14" x14ac:dyDescent="0.2">
      <c r="A4" s="1"/>
      <c r="B4" s="1"/>
      <c r="C4" s="4"/>
      <c r="D4" s="3"/>
      <c r="E4" s="3"/>
      <c r="F4" s="1"/>
      <c r="G4" s="1"/>
      <c r="H4" s="4"/>
      <c r="I4" s="1"/>
      <c r="J4" s="1"/>
      <c r="K4" s="1"/>
      <c r="L4" s="1"/>
      <c r="M4" s="3">
        <f ca="1">M7-E5</f>
        <v>2.0000920533937707</v>
      </c>
    </row>
    <row r="5" spans="1:14" x14ac:dyDescent="0.2">
      <c r="A5" s="1"/>
      <c r="B5" s="10"/>
      <c r="C5" s="10"/>
      <c r="D5" s="7"/>
      <c r="E5" s="13"/>
      <c r="F5" s="14"/>
      <c r="G5" s="14"/>
      <c r="H5" s="10"/>
      <c r="I5" s="8"/>
      <c r="J5" s="8"/>
      <c r="K5" s="8"/>
      <c r="L5" s="8"/>
      <c r="M5" s="8"/>
    </row>
    <row r="6" spans="1:14" x14ac:dyDescent="0.2">
      <c r="A6" s="1"/>
      <c r="B6" s="15">
        <v>36906</v>
      </c>
      <c r="C6" s="18"/>
      <c r="D6" s="5" t="s">
        <v>0</v>
      </c>
      <c r="E6" s="5" t="s">
        <v>9</v>
      </c>
      <c r="F6" s="5" t="s">
        <v>8</v>
      </c>
      <c r="G6" s="5" t="s">
        <v>7</v>
      </c>
      <c r="H6" s="18"/>
      <c r="I6" s="5" t="s">
        <v>1</v>
      </c>
      <c r="J6" s="5" t="s">
        <v>2</v>
      </c>
      <c r="K6" s="5" t="s">
        <v>3</v>
      </c>
      <c r="L6" s="5" t="s">
        <v>6</v>
      </c>
      <c r="M6" s="5" t="s">
        <v>4</v>
      </c>
    </row>
    <row r="7" spans="1:14" x14ac:dyDescent="0.2">
      <c r="A7" s="6">
        <f t="shared" ref="A7:A15" ca="1" si="0">(1+B7/2)^(-2*(H7-$D$2)/365.25)</f>
        <v>0.99954625357010052</v>
      </c>
      <c r="B7" s="16">
        <v>1.8503794927157799E-2</v>
      </c>
      <c r="C7" s="11">
        <v>37288</v>
      </c>
      <c r="D7" s="9">
        <v>2.1059999999999999</v>
      </c>
      <c r="E7" s="9">
        <v>-7.4999999999999997E-2</v>
      </c>
      <c r="F7" s="9">
        <v>-0.03</v>
      </c>
      <c r="G7" s="9"/>
      <c r="H7" s="11">
        <v>37288</v>
      </c>
      <c r="I7" s="9">
        <f t="shared" ref="I7:I15" ca="1" si="1">D7*A7</f>
        <v>2.1050444100186314</v>
      </c>
      <c r="J7" s="9">
        <f ca="1">A7*E7</f>
        <v>-7.4965969017757539E-2</v>
      </c>
      <c r="K7" s="9">
        <f t="shared" ref="K7:K15" ca="1" si="2">F7*A7</f>
        <v>-2.9986387607103013E-2</v>
      </c>
      <c r="L7" s="9"/>
      <c r="M7" s="9">
        <f ca="1">SUM(I7:L7)</f>
        <v>2.0000920533937707</v>
      </c>
    </row>
    <row r="8" spans="1:14" x14ac:dyDescent="0.2">
      <c r="A8" s="6">
        <f t="shared" ca="1" si="0"/>
        <v>0.99813393581657406</v>
      </c>
      <c r="B8" s="16">
        <v>1.8523542820096502E-2</v>
      </c>
      <c r="C8" s="11">
        <v>37316</v>
      </c>
      <c r="D8" s="7">
        <v>2.1179999999999999</v>
      </c>
      <c r="E8" s="9">
        <v>-7.4999999999999997E-2</v>
      </c>
      <c r="F8" s="9">
        <v>-0.03</v>
      </c>
      <c r="G8" s="9"/>
      <c r="H8" s="11">
        <v>37316</v>
      </c>
      <c r="I8" s="7">
        <f t="shared" ca="1" si="1"/>
        <v>2.1140476760595037</v>
      </c>
      <c r="J8" s="7">
        <f ca="1">A8*E8</f>
        <v>-7.4860045186243049E-2</v>
      </c>
      <c r="K8" s="7">
        <f t="shared" ca="1" si="2"/>
        <v>-2.994401807449722E-2</v>
      </c>
      <c r="L8" s="7"/>
      <c r="M8" s="9">
        <f t="shared" ref="M8:M15" ca="1" si="3">SUM(I8:L8)</f>
        <v>2.0092436127987634</v>
      </c>
    </row>
    <row r="9" spans="1:14" x14ac:dyDescent="0.2">
      <c r="A9" s="6">
        <f t="shared" ca="1" si="0"/>
        <v>0.99656463116484484</v>
      </c>
      <c r="B9" s="16">
        <v>1.8569926356404799E-2</v>
      </c>
      <c r="C9" s="22">
        <v>37347</v>
      </c>
      <c r="D9" s="23">
        <v>2.1779999999999999</v>
      </c>
      <c r="E9" s="24">
        <v>-7.4999999999999997E-2</v>
      </c>
      <c r="F9" s="24">
        <v>-0.03</v>
      </c>
      <c r="G9" s="24">
        <f>-61000/675244</f>
        <v>-9.0337714959333223E-2</v>
      </c>
      <c r="H9" s="25">
        <v>37347</v>
      </c>
      <c r="I9" s="26">
        <f t="shared" ca="1" si="1"/>
        <v>2.1705177666770319</v>
      </c>
      <c r="J9" s="26">
        <f t="shared" ref="J9:J15" ca="1" si="4">A9*E9</f>
        <v>-7.474234733736336E-2</v>
      </c>
      <c r="K9" s="26">
        <f t="shared" ca="1" si="2"/>
        <v>-2.9896938934945345E-2</v>
      </c>
      <c r="L9" s="26">
        <f ca="1">G9*A9</f>
        <v>-9.0027371588722802E-2</v>
      </c>
      <c r="M9" s="27">
        <f t="shared" ca="1" si="3"/>
        <v>1.9758511088160005</v>
      </c>
    </row>
    <row r="10" spans="1:14" x14ac:dyDescent="0.2">
      <c r="A10" s="6">
        <f t="shared" ca="1" si="0"/>
        <v>0.99507182263867855</v>
      </c>
      <c r="B10" s="16">
        <v>1.8497946294581801E-2</v>
      </c>
      <c r="C10" s="28">
        <v>37377</v>
      </c>
      <c r="D10" s="7">
        <v>2.27</v>
      </c>
      <c r="E10" s="9">
        <v>-7.4999999999999997E-2</v>
      </c>
      <c r="F10" s="9">
        <v>-0.03</v>
      </c>
      <c r="G10" s="9">
        <f t="shared" ref="G10:G15" si="5">-61000/675244</f>
        <v>-9.0337714959333223E-2</v>
      </c>
      <c r="H10" s="11">
        <v>37377</v>
      </c>
      <c r="I10" s="7">
        <f t="shared" ca="1" si="1"/>
        <v>2.2588130373898001</v>
      </c>
      <c r="J10" s="7">
        <f t="shared" ca="1" si="4"/>
        <v>-7.4630386697900883E-2</v>
      </c>
      <c r="K10" s="7">
        <f t="shared" ca="1" si="2"/>
        <v>-2.9852154679160355E-2</v>
      </c>
      <c r="L10" s="7">
        <f t="shared" ref="L10:L15" ca="1" si="6">G10*A10</f>
        <v>-8.9892514677597124E-2</v>
      </c>
      <c r="M10" s="29">
        <f t="shared" ca="1" si="3"/>
        <v>2.0644379813351419</v>
      </c>
    </row>
    <row r="11" spans="1:14" x14ac:dyDescent="0.2">
      <c r="A11" s="6">
        <f t="shared" ca="1" si="0"/>
        <v>0.9935737363232463</v>
      </c>
      <c r="B11" s="16">
        <v>1.83375648636472E-2</v>
      </c>
      <c r="C11" s="28">
        <v>37408</v>
      </c>
      <c r="D11" s="7">
        <v>2.3380000000000001</v>
      </c>
      <c r="E11" s="9">
        <v>-7.4999999999999997E-2</v>
      </c>
      <c r="F11" s="9">
        <v>-0.03</v>
      </c>
      <c r="G11" s="9">
        <f t="shared" si="5"/>
        <v>-9.0337714959333223E-2</v>
      </c>
      <c r="H11" s="11">
        <v>37408</v>
      </c>
      <c r="I11" s="7">
        <f t="shared" ca="1" si="1"/>
        <v>2.3229753955237498</v>
      </c>
      <c r="J11" s="7">
        <f t="shared" ca="1" si="4"/>
        <v>-7.451803022424347E-2</v>
      </c>
      <c r="K11" s="7">
        <f t="shared" ca="1" si="2"/>
        <v>-2.9807212089697388E-2</v>
      </c>
      <c r="L11" s="7">
        <f t="shared" ca="1" si="6"/>
        <v>-8.9757180983049134E-2</v>
      </c>
      <c r="M11" s="29">
        <f t="shared" ca="1" si="3"/>
        <v>2.12889297222676</v>
      </c>
    </row>
    <row r="12" spans="1:14" x14ac:dyDescent="0.2">
      <c r="A12" s="6">
        <f t="shared" ca="1" si="0"/>
        <v>0.99207731069581873</v>
      </c>
      <c r="B12" s="16">
        <v>1.83559647729741E-2</v>
      </c>
      <c r="C12" s="28">
        <v>37438</v>
      </c>
      <c r="D12" s="7">
        <v>2.4129999999999998</v>
      </c>
      <c r="E12" s="9">
        <v>-7.4999999999999997E-2</v>
      </c>
      <c r="F12" s="9">
        <v>-0.03</v>
      </c>
      <c r="G12" s="9">
        <f t="shared" si="5"/>
        <v>-9.0337714959333223E-2</v>
      </c>
      <c r="H12" s="11">
        <v>37438</v>
      </c>
      <c r="I12" s="7">
        <f t="shared" ca="1" si="1"/>
        <v>2.3938825507090105</v>
      </c>
      <c r="J12" s="7">
        <f t="shared" ca="1" si="4"/>
        <v>-7.4405798302186396E-2</v>
      </c>
      <c r="K12" s="7">
        <f t="shared" ca="1" si="2"/>
        <v>-2.9762319320874562E-2</v>
      </c>
      <c r="L12" s="7">
        <f t="shared" ca="1" si="6"/>
        <v>-8.9621997311260734E-2</v>
      </c>
      <c r="M12" s="29">
        <f t="shared" ca="1" si="3"/>
        <v>2.2000924357746889</v>
      </c>
    </row>
    <row r="13" spans="1:14" x14ac:dyDescent="0.2">
      <c r="A13" s="6">
        <f t="shared" ca="1" si="0"/>
        <v>0.99038835819832682</v>
      </c>
      <c r="B13" s="16">
        <v>1.8652933422647101E-2</v>
      </c>
      <c r="C13" s="28">
        <v>37469</v>
      </c>
      <c r="D13" s="7">
        <v>2.4609999999999999</v>
      </c>
      <c r="E13" s="9">
        <v>-7.4999999999999997E-2</v>
      </c>
      <c r="F13" s="9">
        <v>-0.03</v>
      </c>
      <c r="G13" s="9">
        <f t="shared" si="5"/>
        <v>-9.0337714959333223E-2</v>
      </c>
      <c r="H13" s="11">
        <v>37469</v>
      </c>
      <c r="I13" s="7">
        <f t="shared" ca="1" si="1"/>
        <v>2.4373457495260822</v>
      </c>
      <c r="J13" s="7">
        <f t="shared" ca="1" si="4"/>
        <v>-7.4279126864874506E-2</v>
      </c>
      <c r="K13" s="7">
        <f t="shared" ca="1" si="2"/>
        <v>-2.9711650745949805E-2</v>
      </c>
      <c r="L13" s="7">
        <f t="shared" ca="1" si="6"/>
        <v>-8.9469421201962454E-2</v>
      </c>
      <c r="M13" s="29">
        <f t="shared" ca="1" si="3"/>
        <v>2.2438855507132955</v>
      </c>
    </row>
    <row r="14" spans="1:14" x14ac:dyDescent="0.2">
      <c r="A14" s="6">
        <f t="shared" ca="1" si="0"/>
        <v>0.98865292510195402</v>
      </c>
      <c r="B14" s="16">
        <v>1.8949902102222801E-2</v>
      </c>
      <c r="C14" s="28">
        <v>37500</v>
      </c>
      <c r="D14" s="7">
        <v>2.4729999999999999</v>
      </c>
      <c r="E14" s="9">
        <v>-7.4999999999999997E-2</v>
      </c>
      <c r="F14" s="9">
        <v>-0.03</v>
      </c>
      <c r="G14" s="9">
        <f t="shared" si="5"/>
        <v>-9.0337714959333223E-2</v>
      </c>
      <c r="H14" s="11">
        <v>37500</v>
      </c>
      <c r="I14" s="7">
        <f t="shared" ca="1" si="1"/>
        <v>2.4449386837771323</v>
      </c>
      <c r="J14" s="7">
        <f t="shared" ca="1" si="4"/>
        <v>-7.4148969382646548E-2</v>
      </c>
      <c r="K14" s="7">
        <f t="shared" ca="1" si="2"/>
        <v>-2.965958775305862E-2</v>
      </c>
      <c r="L14" s="7">
        <f t="shared" ca="1" si="6"/>
        <v>-8.9312646141571334E-2</v>
      </c>
      <c r="M14" s="29">
        <f t="shared" ca="1" si="3"/>
        <v>2.2518174804998554</v>
      </c>
    </row>
    <row r="15" spans="1:14" x14ac:dyDescent="0.2">
      <c r="A15" s="6">
        <f t="shared" ca="1" si="0"/>
        <v>0.98685607186013691</v>
      </c>
      <c r="B15" s="16">
        <v>1.9346558058626499E-2</v>
      </c>
      <c r="C15" s="30">
        <v>37530</v>
      </c>
      <c r="D15" s="31">
        <v>2.5030000000000001</v>
      </c>
      <c r="E15" s="32">
        <v>-7.4999999999999997E-2</v>
      </c>
      <c r="F15" s="32">
        <v>-0.03</v>
      </c>
      <c r="G15" s="32">
        <f t="shared" si="5"/>
        <v>-9.0337714959333223E-2</v>
      </c>
      <c r="H15" s="33">
        <v>37530</v>
      </c>
      <c r="I15" s="31">
        <f t="shared" ca="1" si="1"/>
        <v>2.4701007478659229</v>
      </c>
      <c r="J15" s="31">
        <f t="shared" ca="1" si="4"/>
        <v>-7.4014205389510271E-2</v>
      </c>
      <c r="K15" s="31">
        <f t="shared" ca="1" si="2"/>
        <v>-2.9605682155804107E-2</v>
      </c>
      <c r="L15" s="31">
        <f t="shared" ca="1" si="6"/>
        <v>-8.9150322525588313E-2</v>
      </c>
      <c r="M15" s="34">
        <f t="shared" ca="1" si="3"/>
        <v>2.2773305377950201</v>
      </c>
      <c r="N15" s="19">
        <f ca="1">AVERAGE(M9:M15)</f>
        <v>2.1631868667372518</v>
      </c>
    </row>
    <row r="16" spans="1:14" x14ac:dyDescent="0.2">
      <c r="A16" s="6"/>
      <c r="B16" s="16"/>
      <c r="C16" s="11"/>
      <c r="D16" s="7"/>
      <c r="E16" s="9"/>
      <c r="F16" s="9"/>
      <c r="G16" s="9"/>
      <c r="H16" s="11"/>
      <c r="I16" s="7"/>
      <c r="J16" s="7"/>
      <c r="K16" s="7"/>
      <c r="L16" s="7"/>
      <c r="M16" s="9"/>
    </row>
    <row r="17" spans="1:13" x14ac:dyDescent="0.2">
      <c r="A17" s="6"/>
      <c r="B17" s="16"/>
      <c r="C17" s="11"/>
      <c r="D17" s="7"/>
      <c r="E17" s="9"/>
      <c r="F17" s="9"/>
      <c r="G17" s="9"/>
      <c r="H17" s="11"/>
      <c r="I17" s="7"/>
      <c r="J17" s="7"/>
      <c r="K17" s="7"/>
      <c r="L17" s="7"/>
      <c r="M17" s="9"/>
    </row>
    <row r="18" spans="1:13" x14ac:dyDescent="0.2">
      <c r="A18" s="6"/>
      <c r="B18" s="16"/>
      <c r="C18" s="11"/>
      <c r="D18" s="7"/>
      <c r="E18" s="9"/>
      <c r="F18" s="9"/>
      <c r="G18" s="9"/>
      <c r="H18" s="11"/>
      <c r="I18" s="7"/>
      <c r="J18" s="7"/>
      <c r="K18" s="7"/>
      <c r="L18" s="7"/>
      <c r="M18" s="9"/>
    </row>
    <row r="19" spans="1:13" x14ac:dyDescent="0.2">
      <c r="A19" s="6"/>
      <c r="B19" s="17"/>
      <c r="C19" s="11"/>
      <c r="D19" s="7"/>
      <c r="E19" s="9"/>
      <c r="F19" s="9"/>
      <c r="G19" s="9"/>
      <c r="H19" s="11"/>
      <c r="I19" s="7"/>
      <c r="J19" s="7"/>
      <c r="K19" s="7"/>
      <c r="L19" s="7"/>
      <c r="M19" s="9"/>
    </row>
    <row r="20" spans="1:13" x14ac:dyDescent="0.2">
      <c r="A20" s="21" t="s">
        <v>11</v>
      </c>
      <c r="B20" s="12">
        <v>4051465</v>
      </c>
    </row>
    <row r="21" spans="1:13" x14ac:dyDescent="0.2">
      <c r="A21" s="21" t="s">
        <v>5</v>
      </c>
      <c r="B21" s="12">
        <v>800000</v>
      </c>
    </row>
    <row r="22" spans="1:13" x14ac:dyDescent="0.2">
      <c r="A22" s="21" t="s">
        <v>10</v>
      </c>
      <c r="B22" s="12">
        <f>2000*30.5</f>
        <v>61000</v>
      </c>
    </row>
    <row r="23" spans="1:13" x14ac:dyDescent="0.2">
      <c r="A23" s="21" t="s">
        <v>15</v>
      </c>
      <c r="B23" s="12">
        <f>B20/6</f>
        <v>675244.16666666663</v>
      </c>
    </row>
    <row r="24" spans="1:13" x14ac:dyDescent="0.2">
      <c r="A24" s="21"/>
      <c r="B24" s="12"/>
    </row>
    <row r="25" spans="1:13" x14ac:dyDescent="0.2">
      <c r="A25" s="21"/>
      <c r="B25" s="12"/>
      <c r="C25" s="20" t="s">
        <v>16</v>
      </c>
      <c r="H25" s="20" t="s">
        <v>17</v>
      </c>
    </row>
    <row r="26" spans="1:13" x14ac:dyDescent="0.2">
      <c r="B26" s="12"/>
      <c r="C26" s="12">
        <f ca="1">((I9+K9)*B20)</f>
        <v>8672650.3618680928</v>
      </c>
      <c r="H26" s="12">
        <f ca="1">(B20*N15)-800000</f>
        <v>7964075.8790456392</v>
      </c>
    </row>
    <row r="27" spans="1:13" x14ac:dyDescent="0.2">
      <c r="B27" s="12"/>
    </row>
    <row r="28" spans="1:13" x14ac:dyDescent="0.2">
      <c r="A28" s="21" t="s">
        <v>22</v>
      </c>
      <c r="B28" t="s">
        <v>12</v>
      </c>
    </row>
    <row r="29" spans="1:13" x14ac:dyDescent="0.2">
      <c r="B29" t="s">
        <v>13</v>
      </c>
    </row>
    <row r="30" spans="1:13" x14ac:dyDescent="0.2">
      <c r="B30" t="s">
        <v>23</v>
      </c>
    </row>
    <row r="32" spans="1:13" x14ac:dyDescent="0.2">
      <c r="A32" t="s">
        <v>14</v>
      </c>
      <c r="B32" t="s">
        <v>19</v>
      </c>
    </row>
    <row r="33" spans="1:2" x14ac:dyDescent="0.2">
      <c r="A33" t="s">
        <v>18</v>
      </c>
      <c r="B33" t="s">
        <v>20</v>
      </c>
    </row>
    <row r="34" spans="1:2" x14ac:dyDescent="0.2">
      <c r="B34" t="s">
        <v>21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topLeftCell="A3" workbookViewId="0">
      <selection activeCell="D5" sqref="D5:D13"/>
    </sheetView>
  </sheetViews>
  <sheetFormatPr defaultColWidth="8" defaultRowHeight="12.75" x14ac:dyDescent="0.2"/>
  <cols>
    <col min="1" max="1" width="8" style="1" customWidth="1"/>
    <col min="2" max="2" width="9.85546875" style="1" customWidth="1"/>
    <col min="3" max="3" width="7.42578125" style="1" customWidth="1"/>
    <col min="4" max="4" width="13.28515625" style="1" bestFit="1" customWidth="1"/>
    <col min="5" max="5" width="11.140625" style="1" bestFit="1" customWidth="1"/>
    <col min="6" max="6" width="11.7109375" style="1" bestFit="1" customWidth="1"/>
    <col min="7" max="8" width="8" style="1" customWidth="1"/>
    <col min="9" max="9" width="13.28515625" style="1" bestFit="1" customWidth="1"/>
    <col min="10" max="10" width="9.140625" style="1" customWidth="1"/>
    <col min="11" max="11" width="7.85546875" style="1" customWidth="1"/>
    <col min="12" max="12" width="13.28515625" style="1" bestFit="1" customWidth="1"/>
    <col min="13" max="15" width="8" style="1" customWidth="1"/>
    <col min="16" max="16" width="9.7109375" style="1" customWidth="1"/>
    <col min="17" max="17" width="8.85546875" style="1" bestFit="1" customWidth="1"/>
    <col min="18" max="16384" width="8" style="1"/>
  </cols>
  <sheetData>
    <row r="1" spans="1:17" x14ac:dyDescent="0.2">
      <c r="G1" s="35"/>
      <c r="H1" s="35"/>
      <c r="P1" s="4" t="s">
        <v>24</v>
      </c>
      <c r="Q1" s="4" t="s">
        <v>25</v>
      </c>
    </row>
    <row r="2" spans="1:17" x14ac:dyDescent="0.2">
      <c r="D2" s="2">
        <f ca="1">TODAY()</f>
        <v>37279</v>
      </c>
      <c r="E2" s="3"/>
      <c r="F2" s="1">
        <f>(D6*0.0375)+E3</f>
        <v>0.12784099999999998</v>
      </c>
      <c r="H2" s="3">
        <f ca="1">N6-E3-F2</f>
        <v>1.9379809942402364</v>
      </c>
      <c r="I2" s="3"/>
      <c r="J2" s="4">
        <f>4.79*0.005</f>
        <v>2.3949999999999999E-2</v>
      </c>
      <c r="N2" s="3">
        <f ca="1">N5-E3</f>
        <v>2.0566495207974222</v>
      </c>
      <c r="P2" s="36">
        <f ca="1">P5-E3</f>
        <v>2.0082335207974222</v>
      </c>
      <c r="Q2" s="36">
        <f ca="1">($P$8-($P$8-$P$5)-$E$3)</f>
        <v>2.0082335207974222</v>
      </c>
    </row>
    <row r="3" spans="1:17" x14ac:dyDescent="0.2">
      <c r="D3" s="3">
        <v>2.8479999999999999</v>
      </c>
      <c r="E3" s="37">
        <f>D3*0.017</f>
        <v>4.8416000000000001E-2</v>
      </c>
      <c r="F3" s="38">
        <f>D3+E3</f>
        <v>2.8964159999999999</v>
      </c>
      <c r="G3" s="38">
        <f>E3+F2</f>
        <v>0.176257</v>
      </c>
      <c r="H3" s="38">
        <f ca="1">N6-F2</f>
        <v>1.9863969942402364</v>
      </c>
      <c r="K3" s="39" t="s">
        <v>26</v>
      </c>
      <c r="L3" s="40"/>
      <c r="M3" s="40"/>
      <c r="N3" s="41"/>
      <c r="O3" s="3">
        <f ca="1">N5-O4</f>
        <v>-2.9299344792025779</v>
      </c>
      <c r="P3" s="4"/>
      <c r="Q3" s="36"/>
    </row>
    <row r="4" spans="1:17" x14ac:dyDescent="0.2">
      <c r="B4" s="42">
        <v>36928</v>
      </c>
      <c r="D4" s="43" t="s">
        <v>0</v>
      </c>
      <c r="E4" s="43" t="s">
        <v>27</v>
      </c>
      <c r="F4" s="43" t="s">
        <v>28</v>
      </c>
      <c r="G4" s="43"/>
      <c r="H4" s="43"/>
      <c r="I4" s="44"/>
      <c r="K4" s="45" t="s">
        <v>1</v>
      </c>
      <c r="L4" s="5" t="s">
        <v>2</v>
      </c>
      <c r="M4" s="5" t="s">
        <v>3</v>
      </c>
      <c r="N4" s="46" t="s">
        <v>4</v>
      </c>
      <c r="O4" s="3">
        <v>5.0350000000000001</v>
      </c>
    </row>
    <row r="5" spans="1:17" x14ac:dyDescent="0.2">
      <c r="A5" s="6">
        <f t="shared" ref="A5:A26" ca="1" si="0">(1+B5/2)^(-2*(J5-$D$2)/365.25)</f>
        <v>0.99955627768158706</v>
      </c>
      <c r="B5" s="47">
        <v>1.8093076757042002E-2</v>
      </c>
      <c r="C5" s="48">
        <v>37288</v>
      </c>
      <c r="D5" s="49">
        <v>2.1059999999999999</v>
      </c>
      <c r="E5" s="49">
        <v>0</v>
      </c>
      <c r="F5" s="49">
        <v>0</v>
      </c>
      <c r="G5" s="50"/>
      <c r="H5" s="7">
        <v>2.855</v>
      </c>
      <c r="I5" s="7">
        <f ca="1">D5-K5</f>
        <v>9.3447920257760941E-4</v>
      </c>
      <c r="J5" s="48">
        <v>37288</v>
      </c>
      <c r="K5" s="49">
        <f t="shared" ref="K5:K17" ca="1" si="1">D5*A5</f>
        <v>2.1050655207974223</v>
      </c>
      <c r="L5" s="49">
        <f ca="1">A5*E5</f>
        <v>0</v>
      </c>
      <c r="M5" s="49">
        <f t="shared" ref="M5:M19" ca="1" si="2">F5*A5</f>
        <v>0</v>
      </c>
      <c r="N5" s="49">
        <f ca="1">K5+L5+M5</f>
        <v>2.1050655207974223</v>
      </c>
      <c r="O5" s="50"/>
      <c r="P5" s="51">
        <f ca="1">N5-E3</f>
        <v>2.0566495207974222</v>
      </c>
      <c r="Q5" s="3"/>
    </row>
    <row r="6" spans="1:17" x14ac:dyDescent="0.2">
      <c r="A6" s="47">
        <f t="shared" ca="1" si="0"/>
        <v>0.99822379331455935</v>
      </c>
      <c r="B6" s="47">
        <v>1.7626853917375E-2</v>
      </c>
      <c r="C6" s="48">
        <v>37316</v>
      </c>
      <c r="D6" s="50">
        <v>2.1179999999999999</v>
      </c>
      <c r="E6" s="50">
        <v>0</v>
      </c>
      <c r="F6" s="50">
        <v>0</v>
      </c>
      <c r="G6" s="50">
        <f>D6-D5</f>
        <v>1.2000000000000011E-2</v>
      </c>
      <c r="H6" s="7">
        <f>H5+G6</f>
        <v>2.867</v>
      </c>
      <c r="I6" s="7">
        <f t="shared" ref="I6:I16" ca="1" si="3">D6-K6</f>
        <v>3.762005759763376E-3</v>
      </c>
      <c r="J6" s="48">
        <v>37316</v>
      </c>
      <c r="K6" s="50">
        <f t="shared" ca="1" si="1"/>
        <v>2.1142379942402365</v>
      </c>
      <c r="L6" s="50">
        <f ca="1">A6*E6</f>
        <v>0</v>
      </c>
      <c r="M6" s="50">
        <f t="shared" ca="1" si="2"/>
        <v>0</v>
      </c>
      <c r="N6" s="50">
        <f t="shared" ref="N6:N16" ca="1" si="4">K6+L6+M6</f>
        <v>2.1142379942402365</v>
      </c>
      <c r="O6" s="50">
        <f ca="1">N6-N5</f>
        <v>9.172473442814244E-3</v>
      </c>
      <c r="P6" s="51">
        <f ca="1">D6-O6</f>
        <v>2.1088275265571856</v>
      </c>
      <c r="Q6" s="3"/>
    </row>
    <row r="7" spans="1:17" x14ac:dyDescent="0.2">
      <c r="A7" s="6">
        <f t="shared" ca="1" si="0"/>
        <v>0.99676613724965335</v>
      </c>
      <c r="B7" s="47">
        <v>1.74741649415724E-2</v>
      </c>
      <c r="C7" s="48">
        <v>37347</v>
      </c>
      <c r="D7" s="50">
        <v>2.1779999999999999</v>
      </c>
      <c r="E7" s="50">
        <v>0</v>
      </c>
      <c r="F7" s="50">
        <v>0</v>
      </c>
      <c r="G7" s="50">
        <f t="shared" ref="G7:G16" si="5">D7-D6</f>
        <v>6.0000000000000053E-2</v>
      </c>
      <c r="H7" s="7">
        <f t="shared" ref="H7:H16" si="6">H6+G7</f>
        <v>2.927</v>
      </c>
      <c r="I7" s="7">
        <f t="shared" ca="1" si="3"/>
        <v>7.043353070255165E-3</v>
      </c>
      <c r="J7" s="48">
        <v>37347</v>
      </c>
      <c r="K7" s="50">
        <f t="shared" ca="1" si="1"/>
        <v>2.1709566469297448</v>
      </c>
      <c r="L7" s="50">
        <f t="shared" ref="L7:L16" ca="1" si="7">A7*E7</f>
        <v>0</v>
      </c>
      <c r="M7" s="50">
        <f t="shared" ca="1" si="2"/>
        <v>0</v>
      </c>
      <c r="N7" s="50">
        <f t="shared" ca="1" si="4"/>
        <v>2.1709566469297448</v>
      </c>
      <c r="O7" s="50">
        <f t="shared" ref="O7:O26" ca="1" si="8">N7-N6</f>
        <v>5.6718652689508264E-2</v>
      </c>
      <c r="P7" s="51"/>
      <c r="Q7" s="3"/>
    </row>
    <row r="8" spans="1:17" x14ac:dyDescent="0.2">
      <c r="A8" s="6">
        <f t="shared" ca="1" si="0"/>
        <v>0.99530753098262525</v>
      </c>
      <c r="B8" s="47">
        <v>1.7607237536772E-2</v>
      </c>
      <c r="C8" s="48">
        <v>37377</v>
      </c>
      <c r="D8" s="50">
        <v>2.27</v>
      </c>
      <c r="E8" s="50">
        <v>0</v>
      </c>
      <c r="F8" s="50">
        <v>-0.09</v>
      </c>
      <c r="G8" s="50">
        <f t="shared" si="5"/>
        <v>9.2000000000000082E-2</v>
      </c>
      <c r="H8" s="7">
        <f t="shared" si="6"/>
        <v>3.0190000000000001</v>
      </c>
      <c r="I8" s="7">
        <f t="shared" ca="1" si="3"/>
        <v>1.0651904669440881E-2</v>
      </c>
      <c r="J8" s="48">
        <v>37377</v>
      </c>
      <c r="K8" s="50">
        <f t="shared" ca="1" si="1"/>
        <v>2.2593480953305591</v>
      </c>
      <c r="L8" s="50">
        <f t="shared" ca="1" si="7"/>
        <v>0</v>
      </c>
      <c r="M8" s="50">
        <f t="shared" ca="1" si="2"/>
        <v>-8.9577677788436269E-2</v>
      </c>
      <c r="N8" s="50">
        <f t="shared" ca="1" si="4"/>
        <v>2.1697704175421229</v>
      </c>
      <c r="O8" s="50">
        <f t="shared" ca="1" si="8"/>
        <v>-1.1862293876219177E-3</v>
      </c>
      <c r="P8" s="51"/>
      <c r="Q8" s="3"/>
    </row>
    <row r="9" spans="1:17" x14ac:dyDescent="0.2">
      <c r="A9" s="6">
        <f t="shared" ca="1" si="0"/>
        <v>0.99370730255429696</v>
      </c>
      <c r="B9" s="47">
        <v>1.7953512556608198E-2</v>
      </c>
      <c r="C9" s="48">
        <v>37408</v>
      </c>
      <c r="D9" s="50">
        <v>2.3380000000000001</v>
      </c>
      <c r="E9" s="50">
        <v>0</v>
      </c>
      <c r="F9" s="50">
        <v>-0.09</v>
      </c>
      <c r="G9" s="50">
        <f t="shared" si="5"/>
        <v>6.800000000000006E-2</v>
      </c>
      <c r="H9" s="7">
        <f t="shared" si="6"/>
        <v>3.0870000000000002</v>
      </c>
      <c r="I9" s="7">
        <f t="shared" ca="1" si="3"/>
        <v>1.4712326628053773E-2</v>
      </c>
      <c r="J9" s="48">
        <v>37408</v>
      </c>
      <c r="K9" s="50">
        <f t="shared" ca="1" si="1"/>
        <v>2.3232876733719463</v>
      </c>
      <c r="L9" s="50">
        <f t="shared" ca="1" si="7"/>
        <v>0</v>
      </c>
      <c r="M9" s="50">
        <f t="shared" ca="1" si="2"/>
        <v>-8.9433657229886721E-2</v>
      </c>
      <c r="N9" s="50">
        <f t="shared" ca="1" si="4"/>
        <v>2.2338540161420597</v>
      </c>
      <c r="O9" s="50">
        <f t="shared" ca="1" si="8"/>
        <v>6.4083598599936842E-2</v>
      </c>
      <c r="P9" s="51"/>
      <c r="Q9" s="3"/>
    </row>
    <row r="10" spans="1:17" x14ac:dyDescent="0.2">
      <c r="A10" s="6">
        <f t="shared" ca="1" si="0"/>
        <v>0.99208768840217687</v>
      </c>
      <c r="B10" s="47">
        <v>1.8331714767142699E-2</v>
      </c>
      <c r="C10" s="48">
        <v>37438</v>
      </c>
      <c r="D10" s="50">
        <v>2.4129999999999998</v>
      </c>
      <c r="E10" s="50">
        <v>0</v>
      </c>
      <c r="F10" s="50">
        <v>-0.09</v>
      </c>
      <c r="G10" s="50">
        <f t="shared" si="5"/>
        <v>7.4999999999999734E-2</v>
      </c>
      <c r="H10" s="7">
        <f t="shared" si="6"/>
        <v>3.1619999999999999</v>
      </c>
      <c r="I10" s="7">
        <f t="shared" ca="1" si="3"/>
        <v>1.9092407885547225E-2</v>
      </c>
      <c r="J10" s="48">
        <v>37438</v>
      </c>
      <c r="K10" s="50">
        <f t="shared" ca="1" si="1"/>
        <v>2.3939075921144526</v>
      </c>
      <c r="L10" s="50">
        <f t="shared" ca="1" si="7"/>
        <v>0</v>
      </c>
      <c r="M10" s="50">
        <f t="shared" ca="1" si="2"/>
        <v>-8.9287891956195908E-2</v>
      </c>
      <c r="N10" s="50">
        <f t="shared" ca="1" si="4"/>
        <v>2.3046197001582565</v>
      </c>
      <c r="O10" s="50">
        <f t="shared" ca="1" si="8"/>
        <v>7.0765684016196762E-2</v>
      </c>
      <c r="P10" s="51"/>
      <c r="Q10" s="3"/>
    </row>
    <row r="11" spans="1:17" x14ac:dyDescent="0.2">
      <c r="A11" s="6">
        <f t="shared" ca="1" si="0"/>
        <v>0.99031923351859863</v>
      </c>
      <c r="B11" s="47">
        <v>1.8788366770822799E-2</v>
      </c>
      <c r="C11" s="48">
        <v>37469</v>
      </c>
      <c r="D11" s="50">
        <v>2.4609999999999999</v>
      </c>
      <c r="E11" s="50">
        <v>0</v>
      </c>
      <c r="F11" s="50">
        <v>-0.09</v>
      </c>
      <c r="G11" s="50">
        <f t="shared" si="5"/>
        <v>4.8000000000000043E-2</v>
      </c>
      <c r="H11" s="7">
        <f t="shared" si="6"/>
        <v>3.21</v>
      </c>
      <c r="I11" s="7">
        <f t="shared" ca="1" si="3"/>
        <v>2.3824366310728706E-2</v>
      </c>
      <c r="J11" s="48">
        <v>37469</v>
      </c>
      <c r="K11" s="50">
        <f t="shared" ca="1" si="1"/>
        <v>2.4371756336892711</v>
      </c>
      <c r="L11" s="50">
        <f t="shared" ca="1" si="7"/>
        <v>0</v>
      </c>
      <c r="M11" s="50">
        <f t="shared" ca="1" si="2"/>
        <v>-8.9128731016673873E-2</v>
      </c>
      <c r="N11" s="50">
        <f t="shared" ca="1" si="4"/>
        <v>2.3480469026725972</v>
      </c>
      <c r="O11" s="50">
        <f t="shared" ca="1" si="8"/>
        <v>4.3427202514340735E-2</v>
      </c>
      <c r="P11" s="51"/>
    </row>
    <row r="12" spans="1:17" x14ac:dyDescent="0.2">
      <c r="A12" s="6">
        <f t="shared" ca="1" si="0"/>
        <v>0.98847807171051294</v>
      </c>
      <c r="B12" s="47">
        <v>1.9245018845204701E-2</v>
      </c>
      <c r="C12" s="48">
        <v>37500</v>
      </c>
      <c r="D12" s="50">
        <v>2.4729999999999999</v>
      </c>
      <c r="E12" s="50">
        <v>0</v>
      </c>
      <c r="F12" s="50">
        <v>-0.09</v>
      </c>
      <c r="G12" s="50">
        <f t="shared" si="5"/>
        <v>1.2000000000000011E-2</v>
      </c>
      <c r="H12" s="7">
        <f t="shared" si="6"/>
        <v>3.222</v>
      </c>
      <c r="I12" s="7">
        <f t="shared" ca="1" si="3"/>
        <v>2.8493728659901407E-2</v>
      </c>
      <c r="J12" s="48">
        <v>37500</v>
      </c>
      <c r="K12" s="50">
        <f t="shared" ca="1" si="1"/>
        <v>2.4445062713400985</v>
      </c>
      <c r="L12" s="50">
        <f t="shared" ca="1" si="7"/>
        <v>0</v>
      </c>
      <c r="M12" s="50">
        <f t="shared" ca="1" si="2"/>
        <v>-8.8963026453946159E-2</v>
      </c>
      <c r="N12" s="50">
        <f t="shared" ca="1" si="4"/>
        <v>2.3555432448861522</v>
      </c>
      <c r="O12" s="50">
        <f t="shared" ca="1" si="8"/>
        <v>7.4963422135549962E-3</v>
      </c>
      <c r="P12" s="51"/>
    </row>
    <row r="13" spans="1:17" x14ac:dyDescent="0.2">
      <c r="A13" s="6">
        <f t="shared" ca="1" si="0"/>
        <v>0.98658278265112342</v>
      </c>
      <c r="B13" s="47">
        <v>1.9753535121650199E-2</v>
      </c>
      <c r="C13" s="48">
        <v>37530</v>
      </c>
      <c r="D13" s="50">
        <v>2.5030000000000001</v>
      </c>
      <c r="E13" s="50">
        <v>0</v>
      </c>
      <c r="F13" s="50">
        <v>-0.09</v>
      </c>
      <c r="G13" s="50">
        <f t="shared" si="5"/>
        <v>3.0000000000000249E-2</v>
      </c>
      <c r="H13" s="7">
        <f t="shared" si="6"/>
        <v>3.2520000000000002</v>
      </c>
      <c r="I13" s="7">
        <f t="shared" ca="1" si="3"/>
        <v>3.3583295024238069E-2</v>
      </c>
      <c r="J13" s="48">
        <v>37530</v>
      </c>
      <c r="K13" s="50">
        <f t="shared" ca="1" si="1"/>
        <v>2.469416704975762</v>
      </c>
      <c r="L13" s="50">
        <f t="shared" ca="1" si="7"/>
        <v>0</v>
      </c>
      <c r="M13" s="50">
        <f t="shared" ca="1" si="2"/>
        <v>-8.8792450438601109E-2</v>
      </c>
      <c r="N13" s="50">
        <f t="shared" ca="1" si="4"/>
        <v>2.3806242545371608</v>
      </c>
      <c r="O13" s="50">
        <f t="shared" ca="1" si="8"/>
        <v>2.5081009651008568E-2</v>
      </c>
      <c r="P13" s="51"/>
    </row>
    <row r="14" spans="1:17" x14ac:dyDescent="0.2">
      <c r="A14" s="6">
        <f t="shared" ca="1" si="0"/>
        <v>0.98447196996173614</v>
      </c>
      <c r="B14" s="47">
        <v>2.03729539318389E-2</v>
      </c>
      <c r="C14" s="48">
        <v>37561</v>
      </c>
      <c r="D14" s="50">
        <v>2.7280000000000002</v>
      </c>
      <c r="E14" s="50">
        <v>0</v>
      </c>
      <c r="F14" s="50">
        <v>-0.09</v>
      </c>
      <c r="G14" s="50">
        <f t="shared" si="5"/>
        <v>0.22500000000000009</v>
      </c>
      <c r="H14" s="7">
        <f t="shared" si="6"/>
        <v>3.4770000000000003</v>
      </c>
      <c r="I14" s="7">
        <f t="shared" ca="1" si="3"/>
        <v>4.2360465944383918E-2</v>
      </c>
      <c r="J14" s="48">
        <v>37561</v>
      </c>
      <c r="K14" s="50">
        <f t="shared" ca="1" si="1"/>
        <v>2.6856395340556163</v>
      </c>
      <c r="L14" s="50">
        <f t="shared" ca="1" si="7"/>
        <v>0</v>
      </c>
      <c r="M14" s="50">
        <f t="shared" ca="1" si="2"/>
        <v>-8.8602477296556251E-2</v>
      </c>
      <c r="N14" s="50">
        <f t="shared" ca="1" si="4"/>
        <v>2.5970370567590599</v>
      </c>
      <c r="O14" s="50">
        <f t="shared" ca="1" si="8"/>
        <v>0.21641280222189918</v>
      </c>
      <c r="P14" s="51">
        <f ca="1">SUM(O9:O14)</f>
        <v>0.42726663921693708</v>
      </c>
    </row>
    <row r="15" spans="1:17" x14ac:dyDescent="0.2">
      <c r="A15" s="6">
        <f t="shared" ca="1" si="0"/>
        <v>0.98233632700887075</v>
      </c>
      <c r="B15" s="47">
        <v>2.0972391613847601E-2</v>
      </c>
      <c r="C15" s="48">
        <v>37591</v>
      </c>
      <c r="D15" s="50">
        <v>2.9380000000000002</v>
      </c>
      <c r="E15" s="50">
        <v>0</v>
      </c>
      <c r="F15" s="50">
        <v>-0.09</v>
      </c>
      <c r="G15" s="50">
        <f t="shared" si="5"/>
        <v>0.20999999999999996</v>
      </c>
      <c r="H15" s="7">
        <f t="shared" si="6"/>
        <v>3.6870000000000003</v>
      </c>
      <c r="I15" s="7">
        <f t="shared" ca="1" si="3"/>
        <v>5.1895871247937819E-2</v>
      </c>
      <c r="J15" s="48">
        <v>37591</v>
      </c>
      <c r="K15" s="50">
        <f t="shared" ca="1" si="1"/>
        <v>2.8861041287520623</v>
      </c>
      <c r="L15" s="50">
        <f t="shared" ca="1" si="7"/>
        <v>0</v>
      </c>
      <c r="M15" s="50">
        <f t="shared" ca="1" si="2"/>
        <v>-8.8410269430798369E-2</v>
      </c>
      <c r="N15" s="50">
        <f t="shared" ca="1" si="4"/>
        <v>2.7976938593212641</v>
      </c>
      <c r="O15" s="50">
        <f t="shared" ca="1" si="8"/>
        <v>0.2006568025622042</v>
      </c>
      <c r="P15" s="51"/>
    </row>
    <row r="16" spans="1:17" x14ac:dyDescent="0.2">
      <c r="A16" s="6">
        <f t="shared" ca="1" si="0"/>
        <v>0.97997105419935993</v>
      </c>
      <c r="B16" s="47">
        <v>2.1661146969792301E-2</v>
      </c>
      <c r="C16" s="48">
        <v>37622</v>
      </c>
      <c r="D16" s="52">
        <v>3.028</v>
      </c>
      <c r="E16" s="52">
        <v>0</v>
      </c>
      <c r="F16" s="50">
        <v>-0.09</v>
      </c>
      <c r="G16" s="50">
        <f t="shared" si="5"/>
        <v>8.9999999999999858E-2</v>
      </c>
      <c r="H16" s="7">
        <f t="shared" si="6"/>
        <v>3.7770000000000001</v>
      </c>
      <c r="I16" s="7">
        <f t="shared" ca="1" si="3"/>
        <v>6.0647647884338074E-2</v>
      </c>
      <c r="J16" s="48">
        <v>37622</v>
      </c>
      <c r="K16" s="52">
        <f t="shared" ca="1" si="1"/>
        <v>2.967352352115662</v>
      </c>
      <c r="L16" s="52">
        <f t="shared" ca="1" si="7"/>
        <v>0</v>
      </c>
      <c r="M16" s="52">
        <f t="shared" ca="1" si="2"/>
        <v>-8.8197394877942384E-2</v>
      </c>
      <c r="N16" s="52">
        <f t="shared" ca="1" si="4"/>
        <v>2.8791549572377195</v>
      </c>
      <c r="O16" s="50">
        <f t="shared" ca="1" si="8"/>
        <v>8.1461097916455394E-2</v>
      </c>
      <c r="P16" s="51"/>
    </row>
    <row r="17" spans="1:18" x14ac:dyDescent="0.2">
      <c r="A17" s="6">
        <f t="shared" ca="1" si="0"/>
        <v>0.97741528956452428</v>
      </c>
      <c r="B17" s="47">
        <v>2.24340965746181E-2</v>
      </c>
      <c r="C17" s="48">
        <v>37653</v>
      </c>
      <c r="D17" s="50">
        <v>2.988</v>
      </c>
      <c r="E17" s="50">
        <v>0</v>
      </c>
      <c r="F17" s="50">
        <v>-0.09</v>
      </c>
      <c r="G17" s="50">
        <f t="shared" ref="G17:G26" si="9">D17-D16</f>
        <v>-4.0000000000000036E-2</v>
      </c>
      <c r="H17" s="7">
        <f t="shared" ref="H17:H26" si="10">H16+G17</f>
        <v>3.7370000000000001</v>
      </c>
      <c r="I17" s="7">
        <f t="shared" ref="I17:I26" ca="1" si="11">D17-K17</f>
        <v>6.7483114781201614E-2</v>
      </c>
      <c r="J17" s="48">
        <v>37653</v>
      </c>
      <c r="K17" s="50">
        <f t="shared" ca="1" si="1"/>
        <v>2.9205168852187984</v>
      </c>
      <c r="L17" s="50">
        <f t="shared" ref="L17:L26" ca="1" si="12">A17*E17</f>
        <v>0</v>
      </c>
      <c r="M17" s="50">
        <f t="shared" ca="1" si="2"/>
        <v>-8.7967376060807179E-2</v>
      </c>
      <c r="N17" s="50">
        <f t="shared" ref="N17:N26" ca="1" si="13">K17+L17+M17</f>
        <v>2.8325495091579911</v>
      </c>
      <c r="O17" s="50">
        <f t="shared" ca="1" si="8"/>
        <v>-4.660544807972844E-2</v>
      </c>
      <c r="P17" s="51"/>
    </row>
    <row r="18" spans="1:18" x14ac:dyDescent="0.2">
      <c r="A18" s="6">
        <f t="shared" ca="1" si="0"/>
        <v>0.9750040935106753</v>
      </c>
      <c r="B18" s="47">
        <v>2.3132244778579999E-2</v>
      </c>
      <c r="C18" s="48">
        <v>37681</v>
      </c>
      <c r="D18" s="50">
        <v>2.9180000000000001</v>
      </c>
      <c r="E18" s="50">
        <v>0</v>
      </c>
      <c r="F18" s="50">
        <v>-0.09</v>
      </c>
      <c r="G18" s="50">
        <f t="shared" si="9"/>
        <v>-6.999999999999984E-2</v>
      </c>
      <c r="H18" s="7">
        <f t="shared" si="10"/>
        <v>3.6670000000000003</v>
      </c>
      <c r="I18" s="7">
        <f t="shared" ca="1" si="11"/>
        <v>7.2938055135849389E-2</v>
      </c>
      <c r="J18" s="48">
        <v>37681</v>
      </c>
      <c r="K18" s="50">
        <f t="shared" ref="K18:K26" ca="1" si="14">D18*A18</f>
        <v>2.8450619448641508</v>
      </c>
      <c r="L18" s="50">
        <f t="shared" ca="1" si="12"/>
        <v>0</v>
      </c>
      <c r="M18" s="50">
        <f t="shared" ca="1" si="2"/>
        <v>-8.7750368415960775E-2</v>
      </c>
      <c r="N18" s="50">
        <f t="shared" ca="1" si="13"/>
        <v>2.7573115764481901</v>
      </c>
      <c r="O18" s="50">
        <f t="shared" ca="1" si="8"/>
        <v>-7.5237932709800948E-2</v>
      </c>
      <c r="P18" s="51"/>
    </row>
    <row r="19" spans="1:18" x14ac:dyDescent="0.2">
      <c r="A19" s="6">
        <f t="shared" ca="1" si="0"/>
        <v>0.97216413660121259</v>
      </c>
      <c r="B19" s="47">
        <v>2.3955811450213201E-2</v>
      </c>
      <c r="C19" s="48">
        <v>37712</v>
      </c>
      <c r="D19" s="50">
        <v>2.8079999999999998</v>
      </c>
      <c r="E19" s="50">
        <v>0</v>
      </c>
      <c r="F19" s="50">
        <v>-0.09</v>
      </c>
      <c r="G19" s="50">
        <f t="shared" si="9"/>
        <v>-0.11000000000000032</v>
      </c>
      <c r="H19" s="7">
        <f t="shared" si="10"/>
        <v>3.5569999999999999</v>
      </c>
      <c r="I19" s="7">
        <f t="shared" ca="1" si="11"/>
        <v>7.8163104423794927E-2</v>
      </c>
      <c r="J19" s="48">
        <v>37712</v>
      </c>
      <c r="K19" s="50">
        <f t="shared" ca="1" si="14"/>
        <v>2.7298368955762049</v>
      </c>
      <c r="L19" s="50">
        <f t="shared" ca="1" si="12"/>
        <v>0</v>
      </c>
      <c r="M19" s="50">
        <f t="shared" ca="1" si="2"/>
        <v>-8.7494772294109124E-2</v>
      </c>
      <c r="N19" s="50">
        <f t="shared" ca="1" si="13"/>
        <v>2.6423421232820958</v>
      </c>
      <c r="O19" s="50">
        <f t="shared" ca="1" si="8"/>
        <v>-0.1149694531660943</v>
      </c>
      <c r="P19" s="51">
        <f ca="1">SUM(O16:O19)</f>
        <v>-0.1553517360391683</v>
      </c>
      <c r="Q19" s="51">
        <f ca="1">P19-P14</f>
        <v>-0.58261837525610538</v>
      </c>
    </row>
    <row r="20" spans="1:18" x14ac:dyDescent="0.2">
      <c r="A20" s="6">
        <f t="shared" ca="1" si="0"/>
        <v>0.96924115121307697</v>
      </c>
      <c r="B20" s="47">
        <v>2.4798440780783498E-2</v>
      </c>
      <c r="C20" s="48">
        <v>37742</v>
      </c>
      <c r="D20" s="50">
        <v>2.8109999999999999</v>
      </c>
      <c r="E20" s="50">
        <v>0</v>
      </c>
      <c r="F20" s="50">
        <v>-0.09</v>
      </c>
      <c r="G20" s="50">
        <f t="shared" si="9"/>
        <v>3.0000000000001137E-3</v>
      </c>
      <c r="H20" s="7">
        <f t="shared" si="10"/>
        <v>3.56</v>
      </c>
      <c r="I20" s="7">
        <f t="shared" ca="1" si="11"/>
        <v>8.6463123940040632E-2</v>
      </c>
      <c r="J20" s="48">
        <v>37742</v>
      </c>
      <c r="K20" s="50">
        <f t="shared" ca="1" si="14"/>
        <v>2.7245368760599593</v>
      </c>
      <c r="L20" s="50">
        <f t="shared" ca="1" si="12"/>
        <v>0</v>
      </c>
      <c r="M20" s="50">
        <f t="shared" ref="M20:M26" ca="1" si="15">F20*A20</f>
        <v>-8.7231703609176925E-2</v>
      </c>
      <c r="N20" s="50">
        <f t="shared" ca="1" si="13"/>
        <v>2.6373051724507826</v>
      </c>
      <c r="O20" s="50">
        <f t="shared" ca="1" si="8"/>
        <v>-5.0369508313132805E-3</v>
      </c>
      <c r="P20" s="51"/>
    </row>
    <row r="21" spans="1:18" x14ac:dyDescent="0.2">
      <c r="A21" s="6">
        <f t="shared" ca="1" si="0"/>
        <v>0.96609163577733137</v>
      </c>
      <c r="B21" s="6">
        <v>2.5669158007855901E-2</v>
      </c>
      <c r="C21" s="48">
        <v>37773</v>
      </c>
      <c r="D21" s="7">
        <v>2.8610000000000002</v>
      </c>
      <c r="E21" s="7">
        <v>0</v>
      </c>
      <c r="F21" s="50">
        <v>-0.09</v>
      </c>
      <c r="G21" s="7">
        <f t="shared" si="9"/>
        <v>5.0000000000000266E-2</v>
      </c>
      <c r="H21" s="7">
        <f t="shared" si="10"/>
        <v>3.6100000000000003</v>
      </c>
      <c r="I21" s="7">
        <f t="shared" ca="1" si="11"/>
        <v>9.7011830041054736E-2</v>
      </c>
      <c r="J21" s="11">
        <v>37773</v>
      </c>
      <c r="K21" s="7">
        <f t="shared" ca="1" si="14"/>
        <v>2.7639881699589455</v>
      </c>
      <c r="L21" s="7">
        <f t="shared" ca="1" si="12"/>
        <v>0</v>
      </c>
      <c r="M21" s="7">
        <f t="shared" ca="1" si="15"/>
        <v>-8.6948247219959821E-2</v>
      </c>
      <c r="N21" s="7">
        <f t="shared" ca="1" si="13"/>
        <v>2.6770399227389858</v>
      </c>
      <c r="O21" s="7">
        <f t="shared" ca="1" si="8"/>
        <v>3.973475028820328E-2</v>
      </c>
    </row>
    <row r="22" spans="1:18" x14ac:dyDescent="0.2">
      <c r="A22" s="6">
        <f t="shared" ca="1" si="0"/>
        <v>0.96289531400186268</v>
      </c>
      <c r="B22" s="6">
        <v>2.65299818607314E-2</v>
      </c>
      <c r="C22" s="48">
        <v>37803</v>
      </c>
      <c r="D22" s="7">
        <v>2.9009999999999998</v>
      </c>
      <c r="E22" s="7">
        <v>0</v>
      </c>
      <c r="F22" s="50">
        <v>-0.09</v>
      </c>
      <c r="G22" s="7">
        <f t="shared" si="9"/>
        <v>3.9999999999999591E-2</v>
      </c>
      <c r="H22" s="7">
        <f t="shared" si="10"/>
        <v>3.65</v>
      </c>
      <c r="I22" s="7">
        <f t="shared" ca="1" si="11"/>
        <v>0.10764069408059651</v>
      </c>
      <c r="J22" s="11">
        <v>37803</v>
      </c>
      <c r="K22" s="7">
        <f t="shared" ca="1" si="14"/>
        <v>2.7933593059194033</v>
      </c>
      <c r="L22" s="7">
        <f t="shared" ca="1" si="12"/>
        <v>0</v>
      </c>
      <c r="M22" s="7">
        <f t="shared" ca="1" si="15"/>
        <v>-8.6660578260167639E-2</v>
      </c>
      <c r="N22" s="7">
        <f t="shared" ca="1" si="13"/>
        <v>2.7066987276592358</v>
      </c>
      <c r="O22" s="7">
        <f t="shared" ca="1" si="8"/>
        <v>2.965880492024997E-2</v>
      </c>
    </row>
    <row r="23" spans="1:18" x14ac:dyDescent="0.2">
      <c r="A23" s="6">
        <f t="shared" ca="1" si="0"/>
        <v>0.95942597254924322</v>
      </c>
      <c r="B23" s="6">
        <v>2.74455248571908E-2</v>
      </c>
      <c r="C23" s="48">
        <v>37834</v>
      </c>
      <c r="D23" s="7">
        <v>2.9359999999999999</v>
      </c>
      <c r="E23" s="7">
        <v>0</v>
      </c>
      <c r="F23" s="50">
        <v>-0.09</v>
      </c>
      <c r="G23" s="7">
        <f t="shared" si="9"/>
        <v>3.5000000000000142E-2</v>
      </c>
      <c r="H23" s="7">
        <f t="shared" si="10"/>
        <v>3.6850000000000001</v>
      </c>
      <c r="I23" s="7">
        <f t="shared" ca="1" si="11"/>
        <v>0.1191253445954219</v>
      </c>
      <c r="J23" s="11">
        <v>37834</v>
      </c>
      <c r="K23" s="7">
        <f t="shared" ca="1" si="14"/>
        <v>2.816874655404578</v>
      </c>
      <c r="L23" s="7">
        <f t="shared" ca="1" si="12"/>
        <v>0</v>
      </c>
      <c r="M23" s="7">
        <f t="shared" ca="1" si="15"/>
        <v>-8.6348337529431884E-2</v>
      </c>
      <c r="N23" s="7">
        <f t="shared" ca="1" si="13"/>
        <v>2.730526317875146</v>
      </c>
      <c r="O23" s="7">
        <f t="shared" ca="1" si="8"/>
        <v>2.3827590215910188E-2</v>
      </c>
    </row>
    <row r="24" spans="1:18" x14ac:dyDescent="0.2">
      <c r="A24" s="6">
        <f t="shared" ca="1" si="0"/>
        <v>0.95582317794294991</v>
      </c>
      <c r="B24" s="6">
        <v>2.8361068136631799E-2</v>
      </c>
      <c r="C24" s="48">
        <v>37865</v>
      </c>
      <c r="D24" s="7">
        <v>2.9359999999999999</v>
      </c>
      <c r="E24" s="7">
        <v>0</v>
      </c>
      <c r="F24" s="50">
        <v>-0.09</v>
      </c>
      <c r="G24" s="7">
        <f t="shared" si="9"/>
        <v>0</v>
      </c>
      <c r="H24" s="7">
        <f t="shared" si="10"/>
        <v>3.6850000000000001</v>
      </c>
      <c r="I24" s="7">
        <f t="shared" ca="1" si="11"/>
        <v>0.12970314955949913</v>
      </c>
      <c r="J24" s="11">
        <v>37865</v>
      </c>
      <c r="K24" s="7">
        <f t="shared" ca="1" si="14"/>
        <v>2.8062968504405008</v>
      </c>
      <c r="L24" s="7">
        <f t="shared" ca="1" si="12"/>
        <v>0</v>
      </c>
      <c r="M24" s="7">
        <f t="shared" ca="1" si="15"/>
        <v>-8.6024086014865483E-2</v>
      </c>
      <c r="N24" s="7">
        <f t="shared" ca="1" si="13"/>
        <v>2.7202727644256353</v>
      </c>
      <c r="O24" s="7">
        <f t="shared" ca="1" si="8"/>
        <v>-1.0253553449510733E-2</v>
      </c>
    </row>
    <row r="25" spans="1:18" x14ac:dyDescent="0.2">
      <c r="A25" s="6">
        <f t="shared" ca="1" si="0"/>
        <v>0.95223423780784433</v>
      </c>
      <c r="B25" s="6">
        <v>2.92324823045234E-2</v>
      </c>
      <c r="C25" s="48">
        <v>37895</v>
      </c>
      <c r="D25" s="7">
        <v>2.976</v>
      </c>
      <c r="E25" s="7">
        <v>0</v>
      </c>
      <c r="F25" s="50">
        <v>-0.09</v>
      </c>
      <c r="G25" s="7">
        <f t="shared" si="9"/>
        <v>4.0000000000000036E-2</v>
      </c>
      <c r="H25" s="7">
        <f t="shared" si="10"/>
        <v>3.7250000000000001</v>
      </c>
      <c r="I25" s="7">
        <f t="shared" ca="1" si="11"/>
        <v>0.14215090828385524</v>
      </c>
      <c r="J25" s="11">
        <v>37895</v>
      </c>
      <c r="K25" s="7">
        <f t="shared" ca="1" si="14"/>
        <v>2.8338490917161447</v>
      </c>
      <c r="L25" s="7">
        <f t="shared" ca="1" si="12"/>
        <v>0</v>
      </c>
      <c r="M25" s="7">
        <f t="shared" ca="1" si="15"/>
        <v>-8.5701081402705992E-2</v>
      </c>
      <c r="N25" s="7">
        <f t="shared" ca="1" si="13"/>
        <v>2.7481480103134386</v>
      </c>
      <c r="O25" s="7">
        <f t="shared" ca="1" si="8"/>
        <v>2.7875245887803324E-2</v>
      </c>
    </row>
    <row r="26" spans="1:18" x14ac:dyDescent="0.2">
      <c r="A26" s="6">
        <f t="shared" ca="1" si="0"/>
        <v>0.94861992372081616</v>
      </c>
      <c r="B26" s="6">
        <v>0.03</v>
      </c>
      <c r="C26" s="48">
        <v>37926</v>
      </c>
      <c r="D26" s="7">
        <v>3.149</v>
      </c>
      <c r="E26" s="7">
        <v>0</v>
      </c>
      <c r="F26" s="7">
        <v>0</v>
      </c>
      <c r="G26" s="7">
        <f t="shared" si="9"/>
        <v>0.17300000000000004</v>
      </c>
      <c r="H26" s="7">
        <f t="shared" si="10"/>
        <v>3.8980000000000001</v>
      </c>
      <c r="I26" s="7">
        <f t="shared" ca="1" si="11"/>
        <v>0.16179586020314973</v>
      </c>
      <c r="J26" s="11">
        <v>37926</v>
      </c>
      <c r="K26" s="7">
        <f t="shared" ca="1" si="14"/>
        <v>2.9872041397968503</v>
      </c>
      <c r="L26" s="7">
        <f t="shared" ca="1" si="12"/>
        <v>0</v>
      </c>
      <c r="M26" s="7">
        <f t="shared" ca="1" si="15"/>
        <v>0</v>
      </c>
      <c r="N26" s="7">
        <f t="shared" ca="1" si="13"/>
        <v>2.9872041397968503</v>
      </c>
      <c r="O26" s="7">
        <f t="shared" ca="1" si="8"/>
        <v>0.23905612948341171</v>
      </c>
    </row>
    <row r="27" spans="1:18" x14ac:dyDescent="0.2">
      <c r="A27" s="6"/>
      <c r="B27" s="6"/>
      <c r="C27" s="48"/>
      <c r="D27" s="53">
        <v>7500000</v>
      </c>
      <c r="E27" s="53">
        <v>-416667</v>
      </c>
      <c r="F27" s="7">
        <f>E27*18</f>
        <v>-7500006</v>
      </c>
      <c r="G27" s="7"/>
      <c r="H27" s="7"/>
      <c r="I27" s="53">
        <v>4000000</v>
      </c>
      <c r="J27" s="11"/>
      <c r="K27" s="7"/>
      <c r="L27" s="7"/>
      <c r="M27" s="7"/>
      <c r="N27" s="7"/>
      <c r="O27" s="7"/>
    </row>
    <row r="28" spans="1:18" x14ac:dyDescent="0.2">
      <c r="A28" s="6"/>
      <c r="B28" s="6"/>
      <c r="C28" s="48"/>
      <c r="D28" s="7">
        <v>2.2599999999999998</v>
      </c>
      <c r="E28" s="7"/>
      <c r="F28" s="7"/>
      <c r="G28" s="7"/>
      <c r="H28" s="7"/>
      <c r="I28" s="53">
        <f>(D7-0.03)*4000000</f>
        <v>8592000</v>
      </c>
      <c r="J28" s="11"/>
      <c r="K28" s="7"/>
      <c r="L28" s="53">
        <f ca="1">N26*I27</f>
        <v>11948816.559187401</v>
      </c>
      <c r="M28" s="7"/>
      <c r="N28" s="7"/>
      <c r="O28" s="7"/>
    </row>
    <row r="29" spans="1:18" x14ac:dyDescent="0.2">
      <c r="A29" s="6"/>
      <c r="B29" s="6"/>
      <c r="C29" s="48"/>
      <c r="D29" s="54">
        <f>PV(0.0226/18,18,E27)</f>
        <v>7411291.4863791969</v>
      </c>
      <c r="E29" s="1">
        <f>18*2000*30.5</f>
        <v>1098000</v>
      </c>
      <c r="F29" s="53">
        <f>PV(0.0226/18,18,E30)</f>
        <v>-1085012.2055961499</v>
      </c>
      <c r="G29" s="7"/>
      <c r="H29" s="7"/>
      <c r="I29" s="53">
        <f>D29*0.4</f>
        <v>2964516.5945516787</v>
      </c>
      <c r="J29" s="11"/>
      <c r="K29" s="7"/>
      <c r="L29" s="7"/>
      <c r="M29" s="7"/>
      <c r="N29" s="7"/>
      <c r="O29" s="7"/>
    </row>
    <row r="30" spans="1:18" x14ac:dyDescent="0.2">
      <c r="A30" s="6"/>
      <c r="B30" s="6"/>
      <c r="C30" s="48"/>
      <c r="D30" s="7"/>
      <c r="E30" s="7">
        <f>E29/18</f>
        <v>61000</v>
      </c>
      <c r="F30" s="7"/>
      <c r="G30" s="7"/>
      <c r="H30" s="7"/>
      <c r="I30" s="53">
        <f>I28+I29</f>
        <v>11556516.594551679</v>
      </c>
      <c r="J30" s="11"/>
      <c r="K30" s="7"/>
      <c r="L30" s="7"/>
      <c r="M30" s="7"/>
      <c r="N30" s="7"/>
      <c r="O30" s="7"/>
    </row>
    <row r="31" spans="1:18" x14ac:dyDescent="0.2">
      <c r="A31" s="42"/>
      <c r="B31" s="55"/>
      <c r="C31" s="42"/>
    </row>
    <row r="32" spans="1:18" x14ac:dyDescent="0.2">
      <c r="B32" s="47"/>
      <c r="D32" s="43" t="s">
        <v>0</v>
      </c>
      <c r="E32" s="43" t="s">
        <v>27</v>
      </c>
      <c r="F32" s="43" t="s">
        <v>28</v>
      </c>
      <c r="G32" s="43"/>
      <c r="H32" s="43"/>
      <c r="I32" s="56"/>
      <c r="K32" s="39" t="s">
        <v>29</v>
      </c>
      <c r="L32" s="40"/>
      <c r="M32" s="40"/>
      <c r="N32" s="41"/>
      <c r="Q32" s="1">
        <v>3.66</v>
      </c>
      <c r="R32" s="3">
        <f>(Q32*0.011)+0.005</f>
        <v>4.5259999999999995E-2</v>
      </c>
    </row>
    <row r="33" spans="2:18" x14ac:dyDescent="0.2">
      <c r="B33" s="47">
        <v>5.1662568626984512E-2</v>
      </c>
      <c r="C33" s="48">
        <v>37043</v>
      </c>
      <c r="D33" s="49">
        <v>4.1130000000000004</v>
      </c>
      <c r="E33" s="57">
        <v>0</v>
      </c>
      <c r="F33" s="57">
        <v>0</v>
      </c>
      <c r="G33" s="50"/>
      <c r="H33" s="13"/>
      <c r="I33" s="56"/>
      <c r="J33" s="48">
        <v>36982</v>
      </c>
      <c r="K33" s="45" t="s">
        <v>1</v>
      </c>
      <c r="L33" s="5" t="s">
        <v>2</v>
      </c>
      <c r="M33" s="5" t="s">
        <v>3</v>
      </c>
      <c r="N33" s="46" t="s">
        <v>4</v>
      </c>
      <c r="R33" s="1">
        <v>0.02</v>
      </c>
    </row>
    <row r="34" spans="2:18" x14ac:dyDescent="0.2">
      <c r="B34" s="47">
        <v>5.0632692603110208E-2</v>
      </c>
      <c r="C34" s="48">
        <v>37073</v>
      </c>
      <c r="D34" s="50">
        <v>4.1719999999999997</v>
      </c>
      <c r="E34" s="57">
        <v>0</v>
      </c>
      <c r="F34" s="50">
        <v>0</v>
      </c>
      <c r="G34" s="50">
        <f>D34-D33</f>
        <v>5.8999999999999275E-2</v>
      </c>
      <c r="H34" s="13"/>
      <c r="I34" s="56"/>
      <c r="J34" s="48">
        <v>37012</v>
      </c>
      <c r="K34" s="57">
        <v>5.2781620560790463</v>
      </c>
      <c r="L34" s="26">
        <v>-5.6904716700681979E-2</v>
      </c>
      <c r="M34" s="26">
        <v>0</v>
      </c>
      <c r="N34" s="58">
        <v>5.2212573393783641</v>
      </c>
      <c r="O34" s="3">
        <v>-3.1919168883924876E-2</v>
      </c>
    </row>
    <row r="35" spans="2:18" x14ac:dyDescent="0.2">
      <c r="B35" s="47">
        <v>4.9582714930917211E-2</v>
      </c>
      <c r="C35" s="48">
        <v>37104</v>
      </c>
      <c r="D35" s="50">
        <v>4.2489999999999997</v>
      </c>
      <c r="E35" s="57">
        <v>0</v>
      </c>
      <c r="F35" s="52">
        <v>0</v>
      </c>
      <c r="G35" s="50">
        <f t="shared" ref="G35:G44" si="16">D35-D34</f>
        <v>7.6999999999999957E-2</v>
      </c>
      <c r="H35" s="13"/>
      <c r="I35" s="56"/>
      <c r="J35" s="48">
        <v>37043</v>
      </c>
      <c r="K35" s="50">
        <v>5.3103464995985394</v>
      </c>
      <c r="L35" s="7">
        <v>-5.7169991336250892E-2</v>
      </c>
      <c r="M35" s="7">
        <v>0</v>
      </c>
      <c r="N35" s="59">
        <v>5.253176508262289</v>
      </c>
      <c r="O35" s="3">
        <v>-1.8057031600783979E-2</v>
      </c>
      <c r="P35" s="60">
        <v>36526</v>
      </c>
      <c r="Q35" s="61"/>
    </row>
    <row r="36" spans="2:18" x14ac:dyDescent="0.2">
      <c r="B36" s="47">
        <v>4.8800797189049012E-2</v>
      </c>
      <c r="C36" s="48">
        <v>37135</v>
      </c>
      <c r="D36" s="50">
        <v>4.2809999999999997</v>
      </c>
      <c r="E36" s="57">
        <v>0</v>
      </c>
      <c r="F36" s="50">
        <v>0</v>
      </c>
      <c r="G36" s="50">
        <f t="shared" si="16"/>
        <v>3.2000000000000028E-2</v>
      </c>
      <c r="H36" s="13"/>
      <c r="I36" s="56"/>
      <c r="J36" s="48">
        <v>37073</v>
      </c>
      <c r="K36" s="50">
        <v>5.3281690012216014</v>
      </c>
      <c r="L36" s="7">
        <v>-5.6935461358528547E-2</v>
      </c>
      <c r="M36" s="7">
        <v>0</v>
      </c>
      <c r="N36" s="59">
        <v>5.271233539863073</v>
      </c>
      <c r="O36" s="3">
        <v>-1.9203649817374213E-2</v>
      </c>
      <c r="P36" s="60">
        <f t="shared" ref="P36:P49" si="17">EOMONTH(P35,0)+1</f>
        <v>36557</v>
      </c>
      <c r="Q36" s="61"/>
      <c r="R36" s="47">
        <f>Q36/100</f>
        <v>0</v>
      </c>
    </row>
    <row r="37" spans="2:18" x14ac:dyDescent="0.2">
      <c r="B37" s="47">
        <v>4.8018879651435607E-2</v>
      </c>
      <c r="C37" s="48">
        <v>37165</v>
      </c>
      <c r="D37" s="50">
        <v>4.3140000000000001</v>
      </c>
      <c r="E37" s="57">
        <v>0</v>
      </c>
      <c r="F37" s="50">
        <v>0</v>
      </c>
      <c r="G37" s="50">
        <f t="shared" si="16"/>
        <v>3.3000000000000362E-2</v>
      </c>
      <c r="H37" s="13"/>
      <c r="I37" s="56"/>
      <c r="J37" s="48">
        <v>37104</v>
      </c>
      <c r="K37" s="50">
        <v>5.3471539116729199</v>
      </c>
      <c r="L37" s="7">
        <v>-5.6716721992472408E-2</v>
      </c>
      <c r="M37" s="7">
        <v>0</v>
      </c>
      <c r="N37" s="59">
        <v>5.2904371896804472</v>
      </c>
      <c r="O37" s="3">
        <v>7.3365275161840771E-4</v>
      </c>
      <c r="P37" s="60">
        <f t="shared" si="17"/>
        <v>36586</v>
      </c>
      <c r="Q37" s="61"/>
      <c r="R37" s="47">
        <f t="shared" ref="R37:R51" si="18">Q37/100</f>
        <v>0</v>
      </c>
    </row>
    <row r="38" spans="2:18" x14ac:dyDescent="0.2">
      <c r="B38" s="47">
        <v>4.7409256650797503E-2</v>
      </c>
      <c r="C38" s="48">
        <v>37196</v>
      </c>
      <c r="D38" s="50">
        <v>4.4939999999999998</v>
      </c>
      <c r="E38" s="57">
        <v>0</v>
      </c>
      <c r="F38" s="50">
        <v>0</v>
      </c>
      <c r="G38" s="50">
        <f t="shared" si="16"/>
        <v>0.17999999999999972</v>
      </c>
      <c r="H38" s="13"/>
      <c r="I38" s="56"/>
      <c r="J38" s="48">
        <v>37135</v>
      </c>
      <c r="K38" s="50">
        <v>5.3462017171783707</v>
      </c>
      <c r="L38" s="7">
        <v>-5.6498180249541688E-2</v>
      </c>
      <c r="M38" s="7">
        <v>0</v>
      </c>
      <c r="N38" s="59">
        <v>5.2897035369288288</v>
      </c>
      <c r="O38" s="3">
        <v>5.4387859050568643E-2</v>
      </c>
      <c r="P38" s="60">
        <f t="shared" si="17"/>
        <v>36617</v>
      </c>
      <c r="Q38" s="61">
        <v>5.1662568626984512E-2</v>
      </c>
      <c r="R38" s="47">
        <f t="shared" si="18"/>
        <v>5.1662568626984515E-4</v>
      </c>
    </row>
    <row r="39" spans="2:18" x14ac:dyDescent="0.2">
      <c r="B39" s="47">
        <v>4.7016440826982607E-2</v>
      </c>
      <c r="C39" s="48">
        <v>37226</v>
      </c>
      <c r="D39" s="50">
        <v>4.6740000000000004</v>
      </c>
      <c r="E39" s="57">
        <v>0</v>
      </c>
      <c r="F39" s="50">
        <v>0</v>
      </c>
      <c r="G39" s="50">
        <f t="shared" si="16"/>
        <v>0.1800000000000006</v>
      </c>
      <c r="H39" s="13"/>
      <c r="I39" s="62">
        <f>D34-D37</f>
        <v>-0.14200000000000035</v>
      </c>
      <c r="J39" s="48">
        <v>37165</v>
      </c>
      <c r="K39" s="50">
        <v>5.2915988697036314</v>
      </c>
      <c r="L39" s="7">
        <v>-5.6283191825371587E-2</v>
      </c>
      <c r="M39" s="7">
        <v>0</v>
      </c>
      <c r="N39" s="59">
        <v>5.2353156778782601</v>
      </c>
      <c r="O39" s="3">
        <v>1.642240153555008E-2</v>
      </c>
      <c r="P39" s="60">
        <f t="shared" si="17"/>
        <v>36647</v>
      </c>
      <c r="Q39" s="61">
        <v>4.8881109727493009E-2</v>
      </c>
      <c r="R39" s="47">
        <f t="shared" si="18"/>
        <v>4.888110972749301E-4</v>
      </c>
    </row>
    <row r="40" spans="2:18" x14ac:dyDescent="0.2">
      <c r="B40" s="47">
        <v>4.6636296530479612E-2</v>
      </c>
      <c r="C40" s="48">
        <v>37257</v>
      </c>
      <c r="D40" s="50">
        <v>4.7489999999999997</v>
      </c>
      <c r="E40" s="57">
        <v>0</v>
      </c>
      <c r="F40" s="50">
        <v>0</v>
      </c>
      <c r="G40" s="50">
        <f t="shared" si="16"/>
        <v>7.4999999999999289E-2</v>
      </c>
      <c r="H40" s="13"/>
      <c r="I40" s="56"/>
      <c r="J40" s="48">
        <v>37196</v>
      </c>
      <c r="K40" s="50">
        <v>5.2749684633724598</v>
      </c>
      <c r="L40" s="7">
        <v>-5.6075187029749764E-2</v>
      </c>
      <c r="M40" s="7">
        <v>0</v>
      </c>
      <c r="N40" s="59">
        <v>5.2188932763427101</v>
      </c>
      <c r="O40" s="3">
        <v>-7.989369695015025E-2</v>
      </c>
      <c r="P40" s="60">
        <f t="shared" si="17"/>
        <v>36678</v>
      </c>
      <c r="Q40" s="61">
        <v>4.7795282467105502E-2</v>
      </c>
      <c r="R40" s="47">
        <f t="shared" si="18"/>
        <v>4.7795282467105499E-4</v>
      </c>
    </row>
    <row r="41" spans="2:18" x14ac:dyDescent="0.2">
      <c r="B41" s="47">
        <v>4.638584291711241E-2</v>
      </c>
      <c r="C41" s="48">
        <v>37288</v>
      </c>
      <c r="D41" s="50">
        <v>4.6390000000000002</v>
      </c>
      <c r="E41" s="57">
        <v>0</v>
      </c>
      <c r="F41" s="50">
        <v>0</v>
      </c>
      <c r="G41" s="50">
        <f t="shared" si="16"/>
        <v>-0.10999999999999943</v>
      </c>
      <c r="H41" s="13"/>
      <c r="I41" s="56"/>
      <c r="J41" s="48">
        <v>37226</v>
      </c>
      <c r="K41" s="50">
        <v>5.3619371664105788</v>
      </c>
      <c r="L41" s="7">
        <v>-6.3150193117718356E-2</v>
      </c>
      <c r="M41" s="7">
        <v>0</v>
      </c>
      <c r="N41" s="59">
        <v>5.2987869732928603</v>
      </c>
      <c r="O41" s="3">
        <v>-8.6995344028659716E-2</v>
      </c>
      <c r="P41" s="60">
        <f t="shared" si="17"/>
        <v>36708</v>
      </c>
      <c r="Q41" s="61">
        <v>4.6816655264622309E-2</v>
      </c>
      <c r="R41" s="47">
        <f t="shared" si="18"/>
        <v>4.6816655264622311E-4</v>
      </c>
    </row>
    <row r="42" spans="2:18" x14ac:dyDescent="0.2">
      <c r="B42" s="47">
        <v>4.633250608558951E-2</v>
      </c>
      <c r="C42" s="48">
        <v>37316</v>
      </c>
      <c r="D42" s="50">
        <v>4.4690000000000003</v>
      </c>
      <c r="E42" s="57">
        <v>0</v>
      </c>
      <c r="F42" s="50">
        <v>0</v>
      </c>
      <c r="G42" s="50">
        <f t="shared" si="16"/>
        <v>-0.16999999999999993</v>
      </c>
      <c r="H42" s="13"/>
      <c r="I42" s="56"/>
      <c r="J42" s="48">
        <v>37257</v>
      </c>
      <c r="K42" s="50">
        <v>5.4487003350472385</v>
      </c>
      <c r="L42" s="7">
        <v>-6.29180177257187E-2</v>
      </c>
      <c r="M42" s="7">
        <v>0</v>
      </c>
      <c r="N42" s="59">
        <v>5.38578231732152</v>
      </c>
      <c r="O42" s="3">
        <v>-5.9079489013864617E-3</v>
      </c>
      <c r="P42" s="60">
        <f t="shared" si="17"/>
        <v>36739</v>
      </c>
      <c r="Q42" s="61">
        <v>4.6070183519646396E-2</v>
      </c>
      <c r="R42" s="47">
        <f t="shared" si="18"/>
        <v>4.6070183519646396E-4</v>
      </c>
    </row>
    <row r="43" spans="2:18" x14ac:dyDescent="0.2">
      <c r="B43" s="47">
        <v>4.6284330883742203E-2</v>
      </c>
      <c r="C43" s="48">
        <v>37347</v>
      </c>
      <c r="D43" s="50">
        <v>4.149</v>
      </c>
      <c r="E43" s="57">
        <v>0</v>
      </c>
      <c r="F43" s="50">
        <v>0</v>
      </c>
      <c r="G43" s="50">
        <f t="shared" si="16"/>
        <v>-0.32000000000000028</v>
      </c>
      <c r="H43" s="13"/>
      <c r="I43" s="56"/>
      <c r="J43" s="48">
        <v>37288</v>
      </c>
      <c r="K43" s="50">
        <v>5.4543619163131227</v>
      </c>
      <c r="L43" s="7">
        <v>-6.2671650090216191E-2</v>
      </c>
      <c r="M43" s="7">
        <v>0</v>
      </c>
      <c r="N43" s="59">
        <v>5.3916902662229065</v>
      </c>
      <c r="O43" s="3">
        <v>0.23046967914177063</v>
      </c>
      <c r="P43" s="60">
        <f t="shared" si="17"/>
        <v>36770</v>
      </c>
      <c r="Q43" s="61">
        <v>4.5624649236237311E-2</v>
      </c>
      <c r="R43" s="47">
        <f t="shared" si="18"/>
        <v>4.5624649236237309E-4</v>
      </c>
    </row>
    <row r="44" spans="2:18" x14ac:dyDescent="0.2">
      <c r="B44" s="47">
        <v>4.6252230795530612E-2</v>
      </c>
      <c r="C44" s="48">
        <v>37377</v>
      </c>
      <c r="D44" s="52">
        <v>4.0839999999999996</v>
      </c>
      <c r="E44" s="57">
        <v>0</v>
      </c>
      <c r="F44" s="50">
        <v>0</v>
      </c>
      <c r="G44" s="50">
        <f t="shared" si="16"/>
        <v>-6.5000000000000391E-2</v>
      </c>
      <c r="H44" s="13"/>
      <c r="I44" s="56"/>
      <c r="J44" s="48">
        <v>37316</v>
      </c>
      <c r="K44" s="50">
        <v>5.2236469618783588</v>
      </c>
      <c r="L44" s="7">
        <v>-6.2426374797222524E-2</v>
      </c>
      <c r="M44" s="7">
        <v>0</v>
      </c>
      <c r="N44" s="59">
        <v>5.1612205870811358</v>
      </c>
      <c r="O44" s="3">
        <v>0.3168923506844683</v>
      </c>
      <c r="P44" s="60">
        <f t="shared" si="17"/>
        <v>36800</v>
      </c>
      <c r="Q44" s="61">
        <v>4.5193487089725703E-2</v>
      </c>
      <c r="R44" s="47">
        <f t="shared" si="18"/>
        <v>4.5193487089725706E-4</v>
      </c>
    </row>
    <row r="45" spans="2:18" x14ac:dyDescent="0.2">
      <c r="B45" s="47">
        <v>4.6248018394788197E-2</v>
      </c>
      <c r="C45" s="48">
        <v>37408</v>
      </c>
      <c r="D45" s="50">
        <v>4.1289999999999996</v>
      </c>
      <c r="E45" s="57">
        <v>0</v>
      </c>
      <c r="F45" s="50">
        <v>0</v>
      </c>
      <c r="G45" s="50">
        <f>D45-D44</f>
        <v>4.4999999999999929E-2</v>
      </c>
      <c r="H45" s="56"/>
      <c r="I45" s="56"/>
      <c r="J45" s="48">
        <v>37347</v>
      </c>
      <c r="K45" s="63">
        <v>4.9065331623875377</v>
      </c>
      <c r="L45" s="31">
        <v>-6.2204925990869908E-2</v>
      </c>
      <c r="M45" s="31">
        <v>0</v>
      </c>
      <c r="N45" s="64">
        <v>4.8443282363966675</v>
      </c>
      <c r="O45" s="1">
        <v>0.39090036253095928</v>
      </c>
      <c r="P45" s="60">
        <f t="shared" si="17"/>
        <v>36831</v>
      </c>
      <c r="Q45" s="61">
        <v>4.4906893791424506E-2</v>
      </c>
      <c r="R45" s="47">
        <f t="shared" si="18"/>
        <v>4.4906893791424508E-4</v>
      </c>
    </row>
    <row r="46" spans="2:18" x14ac:dyDescent="0.2">
      <c r="B46" s="47">
        <v>4.6243665580694204E-2</v>
      </c>
      <c r="C46" s="48">
        <v>37438</v>
      </c>
      <c r="D46" s="50">
        <v>4.1820000000000004</v>
      </c>
      <c r="E46" s="57">
        <v>0</v>
      </c>
      <c r="F46" s="50">
        <v>0</v>
      </c>
      <c r="G46" s="50">
        <f>D46-D45</f>
        <v>5.3000000000000824E-2</v>
      </c>
      <c r="J46" s="48">
        <v>37377</v>
      </c>
      <c r="K46" s="1">
        <v>4.5201530346470866</v>
      </c>
      <c r="L46" s="1">
        <v>-6.6725160781378343E-2</v>
      </c>
      <c r="M46" s="1">
        <v>0</v>
      </c>
      <c r="N46" s="1">
        <v>4.4534278738657083</v>
      </c>
      <c r="O46" s="1">
        <v>6.9282660270252094E-2</v>
      </c>
      <c r="P46" s="60">
        <f t="shared" si="17"/>
        <v>36861</v>
      </c>
      <c r="Q46" s="61">
        <v>4.4840372465708704E-2</v>
      </c>
      <c r="R46" s="47">
        <f t="shared" si="18"/>
        <v>4.4840372465708705E-4</v>
      </c>
    </row>
    <row r="47" spans="2:18" x14ac:dyDescent="0.2">
      <c r="B47" s="47">
        <v>4.6286141319813505E-2</v>
      </c>
      <c r="C47" s="48">
        <v>37469</v>
      </c>
      <c r="D47" s="63">
        <v>4.2119999999999997</v>
      </c>
      <c r="E47" s="57">
        <v>0</v>
      </c>
      <c r="F47" s="63">
        <v>0</v>
      </c>
      <c r="G47" s="50">
        <f>D47-D46</f>
        <v>2.9999999999999361E-2</v>
      </c>
      <c r="J47" s="48">
        <v>37408</v>
      </c>
      <c r="K47" s="1">
        <v>4.3841452135954562</v>
      </c>
      <c r="L47" s="1">
        <v>0</v>
      </c>
      <c r="M47" s="1">
        <v>0</v>
      </c>
      <c r="N47" s="1">
        <v>4.3841452135954562</v>
      </c>
      <c r="O47" s="1">
        <v>1.2854517780120922E-2</v>
      </c>
      <c r="P47" s="60">
        <f t="shared" si="17"/>
        <v>36892</v>
      </c>
      <c r="Q47" s="61">
        <v>4.478028868891662E-2</v>
      </c>
      <c r="R47" s="47">
        <f t="shared" si="18"/>
        <v>4.4780288688916619E-4</v>
      </c>
    </row>
    <row r="48" spans="2:18" x14ac:dyDescent="0.2">
      <c r="B48" s="1">
        <v>4.9876141780196719E-2</v>
      </c>
      <c r="C48" s="48">
        <v>37500</v>
      </c>
      <c r="D48" s="1">
        <v>4.3280000000000003</v>
      </c>
      <c r="E48" s="1">
        <v>0</v>
      </c>
      <c r="F48" s="4" t="s">
        <v>30</v>
      </c>
      <c r="G48" s="3">
        <f>AVERAGE(D33:D37)</f>
        <v>4.2257999999999996</v>
      </c>
      <c r="H48" s="3">
        <f>D33-G48</f>
        <v>-0.11279999999999912</v>
      </c>
      <c r="K48" s="1">
        <v>4.3712906958153352</v>
      </c>
      <c r="L48" s="1">
        <v>0</v>
      </c>
      <c r="M48" s="1">
        <v>0</v>
      </c>
      <c r="N48" s="1">
        <v>4.3712906958153352</v>
      </c>
      <c r="P48" s="60">
        <f t="shared" si="17"/>
        <v>36923</v>
      </c>
      <c r="Q48" s="61">
        <v>4.4745815813948611E-2</v>
      </c>
      <c r="R48" s="47">
        <f t="shared" si="18"/>
        <v>4.4745815813948612E-4</v>
      </c>
    </row>
    <row r="49" spans="3:18" x14ac:dyDescent="0.2">
      <c r="C49" s="48">
        <v>37530</v>
      </c>
      <c r="D49" s="1">
        <v>4.3380000000000001</v>
      </c>
      <c r="F49" s="4" t="s">
        <v>31</v>
      </c>
      <c r="G49" s="3">
        <f>AVERAGE(D38:D42)</f>
        <v>4.6049999999999995</v>
      </c>
      <c r="H49" s="3">
        <f>G49-D33</f>
        <v>0.4919999999999991</v>
      </c>
      <c r="P49" s="60">
        <f t="shared" si="17"/>
        <v>36951</v>
      </c>
      <c r="Q49" s="61">
        <v>4.4753570012179306E-2</v>
      </c>
      <c r="R49" s="47">
        <f t="shared" si="18"/>
        <v>4.4753570012179305E-4</v>
      </c>
    </row>
    <row r="50" spans="3:18" x14ac:dyDescent="0.2">
      <c r="C50" s="48">
        <v>37561</v>
      </c>
      <c r="D50" s="1">
        <v>4.4829999999999997</v>
      </c>
      <c r="G50" s="3">
        <f>G49-G48</f>
        <v>0.37919999999999998</v>
      </c>
      <c r="P50" s="60">
        <v>36982</v>
      </c>
      <c r="Q50" s="1">
        <v>4.4761582683705101E-2</v>
      </c>
      <c r="R50" s="47">
        <f t="shared" si="18"/>
        <v>4.4761582683705103E-4</v>
      </c>
    </row>
    <row r="51" spans="3:18" x14ac:dyDescent="0.2">
      <c r="C51" s="48">
        <v>37591</v>
      </c>
      <c r="D51" s="1">
        <v>4.6079999999999997</v>
      </c>
      <c r="F51" s="4" t="s">
        <v>32</v>
      </c>
      <c r="G51" s="3">
        <f>AVERAGE(D40:D51)</f>
        <v>4.3641666666666667</v>
      </c>
      <c r="P51" s="60">
        <v>37012</v>
      </c>
      <c r="Q51" s="1">
        <v>4.4820469492645704E-2</v>
      </c>
      <c r="R51" s="47">
        <f t="shared" si="18"/>
        <v>4.4820469492645704E-4</v>
      </c>
    </row>
    <row r="52" spans="3:18" x14ac:dyDescent="0.2">
      <c r="P52" s="60">
        <v>37043</v>
      </c>
      <c r="Q52" s="1">
        <v>4.4965047802688798E-2</v>
      </c>
    </row>
    <row r="53" spans="3:18" x14ac:dyDescent="0.2">
      <c r="P53" s="60">
        <v>37073</v>
      </c>
      <c r="Q53" s="1">
        <v>4.5109626119728609E-2</v>
      </c>
    </row>
    <row r="54" spans="3:18" x14ac:dyDescent="0.2">
      <c r="P54" s="60">
        <v>37104</v>
      </c>
      <c r="Q54" s="1">
        <v>4.6526906497543812E-2</v>
      </c>
    </row>
    <row r="55" spans="3:18" x14ac:dyDescent="0.2">
      <c r="Q55" s="1">
        <v>4.6674833411635107E-2</v>
      </c>
    </row>
    <row r="56" spans="3:18" x14ac:dyDescent="0.2">
      <c r="Q56" s="1">
        <v>5.3449803726976212E-2</v>
      </c>
    </row>
    <row r="57" spans="3:18" x14ac:dyDescent="0.2">
      <c r="Q57" s="1">
        <v>5.3603014529612011E-2</v>
      </c>
    </row>
    <row r="58" spans="3:18" x14ac:dyDescent="0.2">
      <c r="Q58" s="1">
        <v>5.3751283055741603E-2</v>
      </c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cp:lastPrinted>2002-01-17T19:53:55Z</cp:lastPrinted>
  <dcterms:created xsi:type="dcterms:W3CDTF">2002-01-11T20:57:17Z</dcterms:created>
  <dcterms:modified xsi:type="dcterms:W3CDTF">2023-09-17T01:44:18Z</dcterms:modified>
</cp:coreProperties>
</file>