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471877-0596-4356-AEFB-B0135004E9AA}" xr6:coauthVersionLast="47" xr6:coauthVersionMax="47" xr10:uidLastSave="{00000000-0000-0000-0000-000000000000}"/>
  <bookViews>
    <workbookView xWindow="-120" yWindow="-120" windowWidth="38640" windowHeight="15720" activeTab="2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B1" i="2"/>
  <c r="D1" i="2"/>
  <c r="F1" i="2"/>
  <c r="B5" i="2"/>
  <c r="C5" i="2"/>
  <c r="D5" i="2"/>
  <c r="F5" i="2"/>
  <c r="G5" i="2"/>
  <c r="H5" i="2"/>
  <c r="I5" i="2"/>
  <c r="F6" i="2"/>
  <c r="B7" i="2"/>
  <c r="C7" i="2"/>
  <c r="D7" i="2"/>
  <c r="F7" i="2"/>
  <c r="G7" i="2"/>
  <c r="H7" i="2"/>
  <c r="I7" i="2"/>
  <c r="F8" i="2"/>
  <c r="B9" i="2"/>
  <c r="C9" i="2"/>
  <c r="D9" i="2"/>
  <c r="F9" i="2"/>
  <c r="G9" i="2"/>
  <c r="H9" i="2"/>
  <c r="I9" i="2"/>
  <c r="K9" i="2"/>
  <c r="D10" i="2"/>
  <c r="F10" i="2"/>
  <c r="G10" i="2"/>
  <c r="H10" i="2"/>
  <c r="I10" i="2"/>
  <c r="K10" i="2"/>
  <c r="F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<sst xmlns="http://schemas.openxmlformats.org/spreadsheetml/2006/main" count="315" uniqueCount="180">
  <si>
    <t>promt</t>
  </si>
  <si>
    <t>promt +1</t>
  </si>
  <si>
    <t>Oct--Sep</t>
  </si>
  <si>
    <t>(Nov-Mar)-Promt</t>
  </si>
  <si>
    <t>US Gas Fin Spd   Nymex Spread            Aug01 vs Sep01  USD/MM-L</t>
  </si>
  <si>
    <t>spread</t>
  </si>
  <si>
    <t>transport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</si>
  <si>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</si>
  <si>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</si>
  <si>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</si>
  <si>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</si>
  <si>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</si>
  <si>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</si>
  <si>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</si>
  <si>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</si>
  <si>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</si>
  <si>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</si>
  <si>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Product</t>
  </si>
  <si>
    <t>ID</t>
  </si>
  <si>
    <t>Bid</t>
  </si>
  <si>
    <t>Offer</t>
  </si>
  <si>
    <t>Bid Vol</t>
  </si>
  <si>
    <t>Offer Vol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</si>
  <si>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</si>
  <si>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</si>
  <si>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</si>
  <si>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</si>
  <si>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</si>
  <si>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</si>
  <si>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</si>
  <si>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</si>
  <si>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</si>
  <si>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</si>
  <si>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</si>
  <si>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</si>
  <si>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</si>
  <si>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</si>
  <si>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</si>
  <si>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</si>
  <si>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</si>
  <si>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</si>
  <si>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</si>
  <si>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</si>
  <si>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</si>
  <si>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</si>
  <si>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</si>
  <si>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</si>
  <si>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</si>
  <si>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</si>
  <si>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</si>
  <si>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</si>
  <si>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</si>
  <si>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</si>
  <si>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</si>
  <si>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</si>
  <si>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</si>
  <si>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</si>
  <si>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</si>
  <si>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</si>
  <si>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</si>
  <si>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</si>
  <si>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</si>
  <si>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</si>
  <si>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</si>
  <si>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</si>
  <si>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</si>
  <si>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</si>
  <si>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</si>
  <si>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</si>
  <si>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</si>
  <si>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</si>
  <si>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</si>
  <si>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</si>
  <si>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</si>
  <si>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</si>
  <si>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</si>
  <si>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</si>
  <si>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</si>
  <si>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</si>
  <si>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</si>
  <si>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</si>
  <si>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</si>
  <si>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</si>
  <si>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</si>
  <si>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</si>
  <si>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</si>
  <si>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</si>
  <si>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</si>
  <si>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</si>
  <si>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</si>
  <si>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</si>
  <si>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</si>
  <si>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</si>
  <si>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</si>
  <si>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</si>
  <si>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</si>
  <si>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</si>
  <si>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ResidOil Platts No 6 NYH 1% (per MMBTU)</t>
  </si>
  <si>
    <t>Oct</t>
  </si>
  <si>
    <t>US Gas Phy       Dom SP TT               14Feb02         USD/MM</t>
  </si>
  <si>
    <t>US Gas Phy       COL Onshore             14Feb02         USD/MM</t>
  </si>
  <si>
    <t>US Gas Phy       Consumers Pwr           14Feb02         USD/MM</t>
  </si>
  <si>
    <t>US Gas Phy       EPNG Keystone           14Feb02         USD/MM</t>
  </si>
  <si>
    <t>US Gas Phy       SoCal Topk EPNG         14Feb02         USD/MM</t>
  </si>
  <si>
    <t>US Gas Phy       HeHub                   14Feb02         USD/MM</t>
  </si>
  <si>
    <t>US Gas Phy       Mich Con                14Feb02         USD/MM</t>
  </si>
  <si>
    <t>US Gas Phy       PG&amp;E CtyGte             14Feb02         USD/MM</t>
  </si>
  <si>
    <t>US Gas Phy       TCO Pool                14Feb02         USD/MM</t>
  </si>
  <si>
    <t>US Gas Phy       TETCO ELA               14Feb02         USD/MM</t>
  </si>
  <si>
    <t>US Gas Phy       TETCO WLA               14Feb02         USD/MM</t>
  </si>
  <si>
    <t>US Gas Phy       Transco St.65           14Feb02         USD/MM</t>
  </si>
  <si>
    <t>US Gas Phy       COL Onshore             15Feb02         USD/MM</t>
  </si>
  <si>
    <t>US Gas Phy       Chi Peoples             14Feb02         USD/MM</t>
  </si>
  <si>
    <t>US Gas Phy       FGT Z2                  14Feb02         USD/MM</t>
  </si>
  <si>
    <t>US Gas Phy       NGPL LA Pool            14Feb02         USD/MM</t>
  </si>
  <si>
    <t>US Gas Phy       NGPL Midcont            14Feb02         USD/MM</t>
  </si>
  <si>
    <t>US Gas Phy       NGPL NICOR              14Feb02         USD/MM</t>
  </si>
  <si>
    <t>US Gas Phy       NNG Demarc              14Feb02         USD/MM</t>
  </si>
  <si>
    <t>US Gas Phy       Opal                    14Feb02         USD/MM</t>
  </si>
  <si>
    <t>US Gas Phy       PEPL Pool               14Feb02         USD/MM</t>
  </si>
  <si>
    <t>US Gas Phy       PGT Malin               14Feb02         USD/MM</t>
  </si>
  <si>
    <t>US Gas Phy       TETCO M3                14Feb02         USD/MM</t>
  </si>
  <si>
    <t>US Gas Phy       Transco Z6 NY           14Feb02         USD/MM</t>
  </si>
  <si>
    <t>US Gas Swap      GD/D TGT Z-SL           14-28Feb02      USD/MM</t>
  </si>
  <si>
    <t>US Gas Swap      GD/D TX E M3            14-28Feb02      USD/MM</t>
  </si>
  <si>
    <t>US Gas Swap      GD/D Transco St.65      14-28Feb02      USD/MM</t>
  </si>
  <si>
    <t>US Gas Swap      GD/D Transco Z6 NY      14-28Feb02      USD/MM</t>
  </si>
  <si>
    <t>US Gas Swap      GD/D TX E M3            15-28Feb02      USD/MM</t>
  </si>
  <si>
    <t>US Gas Swap      GD/D Transco St.65      15-28Feb02      USD/MM</t>
  </si>
  <si>
    <t>US Gas Swap      GD/D Transco Z6 NY      15-28Feb02      USD/MM</t>
  </si>
  <si>
    <t>US Gas Swap      GD/D Dom South          14-28Feb02      USD/MM</t>
  </si>
  <si>
    <t>US Gas Swap      GD/D Dom South          15-28Feb02      USD/MM</t>
  </si>
  <si>
    <t>US Gas Swap      GD/D COL Onshore        14-28Feb02      USD/MM</t>
  </si>
  <si>
    <t>US Gas Swap      GD/D COL Onshore        15-28Feb02      USD/MM</t>
  </si>
  <si>
    <t>US Gas Swap      GD/D Chicago            15-28Feb02      USD/MM</t>
  </si>
  <si>
    <t>US Gas Swap      GD/D HHub               15-28Feb02      USD/MM</t>
  </si>
  <si>
    <t>US Gas Swap      GD/D Mich Con           14-28Feb02      USD/MM</t>
  </si>
  <si>
    <t>US Gas Swap      GD/D Mich Con           15-28Feb02      USD/MM</t>
  </si>
  <si>
    <t>US Gas Swap      GD/D PG&amp;E CtyGate       14-28Feb02      USD/MM</t>
  </si>
  <si>
    <t>US Gas Swap      GD/D TCO Pool           14-28Feb02      USD/MM</t>
  </si>
  <si>
    <t>US Gas Swap      GD/D TCO Pool           15-28Feb02      USD/MM</t>
  </si>
  <si>
    <t>US Gas Swap      GD/D Waha               14-28Feb02      USD/MM</t>
  </si>
  <si>
    <t>US Gas Swap      GD/D HHub               14-28Feb02      USD/MM</t>
  </si>
  <si>
    <t>US Gas Swap      GD/D PG&amp;E CtyGate       15-28Feb02      USD/MM</t>
  </si>
  <si>
    <t>US Gas Swap      GD/D Chicago            14-28Feb02      USD/MM</t>
  </si>
  <si>
    <t>US Gas Swap      GD/D SoCal              15-28Feb02      USD/MM</t>
  </si>
  <si>
    <t>US Gas Swap      GD/D Waha               15-28Feb02      USD/MM</t>
  </si>
  <si>
    <t>US Gas Swap      GD/D Consumers Pwr      14-28Feb02      USD/MM</t>
  </si>
  <si>
    <t>US Gas Swap      GD/D Consumers Pwr      15-28Feb02      USD/MM</t>
  </si>
  <si>
    <t>US Pwr PhyFirmLD Cinergy Peak            15-28Feb02      USD/MWh</t>
  </si>
  <si>
    <t>US Pwr PhyFirmLD Cinergy Peak            14-15Feb02      USD/MWh</t>
  </si>
  <si>
    <t>US Pwr PhyFirmLD Cinergy Peak            15Feb02         USD/MWh</t>
  </si>
  <si>
    <t>US Pwr PhyFirmLD Cinergy Peak            18-22Feb02      USD/MWh</t>
  </si>
  <si>
    <t>US Pwr PhyFirmLD PJM-W Peak              15-28Feb02      USD/MWh</t>
  </si>
  <si>
    <t>US Pwr PhyFirmLD PJM-W Peak              15Feb02         USD/MWh</t>
  </si>
  <si>
    <t>US Pwr PhyFirmLD PJM-W Peak              18-22Feb02      USD/MWh</t>
  </si>
  <si>
    <t>US Pwr PhyFirmLD Cinergy HE12-21         15Feb02         USD/MWh</t>
  </si>
  <si>
    <t>CAN Gas Phy      Dawn                    14Feb02         USD/MM</t>
  </si>
  <si>
    <t>CAN Gas Phy      Dawn                    15-28Feb02      USD/MM</t>
  </si>
  <si>
    <t>CAN Gas Phy      Niagara, TCPL           14Feb02         USD/MM</t>
  </si>
  <si>
    <t>CAN Gas Phy      Dawn                    14-28Feb02      USD/MM</t>
  </si>
  <si>
    <t>CAN Gas Phy      NIT                     13Feb02         CAD/GJ</t>
  </si>
  <si>
    <t>US Gas Phy       NGPL TxOk Intra         14Feb02         USD/MM</t>
  </si>
  <si>
    <t>US Gas Phy       TranscoZ6NNY            14Feb02         USD/MM</t>
  </si>
  <si>
    <t>US Pwr Fin Swap  ISO NY Z-J Peak         15Feb02         USD/MWh</t>
  </si>
  <si>
    <t>US Pwr Fin Swap  ISO NY Z-J Peak         18-22Feb02      USD/MWh</t>
  </si>
  <si>
    <t>US Pwr Fin Swap  ISO NY Z-J Peak         15-28Feb02      USD/MWh</t>
  </si>
  <si>
    <t>US Gas Phy       CIG Mainline            14Feb02         USD/MM</t>
  </si>
  <si>
    <t>US Gas Phy       WIC                     14Feb02         USD/MM</t>
  </si>
  <si>
    <t>US Gas Phy       Cheyenne Hub            14Feb02         USD/MM</t>
  </si>
  <si>
    <t>US Gas Phy       NGPL AmarilloML         14Feb02         USD/MM</t>
  </si>
  <si>
    <t>US Gas Phy Index Consumers NL1           Mar02           USD/MM</t>
  </si>
  <si>
    <t>US Gas Phy Index Consumers NL1           Apr02           USD/MM</t>
  </si>
  <si>
    <t>US Gas Phy Index Mich Con NL1            Mar02           USD/MM</t>
  </si>
  <si>
    <t>US Pwr Fin Swap  ISO NY Z-J Peak         Mar02           USD/MWh</t>
  </si>
  <si>
    <t>US Pwr Fin Swap  ISO NY Z-J Peak         Apr02           USD/MWh</t>
  </si>
  <si>
    <t>US Gas Swap      Nymex L1                May01           USD/MM</t>
  </si>
  <si>
    <t>US Gas Phy       NWPL RkyMtn Pool        14Feb02         USD/MM</t>
  </si>
  <si>
    <t>US Gas Swap      GD/D CIG(N.syst)        15-28Feb02      USD/MM</t>
  </si>
  <si>
    <t>Last Message: 1:13:07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</si>
</sst>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87E9265-2F70-5A43-5494-67AEAFD9E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7C1D33A9-AC48-A9DE-C63D-48224663C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752CCBD-1ADA-3A7F-F971-84128C389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50</v>
      </c>
      <c r="C1" s="47">
        <f>(M3+N3)/2</f>
        <v>0</v>
      </c>
      <c r="D1" s="48"/>
      <c r="E1" s="49"/>
      <c r="F1" s="50" t="s">
        <v>51</v>
      </c>
      <c r="G1" s="51">
        <f>C1-E4</f>
        <v>-2.375</v>
      </c>
      <c r="H1" s="130"/>
      <c r="I1" s="131"/>
      <c r="J1" s="135"/>
      <c r="M1" s="53" t="s">
        <v>52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53</v>
      </c>
      <c r="I2" s="54"/>
      <c r="L2" s="55"/>
      <c r="M2" s="56" t="s">
        <v>54</v>
      </c>
      <c r="N2" s="57" t="s">
        <v>20</v>
      </c>
    </row>
    <row r="3" spans="1:15" ht="14.25" thickTop="1" thickBot="1">
      <c r="B3" s="58"/>
      <c r="C3" s="59" t="s">
        <v>55</v>
      </c>
      <c r="D3" s="60" t="s">
        <v>56</v>
      </c>
      <c r="E3" s="61" t="s">
        <v>57</v>
      </c>
      <c r="F3" s="62" t="s">
        <v>56</v>
      </c>
      <c r="G3" s="63" t="s">
        <v>58</v>
      </c>
      <c r="H3" s="64" t="s">
        <v>98</v>
      </c>
      <c r="I3" s="65" t="s">
        <v>59</v>
      </c>
      <c r="L3" s="66" t="s">
        <v>58</v>
      </c>
      <c r="M3" s="67">
        <f>VLOOKUP(58074,EOL!D:H,4,0)</f>
        <v>0</v>
      </c>
      <c r="N3" s="68">
        <f>VLOOKUP(58074,EOL!D:H,5,0)</f>
        <v>0</v>
      </c>
    </row>
    <row r="4" spans="1:15" ht="13.5" thickTop="1">
      <c r="A4" s="69" t="s">
        <v>60</v>
      </c>
      <c r="B4" s="66" t="s">
        <v>32</v>
      </c>
      <c r="C4" s="70" t="str">
        <f>VLOOKUP(27763,EOL!D:H,3,0)</f>
        <v>-</v>
      </c>
      <c r="D4" s="71"/>
      <c r="E4" s="72">
        <f>IF(VLOOKUP(28312,EOL!D:K,8,0)="A",VLOOKUP(28312,EOL!D:K,3,0),IF(VLOOKUP(28251,EOL!D:K,8,0)="A",VLOOKUP(28251,EOL!D:K,3,0),"-"))</f>
        <v>2.375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98</v>
      </c>
      <c r="M4" s="67">
        <f>VLOOKUP(49615,EOL!D:H,4,0)</f>
        <v>0</v>
      </c>
      <c r="N4" s="68">
        <f>VLOOKUP(49615,EOL!D:H,5,0)</f>
        <v>0</v>
      </c>
      <c r="O4" s="134"/>
    </row>
    <row r="5" spans="1:15">
      <c r="A5" s="69" t="s">
        <v>61</v>
      </c>
      <c r="B5" s="66" t="s">
        <v>45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65</v>
      </c>
      <c r="M5" s="67">
        <f>VLOOKUP(35353,EOL!D:H,4,0)</f>
        <v>0</v>
      </c>
      <c r="N5" s="68">
        <f>VLOOKUP(35353,EOL!D:H,5,0)</f>
        <v>0</v>
      </c>
    </row>
    <row r="6" spans="1:15">
      <c r="A6" s="69" t="s">
        <v>62</v>
      </c>
      <c r="B6" s="66" t="s">
        <v>63</v>
      </c>
      <c r="C6" s="114" t="str">
        <f>VLOOKUP(27759,EOL!D:H,3,0)</f>
        <v>-</v>
      </c>
      <c r="D6" s="71" t="str">
        <f>IF(C6="-","-",C6-$C$4)</f>
        <v>-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66</v>
      </c>
      <c r="M6" s="87">
        <f>VLOOKUP(48724,EOL!D:H,4,0)</f>
        <v>0</v>
      </c>
      <c r="N6" s="88">
        <f>VLOOKUP(48724,EOL!D:H,5,0)</f>
        <v>0</v>
      </c>
      <c r="O6" s="135"/>
    </row>
    <row r="7" spans="1:15">
      <c r="A7" s="77" t="s">
        <v>64</v>
      </c>
      <c r="B7" s="78" t="s">
        <v>49</v>
      </c>
      <c r="C7" s="115" t="str">
        <f>VLOOKUP(27767,EOL!D:H,3,0)</f>
        <v>-</v>
      </c>
      <c r="D7" s="79" t="str">
        <f>IF(C7="-","-",C7-$C$4)</f>
        <v>-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67</v>
      </c>
      <c r="B10" s="58"/>
      <c r="C10" s="92" t="s">
        <v>55</v>
      </c>
      <c r="D10" s="93" t="s">
        <v>56</v>
      </c>
      <c r="E10" s="94" t="s">
        <v>57</v>
      </c>
      <c r="F10" s="125" t="s">
        <v>56</v>
      </c>
      <c r="G10" s="95" t="s">
        <v>58</v>
      </c>
      <c r="H10" s="96" t="s">
        <v>98</v>
      </c>
      <c r="I10" s="97" t="s">
        <v>59</v>
      </c>
      <c r="M10" s="98" t="s">
        <v>68</v>
      </c>
    </row>
    <row r="11" spans="1:15" ht="14.25" thickTop="1" thickBot="1">
      <c r="A11" s="91" t="s">
        <v>69</v>
      </c>
      <c r="B11" s="66" t="s">
        <v>70</v>
      </c>
      <c r="C11" s="114" t="str">
        <f>VLOOKUP(27947,EOL!D:H,3,0)</f>
        <v>-</v>
      </c>
      <c r="D11" s="71" t="str">
        <f>IF(C11="-","-",C11-$C$4)</f>
        <v>-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54</v>
      </c>
      <c r="N11" s="57" t="s">
        <v>20</v>
      </c>
    </row>
    <row r="12" spans="1:15" ht="13.5" thickTop="1">
      <c r="A12" s="91" t="s">
        <v>71</v>
      </c>
      <c r="B12" s="66" t="s">
        <v>47</v>
      </c>
      <c r="C12" s="114" t="str">
        <f>VLOOKUP(27830,EOL!D:H,3,0)</f>
        <v>-</v>
      </c>
      <c r="D12" s="71" t="str">
        <f>IF(C12="-","-",C12-$C$4)</f>
        <v>-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2</v>
      </c>
      <c r="M12" s="102">
        <f>VLOOKUP(49625,EOL!D:H,4,0)</f>
        <v>0</v>
      </c>
      <c r="N12" s="101">
        <f>VLOOKUP(49625,EOL!D:H,5,0)</f>
        <v>0</v>
      </c>
    </row>
    <row r="13" spans="1:15">
      <c r="A13" s="91" t="s">
        <v>72</v>
      </c>
      <c r="B13" s="66" t="s">
        <v>73</v>
      </c>
      <c r="C13" s="114" t="str">
        <f>VLOOKUP(27766,EOL!D:H,3,0)</f>
        <v>-</v>
      </c>
      <c r="D13" s="71" t="str">
        <f>IF(C13="-","-",C13-$C$4)</f>
        <v>-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3</v>
      </c>
      <c r="M13" s="148">
        <f>M5-N3</f>
        <v>0</v>
      </c>
      <c r="N13" s="88">
        <f>N5-M3</f>
        <v>0</v>
      </c>
    </row>
    <row r="14" spans="1:15">
      <c r="A14" s="91" t="s">
        <v>74</v>
      </c>
      <c r="B14" s="78" t="s">
        <v>75</v>
      </c>
      <c r="C14" s="115" t="str">
        <f>VLOOKUP(27754,EOL!D:H,3,0)</f>
        <v>-</v>
      </c>
      <c r="D14" s="79" t="str">
        <f>IF(C14="-","-",C14-$C$4)</f>
        <v>-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76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53</v>
      </c>
      <c r="I16" s="90"/>
      <c r="M16" s="139" t="s">
        <v>10</v>
      </c>
    </row>
    <row r="17" spans="1:15" ht="13.5" thickBot="1">
      <c r="A17" s="104" t="s">
        <v>77</v>
      </c>
      <c r="B17" s="58"/>
      <c r="C17" s="105" t="s">
        <v>55</v>
      </c>
      <c r="D17" s="93" t="s">
        <v>56</v>
      </c>
      <c r="E17" s="94" t="s">
        <v>57</v>
      </c>
      <c r="F17" s="125" t="s">
        <v>56</v>
      </c>
      <c r="G17" s="95" t="s">
        <v>58</v>
      </c>
      <c r="H17" s="96" t="s">
        <v>98</v>
      </c>
      <c r="I17" s="97" t="s">
        <v>59</v>
      </c>
      <c r="K17" s="84"/>
      <c r="L17" s="152" t="s">
        <v>15</v>
      </c>
      <c r="M17" s="136" t="s">
        <v>16</v>
      </c>
      <c r="N17" s="168" t="s">
        <v>58</v>
      </c>
      <c r="O17" s="174" t="s">
        <v>14</v>
      </c>
    </row>
    <row r="18" spans="1:15" ht="13.5" thickTop="1">
      <c r="A18" s="104" t="s">
        <v>78</v>
      </c>
      <c r="B18" s="66" t="s">
        <v>79</v>
      </c>
      <c r="C18" s="116" t="str">
        <f>VLOOKUP(27819,EOL!D:H,3,0)</f>
        <v>-</v>
      </c>
      <c r="D18" s="71" t="str">
        <f>IF(C18="-","-",C18-$C$4)</f>
        <v>-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11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 t="str">
        <f>IF(VLOOKUP(40519,EOL!D:K,8,0)="A",(VLOOKUP(40519,EOL!D:H,4,0)+VLOOKUP(40519,EOL!D:H,5,0))/2,"-")</f>
        <v>-</v>
      </c>
      <c r="O18" s="102" t="str">
        <f>IF(VLOOKUP(54962,EOL!D:K,8,0)="A",(VLOOKUP(54962,EOL!D:H,4,0)+VLOOKUP(54962,EOL!D:H,5,0))/2,"-")</f>
        <v>-</v>
      </c>
    </row>
    <row r="19" spans="1:15">
      <c r="A19" s="104" t="s">
        <v>80</v>
      </c>
      <c r="B19" s="66" t="s">
        <v>81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72</v>
      </c>
      <c r="B20" s="66" t="s">
        <v>82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12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83</v>
      </c>
      <c r="B21" s="66" t="s">
        <v>84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85</v>
      </c>
      <c r="B22" s="78" t="s">
        <v>86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13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 t="str">
        <f>IF(VLOOKUP(29066,EOL!D:K,8,0)="A",VLOOKUP(29066,EOL!D:K,3,0),IF(VLOOKUP(29066,EOL!D:K,8,0)="A",VLOOKUP(29066,EOL!D:K,3,0),"-"))</f>
        <v>-</v>
      </c>
    </row>
    <row r="23" spans="1:15">
      <c r="A23" s="104" t="s">
        <v>87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53</v>
      </c>
      <c r="I25" s="90"/>
      <c r="M25" s="53" t="s">
        <v>97</v>
      </c>
    </row>
    <row r="26" spans="1:15" ht="13.5" thickBot="1">
      <c r="A26" s="84"/>
      <c r="B26" s="107"/>
      <c r="C26" s="105" t="s">
        <v>55</v>
      </c>
      <c r="D26" s="108" t="s">
        <v>56</v>
      </c>
      <c r="E26" s="94" t="s">
        <v>57</v>
      </c>
      <c r="F26" s="125" t="s">
        <v>56</v>
      </c>
      <c r="G26" s="95" t="s">
        <v>58</v>
      </c>
      <c r="H26" s="96" t="s">
        <v>98</v>
      </c>
      <c r="I26" s="97" t="s">
        <v>59</v>
      </c>
      <c r="L26" s="149"/>
      <c r="M26" s="150" t="s">
        <v>19</v>
      </c>
      <c r="N26" s="151" t="s">
        <v>20</v>
      </c>
    </row>
    <row r="27" spans="1:15" ht="13.5" thickTop="1">
      <c r="A27" s="109" t="s">
        <v>88</v>
      </c>
      <c r="B27" s="110" t="s">
        <v>89</v>
      </c>
      <c r="C27" s="116" t="str">
        <f>VLOOKUP(27765,EOL!D:H,3,0)</f>
        <v>-</v>
      </c>
      <c r="D27" s="111" t="str">
        <f>IF(C27="-","-",C27-$C$4)</f>
        <v>-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0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90</v>
      </c>
      <c r="B28" s="110" t="s">
        <v>91</v>
      </c>
      <c r="C28" s="116" t="str">
        <f>VLOOKUP(27762,EOL!D:H,3,0)</f>
        <v>-</v>
      </c>
      <c r="D28" s="111" t="str">
        <f>IF(C28="-","-",C28-$C$4)</f>
        <v>-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1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92</v>
      </c>
      <c r="B29" s="110" t="s">
        <v>93</v>
      </c>
      <c r="C29" s="116" t="str">
        <f>VLOOKUP(33884,EOL!D:H,3,0)</f>
        <v>-</v>
      </c>
      <c r="D29" s="111" t="str">
        <f>IF(C29="-","-",C29-$C$4)</f>
        <v>-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94</v>
      </c>
      <c r="B30" s="112" t="s">
        <v>95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B1" sqref="B1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31</v>
      </c>
      <c r="B1" s="18">
        <f>'1'!C1</f>
        <v>0</v>
      </c>
      <c r="D1" s="185">
        <f>F1-B1</f>
        <v>2.0949999999999998</v>
      </c>
      <c r="E1" s="17" t="s">
        <v>32</v>
      </c>
      <c r="F1" s="19">
        <f>(VLOOKUP(27763,EOL!D:H,4,0)+VLOOKUP(27763,EOL!D:H,5,0))/2</f>
        <v>2.0949999999999998</v>
      </c>
      <c r="J1" s="20"/>
    </row>
    <row r="2" spans="1:11">
      <c r="H2" s="169" t="s">
        <v>6</v>
      </c>
    </row>
    <row r="3" spans="1:11">
      <c r="A3" s="21"/>
      <c r="B3" s="22"/>
      <c r="C3" s="22" t="s">
        <v>32</v>
      </c>
      <c r="D3" s="22" t="s">
        <v>33</v>
      </c>
      <c r="E3" s="22" t="s">
        <v>33</v>
      </c>
      <c r="F3" s="22" t="s">
        <v>33</v>
      </c>
      <c r="G3" s="23" t="s">
        <v>34</v>
      </c>
      <c r="H3" s="22" t="s">
        <v>8</v>
      </c>
      <c r="I3" s="22" t="s">
        <v>35</v>
      </c>
      <c r="J3" s="24" t="s">
        <v>36</v>
      </c>
      <c r="K3" s="24" t="s">
        <v>37</v>
      </c>
    </row>
    <row r="4" spans="1:11" ht="13.5" thickBot="1">
      <c r="A4" s="25"/>
      <c r="B4" s="26" t="s">
        <v>38</v>
      </c>
      <c r="C4" s="26" t="s">
        <v>39</v>
      </c>
      <c r="D4" s="26" t="s">
        <v>5</v>
      </c>
      <c r="E4" s="26" t="s">
        <v>40</v>
      </c>
      <c r="F4" s="26" t="s">
        <v>41</v>
      </c>
      <c r="G4" s="26" t="s">
        <v>42</v>
      </c>
      <c r="H4" s="26" t="s">
        <v>9</v>
      </c>
      <c r="I4" s="26" t="s">
        <v>43</v>
      </c>
      <c r="J4" s="27"/>
      <c r="K4" s="27"/>
    </row>
    <row r="5" spans="1:11" ht="16.5" thickTop="1">
      <c r="A5" s="28" t="s">
        <v>44</v>
      </c>
      <c r="B5" s="29">
        <f>(VLOOKUP(27947,EOL!D:H,4,0)+VLOOKUP(27947,EOL!D:H,5,0))/2</f>
        <v>2.6437499999999998</v>
      </c>
      <c r="C5" s="30">
        <f>B5-F1</f>
        <v>0.54875000000000007</v>
      </c>
      <c r="D5" s="176">
        <f>B5-F5</f>
        <v>0.55874999999999986</v>
      </c>
      <c r="E5" s="31" t="s">
        <v>45</v>
      </c>
      <c r="F5" s="32">
        <f>(VLOOKUP(27771,EOL!D:H,4,0)+VLOOKUP(27771,EOL!D:H,5,0))/2</f>
        <v>2.085</v>
      </c>
      <c r="G5" s="33">
        <f>VLOOKUP(27947,EOL!D:H,4,0)-VLOOKUP(27771,EOL!D:H,5,0)-I5</f>
        <v>0.3860071293772277</v>
      </c>
      <c r="H5" s="33">
        <f>I5-ABS(VLOOKUP(27947,EOL!D:H,5,0)-VLOOKUP(27771,EOL!D:H,4,0))</f>
        <v>-0.41850712937722745</v>
      </c>
      <c r="I5" s="34">
        <f>F5/(1-J5)-F5+K5</f>
        <v>0.15649287062277228</v>
      </c>
      <c r="J5" s="35">
        <v>4.6199999999999998E-2</v>
      </c>
      <c r="K5" s="36">
        <v>5.5500000000000001E-2</v>
      </c>
    </row>
    <row r="6" spans="1:11" ht="15.75">
      <c r="A6" s="28"/>
      <c r="B6" s="37"/>
      <c r="C6" s="37"/>
      <c r="D6" s="173"/>
      <c r="E6" s="31"/>
      <c r="F6" s="170">
        <f>F5-F1</f>
        <v>-9.9999999999997868E-3</v>
      </c>
      <c r="G6" s="33"/>
      <c r="H6" s="33"/>
      <c r="I6" s="34"/>
      <c r="J6" s="36"/>
      <c r="K6" s="36"/>
    </row>
    <row r="7" spans="1:11" ht="15.75">
      <c r="A7" s="28" t="s">
        <v>46</v>
      </c>
      <c r="B7" s="29">
        <f>(VLOOKUP(31834,EOL!D:H,4,0)+VLOOKUP(31834,EOL!D:H,5,0))/2</f>
        <v>2.46</v>
      </c>
      <c r="C7" s="30">
        <f>B7-F1</f>
        <v>0.36500000000000021</v>
      </c>
      <c r="D7" s="172">
        <f>B7-F7</f>
        <v>0.375</v>
      </c>
      <c r="E7" s="31" t="s">
        <v>45</v>
      </c>
      <c r="F7" s="32">
        <f>(VLOOKUP(27771,EOL!D:H,4,0)+VLOOKUP(27771,EOL!D:H,5,0))/2</f>
        <v>2.085</v>
      </c>
      <c r="G7" s="33">
        <f>VLOOKUP(31834,EOL!D:H,4,0)-VLOOKUP(27771,EOL!D:H,5,0)-I7</f>
        <v>0.1985071293772277</v>
      </c>
      <c r="H7" s="33">
        <f>I7-ABS(VLOOKUP(31834,EOL!D:H,5,0)-VLOOKUP(27771,EOL!D:H,4,0))</f>
        <v>-0.23850712937722773</v>
      </c>
      <c r="I7" s="34">
        <f>F7/(1-J7)-F7+K7</f>
        <v>0.15649287062277228</v>
      </c>
      <c r="J7" s="35">
        <v>4.6199999999999998E-2</v>
      </c>
      <c r="K7" s="36">
        <v>5.5500000000000001E-2</v>
      </c>
    </row>
    <row r="8" spans="1:11" ht="15.75">
      <c r="A8" s="28"/>
      <c r="B8" s="37"/>
      <c r="C8" s="37"/>
      <c r="D8" s="173"/>
      <c r="E8" s="31"/>
      <c r="F8" s="170">
        <f>F9-F1</f>
        <v>-5.4999999999999716E-2</v>
      </c>
      <c r="G8" s="33"/>
      <c r="H8" s="33"/>
      <c r="I8" s="34"/>
      <c r="J8" s="36"/>
      <c r="K8" s="36"/>
    </row>
    <row r="9" spans="1:11" ht="15.75">
      <c r="A9" s="28" t="s">
        <v>47</v>
      </c>
      <c r="B9" s="29">
        <f>(VLOOKUP(27830,EOL!D:H,4,0)+VLOOKUP(27830,EOL!D:H,5,0))/2</f>
        <v>2.3912500000000003</v>
      </c>
      <c r="C9" s="30">
        <f>B9-F1</f>
        <v>0.29625000000000057</v>
      </c>
      <c r="D9" s="172">
        <f>B9-F9</f>
        <v>0.35125000000000028</v>
      </c>
      <c r="E9" s="31" t="s">
        <v>48</v>
      </c>
      <c r="F9" s="32">
        <f>(VLOOKUP(27769,EOL!D:H,4,0)+VLOOKUP(27769,EOL!D:H,5,0))/2</f>
        <v>2.04</v>
      </c>
      <c r="G9" s="33">
        <f>VLOOKUP(27830,EOL!D:H,4,0)-VLOOKUP(27769,EOL!D:H,5,0)-I9</f>
        <v>1.5951323962079322E-2</v>
      </c>
      <c r="H9" s="33">
        <f>I9-ABS(VLOOKUP(27830,EOL!D:H,5,0)-VLOOKUP(27769,EOL!D:H,4,0))</f>
        <v>-0.10845132396207957</v>
      </c>
      <c r="I9" s="34">
        <f>F9/(1-J9)-F9+K9</f>
        <v>0.28904867603792084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0.35375000000000068</v>
      </c>
      <c r="E10" s="40" t="s">
        <v>49</v>
      </c>
      <c r="F10" s="41">
        <f>(VLOOKUP(27767,EOL!D:H,4,0)+VLOOKUP(27767,EOL!D:H,5,0))/2</f>
        <v>2.0374999999999996</v>
      </c>
      <c r="G10" s="42">
        <f>VLOOKUP(27830,EOL!D:H,4,0)-VLOOKUP(27767,EOL!D:H,5,0)-I10</f>
        <v>3.078857018687553E-2</v>
      </c>
      <c r="H10" s="42">
        <f>I10-ABS(VLOOKUP(27830,EOL!D:H,5,0)-VLOOKUP(27767,EOL!D:H,4,0))</f>
        <v>-0.11828857018687589</v>
      </c>
      <c r="I10" s="43">
        <f>F10/(1-J10)-F10+K10</f>
        <v>0.27921142981312452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-5.7500000000000107E-2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23</v>
      </c>
      <c r="C1" s="9" t="s">
        <v>179</v>
      </c>
    </row>
    <row r="2" spans="2:14">
      <c r="C2" s="1" t="s">
        <v>17</v>
      </c>
      <c r="D2" s="12" t="s">
        <v>18</v>
      </c>
      <c r="F2" s="119" t="s">
        <v>96</v>
      </c>
      <c r="G2" s="179" t="s">
        <v>19</v>
      </c>
      <c r="H2" s="180" t="s">
        <v>20</v>
      </c>
      <c r="I2" s="4" t="s">
        <v>21</v>
      </c>
      <c r="J2" s="5" t="s">
        <v>22</v>
      </c>
      <c r="K2" s="13" t="s">
        <v>24</v>
      </c>
    </row>
    <row r="3" spans="2:14">
      <c r="C3" s="2" t="s">
        <v>176</v>
      </c>
      <c r="D3" s="16">
        <v>41970</v>
      </c>
      <c r="E3" s="6"/>
      <c r="F3" s="119" t="str">
        <f>IF(AND(K3="A",ABS(G3)&gt;0,ABS(H3)&gt;0),(G3+H3)/2,"-")</f>
        <v>-</v>
      </c>
      <c r="G3" s="181">
        <v>4.87</v>
      </c>
      <c r="H3" s="181">
        <v>4.8899999999999997</v>
      </c>
      <c r="I3" s="8">
        <v>2500</v>
      </c>
      <c r="J3" s="8">
        <v>2500</v>
      </c>
      <c r="K3" s="14" t="s">
        <v>25</v>
      </c>
      <c r="L3" s="153"/>
    </row>
    <row r="4" spans="2:14">
      <c r="C4" s="2" t="s">
        <v>120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1"/>
      <c r="H4" s="181"/>
      <c r="I4" s="8"/>
      <c r="J4" s="8"/>
      <c r="K4" s="14" t="s">
        <v>25</v>
      </c>
      <c r="M4" s="15" t="s">
        <v>25</v>
      </c>
      <c r="N4" s="2" t="s">
        <v>30</v>
      </c>
    </row>
    <row r="5" spans="2:14">
      <c r="C5" s="2" t="s">
        <v>106</v>
      </c>
      <c r="D5" s="16">
        <v>27765</v>
      </c>
      <c r="E5" s="6"/>
      <c r="F5" s="119" t="str">
        <f t="shared" si="0"/>
        <v>-</v>
      </c>
      <c r="G5" s="181">
        <v>2.27</v>
      </c>
      <c r="H5" s="181">
        <v>2.31</v>
      </c>
      <c r="I5" s="8">
        <v>5000</v>
      </c>
      <c r="J5" s="8">
        <v>5000</v>
      </c>
      <c r="K5" s="14" t="s">
        <v>25</v>
      </c>
      <c r="M5" s="15" t="s">
        <v>26</v>
      </c>
      <c r="N5" s="2" t="s">
        <v>28</v>
      </c>
    </row>
    <row r="6" spans="2:14">
      <c r="C6" s="2" t="s">
        <v>114</v>
      </c>
      <c r="D6" s="16">
        <v>27817</v>
      </c>
      <c r="E6" s="6"/>
      <c r="F6" s="119" t="str">
        <f t="shared" si="0"/>
        <v>-</v>
      </c>
      <c r="G6" s="181"/>
      <c r="H6" s="181"/>
      <c r="I6" s="8"/>
      <c r="J6" s="8"/>
      <c r="K6" s="14" t="s">
        <v>25</v>
      </c>
      <c r="M6" s="15" t="s">
        <v>27</v>
      </c>
      <c r="N6" s="2" t="s">
        <v>29</v>
      </c>
    </row>
    <row r="7" spans="2:14">
      <c r="C7" s="2" t="s">
        <v>162</v>
      </c>
      <c r="D7" s="3">
        <v>31560</v>
      </c>
      <c r="E7" s="6"/>
      <c r="F7" s="119" t="str">
        <f t="shared" si="0"/>
        <v>-</v>
      </c>
      <c r="G7" s="181"/>
      <c r="H7" s="181"/>
      <c r="I7" s="8"/>
      <c r="J7" s="8"/>
      <c r="K7" s="14" t="s">
        <v>25</v>
      </c>
    </row>
    <row r="8" spans="2:14">
      <c r="C8" s="2" t="s">
        <v>117</v>
      </c>
      <c r="D8" s="3">
        <v>27824</v>
      </c>
      <c r="E8" s="6"/>
      <c r="F8" s="119" t="str">
        <f t="shared" si="0"/>
        <v>-</v>
      </c>
      <c r="G8" s="181"/>
      <c r="H8" s="181"/>
      <c r="I8" s="8"/>
      <c r="J8" s="8"/>
      <c r="K8" s="14" t="s">
        <v>25</v>
      </c>
    </row>
    <row r="9" spans="2:14">
      <c r="C9" s="2" t="s">
        <v>177</v>
      </c>
      <c r="D9" s="3">
        <v>43798</v>
      </c>
      <c r="E9" s="6"/>
      <c r="F9" s="119" t="str">
        <f t="shared" si="0"/>
        <v>-</v>
      </c>
      <c r="G9" s="181"/>
      <c r="H9" s="181"/>
      <c r="I9" s="8"/>
      <c r="J9" s="8"/>
      <c r="K9" s="14" t="s">
        <v>25</v>
      </c>
    </row>
    <row r="10" spans="2:14">
      <c r="C10" s="2" t="s">
        <v>119</v>
      </c>
      <c r="D10" s="3">
        <v>27826</v>
      </c>
      <c r="E10" s="6"/>
      <c r="F10" s="119" t="str">
        <f t="shared" si="0"/>
        <v>-</v>
      </c>
      <c r="G10" s="181"/>
      <c r="H10" s="181"/>
      <c r="I10" s="8"/>
      <c r="J10" s="8"/>
      <c r="K10" s="14" t="s">
        <v>25</v>
      </c>
    </row>
    <row r="11" spans="2:14">
      <c r="C11" s="2" t="s">
        <v>107</v>
      </c>
      <c r="D11" s="16">
        <v>27766</v>
      </c>
      <c r="E11" s="6"/>
      <c r="F11" s="119" t="str">
        <f t="shared" si="0"/>
        <v>-</v>
      </c>
      <c r="G11" s="181">
        <v>2.1724999999999999</v>
      </c>
      <c r="H11" s="181">
        <v>2.2075</v>
      </c>
      <c r="I11" s="8">
        <v>5000</v>
      </c>
      <c r="J11" s="8">
        <v>5000</v>
      </c>
      <c r="K11" s="14" t="s">
        <v>25</v>
      </c>
    </row>
    <row r="12" spans="2:14">
      <c r="C12" s="2" t="s">
        <v>121</v>
      </c>
      <c r="D12" s="16">
        <v>27830</v>
      </c>
      <c r="E12" s="6"/>
      <c r="F12" s="119" t="str">
        <f t="shared" si="0"/>
        <v>-</v>
      </c>
      <c r="G12" s="181">
        <v>2.355</v>
      </c>
      <c r="H12" s="181">
        <v>2.4275000000000002</v>
      </c>
      <c r="I12" s="8">
        <v>10000</v>
      </c>
      <c r="J12" s="8">
        <v>10000</v>
      </c>
      <c r="K12" s="14" t="s">
        <v>25</v>
      </c>
    </row>
    <row r="13" spans="2:14">
      <c r="C13" s="2" t="s">
        <v>122</v>
      </c>
      <c r="D13" s="16">
        <v>27947</v>
      </c>
      <c r="E13" s="6"/>
      <c r="F13" s="119" t="str">
        <f t="shared" si="0"/>
        <v>-</v>
      </c>
      <c r="G13" s="181">
        <v>2.6375000000000002</v>
      </c>
      <c r="H13" s="181">
        <v>2.65</v>
      </c>
      <c r="I13" s="8">
        <v>10000</v>
      </c>
      <c r="J13" s="8">
        <v>10000</v>
      </c>
      <c r="K13" s="14" t="s">
        <v>25</v>
      </c>
    </row>
    <row r="14" spans="2:14">
      <c r="C14" s="2" t="s">
        <v>104</v>
      </c>
      <c r="D14" s="16">
        <v>27763</v>
      </c>
      <c r="E14" s="6"/>
      <c r="F14" s="119" t="str">
        <f t="shared" si="0"/>
        <v>-</v>
      </c>
      <c r="G14" s="181">
        <v>2.09</v>
      </c>
      <c r="H14" s="181">
        <v>2.1</v>
      </c>
      <c r="I14" s="8">
        <v>20000</v>
      </c>
      <c r="J14" s="8">
        <v>20000</v>
      </c>
      <c r="K14" s="14" t="s">
        <v>25</v>
      </c>
    </row>
    <row r="15" spans="2:14">
      <c r="C15" s="2" t="s">
        <v>157</v>
      </c>
      <c r="D15" s="2">
        <v>29602</v>
      </c>
      <c r="E15" s="6"/>
      <c r="F15" s="119" t="str">
        <f t="shared" si="0"/>
        <v>-</v>
      </c>
      <c r="G15" s="181"/>
      <c r="H15" s="181"/>
      <c r="I15" s="8"/>
      <c r="J15" s="8"/>
      <c r="K15" s="14" t="s">
        <v>25</v>
      </c>
    </row>
    <row r="16" spans="2:14">
      <c r="C16" s="2" t="s">
        <v>161</v>
      </c>
      <c r="D16" s="2">
        <v>30854</v>
      </c>
      <c r="E16" s="6"/>
      <c r="F16" s="119" t="str">
        <f t="shared" si="0"/>
        <v>-</v>
      </c>
      <c r="G16" s="181">
        <v>2.86</v>
      </c>
      <c r="H16" s="181">
        <v>2.87</v>
      </c>
      <c r="I16" s="8">
        <v>5000</v>
      </c>
      <c r="J16" s="8">
        <v>5000</v>
      </c>
      <c r="K16" s="14" t="s">
        <v>25</v>
      </c>
    </row>
    <row r="17" spans="3:11">
      <c r="C17" s="2" t="s">
        <v>115</v>
      </c>
      <c r="D17" s="2">
        <v>27818</v>
      </c>
      <c r="E17" s="6"/>
      <c r="F17" s="119" t="str">
        <f t="shared" si="0"/>
        <v>-</v>
      </c>
      <c r="G17" s="181"/>
      <c r="H17" s="181"/>
      <c r="I17" s="8"/>
      <c r="J17" s="8"/>
      <c r="K17" s="14" t="s">
        <v>25</v>
      </c>
    </row>
    <row r="18" spans="3:11">
      <c r="C18" s="2" t="s">
        <v>170</v>
      </c>
      <c r="D18" s="2">
        <v>35041</v>
      </c>
      <c r="E18" s="6"/>
      <c r="F18" s="119" t="str">
        <f t="shared" si="0"/>
        <v>-</v>
      </c>
      <c r="G18" s="181"/>
      <c r="H18" s="181"/>
      <c r="I18" s="8"/>
      <c r="J18" s="8"/>
      <c r="K18" s="14" t="s">
        <v>25</v>
      </c>
    </row>
    <row r="19" spans="3:11">
      <c r="C19" s="2" t="s">
        <v>108</v>
      </c>
      <c r="D19" s="2">
        <v>27767</v>
      </c>
      <c r="E19" s="6"/>
      <c r="F19" s="119" t="str">
        <f t="shared" si="0"/>
        <v>-</v>
      </c>
      <c r="G19" s="181">
        <v>2.0299999999999998</v>
      </c>
      <c r="H19" s="181">
        <v>2.0449999999999999</v>
      </c>
      <c r="I19" s="8">
        <v>10000</v>
      </c>
      <c r="J19" s="8">
        <v>10000</v>
      </c>
      <c r="K19" s="14" t="s">
        <v>25</v>
      </c>
    </row>
    <row r="20" spans="3:11">
      <c r="C20" s="2" t="s">
        <v>113</v>
      </c>
      <c r="D20" s="2">
        <v>27815</v>
      </c>
      <c r="E20" s="6"/>
      <c r="F20" s="119" t="str">
        <f t="shared" si="0"/>
        <v>-</v>
      </c>
      <c r="G20" s="181">
        <v>2.08</v>
      </c>
      <c r="H20" s="181">
        <v>2.11</v>
      </c>
      <c r="I20" s="8">
        <v>10000</v>
      </c>
      <c r="J20" s="8">
        <v>10000</v>
      </c>
      <c r="K20" s="14" t="s">
        <v>25</v>
      </c>
    </row>
    <row r="21" spans="3:11">
      <c r="C21" s="2" t="s">
        <v>109</v>
      </c>
      <c r="D21" s="2">
        <v>27769</v>
      </c>
      <c r="E21" s="6"/>
      <c r="F21" s="119" t="str">
        <f t="shared" si="0"/>
        <v>-</v>
      </c>
      <c r="G21" s="181">
        <v>2.0299999999999998</v>
      </c>
      <c r="H21" s="181">
        <v>2.0499999999999998</v>
      </c>
      <c r="I21" s="8">
        <v>10000</v>
      </c>
      <c r="J21" s="8">
        <v>10000</v>
      </c>
      <c r="K21" s="14" t="s">
        <v>25</v>
      </c>
    </row>
    <row r="22" spans="3:11">
      <c r="C22" s="2" t="s">
        <v>163</v>
      </c>
      <c r="D22" s="2">
        <v>31834</v>
      </c>
      <c r="E22" s="6"/>
      <c r="F22" s="119" t="str">
        <f t="shared" si="0"/>
        <v>-</v>
      </c>
      <c r="G22" s="181">
        <v>2.4500000000000002</v>
      </c>
      <c r="H22" s="181">
        <v>2.4700000000000002</v>
      </c>
      <c r="I22" s="8">
        <v>10000</v>
      </c>
      <c r="J22" s="8">
        <v>10000</v>
      </c>
      <c r="K22" s="14" t="s">
        <v>25</v>
      </c>
    </row>
    <row r="23" spans="3:11">
      <c r="C23" s="2" t="s">
        <v>110</v>
      </c>
      <c r="D23" s="2">
        <v>27771</v>
      </c>
      <c r="E23" s="6"/>
      <c r="F23" s="119" t="str">
        <f t="shared" si="0"/>
        <v>-</v>
      </c>
      <c r="G23" s="181">
        <v>2.0750000000000002</v>
      </c>
      <c r="H23" s="181">
        <v>2.0950000000000002</v>
      </c>
      <c r="I23" s="8">
        <v>10000</v>
      </c>
      <c r="J23" s="8">
        <v>10000</v>
      </c>
      <c r="K23" s="14" t="s">
        <v>25</v>
      </c>
    </row>
    <row r="24" spans="3:11">
      <c r="D24" s="2">
        <v>27664</v>
      </c>
      <c r="E24" s="6"/>
      <c r="F24" s="119" t="str">
        <f t="shared" si="0"/>
        <v>-</v>
      </c>
      <c r="G24" s="181"/>
      <c r="H24" s="181"/>
      <c r="I24" s="8"/>
      <c r="J24" s="8"/>
    </row>
    <row r="25" spans="3:11">
      <c r="C25" s="2" t="s">
        <v>101</v>
      </c>
      <c r="D25" s="2">
        <v>27760</v>
      </c>
      <c r="E25" s="6"/>
      <c r="F25" s="119" t="str">
        <f t="shared" si="0"/>
        <v>-</v>
      </c>
      <c r="G25" s="181"/>
      <c r="H25" s="181"/>
      <c r="I25" s="8"/>
      <c r="J25" s="8"/>
      <c r="K25" s="14" t="s">
        <v>25</v>
      </c>
    </row>
    <row r="26" spans="3:11">
      <c r="C26" s="2" t="s">
        <v>112</v>
      </c>
      <c r="D26" s="2">
        <v>27814</v>
      </c>
      <c r="E26" s="6"/>
      <c r="F26" s="119" t="str">
        <f t="shared" si="0"/>
        <v>-</v>
      </c>
      <c r="G26" s="181"/>
      <c r="H26" s="181"/>
      <c r="I26" s="8"/>
      <c r="J26" s="8"/>
      <c r="K26" s="14" t="s">
        <v>25</v>
      </c>
    </row>
    <row r="27" spans="3:11">
      <c r="C27" s="2" t="s">
        <v>103</v>
      </c>
      <c r="D27" s="2">
        <v>27762</v>
      </c>
      <c r="E27" s="6"/>
      <c r="F27" s="119" t="str">
        <f t="shared" si="0"/>
        <v>-</v>
      </c>
      <c r="G27" s="181"/>
      <c r="H27" s="181"/>
      <c r="I27" s="8"/>
      <c r="J27" s="8"/>
      <c r="K27" s="14" t="s">
        <v>25</v>
      </c>
    </row>
    <row r="28" spans="3:11">
      <c r="C28" s="2" t="s">
        <v>102</v>
      </c>
      <c r="D28" s="2">
        <v>27761</v>
      </c>
      <c r="E28" s="6"/>
      <c r="F28" s="119" t="str">
        <f t="shared" si="0"/>
        <v>-</v>
      </c>
      <c r="G28" s="181"/>
      <c r="H28" s="181"/>
      <c r="I28" s="8"/>
      <c r="J28" s="8"/>
      <c r="K28" s="14" t="s">
        <v>25</v>
      </c>
    </row>
    <row r="29" spans="3:11">
      <c r="C29" s="2" t="s">
        <v>106</v>
      </c>
      <c r="D29" s="2">
        <v>27765</v>
      </c>
      <c r="E29" s="6"/>
      <c r="F29" s="119" t="str">
        <f t="shared" si="0"/>
        <v>-</v>
      </c>
      <c r="G29" s="181">
        <v>2.27</v>
      </c>
      <c r="H29" s="181">
        <v>2.31</v>
      </c>
      <c r="I29" s="8">
        <v>5000</v>
      </c>
      <c r="J29" s="8">
        <v>5000</v>
      </c>
      <c r="K29" s="14" t="s">
        <v>25</v>
      </c>
    </row>
    <row r="30" spans="3:11">
      <c r="C30" s="2" t="s">
        <v>118</v>
      </c>
      <c r="D30" s="2">
        <v>27825</v>
      </c>
      <c r="E30" s="6"/>
      <c r="F30" s="119" t="str">
        <f t="shared" si="0"/>
        <v>-</v>
      </c>
      <c r="G30" s="181"/>
      <c r="H30" s="181"/>
      <c r="I30" s="8"/>
      <c r="J30" s="8"/>
      <c r="K30" s="14" t="s">
        <v>25</v>
      </c>
    </row>
    <row r="31" spans="3:11">
      <c r="C31" s="2" t="s">
        <v>167</v>
      </c>
      <c r="D31" s="2">
        <v>33884</v>
      </c>
      <c r="E31" s="6"/>
      <c r="F31" s="119" t="str">
        <f t="shared" si="0"/>
        <v>-</v>
      </c>
      <c r="G31" s="181">
        <v>1.79</v>
      </c>
      <c r="H31" s="181">
        <v>1.81</v>
      </c>
      <c r="I31" s="8">
        <v>5000</v>
      </c>
      <c r="J31" s="8">
        <v>5000</v>
      </c>
      <c r="K31" s="14" t="s">
        <v>25</v>
      </c>
    </row>
    <row r="32" spans="3:11">
      <c r="C32" s="2" t="s">
        <v>169</v>
      </c>
      <c r="D32" s="2">
        <v>34860</v>
      </c>
      <c r="E32" s="6"/>
      <c r="F32" s="119" t="str">
        <f t="shared" si="0"/>
        <v>-</v>
      </c>
      <c r="G32" s="181">
        <v>1.78</v>
      </c>
      <c r="H32" s="181">
        <v>1.8</v>
      </c>
      <c r="I32" s="8">
        <v>5000</v>
      </c>
      <c r="J32" s="8">
        <v>5000</v>
      </c>
      <c r="K32" s="14" t="s">
        <v>25</v>
      </c>
    </row>
    <row r="33" spans="3:11">
      <c r="D33" s="2">
        <v>30016</v>
      </c>
      <c r="E33" s="6"/>
      <c r="F33" s="119" t="str">
        <f t="shared" si="0"/>
        <v>-</v>
      </c>
      <c r="G33" s="183"/>
      <c r="H33" s="183"/>
      <c r="I33" s="8"/>
      <c r="J33" s="8"/>
    </row>
    <row r="34" spans="3:11">
      <c r="C34" s="2" t="s">
        <v>168</v>
      </c>
      <c r="D34" s="2">
        <v>33885</v>
      </c>
      <c r="E34" s="6"/>
      <c r="F34" s="119" t="str">
        <f t="shared" si="0"/>
        <v>-</v>
      </c>
      <c r="G34" s="181">
        <v>1.79</v>
      </c>
      <c r="H34" s="181">
        <v>1.81</v>
      </c>
      <c r="I34" s="8">
        <v>5000</v>
      </c>
      <c r="J34" s="8">
        <v>5000</v>
      </c>
      <c r="K34" s="14" t="s">
        <v>25</v>
      </c>
    </row>
    <row r="35" spans="3:11">
      <c r="D35" s="2">
        <v>37322</v>
      </c>
      <c r="E35" s="6"/>
      <c r="F35" s="119" t="str">
        <f t="shared" si="0"/>
        <v>-</v>
      </c>
      <c r="G35" s="181"/>
      <c r="H35" s="181"/>
      <c r="I35" s="8"/>
      <c r="J35" s="8"/>
    </row>
    <row r="36" spans="3:11"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</row>
    <row r="37" spans="3:11">
      <c r="C37" s="2" t="s">
        <v>142</v>
      </c>
      <c r="D37" s="2">
        <v>28312</v>
      </c>
      <c r="E37" s="6"/>
      <c r="F37" s="119" t="str">
        <f t="shared" si="0"/>
        <v>-</v>
      </c>
      <c r="G37" s="181">
        <v>2.35</v>
      </c>
      <c r="H37" s="181">
        <v>2.36</v>
      </c>
      <c r="I37" s="8">
        <v>20000</v>
      </c>
      <c r="J37" s="8">
        <v>20000</v>
      </c>
      <c r="K37" s="14" t="s">
        <v>25</v>
      </c>
    </row>
    <row r="38" spans="3:11">
      <c r="C38" s="2" t="s">
        <v>135</v>
      </c>
      <c r="D38" s="2">
        <v>28251</v>
      </c>
      <c r="E38" s="6"/>
      <c r="F38" s="119">
        <f t="shared" si="0"/>
        <v>2.375</v>
      </c>
      <c r="G38" s="181">
        <v>2.37</v>
      </c>
      <c r="H38" s="181">
        <v>2.38</v>
      </c>
      <c r="I38" s="8">
        <v>20000</v>
      </c>
      <c r="J38" s="8">
        <v>20000</v>
      </c>
      <c r="K38" s="14" t="s">
        <v>26</v>
      </c>
    </row>
    <row r="39" spans="3:11">
      <c r="D39" s="2">
        <v>37882</v>
      </c>
      <c r="E39" s="6"/>
      <c r="F39" s="119" t="str">
        <f t="shared" si="0"/>
        <v>-</v>
      </c>
      <c r="G39" s="181"/>
      <c r="H39" s="181"/>
      <c r="I39" s="8"/>
      <c r="J39" s="8"/>
    </row>
    <row r="40" spans="3:11">
      <c r="D40" s="2">
        <v>37881</v>
      </c>
      <c r="E40" s="6"/>
      <c r="F40" s="119" t="str">
        <f t="shared" si="0"/>
        <v>-</v>
      </c>
      <c r="G40" s="181"/>
      <c r="H40" s="181"/>
      <c r="I40" s="8"/>
      <c r="J40" s="8"/>
    </row>
    <row r="41" spans="3:11">
      <c r="C41" s="2" t="s">
        <v>99</v>
      </c>
      <c r="D41" s="2">
        <v>27754</v>
      </c>
      <c r="E41" s="6"/>
      <c r="F41" s="119" t="str">
        <f t="shared" si="0"/>
        <v>-</v>
      </c>
      <c r="G41" s="181">
        <v>2.2850000000000001</v>
      </c>
      <c r="H41" s="181">
        <v>2.3199999999999998</v>
      </c>
      <c r="I41" s="8">
        <v>10000</v>
      </c>
      <c r="J41" s="8">
        <v>10000</v>
      </c>
      <c r="K41" s="14" t="s">
        <v>25</v>
      </c>
    </row>
    <row r="42" spans="3:11">
      <c r="D42" s="2">
        <v>36170</v>
      </c>
      <c r="E42" s="6"/>
      <c r="F42" s="119" t="str">
        <f t="shared" si="0"/>
        <v>-</v>
      </c>
      <c r="G42" s="181"/>
      <c r="H42" s="181"/>
      <c r="I42" s="8"/>
      <c r="J42" s="8"/>
    </row>
    <row r="43" spans="3:11">
      <c r="D43" s="2">
        <v>35000</v>
      </c>
      <c r="E43" s="6"/>
      <c r="F43" s="119" t="str">
        <f t="shared" si="0"/>
        <v>-</v>
      </c>
      <c r="G43" s="181"/>
      <c r="H43" s="181"/>
      <c r="I43" s="8"/>
      <c r="J43" s="8"/>
    </row>
    <row r="44" spans="3:11">
      <c r="D44" s="2">
        <v>37104</v>
      </c>
      <c r="E44" s="6"/>
      <c r="F44" s="119" t="str">
        <f t="shared" si="0"/>
        <v>-</v>
      </c>
      <c r="G44" s="181"/>
      <c r="H44" s="181"/>
      <c r="I44" s="8"/>
      <c r="J44" s="8"/>
    </row>
    <row r="45" spans="3:11">
      <c r="D45" s="2">
        <v>34999</v>
      </c>
      <c r="E45" s="6"/>
      <c r="F45" s="119" t="str">
        <f t="shared" si="0"/>
        <v>-</v>
      </c>
      <c r="G45" s="181"/>
      <c r="H45" s="181"/>
      <c r="I45" s="8"/>
      <c r="J45" s="8"/>
    </row>
    <row r="46" spans="3:11">
      <c r="D46" s="2">
        <v>36162</v>
      </c>
      <c r="E46" s="6"/>
      <c r="F46" s="119" t="str">
        <f t="shared" si="0"/>
        <v>-</v>
      </c>
      <c r="G46" s="181"/>
      <c r="H46" s="181"/>
      <c r="I46" s="8"/>
      <c r="J46" s="8"/>
    </row>
    <row r="47" spans="3:11">
      <c r="D47" s="2">
        <v>34998</v>
      </c>
      <c r="E47" s="6"/>
      <c r="F47" s="119" t="str">
        <f t="shared" si="0"/>
        <v>-</v>
      </c>
      <c r="G47" s="181"/>
      <c r="H47" s="181"/>
      <c r="I47" s="8"/>
      <c r="J47" s="8"/>
    </row>
    <row r="48" spans="3:11">
      <c r="D48" s="2">
        <v>37073</v>
      </c>
      <c r="E48" s="6"/>
      <c r="F48" s="119" t="str">
        <f t="shared" si="0"/>
        <v>-</v>
      </c>
      <c r="G48" s="181"/>
      <c r="H48" s="181"/>
      <c r="I48" s="8"/>
      <c r="J48" s="8"/>
    </row>
    <row r="49" spans="3:11">
      <c r="D49" s="2">
        <v>34993</v>
      </c>
      <c r="E49" s="6"/>
      <c r="F49" s="119" t="str">
        <f t="shared" si="0"/>
        <v>-</v>
      </c>
      <c r="G49" s="181"/>
      <c r="H49" s="181"/>
      <c r="I49" s="8"/>
      <c r="J49" s="8"/>
    </row>
    <row r="50" spans="3:11">
      <c r="C50" s="2" t="s">
        <v>105</v>
      </c>
      <c r="D50" s="2">
        <v>27764</v>
      </c>
      <c r="E50" s="6"/>
      <c r="F50" s="119" t="str">
        <f t="shared" si="0"/>
        <v>-</v>
      </c>
      <c r="G50" s="181">
        <v>2.04</v>
      </c>
      <c r="H50" s="181">
        <v>2.0499999999999998</v>
      </c>
      <c r="I50" s="8">
        <v>5000</v>
      </c>
      <c r="J50" s="8">
        <v>5000</v>
      </c>
      <c r="K50" s="14" t="s">
        <v>25</v>
      </c>
    </row>
    <row r="51" spans="3:11">
      <c r="C51" s="2" t="s">
        <v>157</v>
      </c>
      <c r="D51" s="2">
        <v>29602</v>
      </c>
      <c r="E51" s="6"/>
      <c r="F51" s="119" t="str">
        <f t="shared" si="0"/>
        <v>-</v>
      </c>
      <c r="G51" s="181"/>
      <c r="H51" s="181"/>
      <c r="I51" s="8"/>
      <c r="J51" s="8"/>
      <c r="K51" s="14" t="s">
        <v>25</v>
      </c>
    </row>
    <row r="52" spans="3:11">
      <c r="C52" s="2" t="s">
        <v>159</v>
      </c>
      <c r="D52" s="2">
        <v>29606</v>
      </c>
      <c r="E52" s="6"/>
      <c r="F52" s="119" t="str">
        <f t="shared" si="0"/>
        <v>-</v>
      </c>
      <c r="G52" s="181"/>
      <c r="H52" s="181"/>
      <c r="I52" s="8"/>
      <c r="J52" s="8"/>
      <c r="K52" s="14" t="s">
        <v>25</v>
      </c>
    </row>
    <row r="53" spans="3:11">
      <c r="D53" s="2">
        <v>29762</v>
      </c>
      <c r="E53" s="6"/>
      <c r="F53" s="119" t="str">
        <f t="shared" si="0"/>
        <v>-</v>
      </c>
      <c r="G53" s="181"/>
      <c r="H53" s="181"/>
      <c r="I53" s="8"/>
      <c r="J53" s="8"/>
    </row>
    <row r="54" spans="3:11"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</row>
    <row r="55" spans="3:11"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</row>
    <row r="56" spans="3:11">
      <c r="D56" s="2">
        <v>34973</v>
      </c>
      <c r="E56" s="6"/>
      <c r="F56" s="119" t="str">
        <f t="shared" si="0"/>
        <v>-</v>
      </c>
      <c r="G56" s="181"/>
      <c r="H56" s="181"/>
      <c r="I56" s="8"/>
      <c r="J56" s="8"/>
    </row>
    <row r="57" spans="3:11">
      <c r="D57" s="2">
        <v>36696</v>
      </c>
      <c r="E57" s="6"/>
      <c r="F57" s="119" t="str">
        <f t="shared" ref="F57:F106" si="1">IF(AND(K57="A",ABS(G57)&gt;0,ABS(H57)&gt;0),(G57+H57)/2,"-")</f>
        <v>-</v>
      </c>
      <c r="G57" s="181"/>
      <c r="H57" s="181"/>
      <c r="I57" s="8"/>
      <c r="J57" s="8"/>
    </row>
    <row r="58" spans="3:11">
      <c r="D58" s="2">
        <v>45213</v>
      </c>
      <c r="E58" s="6"/>
      <c r="F58" s="119" t="str">
        <f t="shared" si="1"/>
        <v>-</v>
      </c>
      <c r="G58" s="181"/>
      <c r="H58" s="181"/>
      <c r="I58" s="8"/>
      <c r="J58" s="8"/>
    </row>
    <row r="59" spans="3:11"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</row>
    <row r="60" spans="3:11"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</row>
    <row r="61" spans="3:11">
      <c r="D61" s="2">
        <v>35353</v>
      </c>
      <c r="E61" s="10"/>
      <c r="F61" s="119" t="str">
        <f t="shared" si="1"/>
        <v>-</v>
      </c>
      <c r="G61" s="181"/>
      <c r="H61" s="181"/>
      <c r="I61" s="8"/>
      <c r="J61" s="8"/>
    </row>
    <row r="62" spans="3:11">
      <c r="D62" s="2">
        <v>37879</v>
      </c>
      <c r="E62" s="6"/>
      <c r="F62" s="119" t="str">
        <f>IF(AND(K62="A",ABS(G62)&gt;=0,ABS(H62)&gt;=0),(G62+H62)/2,"-")</f>
        <v>-</v>
      </c>
      <c r="G62" s="181"/>
      <c r="H62" s="181"/>
      <c r="I62" s="8"/>
      <c r="J62" s="8"/>
    </row>
    <row r="63" spans="3:11">
      <c r="C63" s="2" t="s">
        <v>142</v>
      </c>
      <c r="D63" s="2">
        <v>28312</v>
      </c>
      <c r="E63" s="6"/>
      <c r="F63" s="119" t="str">
        <f t="shared" si="1"/>
        <v>-</v>
      </c>
      <c r="G63" s="181">
        <v>2.35</v>
      </c>
      <c r="H63" s="181">
        <v>2.36</v>
      </c>
      <c r="I63" s="8">
        <v>20000</v>
      </c>
      <c r="J63" s="8">
        <v>20000</v>
      </c>
      <c r="K63" s="14" t="s">
        <v>25</v>
      </c>
    </row>
    <row r="64" spans="3:11">
      <c r="C64" s="2" t="s">
        <v>135</v>
      </c>
      <c r="D64" s="2">
        <v>28251</v>
      </c>
      <c r="E64" s="6"/>
      <c r="F64" s="119">
        <f t="shared" si="1"/>
        <v>2.375</v>
      </c>
      <c r="G64" s="181">
        <v>2.37</v>
      </c>
      <c r="H64" s="181">
        <v>2.38</v>
      </c>
      <c r="I64" s="8">
        <v>20000</v>
      </c>
      <c r="J64" s="8">
        <v>20000</v>
      </c>
      <c r="K64" s="14" t="s">
        <v>26</v>
      </c>
    </row>
    <row r="65" spans="3:11">
      <c r="C65" s="2" t="s">
        <v>129</v>
      </c>
      <c r="D65" s="2">
        <v>28195</v>
      </c>
      <c r="E65" s="6"/>
      <c r="F65" s="119" t="str">
        <f t="shared" si="1"/>
        <v>-</v>
      </c>
      <c r="G65" s="181"/>
      <c r="H65" s="181"/>
      <c r="I65" s="8"/>
      <c r="J65" s="8"/>
      <c r="K65" s="14" t="s">
        <v>25</v>
      </c>
    </row>
    <row r="66" spans="3:11"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</row>
    <row r="67" spans="3:11">
      <c r="C67" s="2" t="s">
        <v>127</v>
      </c>
      <c r="D67" s="2">
        <v>28193</v>
      </c>
      <c r="E67" s="6"/>
      <c r="F67" s="119" t="str">
        <f t="shared" si="1"/>
        <v>-</v>
      </c>
      <c r="G67" s="181"/>
      <c r="H67" s="181"/>
      <c r="I67" s="8"/>
      <c r="J67" s="8"/>
      <c r="K67" s="14" t="s">
        <v>25</v>
      </c>
    </row>
    <row r="68" spans="3:11">
      <c r="C68" s="2" t="s">
        <v>123</v>
      </c>
      <c r="D68" s="2">
        <v>28164</v>
      </c>
      <c r="E68" s="6"/>
      <c r="F68" s="119" t="str">
        <f t="shared" si="1"/>
        <v>-</v>
      </c>
      <c r="G68" s="181"/>
      <c r="H68" s="181"/>
      <c r="I68" s="8"/>
      <c r="J68" s="8"/>
      <c r="K68" s="14" t="s">
        <v>25</v>
      </c>
    </row>
    <row r="69" spans="3:11">
      <c r="C69" s="2" t="s">
        <v>139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25</v>
      </c>
    </row>
    <row r="70" spans="3:11">
      <c r="C70" s="2" t="s">
        <v>140</v>
      </c>
      <c r="D70" s="2">
        <v>28271</v>
      </c>
      <c r="E70" s="6"/>
      <c r="F70" s="119" t="str">
        <f t="shared" si="1"/>
        <v>-</v>
      </c>
      <c r="G70" s="181"/>
      <c r="H70" s="181"/>
      <c r="I70" s="8"/>
      <c r="J70" s="8"/>
      <c r="K70" s="14" t="s">
        <v>25</v>
      </c>
    </row>
    <row r="71" spans="3:11">
      <c r="C71" s="2" t="s">
        <v>130</v>
      </c>
      <c r="D71" s="2">
        <v>28202</v>
      </c>
      <c r="E71" s="6"/>
      <c r="F71" s="119" t="str">
        <f t="shared" si="1"/>
        <v>-</v>
      </c>
      <c r="G71" s="181">
        <v>2.3374999999999999</v>
      </c>
      <c r="H71" s="181">
        <v>2.3774999999999999</v>
      </c>
      <c r="I71" s="8">
        <v>4000</v>
      </c>
      <c r="J71" s="8">
        <v>5000</v>
      </c>
      <c r="K71" s="14" t="s">
        <v>25</v>
      </c>
    </row>
    <row r="72" spans="3:11">
      <c r="C72" s="2" t="s">
        <v>131</v>
      </c>
      <c r="D72" s="2">
        <v>28203</v>
      </c>
      <c r="E72" s="6"/>
      <c r="F72" s="119" t="str">
        <f t="shared" si="1"/>
        <v>-</v>
      </c>
      <c r="G72" s="181"/>
      <c r="H72" s="181"/>
      <c r="I72" s="8"/>
      <c r="J72" s="8"/>
      <c r="K72" s="14" t="s">
        <v>25</v>
      </c>
    </row>
    <row r="73" spans="3:11">
      <c r="C73" s="2" t="s">
        <v>134</v>
      </c>
      <c r="D73" s="2">
        <v>28206</v>
      </c>
      <c r="E73" s="6"/>
      <c r="F73" s="119" t="str">
        <f t="shared" si="1"/>
        <v>-</v>
      </c>
      <c r="G73" s="181">
        <v>2.37</v>
      </c>
      <c r="H73" s="181">
        <v>2.38</v>
      </c>
      <c r="I73" s="8">
        <v>10000</v>
      </c>
      <c r="J73" s="8">
        <v>10000</v>
      </c>
      <c r="K73" s="14" t="s">
        <v>27</v>
      </c>
    </row>
    <row r="74" spans="3:11">
      <c r="C74" s="2" t="s">
        <v>144</v>
      </c>
      <c r="D74" s="2">
        <v>28319</v>
      </c>
      <c r="E74" s="6"/>
      <c r="F74" s="119" t="str">
        <f t="shared" si="1"/>
        <v>-</v>
      </c>
      <c r="G74" s="181">
        <v>2.3450000000000002</v>
      </c>
      <c r="H74" s="181">
        <v>2.355</v>
      </c>
      <c r="I74" s="8">
        <v>20000</v>
      </c>
      <c r="J74" s="8">
        <v>20000</v>
      </c>
      <c r="K74" s="14" t="s">
        <v>25</v>
      </c>
    </row>
    <row r="75" spans="3:11">
      <c r="C75" s="2" t="s">
        <v>147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25</v>
      </c>
    </row>
    <row r="76" spans="3:11">
      <c r="C76" s="2" t="s">
        <v>148</v>
      </c>
      <c r="D76" s="2">
        <v>28924</v>
      </c>
      <c r="E76" s="6"/>
      <c r="F76" s="119" t="str">
        <f t="shared" si="1"/>
        <v>-</v>
      </c>
      <c r="G76" s="181"/>
      <c r="H76" s="181"/>
      <c r="I76" s="8"/>
      <c r="J76" s="8"/>
      <c r="K76" s="14" t="s">
        <v>25</v>
      </c>
    </row>
    <row r="77" spans="3:11">
      <c r="C77" s="2" t="s">
        <v>136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25</v>
      </c>
    </row>
    <row r="78" spans="3:11">
      <c r="C78" s="2" t="s">
        <v>137</v>
      </c>
      <c r="D78" s="2">
        <v>28257</v>
      </c>
      <c r="E78" s="6"/>
      <c r="F78" s="119" t="str">
        <f t="shared" si="1"/>
        <v>-</v>
      </c>
      <c r="G78" s="181"/>
      <c r="H78" s="181"/>
      <c r="I78" s="8"/>
      <c r="J78" s="8"/>
      <c r="K78" s="14" t="s">
        <v>25</v>
      </c>
    </row>
    <row r="79" spans="3:11">
      <c r="C79" s="2" t="s">
        <v>160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25</v>
      </c>
    </row>
    <row r="80" spans="3:11">
      <c r="C80" s="2" t="s">
        <v>158</v>
      </c>
      <c r="D80" s="2">
        <v>29605</v>
      </c>
      <c r="E80" s="6"/>
      <c r="F80" s="119" t="str">
        <f t="shared" si="1"/>
        <v>-</v>
      </c>
      <c r="G80" s="181"/>
      <c r="H80" s="181"/>
      <c r="I80" s="8"/>
      <c r="J80" s="8"/>
      <c r="K80" s="14" t="s">
        <v>25</v>
      </c>
    </row>
    <row r="81" spans="3:11"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</row>
    <row r="82" spans="3:11">
      <c r="C82" s="2" t="s">
        <v>178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25</v>
      </c>
    </row>
    <row r="83" spans="3:11">
      <c r="C83" s="2" t="s">
        <v>146</v>
      </c>
      <c r="D83" s="2">
        <v>28325</v>
      </c>
      <c r="E83" s="6"/>
      <c r="F83" s="119" t="str">
        <f t="shared" si="1"/>
        <v>-</v>
      </c>
      <c r="G83" s="181"/>
      <c r="H83" s="181"/>
      <c r="I83" s="8"/>
      <c r="J83" s="8"/>
      <c r="K83" s="14" t="s">
        <v>25</v>
      </c>
    </row>
    <row r="84" spans="3:11">
      <c r="C84" s="2" t="s">
        <v>141</v>
      </c>
      <c r="D84" s="2">
        <v>28273</v>
      </c>
      <c r="E84" s="6"/>
      <c r="F84" s="119" t="str">
        <f t="shared" si="1"/>
        <v>-</v>
      </c>
      <c r="G84" s="181"/>
      <c r="H84" s="181"/>
      <c r="I84" s="8"/>
      <c r="J84" s="8"/>
      <c r="K84" s="14" t="s">
        <v>25</v>
      </c>
    </row>
    <row r="85" spans="3:11">
      <c r="C85" s="2" t="s">
        <v>143</v>
      </c>
      <c r="D85" s="2">
        <v>28317</v>
      </c>
      <c r="E85" s="6"/>
      <c r="F85" s="119" t="str">
        <f t="shared" si="1"/>
        <v>-</v>
      </c>
      <c r="G85" s="181"/>
      <c r="H85" s="181"/>
      <c r="I85" s="8"/>
      <c r="J85" s="8"/>
      <c r="K85" s="14" t="s">
        <v>25</v>
      </c>
    </row>
    <row r="86" spans="3:11">
      <c r="D86" s="2">
        <v>48144</v>
      </c>
      <c r="E86" s="6"/>
      <c r="F86" s="119" t="str">
        <f t="shared" si="1"/>
        <v>-</v>
      </c>
      <c r="G86" s="181"/>
      <c r="H86" s="181"/>
      <c r="I86" s="8"/>
      <c r="J86" s="8"/>
    </row>
    <row r="87" spans="3:11">
      <c r="D87" s="2">
        <v>48140</v>
      </c>
      <c r="E87" s="6"/>
      <c r="F87" s="119" t="str">
        <f t="shared" si="1"/>
        <v>-</v>
      </c>
      <c r="G87" s="181"/>
      <c r="H87" s="181"/>
      <c r="I87" s="8"/>
      <c r="J87" s="8"/>
    </row>
    <row r="88" spans="3:11">
      <c r="C88" s="2" t="s">
        <v>145</v>
      </c>
      <c r="D88" s="2">
        <v>28324</v>
      </c>
      <c r="E88" s="6"/>
      <c r="F88" s="119" t="str">
        <f t="shared" si="1"/>
        <v>-</v>
      </c>
      <c r="G88" s="181">
        <v>2.181</v>
      </c>
      <c r="H88" s="181">
        <v>2.2810000000000001</v>
      </c>
      <c r="I88" s="8">
        <v>10000</v>
      </c>
      <c r="J88" s="8">
        <v>10000</v>
      </c>
      <c r="K88" s="14" t="s">
        <v>25</v>
      </c>
    </row>
    <row r="89" spans="3:11">
      <c r="C89" s="2" t="s">
        <v>128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25</v>
      </c>
    </row>
    <row r="90" spans="3:11">
      <c r="C90" s="2" t="s">
        <v>125</v>
      </c>
      <c r="D90" s="2">
        <v>28166</v>
      </c>
      <c r="E90" s="6"/>
      <c r="F90" s="119" t="str">
        <f t="shared" si="1"/>
        <v>-</v>
      </c>
      <c r="G90" s="181"/>
      <c r="H90" s="181"/>
      <c r="I90" s="8"/>
      <c r="J90" s="8"/>
      <c r="K90" s="14" t="s">
        <v>25</v>
      </c>
    </row>
    <row r="91" spans="3:11">
      <c r="C91" s="2" t="s">
        <v>124</v>
      </c>
      <c r="D91" s="2">
        <v>28165</v>
      </c>
      <c r="E91" s="6"/>
      <c r="F91" s="119" t="str">
        <f t="shared" si="1"/>
        <v>-</v>
      </c>
      <c r="G91" s="181"/>
      <c r="H91" s="181"/>
      <c r="I91" s="8"/>
      <c r="J91" s="8"/>
      <c r="K91" s="14" t="s">
        <v>25</v>
      </c>
    </row>
    <row r="92" spans="3:11">
      <c r="C92" s="2" t="s">
        <v>126</v>
      </c>
      <c r="D92" s="2">
        <v>28167</v>
      </c>
      <c r="E92" s="6"/>
      <c r="F92" s="119" t="str">
        <f t="shared" si="1"/>
        <v>-</v>
      </c>
      <c r="G92" s="181">
        <v>3.19</v>
      </c>
      <c r="H92" s="181">
        <v>3.25</v>
      </c>
      <c r="I92" s="8">
        <v>4000</v>
      </c>
      <c r="J92" s="8">
        <v>5000</v>
      </c>
      <c r="K92" s="14" t="s">
        <v>25</v>
      </c>
    </row>
    <row r="93" spans="3:11">
      <c r="C93" s="2" t="s">
        <v>116</v>
      </c>
      <c r="D93" s="2">
        <v>27819</v>
      </c>
      <c r="E93" s="6"/>
      <c r="F93" s="119" t="str">
        <f t="shared" si="1"/>
        <v>-</v>
      </c>
      <c r="G93" s="181">
        <v>2.0299999999999998</v>
      </c>
      <c r="H93" s="181">
        <v>2.04</v>
      </c>
      <c r="I93" s="8">
        <v>15000</v>
      </c>
      <c r="J93" s="8">
        <v>15000</v>
      </c>
      <c r="K93" s="14" t="s">
        <v>25</v>
      </c>
    </row>
    <row r="94" spans="3:11">
      <c r="C94" s="2" t="s">
        <v>111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25</v>
      </c>
    </row>
    <row r="95" spans="3:11">
      <c r="C95" s="2" t="s">
        <v>100</v>
      </c>
      <c r="D95" s="2">
        <v>27759</v>
      </c>
      <c r="E95" s="6"/>
      <c r="F95" s="119" t="str">
        <f t="shared" si="1"/>
        <v>-</v>
      </c>
      <c r="G95" s="181">
        <v>2.0699999999999998</v>
      </c>
      <c r="H95" s="181">
        <v>2.1</v>
      </c>
      <c r="I95" s="8">
        <v>10000</v>
      </c>
      <c r="J95" s="8">
        <v>10000</v>
      </c>
      <c r="K95" s="14" t="s">
        <v>25</v>
      </c>
    </row>
    <row r="96" spans="3:11">
      <c r="D96" s="2">
        <v>48724</v>
      </c>
      <c r="E96" s="6"/>
      <c r="F96" s="119" t="str">
        <f t="shared" si="1"/>
        <v>-</v>
      </c>
      <c r="G96" s="183"/>
      <c r="H96" s="182"/>
      <c r="I96" s="8"/>
      <c r="J96" s="8"/>
    </row>
    <row r="97" spans="3:11">
      <c r="D97" s="2">
        <v>36094</v>
      </c>
      <c r="E97" s="6"/>
      <c r="F97" s="119" t="str">
        <f t="shared" si="1"/>
        <v>-</v>
      </c>
      <c r="G97" s="181"/>
      <c r="H97" s="181"/>
      <c r="I97" s="8"/>
      <c r="J97" s="8"/>
    </row>
    <row r="98" spans="3:11">
      <c r="D98" s="2">
        <v>37878</v>
      </c>
      <c r="E98" s="6"/>
      <c r="F98" s="119" t="str">
        <f t="shared" si="1"/>
        <v>-</v>
      </c>
      <c r="G98" s="181"/>
      <c r="H98" s="181"/>
      <c r="I98" s="8"/>
      <c r="J98" s="8"/>
    </row>
    <row r="99" spans="3:11">
      <c r="C99" s="2" t="s">
        <v>132</v>
      </c>
      <c r="D99" s="2">
        <v>28204</v>
      </c>
      <c r="E99" s="6"/>
      <c r="F99" s="119" t="str">
        <f t="shared" si="1"/>
        <v>-</v>
      </c>
      <c r="G99" s="181"/>
      <c r="H99" s="181"/>
      <c r="I99" s="8"/>
      <c r="J99" s="8"/>
      <c r="K99" s="14" t="s">
        <v>25</v>
      </c>
    </row>
    <row r="100" spans="3:11">
      <c r="C100" s="2" t="s">
        <v>133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25</v>
      </c>
    </row>
    <row r="101" spans="3:11"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</row>
    <row r="102" spans="3:11">
      <c r="D102" s="2">
        <v>49353</v>
      </c>
      <c r="E102" s="6"/>
      <c r="F102" s="119" t="str">
        <f t="shared" si="1"/>
        <v>-</v>
      </c>
      <c r="G102" s="181"/>
      <c r="H102" s="181"/>
      <c r="I102" s="8"/>
      <c r="J102" s="8"/>
    </row>
    <row r="103" spans="3:11">
      <c r="C103" s="2" t="s">
        <v>138</v>
      </c>
      <c r="D103" s="11">
        <v>28266</v>
      </c>
      <c r="E103" s="6"/>
      <c r="F103" s="119" t="str">
        <f t="shared" si="1"/>
        <v>-</v>
      </c>
      <c r="G103" s="181"/>
      <c r="H103" s="181"/>
      <c r="I103" s="8"/>
      <c r="J103" s="8"/>
      <c r="K103" s="14" t="s">
        <v>25</v>
      </c>
    </row>
    <row r="104" spans="3:11">
      <c r="D104" s="11">
        <v>49613</v>
      </c>
      <c r="E104" s="6"/>
      <c r="F104" s="119" t="str">
        <f t="shared" si="1"/>
        <v>-</v>
      </c>
      <c r="G104" s="181"/>
      <c r="H104" s="181"/>
      <c r="I104" s="8"/>
      <c r="J104" s="8"/>
    </row>
    <row r="105" spans="3:11">
      <c r="D105" s="11">
        <v>37084</v>
      </c>
      <c r="E105" s="6"/>
      <c r="F105" s="119" t="str">
        <f>IF(AND(K105="A",ABS(G105)&gt;=0,ABS(H105)&gt;=0),(G105+H105)/2,"-")</f>
        <v>-</v>
      </c>
      <c r="G105" s="181"/>
      <c r="H105" s="181"/>
      <c r="I105" s="8"/>
      <c r="J105" s="8"/>
    </row>
    <row r="106" spans="3:11">
      <c r="D106" s="11">
        <v>36095</v>
      </c>
      <c r="E106" s="6"/>
      <c r="F106" s="119" t="str">
        <f t="shared" si="1"/>
        <v>-</v>
      </c>
      <c r="G106" s="181"/>
      <c r="H106" s="181"/>
      <c r="I106" s="8"/>
      <c r="J106" s="8"/>
    </row>
    <row r="107" spans="3:11"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/>
      <c r="H107" s="181"/>
      <c r="I107" s="8"/>
      <c r="J107" s="8"/>
    </row>
    <row r="108" spans="3:11">
      <c r="D108" s="11">
        <v>36168</v>
      </c>
      <c r="E108" s="6"/>
      <c r="F108" s="119" t="str">
        <f t="shared" si="2"/>
        <v>-</v>
      </c>
      <c r="G108" s="181"/>
      <c r="H108" s="181"/>
      <c r="I108" s="8"/>
      <c r="J108" s="8"/>
    </row>
    <row r="109" spans="3:11">
      <c r="D109" s="11">
        <v>36170</v>
      </c>
      <c r="E109" s="6"/>
      <c r="F109" s="119" t="str">
        <f t="shared" si="2"/>
        <v>-</v>
      </c>
      <c r="G109" s="181"/>
      <c r="H109" s="181"/>
      <c r="I109" s="8"/>
      <c r="J109" s="8"/>
    </row>
    <row r="110" spans="3:11">
      <c r="D110" s="11">
        <v>36208</v>
      </c>
      <c r="E110" s="6"/>
      <c r="F110" s="119" t="str">
        <f t="shared" si="2"/>
        <v>-</v>
      </c>
      <c r="G110" s="181"/>
      <c r="H110" s="181"/>
      <c r="I110" s="8"/>
      <c r="J110" s="8"/>
    </row>
    <row r="111" spans="3:11">
      <c r="D111" s="11">
        <v>36423</v>
      </c>
      <c r="E111" s="6"/>
      <c r="F111" s="119" t="str">
        <f t="shared" si="2"/>
        <v>-</v>
      </c>
      <c r="G111" s="181"/>
      <c r="H111" s="181"/>
      <c r="I111" s="8"/>
      <c r="J111" s="8"/>
    </row>
    <row r="112" spans="3:11"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</row>
    <row r="113" spans="3:11">
      <c r="D113" s="11">
        <v>39258</v>
      </c>
      <c r="F113" s="119" t="str">
        <f t="shared" si="2"/>
        <v>-</v>
      </c>
      <c r="G113" s="181"/>
      <c r="H113" s="181"/>
      <c r="I113" s="8"/>
      <c r="J113" s="8"/>
    </row>
    <row r="114" spans="3:11">
      <c r="D114" s="11">
        <v>36214</v>
      </c>
      <c r="F114" s="119" t="str">
        <f t="shared" si="2"/>
        <v>-</v>
      </c>
      <c r="G114" s="181"/>
      <c r="H114" s="181"/>
      <c r="I114" s="8"/>
      <c r="J114" s="8"/>
    </row>
    <row r="115" spans="3:11">
      <c r="D115" s="11">
        <v>41313</v>
      </c>
      <c r="F115" s="119" t="str">
        <f t="shared" si="2"/>
        <v>-</v>
      </c>
      <c r="G115" s="181"/>
      <c r="H115" s="181"/>
      <c r="I115" s="8"/>
      <c r="J115" s="8"/>
    </row>
    <row r="116" spans="3:11">
      <c r="D116" s="11">
        <v>37042</v>
      </c>
      <c r="F116" s="119" t="str">
        <f t="shared" si="2"/>
        <v>-</v>
      </c>
      <c r="G116" s="181"/>
      <c r="H116" s="181"/>
      <c r="I116" s="8"/>
      <c r="J116" s="8"/>
    </row>
    <row r="117" spans="3:11">
      <c r="D117" s="11">
        <v>37036</v>
      </c>
      <c r="F117" s="119" t="str">
        <f t="shared" si="2"/>
        <v>-</v>
      </c>
      <c r="G117" s="181"/>
      <c r="H117" s="181"/>
      <c r="I117" s="8"/>
      <c r="J117" s="8"/>
    </row>
    <row r="118" spans="3:11">
      <c r="D118" s="11">
        <v>37033</v>
      </c>
      <c r="F118" s="119" t="str">
        <f t="shared" si="2"/>
        <v>-</v>
      </c>
      <c r="G118" s="181"/>
      <c r="H118" s="181"/>
      <c r="I118" s="8"/>
      <c r="J118" s="8"/>
    </row>
    <row r="119" spans="3:11">
      <c r="D119" s="11">
        <v>37001</v>
      </c>
      <c r="F119" s="119" t="str">
        <f t="shared" si="2"/>
        <v>-</v>
      </c>
      <c r="G119" s="181"/>
      <c r="H119" s="181"/>
      <c r="I119" s="8"/>
      <c r="J119" s="8"/>
    </row>
    <row r="120" spans="3:11">
      <c r="D120" s="11">
        <v>36463</v>
      </c>
      <c r="F120" s="119" t="str">
        <f t="shared" si="2"/>
        <v>-</v>
      </c>
      <c r="G120" s="181"/>
      <c r="H120" s="181"/>
      <c r="I120" s="8"/>
      <c r="J120" s="8"/>
    </row>
    <row r="121" spans="3:11">
      <c r="C121" s="2" t="s">
        <v>175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25</v>
      </c>
    </row>
    <row r="122" spans="3:11">
      <c r="D122" s="11">
        <v>36484</v>
      </c>
      <c r="F122" s="119" t="str">
        <f t="shared" si="2"/>
        <v>-</v>
      </c>
      <c r="G122" s="181"/>
      <c r="H122" s="181"/>
      <c r="I122" s="8"/>
      <c r="J122" s="8"/>
    </row>
    <row r="123" spans="3:11">
      <c r="C123" s="2" t="s">
        <v>156</v>
      </c>
      <c r="D123" s="11">
        <v>29565</v>
      </c>
      <c r="F123" s="119" t="str">
        <f t="shared" si="2"/>
        <v>-</v>
      </c>
      <c r="G123" s="181"/>
      <c r="H123" s="181"/>
      <c r="I123" s="8"/>
      <c r="J123" s="8"/>
      <c r="K123" s="14" t="s">
        <v>25</v>
      </c>
    </row>
    <row r="124" spans="3:11">
      <c r="C124" s="2" t="s">
        <v>156</v>
      </c>
      <c r="D124" s="11">
        <v>29565</v>
      </c>
      <c r="F124" s="119" t="str">
        <f t="shared" si="2"/>
        <v>-</v>
      </c>
      <c r="G124" s="181"/>
      <c r="H124" s="181"/>
      <c r="I124" s="8"/>
      <c r="J124" s="8"/>
      <c r="K124" s="14" t="s">
        <v>25</v>
      </c>
    </row>
    <row r="125" spans="3:11">
      <c r="C125" s="2" t="s">
        <v>151</v>
      </c>
      <c r="D125" s="11">
        <v>29067</v>
      </c>
      <c r="F125" s="119" t="str">
        <f t="shared" si="2"/>
        <v>-</v>
      </c>
      <c r="G125" s="181"/>
      <c r="H125" s="181"/>
      <c r="I125" s="8"/>
      <c r="J125" s="8"/>
      <c r="K125" s="14" t="s">
        <v>25</v>
      </c>
    </row>
    <row r="126" spans="3:11">
      <c r="C126" s="2" t="s">
        <v>152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25</v>
      </c>
    </row>
    <row r="127" spans="3:11">
      <c r="C127" s="2" t="s">
        <v>164</v>
      </c>
      <c r="D127" s="11">
        <v>32228</v>
      </c>
      <c r="F127" s="119" t="str">
        <f t="shared" si="2"/>
        <v>-</v>
      </c>
      <c r="G127" s="181"/>
      <c r="H127" s="181"/>
      <c r="I127" s="8"/>
      <c r="J127" s="8"/>
      <c r="K127" s="14" t="s">
        <v>25</v>
      </c>
    </row>
    <row r="128" spans="3:11">
      <c r="C128" s="2" t="s">
        <v>166</v>
      </c>
      <c r="D128" s="11">
        <v>32233</v>
      </c>
      <c r="F128" s="119" t="str">
        <f t="shared" si="2"/>
        <v>-</v>
      </c>
      <c r="G128" s="181"/>
      <c r="H128" s="181"/>
      <c r="I128" s="8"/>
      <c r="J128" s="8"/>
      <c r="K128" s="14" t="s">
        <v>25</v>
      </c>
    </row>
    <row r="129" spans="3:11">
      <c r="C129" s="2" t="s">
        <v>165</v>
      </c>
      <c r="D129" s="11">
        <v>32230</v>
      </c>
      <c r="F129" s="119" t="str">
        <f t="shared" si="2"/>
        <v>-</v>
      </c>
      <c r="G129" s="181"/>
      <c r="H129" s="181"/>
      <c r="I129" s="8"/>
      <c r="J129" s="8"/>
      <c r="K129" s="14" t="s">
        <v>25</v>
      </c>
    </row>
    <row r="130" spans="3:11">
      <c r="C130" s="2" t="s">
        <v>154</v>
      </c>
      <c r="D130" s="11">
        <v>29086</v>
      </c>
      <c r="F130" s="119" t="str">
        <f t="shared" si="2"/>
        <v>-</v>
      </c>
      <c r="G130" s="181"/>
      <c r="H130" s="181"/>
      <c r="I130" s="8"/>
      <c r="J130" s="8"/>
      <c r="K130" s="14" t="s">
        <v>25</v>
      </c>
    </row>
    <row r="131" spans="3:11">
      <c r="C131" s="2" t="s">
        <v>153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25</v>
      </c>
    </row>
    <row r="132" spans="3:11">
      <c r="C132" s="2" t="s">
        <v>155</v>
      </c>
      <c r="D132" s="11">
        <v>29089</v>
      </c>
      <c r="F132" s="119" t="str">
        <f t="shared" si="2"/>
        <v>-</v>
      </c>
      <c r="G132" s="181"/>
      <c r="H132" s="181"/>
      <c r="I132" s="8"/>
      <c r="J132" s="8"/>
      <c r="K132" s="14" t="s">
        <v>25</v>
      </c>
    </row>
    <row r="133" spans="3:11">
      <c r="C133" s="2" t="s">
        <v>149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25</v>
      </c>
    </row>
    <row r="134" spans="3:11">
      <c r="D134" s="11">
        <v>36484</v>
      </c>
      <c r="F134" s="119" t="str">
        <f t="shared" si="2"/>
        <v>-</v>
      </c>
      <c r="G134" s="181"/>
      <c r="H134" s="181"/>
      <c r="I134" s="8"/>
      <c r="J134" s="8"/>
    </row>
    <row r="135" spans="3:11">
      <c r="D135" s="11">
        <v>44329</v>
      </c>
      <c r="F135" s="119" t="str">
        <f t="shared" si="2"/>
        <v>-</v>
      </c>
      <c r="G135" s="181"/>
      <c r="H135" s="181"/>
      <c r="I135" s="8"/>
      <c r="J135" s="8"/>
    </row>
    <row r="136" spans="3:11">
      <c r="D136" s="11">
        <v>44395</v>
      </c>
      <c r="F136" s="119" t="str">
        <f t="shared" si="2"/>
        <v>-</v>
      </c>
      <c r="G136" s="181"/>
      <c r="H136" s="181"/>
      <c r="I136" s="8"/>
      <c r="J136" s="8"/>
    </row>
    <row r="137" spans="3:11">
      <c r="D137" s="11">
        <v>44329</v>
      </c>
      <c r="F137" s="119" t="str">
        <f t="shared" si="2"/>
        <v>-</v>
      </c>
      <c r="G137" s="181"/>
      <c r="H137" s="181"/>
      <c r="I137" s="8"/>
      <c r="J137" s="8"/>
    </row>
    <row r="138" spans="3:11">
      <c r="D138" s="11">
        <v>36462</v>
      </c>
      <c r="F138" s="119" t="str">
        <f t="shared" si="2"/>
        <v>-</v>
      </c>
      <c r="G138" s="181"/>
      <c r="H138" s="181"/>
      <c r="I138" s="8"/>
      <c r="J138" s="8"/>
    </row>
    <row r="139" spans="3:11">
      <c r="C139" s="2" t="s">
        <v>7</v>
      </c>
      <c r="D139" s="11">
        <v>32246</v>
      </c>
      <c r="F139" s="119" t="str">
        <f t="shared" si="2"/>
        <v>-</v>
      </c>
      <c r="G139" s="181"/>
      <c r="H139" s="181"/>
      <c r="I139" s="8"/>
      <c r="J139" s="8"/>
      <c r="K139" s="14" t="s">
        <v>25</v>
      </c>
    </row>
    <row r="140" spans="3:11">
      <c r="D140" s="11">
        <v>36169</v>
      </c>
      <c r="F140" s="119" t="str">
        <f t="shared" si="2"/>
        <v>-</v>
      </c>
      <c r="G140" s="181"/>
      <c r="H140" s="181"/>
      <c r="I140" s="8"/>
      <c r="J140" s="8"/>
    </row>
    <row r="141" spans="3:11">
      <c r="D141" s="11">
        <v>39352</v>
      </c>
      <c r="F141" s="119" t="str">
        <f t="shared" si="2"/>
        <v>-</v>
      </c>
      <c r="G141" s="181"/>
      <c r="H141" s="181"/>
      <c r="I141" s="8"/>
      <c r="J141" s="8"/>
    </row>
    <row r="142" spans="3:11">
      <c r="D142" s="11">
        <v>37083</v>
      </c>
      <c r="F142" s="119" t="str">
        <f>IF(AND(K142="A",ABS(G142)&gt;0,ABS(H142)&gt;=0),(G142+H142)/2,"-")</f>
        <v>-</v>
      </c>
      <c r="G142" s="181"/>
      <c r="H142" s="181"/>
      <c r="I142" s="8"/>
      <c r="J142" s="8"/>
    </row>
    <row r="143" spans="3:11">
      <c r="D143" s="11">
        <v>36167</v>
      </c>
      <c r="F143" s="119" t="str">
        <f t="shared" si="2"/>
        <v>-</v>
      </c>
      <c r="G143" s="181"/>
      <c r="H143" s="181"/>
      <c r="I143" s="8"/>
      <c r="J143" s="8"/>
    </row>
    <row r="144" spans="3:11">
      <c r="D144" s="11">
        <v>36165</v>
      </c>
      <c r="F144" s="119" t="str">
        <f t="shared" si="2"/>
        <v>-</v>
      </c>
      <c r="G144" s="181"/>
      <c r="H144" s="181"/>
      <c r="I144" s="8"/>
      <c r="J144" s="8"/>
    </row>
    <row r="145" spans="4:10">
      <c r="D145" s="11">
        <v>37103</v>
      </c>
      <c r="F145" s="119" t="str">
        <f t="shared" si="2"/>
        <v>-</v>
      </c>
      <c r="G145" s="181"/>
      <c r="H145" s="181"/>
      <c r="I145" s="8"/>
      <c r="J145" s="8"/>
    </row>
    <row r="146" spans="4:10">
      <c r="D146" s="11">
        <v>36161</v>
      </c>
      <c r="F146" s="119" t="str">
        <f t="shared" si="2"/>
        <v>-</v>
      </c>
      <c r="G146" s="181"/>
      <c r="H146" s="181"/>
      <c r="I146" s="8"/>
      <c r="J146" s="8"/>
    </row>
    <row r="147" spans="4:10">
      <c r="D147" s="11">
        <v>37071</v>
      </c>
      <c r="F147" s="119" t="str">
        <f t="shared" si="2"/>
        <v>-</v>
      </c>
      <c r="G147" s="181"/>
      <c r="H147" s="181"/>
      <c r="I147" s="8"/>
      <c r="J147" s="8"/>
    </row>
    <row r="148" spans="4:10">
      <c r="D148" s="11">
        <v>39326</v>
      </c>
      <c r="F148" s="119" t="str">
        <f t="shared" si="2"/>
        <v>-</v>
      </c>
      <c r="G148" s="181"/>
      <c r="H148" s="181"/>
      <c r="I148" s="8"/>
      <c r="J148" s="8"/>
    </row>
    <row r="149" spans="4:10">
      <c r="D149" s="11">
        <v>39312</v>
      </c>
      <c r="F149" s="119" t="str">
        <f t="shared" si="2"/>
        <v>-</v>
      </c>
      <c r="G149" s="181"/>
      <c r="H149" s="181"/>
      <c r="I149" s="8"/>
      <c r="J149" s="8"/>
    </row>
    <row r="150" spans="4:10">
      <c r="D150" s="11">
        <v>39110</v>
      </c>
      <c r="F150" s="119" t="str">
        <f t="shared" si="2"/>
        <v>-</v>
      </c>
      <c r="G150" s="181"/>
      <c r="H150" s="181"/>
      <c r="I150" s="8"/>
      <c r="J150" s="8"/>
    </row>
    <row r="151" spans="4:10">
      <c r="D151" s="11">
        <v>36100</v>
      </c>
      <c r="F151" s="119" t="str">
        <f t="shared" si="2"/>
        <v>-</v>
      </c>
      <c r="G151" s="181"/>
      <c r="H151" s="181"/>
      <c r="I151" s="8"/>
      <c r="J151" s="8"/>
    </row>
    <row r="152" spans="4:10">
      <c r="D152" s="11">
        <v>37016</v>
      </c>
      <c r="F152" s="119" t="str">
        <f t="shared" si="2"/>
        <v>-</v>
      </c>
      <c r="G152" s="181"/>
      <c r="H152" s="181"/>
      <c r="I152" s="8"/>
      <c r="J152" s="8"/>
    </row>
    <row r="153" spans="4:10">
      <c r="D153" s="11">
        <v>36207</v>
      </c>
      <c r="F153" s="119" t="str">
        <f t="shared" si="2"/>
        <v>-</v>
      </c>
      <c r="G153" s="181"/>
      <c r="H153" s="181"/>
      <c r="I153" s="8"/>
      <c r="J153" s="8"/>
    </row>
    <row r="154" spans="4:10">
      <c r="D154" s="11">
        <v>39354</v>
      </c>
      <c r="F154" s="119" t="str">
        <f t="shared" si="2"/>
        <v>-</v>
      </c>
      <c r="G154" s="182"/>
      <c r="H154" s="181"/>
      <c r="I154" s="8"/>
      <c r="J154" s="8"/>
    </row>
    <row r="155" spans="4:10">
      <c r="D155" s="11">
        <v>39328</v>
      </c>
      <c r="F155" s="119" t="str">
        <f t="shared" si="2"/>
        <v>-</v>
      </c>
      <c r="G155" s="181"/>
      <c r="H155" s="181"/>
      <c r="I155" s="8"/>
      <c r="J155" s="8"/>
    </row>
    <row r="156" spans="4:10">
      <c r="D156" s="11">
        <v>39314</v>
      </c>
      <c r="F156" s="119" t="str">
        <f t="shared" si="2"/>
        <v>-</v>
      </c>
      <c r="G156" s="183"/>
      <c r="H156" s="182"/>
      <c r="I156" s="8"/>
      <c r="J156" s="129"/>
    </row>
    <row r="157" spans="4:10">
      <c r="D157" s="11">
        <v>37001</v>
      </c>
      <c r="F157" s="119" t="str">
        <f t="shared" si="2"/>
        <v>-</v>
      </c>
      <c r="G157" s="181"/>
      <c r="H157" s="181"/>
      <c r="I157" s="8"/>
      <c r="J157" s="8"/>
    </row>
    <row r="158" spans="4:10">
      <c r="D158" s="11">
        <v>39256</v>
      </c>
      <c r="F158" s="119" t="str">
        <f t="shared" si="2"/>
        <v>-</v>
      </c>
      <c r="G158" s="181"/>
      <c r="H158" s="181"/>
      <c r="I158" s="8"/>
      <c r="J158" s="8"/>
    </row>
    <row r="159" spans="4:10">
      <c r="D159" s="11">
        <v>36213</v>
      </c>
      <c r="F159" s="119" t="str">
        <f t="shared" si="2"/>
        <v>-</v>
      </c>
      <c r="G159" s="181"/>
      <c r="H159" s="181"/>
      <c r="I159" s="8"/>
      <c r="J159" s="8"/>
    </row>
    <row r="160" spans="4:10">
      <c r="D160" s="11">
        <v>41283</v>
      </c>
      <c r="F160" s="119" t="str">
        <f t="shared" si="2"/>
        <v>-</v>
      </c>
      <c r="G160" s="181"/>
      <c r="H160" s="181"/>
      <c r="I160" s="8"/>
      <c r="J160" s="8"/>
    </row>
    <row r="161" spans="3:11">
      <c r="D161" s="11">
        <v>47099</v>
      </c>
      <c r="F161" s="119" t="str">
        <f t="shared" si="2"/>
        <v>-</v>
      </c>
      <c r="G161" s="181"/>
      <c r="H161" s="181"/>
      <c r="I161" s="8"/>
      <c r="J161" s="8"/>
    </row>
    <row r="162" spans="3:11">
      <c r="D162" s="11">
        <v>39260</v>
      </c>
      <c r="F162" s="119" t="str">
        <f t="shared" si="2"/>
        <v>-</v>
      </c>
      <c r="G162" s="181"/>
      <c r="H162" s="181"/>
      <c r="I162" s="8"/>
      <c r="J162" s="8"/>
    </row>
    <row r="163" spans="3:11">
      <c r="D163" s="11">
        <v>38914</v>
      </c>
      <c r="F163" s="119" t="str">
        <f t="shared" ref="F163:F196" si="3">IF(AND(K163="A",ABS(G163)&gt;0,ABS(H163)&gt;0),(G163+H163)/2,"-")</f>
        <v>-</v>
      </c>
      <c r="G163" s="181"/>
      <c r="H163" s="181"/>
      <c r="I163" s="8"/>
      <c r="J163" s="8"/>
    </row>
    <row r="164" spans="3:11">
      <c r="D164" s="11">
        <v>41281</v>
      </c>
      <c r="F164" s="119" t="str">
        <f t="shared" si="3"/>
        <v>-</v>
      </c>
      <c r="G164" s="181"/>
      <c r="H164" s="181"/>
      <c r="I164" s="8"/>
      <c r="J164" s="8"/>
    </row>
    <row r="165" spans="3:11">
      <c r="D165" s="11">
        <v>39370</v>
      </c>
      <c r="F165" s="119" t="str">
        <f t="shared" si="3"/>
        <v>-</v>
      </c>
      <c r="G165" s="181"/>
      <c r="H165" s="181"/>
      <c r="I165" s="8"/>
      <c r="J165" s="8"/>
    </row>
    <row r="166" spans="3:11">
      <c r="D166" s="11">
        <v>45213</v>
      </c>
      <c r="F166" s="119" t="str">
        <f t="shared" si="3"/>
        <v>-</v>
      </c>
      <c r="G166" s="181"/>
      <c r="H166" s="181"/>
      <c r="I166" s="8"/>
      <c r="J166" s="8"/>
    </row>
    <row r="167" spans="3:11">
      <c r="D167" s="11">
        <v>49143</v>
      </c>
      <c r="F167" s="119" t="str">
        <f t="shared" si="3"/>
        <v>-</v>
      </c>
      <c r="G167" s="181"/>
      <c r="H167" s="181"/>
      <c r="I167" s="8"/>
      <c r="J167" s="8"/>
    </row>
    <row r="168" spans="3:11">
      <c r="D168" s="11">
        <v>37116</v>
      </c>
      <c r="F168" s="119" t="str">
        <f t="shared" si="3"/>
        <v>-</v>
      </c>
      <c r="G168" s="181"/>
      <c r="H168" s="181"/>
      <c r="I168" s="8"/>
      <c r="J168" s="8"/>
    </row>
    <row r="169" spans="3:11">
      <c r="D169" s="11">
        <v>54054</v>
      </c>
      <c r="F169" s="119" t="str">
        <f t="shared" si="3"/>
        <v>-</v>
      </c>
      <c r="G169" s="181"/>
      <c r="H169" s="181"/>
      <c r="I169" s="8"/>
      <c r="J169" s="8"/>
    </row>
    <row r="170" spans="3:11">
      <c r="D170" s="11">
        <v>54070</v>
      </c>
      <c r="F170" s="119" t="str">
        <f t="shared" si="3"/>
        <v>-</v>
      </c>
      <c r="G170" s="181"/>
      <c r="H170" s="181"/>
      <c r="I170" s="8"/>
      <c r="J170" s="8"/>
    </row>
    <row r="171" spans="3:11">
      <c r="D171" s="11">
        <v>54050</v>
      </c>
      <c r="F171" s="119" t="str">
        <f t="shared" si="3"/>
        <v>-</v>
      </c>
      <c r="G171" s="181"/>
      <c r="H171" s="181"/>
      <c r="I171" s="8"/>
      <c r="J171" s="8"/>
    </row>
    <row r="172" spans="3:11">
      <c r="D172" s="11">
        <v>54062</v>
      </c>
      <c r="F172" s="119" t="str">
        <f t="shared" si="3"/>
        <v>-</v>
      </c>
      <c r="G172" s="181"/>
      <c r="H172" s="181"/>
      <c r="I172" s="8"/>
      <c r="J172" s="8"/>
    </row>
    <row r="173" spans="3:11">
      <c r="D173" s="11">
        <v>52722</v>
      </c>
      <c r="F173" s="119" t="str">
        <f t="shared" si="3"/>
        <v>-</v>
      </c>
      <c r="G173" s="181"/>
      <c r="H173" s="181"/>
      <c r="I173" s="8"/>
      <c r="J173" s="8"/>
    </row>
    <row r="174" spans="3:11">
      <c r="D174" s="11">
        <v>49615</v>
      </c>
      <c r="F174" s="119" t="str">
        <f t="shared" si="3"/>
        <v>-</v>
      </c>
      <c r="G174" s="181"/>
      <c r="H174" s="181"/>
      <c r="I174" s="8"/>
      <c r="J174" s="8"/>
    </row>
    <row r="175" spans="3:11">
      <c r="D175" s="11">
        <v>48730</v>
      </c>
      <c r="F175" s="119" t="str">
        <f t="shared" si="3"/>
        <v>-</v>
      </c>
      <c r="G175" s="181"/>
      <c r="H175" s="181"/>
      <c r="I175" s="8"/>
      <c r="J175" s="8"/>
    </row>
    <row r="176" spans="3:11">
      <c r="C176" s="2" t="s">
        <v>171</v>
      </c>
      <c r="D176" s="11">
        <v>37096</v>
      </c>
      <c r="F176" s="119" t="str">
        <f t="shared" si="3"/>
        <v>-</v>
      </c>
      <c r="G176" s="181"/>
      <c r="H176" s="181"/>
      <c r="I176" s="8"/>
      <c r="J176" s="8"/>
      <c r="K176" s="14" t="s">
        <v>25</v>
      </c>
    </row>
    <row r="177" spans="3:11">
      <c r="D177" s="11">
        <v>48788</v>
      </c>
      <c r="F177" s="119" t="str">
        <f t="shared" si="3"/>
        <v>-</v>
      </c>
      <c r="G177" s="181"/>
      <c r="H177" s="181"/>
      <c r="I177" s="8"/>
      <c r="J177" s="8"/>
    </row>
    <row r="178" spans="3:11">
      <c r="C178" s="2" t="s">
        <v>173</v>
      </c>
      <c r="D178" s="11">
        <v>37182</v>
      </c>
      <c r="F178" s="119" t="str">
        <f t="shared" si="3"/>
        <v>-</v>
      </c>
      <c r="G178" s="181"/>
      <c r="H178" s="181"/>
      <c r="I178" s="8"/>
      <c r="J178" s="8"/>
      <c r="K178" s="14" t="s">
        <v>25</v>
      </c>
    </row>
    <row r="179" spans="3:11">
      <c r="D179" s="11">
        <v>48738</v>
      </c>
      <c r="F179" s="119" t="str">
        <f t="shared" si="3"/>
        <v>-</v>
      </c>
      <c r="G179" s="181"/>
      <c r="H179" s="181"/>
      <c r="I179" s="8"/>
      <c r="J179" s="8"/>
    </row>
    <row r="180" spans="3:11">
      <c r="D180" s="11">
        <v>47664</v>
      </c>
      <c r="F180" s="119" t="str">
        <f t="shared" si="3"/>
        <v>-</v>
      </c>
      <c r="G180" s="181"/>
      <c r="H180" s="181"/>
      <c r="I180" s="8"/>
      <c r="J180" s="8"/>
    </row>
    <row r="181" spans="3:11">
      <c r="C181" s="2" t="s">
        <v>4</v>
      </c>
      <c r="D181" s="11">
        <v>49625</v>
      </c>
      <c r="F181" s="119" t="str">
        <f t="shared" si="3"/>
        <v>-</v>
      </c>
      <c r="G181" s="181"/>
      <c r="H181" s="181"/>
      <c r="I181" s="8"/>
      <c r="J181" s="8"/>
      <c r="K181" s="14" t="s">
        <v>25</v>
      </c>
    </row>
    <row r="182" spans="3:11">
      <c r="C182" s="2" t="s">
        <v>174</v>
      </c>
      <c r="D182" s="11">
        <v>40519</v>
      </c>
      <c r="F182" s="119" t="str">
        <f t="shared" si="3"/>
        <v>-</v>
      </c>
      <c r="G182" s="181"/>
      <c r="H182" s="181"/>
      <c r="I182" s="8"/>
      <c r="J182" s="8"/>
      <c r="K182" s="14" t="s">
        <v>25</v>
      </c>
    </row>
    <row r="183" spans="3:11">
      <c r="D183" s="11">
        <v>54117</v>
      </c>
      <c r="F183" s="119" t="str">
        <f t="shared" si="3"/>
        <v>-</v>
      </c>
      <c r="G183" s="181"/>
      <c r="H183" s="181"/>
      <c r="I183" s="8"/>
      <c r="J183" s="8"/>
    </row>
    <row r="184" spans="3:11">
      <c r="D184" s="11">
        <v>54962</v>
      </c>
      <c r="F184" s="119" t="str">
        <f t="shared" si="3"/>
        <v>-</v>
      </c>
      <c r="G184" s="181"/>
      <c r="H184" s="181"/>
      <c r="I184" s="8"/>
      <c r="J184" s="8"/>
    </row>
    <row r="185" spans="3:11">
      <c r="D185" s="11">
        <v>40993</v>
      </c>
      <c r="F185" s="119" t="str">
        <f t="shared" si="3"/>
        <v>-</v>
      </c>
      <c r="G185" s="181"/>
      <c r="H185" s="181"/>
      <c r="I185" s="8"/>
      <c r="J185" s="8"/>
    </row>
    <row r="186" spans="3:11">
      <c r="D186" s="11">
        <v>52917</v>
      </c>
      <c r="F186" s="119" t="str">
        <f t="shared" si="3"/>
        <v>-</v>
      </c>
      <c r="G186" s="181"/>
      <c r="H186" s="181"/>
      <c r="I186" s="8"/>
      <c r="J186" s="8"/>
    </row>
    <row r="187" spans="3:11">
      <c r="D187" s="11">
        <v>54992</v>
      </c>
      <c r="F187" s="119" t="str">
        <f t="shared" si="3"/>
        <v>-</v>
      </c>
      <c r="G187" s="181"/>
      <c r="H187" s="181"/>
      <c r="I187" s="8"/>
      <c r="J187" s="8"/>
    </row>
    <row r="188" spans="3:11">
      <c r="D188" s="11">
        <v>54994</v>
      </c>
      <c r="F188" s="119" t="str">
        <f t="shared" si="3"/>
        <v>-</v>
      </c>
      <c r="G188" s="181"/>
      <c r="H188" s="181"/>
      <c r="I188" s="8"/>
      <c r="J188" s="8"/>
    </row>
    <row r="189" spans="3:11">
      <c r="C189" s="2" t="s">
        <v>150</v>
      </c>
      <c r="D189" s="11">
        <v>29066</v>
      </c>
      <c r="F189" s="119" t="str">
        <f t="shared" si="3"/>
        <v>-</v>
      </c>
      <c r="G189" s="181"/>
      <c r="H189" s="181"/>
      <c r="I189" s="8"/>
      <c r="J189" s="8"/>
      <c r="K189" s="14" t="s">
        <v>25</v>
      </c>
    </row>
    <row r="190" spans="3:11">
      <c r="C190" s="2" t="s">
        <v>152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25</v>
      </c>
    </row>
    <row r="191" spans="3:11">
      <c r="D191" s="11">
        <v>40869</v>
      </c>
      <c r="F191" s="119" t="str">
        <f t="shared" si="3"/>
        <v>-</v>
      </c>
      <c r="G191" s="181"/>
      <c r="H191" s="181"/>
      <c r="I191" s="8"/>
      <c r="J191" s="8"/>
    </row>
    <row r="192" spans="3:11">
      <c r="D192" s="11">
        <v>44327</v>
      </c>
      <c r="F192" s="119" t="str">
        <f t="shared" si="3"/>
        <v>-</v>
      </c>
      <c r="G192" s="181"/>
      <c r="H192" s="181"/>
      <c r="I192" s="8"/>
      <c r="J192" s="8"/>
    </row>
    <row r="193" spans="3:11">
      <c r="C193" s="2" t="s">
        <v>172</v>
      </c>
      <c r="D193" s="11">
        <v>37098</v>
      </c>
      <c r="F193" s="119" t="str">
        <f t="shared" si="3"/>
        <v>-</v>
      </c>
      <c r="G193" s="181"/>
      <c r="H193" s="181"/>
      <c r="I193" s="8"/>
      <c r="J193" s="8"/>
      <c r="K193" s="14" t="s">
        <v>25</v>
      </c>
    </row>
    <row r="194" spans="3:11">
      <c r="D194" s="11">
        <v>36208</v>
      </c>
      <c r="F194" s="119" t="str">
        <f t="shared" si="3"/>
        <v>-</v>
      </c>
      <c r="G194" s="181"/>
      <c r="H194" s="181"/>
      <c r="I194" s="8"/>
      <c r="J194" s="8"/>
    </row>
    <row r="195" spans="3:11">
      <c r="D195" s="11">
        <v>58074</v>
      </c>
      <c r="F195" s="119" t="str">
        <f t="shared" si="3"/>
        <v>-</v>
      </c>
      <c r="G195" s="183"/>
      <c r="H195" s="183"/>
      <c r="I195" s="129"/>
      <c r="J195" s="175"/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2001-06-04T19:14:12Z</cp:lastPrinted>
  <dcterms:created xsi:type="dcterms:W3CDTF">1999-11-22T15:31:15Z</dcterms:created>
  <dcterms:modified xsi:type="dcterms:W3CDTF">2023-09-17T01:52:14Z</dcterms:modified>
</cp:coreProperties>
</file>