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355E000-FBE4-4087-8397-41918C543C1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Sheet1!$A$1:$M$57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G8" i="1"/>
  <c r="J8" i="1"/>
  <c r="K8" i="1"/>
  <c r="L8" i="1"/>
  <c r="F9" i="1"/>
  <c r="G9" i="1"/>
  <c r="J9" i="1"/>
  <c r="K9" i="1"/>
  <c r="L9" i="1"/>
  <c r="F10" i="1"/>
  <c r="G10" i="1"/>
  <c r="J10" i="1"/>
  <c r="K10" i="1"/>
  <c r="L10" i="1"/>
  <c r="F11" i="1"/>
  <c r="G11" i="1"/>
  <c r="J11" i="1"/>
  <c r="K11" i="1"/>
  <c r="L11" i="1"/>
  <c r="B12" i="1"/>
  <c r="E12" i="1"/>
  <c r="F12" i="1"/>
  <c r="G12" i="1"/>
  <c r="J12" i="1"/>
  <c r="K12" i="1"/>
  <c r="L12" i="1"/>
  <c r="F14" i="1"/>
  <c r="G14" i="1"/>
  <c r="J14" i="1"/>
  <c r="K14" i="1"/>
  <c r="L14" i="1"/>
  <c r="F15" i="1"/>
  <c r="G15" i="1"/>
  <c r="J15" i="1"/>
  <c r="K15" i="1"/>
  <c r="L15" i="1"/>
  <c r="F16" i="1"/>
  <c r="G16" i="1"/>
  <c r="J16" i="1"/>
  <c r="K16" i="1"/>
  <c r="L16" i="1"/>
  <c r="F17" i="1"/>
  <c r="G17" i="1"/>
  <c r="J17" i="1"/>
  <c r="K17" i="1"/>
  <c r="L17" i="1"/>
  <c r="F18" i="1"/>
  <c r="G18" i="1"/>
  <c r="J18" i="1"/>
  <c r="K18" i="1"/>
  <c r="L18" i="1"/>
  <c r="B19" i="1"/>
  <c r="E19" i="1"/>
  <c r="F19" i="1"/>
  <c r="G19" i="1"/>
  <c r="J19" i="1"/>
  <c r="K19" i="1"/>
  <c r="L19" i="1"/>
  <c r="B21" i="1"/>
  <c r="F21" i="1"/>
  <c r="G21" i="1"/>
  <c r="J21" i="1"/>
  <c r="K21" i="1"/>
  <c r="L21" i="1"/>
  <c r="O21" i="1"/>
  <c r="O22" i="1"/>
  <c r="F23" i="1"/>
  <c r="G23" i="1"/>
  <c r="J23" i="1"/>
  <c r="K23" i="1"/>
  <c r="L23" i="1"/>
  <c r="F24" i="1"/>
  <c r="G24" i="1"/>
  <c r="J24" i="1"/>
  <c r="K24" i="1"/>
  <c r="L24" i="1"/>
  <c r="B25" i="1"/>
  <c r="E25" i="1"/>
  <c r="F25" i="1"/>
  <c r="G25" i="1"/>
  <c r="J25" i="1"/>
  <c r="K25" i="1"/>
  <c r="L25" i="1"/>
  <c r="B27" i="1"/>
  <c r="F27" i="1"/>
  <c r="G27" i="1"/>
  <c r="J27" i="1"/>
  <c r="K27" i="1"/>
  <c r="L27" i="1"/>
  <c r="B29" i="1"/>
  <c r="F29" i="1"/>
  <c r="G29" i="1"/>
  <c r="J29" i="1"/>
  <c r="K29" i="1"/>
  <c r="L29" i="1"/>
  <c r="F32" i="1"/>
  <c r="G32" i="1"/>
  <c r="J32" i="1"/>
  <c r="K32" i="1"/>
  <c r="L32" i="1"/>
  <c r="F33" i="1"/>
  <c r="G33" i="1"/>
  <c r="J33" i="1"/>
  <c r="K33" i="1"/>
  <c r="L33" i="1"/>
  <c r="F34" i="1"/>
  <c r="G34" i="1"/>
  <c r="J34" i="1"/>
  <c r="K34" i="1"/>
  <c r="L34" i="1"/>
  <c r="B35" i="1"/>
  <c r="E35" i="1"/>
  <c r="F35" i="1"/>
  <c r="G35" i="1"/>
  <c r="J35" i="1"/>
  <c r="K35" i="1"/>
  <c r="L35" i="1"/>
  <c r="F39" i="1"/>
  <c r="G39" i="1"/>
  <c r="J39" i="1"/>
  <c r="K39" i="1"/>
  <c r="L39" i="1"/>
  <c r="F40" i="1"/>
  <c r="G40" i="1"/>
  <c r="F42" i="1"/>
  <c r="G42" i="1"/>
  <c r="J42" i="1"/>
  <c r="K42" i="1"/>
  <c r="L42" i="1"/>
  <c r="F43" i="1"/>
  <c r="G43" i="1"/>
  <c r="J43" i="1"/>
  <c r="K43" i="1"/>
  <c r="L43" i="1"/>
  <c r="F44" i="1"/>
  <c r="G44" i="1"/>
  <c r="J44" i="1"/>
  <c r="K44" i="1"/>
  <c r="L44" i="1"/>
  <c r="B45" i="1"/>
  <c r="E45" i="1"/>
  <c r="F45" i="1"/>
  <c r="G45" i="1"/>
  <c r="J45" i="1"/>
  <c r="K45" i="1"/>
  <c r="L45" i="1"/>
  <c r="F47" i="1"/>
  <c r="G47" i="1"/>
  <c r="J47" i="1"/>
  <c r="K47" i="1"/>
  <c r="L47" i="1"/>
  <c r="F48" i="1"/>
  <c r="G48" i="1"/>
  <c r="J48" i="1"/>
  <c r="K48" i="1"/>
  <c r="L48" i="1"/>
  <c r="B49" i="1"/>
  <c r="F49" i="1"/>
  <c r="G49" i="1"/>
  <c r="J49" i="1"/>
  <c r="K49" i="1"/>
  <c r="L49" i="1"/>
  <c r="F50" i="1"/>
  <c r="G50" i="1"/>
  <c r="K50" i="1"/>
  <c r="L50" i="1"/>
  <c r="B53" i="1"/>
  <c r="F53" i="1"/>
  <c r="G53" i="1"/>
  <c r="J53" i="1"/>
  <c r="K53" i="1"/>
  <c r="L53" i="1"/>
  <c r="G54" i="1"/>
  <c r="G55" i="1"/>
</calcChain>
</file>

<file path=xl/sharedStrings.xml><?xml version="1.0" encoding="utf-8"?>
<sst xmlns="http://schemas.openxmlformats.org/spreadsheetml/2006/main" count="63" uniqueCount="57">
  <si>
    <t>Independent</t>
  </si>
  <si>
    <t>Nomination</t>
  </si>
  <si>
    <t>Wellhead</t>
  </si>
  <si>
    <t>MTG</t>
  </si>
  <si>
    <t xml:space="preserve">Less fuel </t>
  </si>
  <si>
    <t>to Glennrock</t>
  </si>
  <si>
    <t>Confirmation</t>
  </si>
  <si>
    <t>MMBtu</t>
  </si>
  <si>
    <t>Firm Capacity</t>
  </si>
  <si>
    <t>IT</t>
  </si>
  <si>
    <t>Mcf</t>
  </si>
  <si>
    <t>Mmbtu</t>
  </si>
  <si>
    <t>Quantum</t>
  </si>
  <si>
    <t>Clydesdale</t>
  </si>
  <si>
    <t>Btu Factor</t>
  </si>
  <si>
    <t>Caballo</t>
  </si>
  <si>
    <t>Caballo Total</t>
  </si>
  <si>
    <t>Box Draw/So. Kitty/Maverick</t>
  </si>
  <si>
    <t>North Finn</t>
  </si>
  <si>
    <t>TOTAL ENA</t>
  </si>
  <si>
    <t>Fixed Volume at Glennrock</t>
  </si>
  <si>
    <t xml:space="preserve">Allocated </t>
  </si>
  <si>
    <t>mmBtu  at</t>
  </si>
  <si>
    <t>Glennrock</t>
  </si>
  <si>
    <t>mmcf  at</t>
  </si>
  <si>
    <t>Gas Avails. - Powder River</t>
  </si>
  <si>
    <t>Kennedy #1</t>
  </si>
  <si>
    <t>Kennedy #3</t>
  </si>
  <si>
    <t>Kennedy #2</t>
  </si>
  <si>
    <t>Kennedy #4</t>
  </si>
  <si>
    <t>S. Kitty #1</t>
  </si>
  <si>
    <t>S. Kitty #2</t>
  </si>
  <si>
    <t>S. Kitty #4</t>
  </si>
  <si>
    <t>S. Kitty #5</t>
  </si>
  <si>
    <t>Wellstar #1</t>
  </si>
  <si>
    <t>Wellstar #2</t>
  </si>
  <si>
    <t>Clydesdale #1</t>
  </si>
  <si>
    <t>Clydesdale #2</t>
  </si>
  <si>
    <t>Clydesdale #3</t>
  </si>
  <si>
    <t>Palomino #1</t>
  </si>
  <si>
    <t>Palomino #2</t>
  </si>
  <si>
    <t>Kennedy Box Draw Total</t>
  </si>
  <si>
    <t>Kennedy S. Kitty Total</t>
  </si>
  <si>
    <t>Wellstar Box Draw Total</t>
  </si>
  <si>
    <t>Maverick Total</t>
  </si>
  <si>
    <t>Box Draw Total</t>
  </si>
  <si>
    <t>Kennedy Total</t>
  </si>
  <si>
    <t>Phillips Palomino Total</t>
  </si>
  <si>
    <t>Phillips Clydesdale Total</t>
  </si>
  <si>
    <t>Phillips Total Production</t>
  </si>
  <si>
    <t>Kennedy</t>
  </si>
  <si>
    <t>Wellstar</t>
  </si>
  <si>
    <t>Independent Actual Flow</t>
  </si>
  <si>
    <t>Preliminary</t>
  </si>
  <si>
    <t>Geer #1</t>
  </si>
  <si>
    <t>S. Kitty #3</t>
  </si>
  <si>
    <t>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</si>
</sst>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6" formatCode="_(* #,##0_);_(* \(#,##0\);_(* &quot;-&quot;??_);_(@_)"/>
    <numFmt numFmtId="170" formatCode="0.000"/>
    <numFmt numFmtId="171" formatCode="mmmm\-yy"/>
    <numFmt numFmtId="174" formatCode="_(* #,##0_);_(* \(#,##0\);_(* &quot;-&quot;???_);_(@_)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2">
    <xf numFmtId="0" fontId="0" fillId="0" borderId="0" xfId="0"/>
    <xf numFmtId="0" fontId="2" fillId="0" borderId="0" xfId="0" applyFont="1"/>
    <xf numFmtId="17" fontId="2" fillId="0" borderId="0" xfId="0" applyNumberFormat="1" applyFont="1" applyAlignment="1">
      <alignment horizontal="left"/>
    </xf>
    <xf numFmtId="0" fontId="0" fillId="0" borderId="1" xfId="0" applyBorder="1"/>
    <xf numFmtId="0" fontId="0" fillId="0" borderId="2" xfId="0" applyBorder="1"/>
    <xf numFmtId="1" fontId="0" fillId="0" borderId="0" xfId="0" applyNumberFormat="1"/>
    <xf numFmtId="0" fontId="3" fillId="0" borderId="0" xfId="0" applyFont="1"/>
    <xf numFmtId="0" fontId="0" fillId="0" borderId="0" xfId="0" applyAlignment="1">
      <alignment horizontal="right"/>
    </xf>
    <xf numFmtId="0" fontId="5" fillId="0" borderId="0" xfId="0" applyFont="1"/>
    <xf numFmtId="0" fontId="0" fillId="0" borderId="3" xfId="0" applyBorder="1"/>
    <xf numFmtId="0" fontId="0" fillId="0" borderId="0" xfId="0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2" fillId="0" borderId="0" xfId="0" applyFont="1" applyBorder="1"/>
    <xf numFmtId="0" fontId="2" fillId="0" borderId="7" xfId="0" applyFont="1" applyBorder="1"/>
    <xf numFmtId="0" fontId="5" fillId="0" borderId="0" xfId="0" applyFont="1" applyBorder="1"/>
    <xf numFmtId="0" fontId="2" fillId="0" borderId="5" xfId="0" applyFont="1" applyBorder="1"/>
    <xf numFmtId="166" fontId="3" fillId="0" borderId="5" xfId="1" applyNumberFormat="1" applyFont="1" applyBorder="1"/>
    <xf numFmtId="166" fontId="3" fillId="0" borderId="7" xfId="1" applyNumberFormat="1" applyFont="1" applyBorder="1"/>
    <xf numFmtId="0" fontId="3" fillId="0" borderId="0" xfId="0" applyFont="1" applyBorder="1"/>
    <xf numFmtId="166" fontId="3" fillId="0" borderId="0" xfId="1" applyNumberFormat="1" applyFont="1" applyBorder="1"/>
    <xf numFmtId="0" fontId="9" fillId="0" borderId="0" xfId="0" applyFont="1" applyBorder="1"/>
    <xf numFmtId="170" fontId="9" fillId="0" borderId="5" xfId="0" applyNumberFormat="1" applyFont="1" applyBorder="1"/>
    <xf numFmtId="170" fontId="9" fillId="0" borderId="0" xfId="0" applyNumberFormat="1" applyFont="1" applyBorder="1"/>
    <xf numFmtId="170" fontId="9" fillId="0" borderId="7" xfId="0" applyNumberFormat="1" applyFont="1" applyBorder="1"/>
    <xf numFmtId="171" fontId="8" fillId="0" borderId="0" xfId="0" applyNumberFormat="1" applyFont="1" applyAlignment="1">
      <alignment horizontal="left"/>
    </xf>
    <xf numFmtId="166" fontId="0" fillId="0" borderId="0" xfId="0" applyNumberFormat="1"/>
    <xf numFmtId="0" fontId="3" fillId="0" borderId="0" xfId="0" applyFont="1" applyFill="1" applyBorder="1" applyAlignment="1">
      <alignment horizontal="right"/>
    </xf>
    <xf numFmtId="166" fontId="11" fillId="0" borderId="0" xfId="0" applyNumberFormat="1" applyFont="1" applyBorder="1"/>
    <xf numFmtId="166" fontId="3" fillId="0" borderId="0" xfId="0" applyNumberFormat="1" applyFont="1" applyBorder="1"/>
    <xf numFmtId="0" fontId="0" fillId="0" borderId="3" xfId="0" applyFill="1" applyBorder="1"/>
    <xf numFmtId="1" fontId="3" fillId="0" borderId="3" xfId="0" applyNumberFormat="1" applyFont="1" applyFill="1" applyBorder="1"/>
    <xf numFmtId="1" fontId="3" fillId="0" borderId="0" xfId="0" applyNumberFormat="1" applyFont="1" applyFill="1" applyBorder="1"/>
    <xf numFmtId="166" fontId="3" fillId="0" borderId="0" xfId="1" applyNumberFormat="1" applyFont="1" applyFill="1" applyBorder="1"/>
    <xf numFmtId="166" fontId="3" fillId="0" borderId="7" xfId="1" applyNumberFormat="1" applyFont="1" applyFill="1" applyBorder="1"/>
    <xf numFmtId="1" fontId="5" fillId="0" borderId="0" xfId="0" applyNumberFormat="1" applyFont="1" applyFill="1" applyBorder="1"/>
    <xf numFmtId="0" fontId="0" fillId="0" borderId="0" xfId="0" applyFill="1" applyBorder="1"/>
    <xf numFmtId="1" fontId="3" fillId="0" borderId="0" xfId="0" applyNumberFormat="1" applyFont="1" applyBorder="1"/>
    <xf numFmtId="1" fontId="4" fillId="0" borderId="0" xfId="0" applyNumberFormat="1" applyFon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6" fontId="3" fillId="0" borderId="12" xfId="1" applyNumberFormat="1" applyFont="1" applyBorder="1"/>
    <xf numFmtId="166" fontId="3" fillId="0" borderId="13" xfId="1" applyNumberFormat="1" applyFont="1" applyBorder="1"/>
    <xf numFmtId="166" fontId="3" fillId="0" borderId="14" xfId="1" applyNumberFormat="1" applyFont="1" applyBorder="1"/>
    <xf numFmtId="166" fontId="11" fillId="0" borderId="13" xfId="0" applyNumberFormat="1" applyFont="1" applyBorder="1"/>
    <xf numFmtId="0" fontId="5" fillId="0" borderId="13" xfId="0" applyFont="1" applyBorder="1"/>
    <xf numFmtId="1" fontId="3" fillId="0" borderId="12" xfId="0" applyNumberFormat="1" applyFont="1" applyBorder="1"/>
    <xf numFmtId="1" fontId="3" fillId="0" borderId="13" xfId="0" applyNumberFormat="1" applyFont="1" applyBorder="1"/>
    <xf numFmtId="166" fontId="0" fillId="0" borderId="0" xfId="1" applyNumberFormat="1" applyFont="1"/>
    <xf numFmtId="1" fontId="6" fillId="0" borderId="0" xfId="0" applyNumberFormat="1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166" fontId="5" fillId="0" borderId="0" xfId="1" applyNumberFormat="1" applyFont="1"/>
    <xf numFmtId="166" fontId="0" fillId="0" borderId="0" xfId="1" applyNumberFormat="1" applyFont="1" applyFill="1" applyBorder="1"/>
    <xf numFmtId="166" fontId="0" fillId="0" borderId="0" xfId="0" applyNumberFormat="1" applyBorder="1"/>
    <xf numFmtId="1" fontId="0" fillId="0" borderId="0" xfId="0" applyNumberFormat="1" applyBorder="1"/>
    <xf numFmtId="166" fontId="0" fillId="0" borderId="0" xfId="1" applyNumberFormat="1" applyFont="1" applyBorder="1"/>
    <xf numFmtId="0" fontId="0" fillId="0" borderId="1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3" xfId="0" applyBorder="1"/>
    <xf numFmtId="166" fontId="3" fillId="0" borderId="3" xfId="1" applyNumberFormat="1" applyFont="1" applyFill="1" applyBorder="1"/>
    <xf numFmtId="166" fontId="11" fillId="0" borderId="13" xfId="1" applyNumberFormat="1" applyFont="1" applyBorder="1"/>
    <xf numFmtId="166" fontId="3" fillId="0" borderId="17" xfId="1" applyNumberFormat="1" applyFont="1" applyFill="1" applyBorder="1"/>
    <xf numFmtId="166" fontId="11" fillId="0" borderId="14" xfId="1" applyNumberFormat="1" applyFont="1" applyBorder="1"/>
    <xf numFmtId="166" fontId="11" fillId="0" borderId="3" xfId="1" applyNumberFormat="1" applyFont="1" applyFill="1" applyBorder="1"/>
    <xf numFmtId="1" fontId="5" fillId="0" borderId="3" xfId="0" applyNumberFormat="1" applyFont="1" applyFill="1" applyBorder="1"/>
    <xf numFmtId="0" fontId="11" fillId="0" borderId="13" xfId="0" applyFont="1" applyBorder="1"/>
    <xf numFmtId="174" fontId="3" fillId="0" borderId="14" xfId="0" applyNumberFormat="1" applyFont="1" applyBorder="1"/>
    <xf numFmtId="166" fontId="0" fillId="0" borderId="3" xfId="1" applyNumberFormat="1" applyFont="1" applyFill="1" applyBorder="1"/>
    <xf numFmtId="166" fontId="4" fillId="0" borderId="2" xfId="1" applyNumberFormat="1" applyFont="1" applyFill="1" applyBorder="1"/>
    <xf numFmtId="0" fontId="3" fillId="0" borderId="8" xfId="0" applyFont="1" applyFill="1" applyBorder="1"/>
    <xf numFmtId="166" fontId="2" fillId="0" borderId="0" xfId="1" applyNumberFormat="1" applyFont="1" applyBorder="1"/>
    <xf numFmtId="166" fontId="2" fillId="0" borderId="13" xfId="1" applyNumberFormat="1" applyFont="1" applyBorder="1"/>
    <xf numFmtId="166" fontId="10" fillId="0" borderId="0" xfId="0" applyNumberFormat="1" applyFont="1" applyBorder="1"/>
    <xf numFmtId="166" fontId="10" fillId="0" borderId="13" xfId="0" applyNumberFormat="1" applyFont="1" applyBorder="1"/>
    <xf numFmtId="0" fontId="3" fillId="0" borderId="8" xfId="0" applyFont="1" applyBorder="1" applyAlignment="1">
      <alignment horizontal="right"/>
    </xf>
    <xf numFmtId="166" fontId="2" fillId="0" borderId="3" xfId="1" applyNumberFormat="1" applyFont="1" applyFill="1" applyBorder="1"/>
    <xf numFmtId="166" fontId="10" fillId="0" borderId="3" xfId="1" applyNumberFormat="1" applyFont="1" applyFill="1" applyBorder="1"/>
    <xf numFmtId="166" fontId="2" fillId="0" borderId="0" xfId="1" applyNumberFormat="1" applyFont="1" applyFill="1" applyBorder="1"/>
    <xf numFmtId="166" fontId="10" fillId="0" borderId="13" xfId="1" applyNumberFormat="1" applyFont="1" applyBorder="1"/>
    <xf numFmtId="166" fontId="4" fillId="0" borderId="18" xfId="1" applyNumberFormat="1" applyFont="1" applyBorder="1"/>
    <xf numFmtId="166" fontId="4" fillId="0" borderId="19" xfId="1" applyNumberFormat="1" applyFont="1" applyFill="1" applyBorder="1"/>
    <xf numFmtId="166" fontId="3" fillId="0" borderId="0" xfId="1" applyNumberFormat="1" applyFont="1"/>
    <xf numFmtId="166" fontId="9" fillId="0" borderId="5" xfId="1" applyNumberFormat="1" applyFont="1" applyBorder="1"/>
    <xf numFmtId="166" fontId="9" fillId="0" borderId="0" xfId="1" applyNumberFormat="1" applyFont="1" applyBorder="1"/>
    <xf numFmtId="166" fontId="9" fillId="0" borderId="7" xfId="1" applyNumberFormat="1" applyFont="1" applyBorder="1"/>
    <xf numFmtId="166" fontId="11" fillId="0" borderId="0" xfId="1" applyNumberFormat="1" applyFont="1" applyBorder="1"/>
    <xf numFmtId="166" fontId="10" fillId="0" borderId="0" xfId="1" applyNumberFormat="1" applyFont="1" applyBorder="1"/>
    <xf numFmtId="166" fontId="7" fillId="0" borderId="0" xfId="1" applyNumberFormat="1" applyFont="1" applyBorder="1"/>
    <xf numFmtId="166" fontId="8" fillId="0" borderId="7" xfId="1" applyNumberFormat="1" applyFont="1" applyBorder="1"/>
    <xf numFmtId="166" fontId="0" fillId="0" borderId="5" xfId="1" applyNumberFormat="1" applyFont="1" applyBorder="1"/>
    <xf numFmtId="166" fontId="6" fillId="0" borderId="0" xfId="1" applyNumberFormat="1" applyFont="1" applyBorder="1"/>
    <xf numFmtId="166" fontId="0" fillId="0" borderId="12" xfId="1" applyNumberFormat="1" applyFont="1" applyFill="1" applyBorder="1"/>
    <xf numFmtId="0" fontId="2" fillId="0" borderId="6" xfId="0" applyFont="1" applyBorder="1"/>
    <xf numFmtId="0" fontId="7" fillId="0" borderId="0" xfId="0" applyFont="1"/>
    <xf numFmtId="0" fontId="3" fillId="0" borderId="0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61"/>
  <sheetViews>
    <sheetView tabSelected="1" workbookViewId="0">
      <selection activeCell="A4" sqref="A4"/>
    </sheetView>
  </sheetViews>
  <sheetFormatPr defaultRowHeight="12.75" x14ac:dyDescent="0.2"/>
  <cols>
    <col min="1" max="1" width="31.28515625" bestFit="1" customWidth="1"/>
    <col min="2" max="2" width="10.28515625" bestFit="1" customWidth="1"/>
    <col min="3" max="3" width="12.5703125" bestFit="1" customWidth="1"/>
    <col min="4" max="5" width="10.85546875" customWidth="1"/>
    <col min="6" max="7" width="11.7109375" customWidth="1"/>
    <col min="9" max="9" width="15.7109375" customWidth="1"/>
    <col min="10" max="12" width="10.7109375" customWidth="1"/>
    <col min="13" max="13" width="10.28515625" bestFit="1" customWidth="1"/>
  </cols>
  <sheetData>
    <row r="1" spans="1:12" x14ac:dyDescent="0.2">
      <c r="A1" t="s">
        <v>25</v>
      </c>
    </row>
    <row r="2" spans="1:12" x14ac:dyDescent="0.2">
      <c r="A2" s="28">
        <v>37196</v>
      </c>
      <c r="B2" s="2"/>
      <c r="C2" s="2"/>
      <c r="D2" s="2"/>
      <c r="E2" s="2"/>
    </row>
    <row r="3" spans="1:12" x14ac:dyDescent="0.2">
      <c r="A3" s="100" t="s">
        <v>53</v>
      </c>
      <c r="B3" s="1"/>
      <c r="C3" s="1"/>
      <c r="D3" s="1"/>
      <c r="E3" s="1"/>
    </row>
    <row r="4" spans="1:12" x14ac:dyDescent="0.2">
      <c r="B4" t="s">
        <v>10</v>
      </c>
      <c r="F4" t="s">
        <v>11</v>
      </c>
      <c r="G4" t="s">
        <v>7</v>
      </c>
      <c r="H4" s="39"/>
      <c r="I4" s="39"/>
      <c r="J4" s="60" t="s">
        <v>21</v>
      </c>
      <c r="K4" s="61" t="s">
        <v>21</v>
      </c>
      <c r="L4" s="62" t="s">
        <v>21</v>
      </c>
    </row>
    <row r="5" spans="1:12" x14ac:dyDescent="0.2">
      <c r="B5" s="3" t="s">
        <v>2</v>
      </c>
      <c r="C5" s="3"/>
      <c r="D5" s="3"/>
      <c r="E5" s="3"/>
      <c r="F5" s="3" t="s">
        <v>2</v>
      </c>
      <c r="G5" s="42" t="s">
        <v>4</v>
      </c>
      <c r="H5" s="39"/>
      <c r="I5" s="39"/>
      <c r="J5" s="63" t="s">
        <v>22</v>
      </c>
      <c r="K5" s="54" t="s">
        <v>22</v>
      </c>
      <c r="L5" s="64" t="s">
        <v>24</v>
      </c>
    </row>
    <row r="6" spans="1:12" x14ac:dyDescent="0.2">
      <c r="B6" s="4" t="s">
        <v>1</v>
      </c>
      <c r="C6" s="4" t="s">
        <v>8</v>
      </c>
      <c r="D6" s="4" t="s">
        <v>9</v>
      </c>
      <c r="E6" s="4" t="s">
        <v>14</v>
      </c>
      <c r="F6" s="4" t="s">
        <v>6</v>
      </c>
      <c r="G6" s="43" t="s">
        <v>5</v>
      </c>
      <c r="H6" s="39"/>
      <c r="I6" s="39"/>
      <c r="J6" s="63" t="s">
        <v>23</v>
      </c>
      <c r="K6" s="54" t="s">
        <v>2</v>
      </c>
      <c r="L6" s="64" t="s">
        <v>2</v>
      </c>
    </row>
    <row r="7" spans="1:12" ht="13.5" thickBot="1" x14ac:dyDescent="0.25">
      <c r="A7" s="1" t="s">
        <v>17</v>
      </c>
      <c r="B7" s="10"/>
      <c r="C7" s="10"/>
      <c r="D7" s="10"/>
      <c r="E7" s="10"/>
      <c r="F7" s="9"/>
      <c r="G7" s="44"/>
      <c r="H7" s="39"/>
      <c r="I7" s="39"/>
      <c r="J7" s="33"/>
      <c r="K7" s="39"/>
      <c r="L7" s="65"/>
    </row>
    <row r="8" spans="1:12" s="8" customFormat="1" x14ac:dyDescent="0.2">
      <c r="A8" s="11" t="s">
        <v>26</v>
      </c>
      <c r="B8" s="89">
        <v>3400</v>
      </c>
      <c r="C8" s="12"/>
      <c r="D8" s="12"/>
      <c r="E8" s="25">
        <v>0.95799999999999996</v>
      </c>
      <c r="F8" s="20">
        <f>+B8*E8</f>
        <v>3257.2</v>
      </c>
      <c r="G8" s="45">
        <f>0.8877*F8</f>
        <v>2891.41644</v>
      </c>
      <c r="H8" s="35"/>
      <c r="I8" s="35"/>
      <c r="J8" s="66">
        <f>G8/($G$50-$G$48-$G$39)*($J$50-$J$48-$J$39)</f>
        <v>1571.8007476369587</v>
      </c>
      <c r="K8" s="36">
        <f>J8/0.8877</f>
        <v>1770.6440775452952</v>
      </c>
      <c r="L8" s="67">
        <f>K8/E8</f>
        <v>1848.2714796923751</v>
      </c>
    </row>
    <row r="9" spans="1:12" s="8" customFormat="1" x14ac:dyDescent="0.2">
      <c r="A9" s="15" t="s">
        <v>28</v>
      </c>
      <c r="B9" s="90">
        <v>3800</v>
      </c>
      <c r="C9" s="22"/>
      <c r="D9" s="22"/>
      <c r="E9" s="26">
        <v>0.95599999999999996</v>
      </c>
      <c r="F9" s="23">
        <f>+B9*E9</f>
        <v>3632.7999999999997</v>
      </c>
      <c r="G9" s="46">
        <f>0.8877*F9</f>
        <v>3224.8365599999997</v>
      </c>
      <c r="H9" s="35"/>
      <c r="I9" s="35"/>
      <c r="J9" s="66">
        <f>G9/($G$50-$G$48-$G$39)*($J$50-$J$48-$J$39)</f>
        <v>1753.0510119168439</v>
      </c>
      <c r="K9" s="36">
        <f>J9/0.8877</f>
        <v>1974.8237151254295</v>
      </c>
      <c r="L9" s="67">
        <f>K9/E9</f>
        <v>2065.7151831855958</v>
      </c>
    </row>
    <row r="10" spans="1:12" s="8" customFormat="1" x14ac:dyDescent="0.2">
      <c r="A10" s="15" t="s">
        <v>27</v>
      </c>
      <c r="B10" s="90">
        <v>3100</v>
      </c>
      <c r="C10" s="22"/>
      <c r="D10" s="22"/>
      <c r="E10" s="26">
        <v>0.95299999999999996</v>
      </c>
      <c r="F10" s="23">
        <f>+B10*E10</f>
        <v>2954.2999999999997</v>
      </c>
      <c r="G10" s="46">
        <f>0.8877*F10</f>
        <v>2622.5321100000001</v>
      </c>
      <c r="H10" s="35"/>
      <c r="I10" s="35"/>
      <c r="J10" s="66">
        <f>G10/($G$50-$G$48-$G$39)*($J$50-$J$48-$J$39)</f>
        <v>1425.6327363207258</v>
      </c>
      <c r="K10" s="36">
        <f>J10/0.8877</f>
        <v>1605.9848330750544</v>
      </c>
      <c r="L10" s="67">
        <f>K10/E10</f>
        <v>1685.18870207246</v>
      </c>
    </row>
    <row r="11" spans="1:12" s="8" customFormat="1" ht="13.5" thickBot="1" x14ac:dyDescent="0.25">
      <c r="A11" s="15" t="s">
        <v>29</v>
      </c>
      <c r="B11" s="91">
        <v>3800</v>
      </c>
      <c r="C11" s="22"/>
      <c r="D11" s="22"/>
      <c r="E11" s="27">
        <v>0.95499999999999996</v>
      </c>
      <c r="F11" s="21">
        <f>+B11*E11</f>
        <v>3629</v>
      </c>
      <c r="G11" s="47">
        <f>0.8877*F11</f>
        <v>3221.4633000000003</v>
      </c>
      <c r="H11" s="35"/>
      <c r="I11" s="35"/>
      <c r="J11" s="68">
        <f>G11/($G$50-$G$48-$G$39)*($J$50-$J$48-$J$39)</f>
        <v>1751.2172765487305</v>
      </c>
      <c r="K11" s="37">
        <f>J11/0.8877</f>
        <v>1972.7579999422444</v>
      </c>
      <c r="L11" s="69">
        <f>K11/E11</f>
        <v>2065.7151831855963</v>
      </c>
    </row>
    <row r="12" spans="1:12" s="8" customFormat="1" x14ac:dyDescent="0.2">
      <c r="A12" s="15" t="s">
        <v>41</v>
      </c>
      <c r="B12" s="92">
        <f>SUM(B8:B11)</f>
        <v>14100</v>
      </c>
      <c r="C12" s="22"/>
      <c r="D12" s="22"/>
      <c r="E12" s="26">
        <f>AVERAGE(E8:E11)</f>
        <v>0.95550000000000002</v>
      </c>
      <c r="F12" s="23">
        <f>SUM(F8:F11)</f>
        <v>13473.3</v>
      </c>
      <c r="G12" s="46">
        <f>SUM(G8:G11)</f>
        <v>11960.24841</v>
      </c>
      <c r="H12" s="35"/>
      <c r="I12" s="35"/>
      <c r="J12" s="66">
        <f>G12/($G$50-$G$48-$G$39)*($J$50-$J$48-$J$39)</f>
        <v>6501.7017724232583</v>
      </c>
      <c r="K12" s="36">
        <f>J12/0.8877</f>
        <v>7324.2106256880234</v>
      </c>
      <c r="L12" s="67">
        <f>SUM(L8:L11)</f>
        <v>7664.8905481360271</v>
      </c>
    </row>
    <row r="13" spans="1:12" s="8" customFormat="1" x14ac:dyDescent="0.2">
      <c r="A13" s="15"/>
      <c r="B13" s="90"/>
      <c r="C13" s="22"/>
      <c r="D13" s="22"/>
      <c r="E13" s="26"/>
      <c r="F13" s="23"/>
      <c r="G13" s="46"/>
      <c r="H13" s="35"/>
      <c r="I13" s="35"/>
      <c r="J13" s="66"/>
      <c r="K13" s="36"/>
      <c r="L13" s="67"/>
    </row>
    <row r="14" spans="1:12" s="8" customFormat="1" x14ac:dyDescent="0.2">
      <c r="A14" s="15" t="s">
        <v>30</v>
      </c>
      <c r="B14" s="90">
        <v>7000</v>
      </c>
      <c r="C14" s="22"/>
      <c r="D14" s="22"/>
      <c r="E14" s="26">
        <v>0.96</v>
      </c>
      <c r="F14" s="23">
        <f>+B14*E14</f>
        <v>6720</v>
      </c>
      <c r="G14" s="46">
        <f>0.9095*F14</f>
        <v>6111.84</v>
      </c>
      <c r="H14" s="35"/>
      <c r="I14" s="35"/>
      <c r="J14" s="66">
        <f t="shared" ref="J14:J19" si="0">G14/($G$50-$G$48-$G$39)*($J$50-$J$48-$J$39)</f>
        <v>3322.4528118950138</v>
      </c>
      <c r="K14" s="36">
        <f t="shared" ref="K14:K19" si="1">J14/0.9095</f>
        <v>3653.0542186861067</v>
      </c>
      <c r="L14" s="67">
        <f>K14/E14</f>
        <v>3805.2648111313611</v>
      </c>
    </row>
    <row r="15" spans="1:12" s="8" customFormat="1" x14ac:dyDescent="0.2">
      <c r="A15" s="15" t="s">
        <v>31</v>
      </c>
      <c r="B15" s="90">
        <v>10000</v>
      </c>
      <c r="C15" s="22"/>
      <c r="D15" s="22"/>
      <c r="E15" s="26">
        <v>0.95899999999999996</v>
      </c>
      <c r="F15" s="23">
        <f>+B15*E15</f>
        <v>9590</v>
      </c>
      <c r="G15" s="46">
        <f>0.9095*F15</f>
        <v>8722.1049999999996</v>
      </c>
      <c r="H15" s="35"/>
      <c r="I15" s="35"/>
      <c r="J15" s="66">
        <f t="shared" si="0"/>
        <v>4741.417033641842</v>
      </c>
      <c r="K15" s="36">
        <f t="shared" si="1"/>
        <v>5213.2127912499636</v>
      </c>
      <c r="L15" s="67">
        <f>K15/E15</f>
        <v>5436.092587330515</v>
      </c>
    </row>
    <row r="16" spans="1:12" s="8" customFormat="1" x14ac:dyDescent="0.2">
      <c r="A16" s="15" t="s">
        <v>55</v>
      </c>
      <c r="B16" s="90">
        <v>6000</v>
      </c>
      <c r="C16" s="22" t="s">
        <v>56</v>
      </c>
      <c r="D16" s="22"/>
      <c r="E16" s="26">
        <v>0.95899999999999996</v>
      </c>
      <c r="F16" s="23">
        <f>+B16*E16</f>
        <v>5754</v>
      </c>
      <c r="G16" s="46">
        <f>0.9095*F16</f>
        <v>5233.2629999999999</v>
      </c>
      <c r="H16" s="35"/>
      <c r="I16" s="35"/>
      <c r="J16" s="66">
        <f t="shared" si="0"/>
        <v>2844.8502201851056</v>
      </c>
      <c r="K16" s="36">
        <f t="shared" si="1"/>
        <v>3127.9276747499789</v>
      </c>
      <c r="L16" s="67">
        <f>K16/E16</f>
        <v>3261.6555523983097</v>
      </c>
    </row>
    <row r="17" spans="1:16" s="8" customFormat="1" x14ac:dyDescent="0.2">
      <c r="A17" s="15" t="s">
        <v>32</v>
      </c>
      <c r="B17" s="90">
        <v>10500</v>
      </c>
      <c r="C17" s="22"/>
      <c r="D17" s="22"/>
      <c r="E17" s="26">
        <v>0.94899999999999995</v>
      </c>
      <c r="F17" s="23">
        <f>+B17*E17</f>
        <v>9964.5</v>
      </c>
      <c r="G17" s="46">
        <f>0.9095*F17</f>
        <v>9062.7127500000006</v>
      </c>
      <c r="H17" s="35"/>
      <c r="I17" s="35"/>
      <c r="J17" s="66">
        <f t="shared" si="0"/>
        <v>4926.5745601380759</v>
      </c>
      <c r="K17" s="36">
        <f t="shared" si="1"/>
        <v>5416.7944586454933</v>
      </c>
      <c r="L17" s="67">
        <f>K17/E17</f>
        <v>5707.8972166970425</v>
      </c>
    </row>
    <row r="18" spans="1:16" s="8" customFormat="1" ht="13.5" thickBot="1" x14ac:dyDescent="0.25">
      <c r="A18" s="15" t="s">
        <v>33</v>
      </c>
      <c r="B18" s="91">
        <v>3400</v>
      </c>
      <c r="C18" s="22"/>
      <c r="D18" s="22"/>
      <c r="E18" s="27">
        <v>0.95399999999999996</v>
      </c>
      <c r="F18" s="21">
        <f>+B18*E18</f>
        <v>3243.6</v>
      </c>
      <c r="G18" s="47">
        <f>0.9095*F18</f>
        <v>2950.0542</v>
      </c>
      <c r="H18" s="35"/>
      <c r="I18" s="35"/>
      <c r="J18" s="68">
        <f t="shared" si="0"/>
        <v>1603.6767768843256</v>
      </c>
      <c r="K18" s="37">
        <f t="shared" si="1"/>
        <v>1763.2509916265262</v>
      </c>
      <c r="L18" s="69">
        <f>K18/E18</f>
        <v>1848.2714796923756</v>
      </c>
    </row>
    <row r="19" spans="1:16" s="8" customFormat="1" x14ac:dyDescent="0.2">
      <c r="A19" s="15" t="s">
        <v>42</v>
      </c>
      <c r="B19" s="92">
        <f>SUM(B14:B18)</f>
        <v>36900</v>
      </c>
      <c r="C19" s="22"/>
      <c r="D19" s="22"/>
      <c r="E19" s="26">
        <f>AVERAGE(E14:E18)</f>
        <v>0.95619999999999994</v>
      </c>
      <c r="F19" s="23">
        <f>SUM(F14:F18)</f>
        <v>35272.1</v>
      </c>
      <c r="G19" s="46">
        <f>SUM(G14:G18)</f>
        <v>32079.974949999996</v>
      </c>
      <c r="H19" s="35"/>
      <c r="I19" s="35"/>
      <c r="J19" s="66">
        <f t="shared" si="0"/>
        <v>17438.971402744359</v>
      </c>
      <c r="K19" s="36">
        <f t="shared" si="1"/>
        <v>19174.240134958065</v>
      </c>
      <c r="L19" s="67">
        <f>SUM(L14:L18)</f>
        <v>20059.181647249603</v>
      </c>
    </row>
    <row r="20" spans="1:16" s="8" customFormat="1" x14ac:dyDescent="0.2">
      <c r="A20" s="15"/>
      <c r="B20" s="92"/>
      <c r="C20" s="22"/>
      <c r="D20" s="22"/>
      <c r="E20" s="26"/>
      <c r="F20" s="23"/>
      <c r="G20" s="46"/>
      <c r="H20" s="35"/>
      <c r="I20" s="35"/>
      <c r="J20" s="66"/>
      <c r="K20" s="36"/>
      <c r="L20" s="67"/>
    </row>
    <row r="21" spans="1:16" s="8" customFormat="1" x14ac:dyDescent="0.2">
      <c r="A21" s="15" t="s">
        <v>46</v>
      </c>
      <c r="B21" s="93">
        <f>B19+B12</f>
        <v>51000</v>
      </c>
      <c r="C21" s="22"/>
      <c r="D21" s="22"/>
      <c r="E21" s="26"/>
      <c r="F21" s="77">
        <f>F19+F12</f>
        <v>48745.399999999994</v>
      </c>
      <c r="G21" s="78">
        <f>G19+G12</f>
        <v>44040.223359999996</v>
      </c>
      <c r="H21" s="35"/>
      <c r="I21" s="35"/>
      <c r="J21" s="82">
        <f>J19+J12</f>
        <v>23940.673175167616</v>
      </c>
      <c r="K21" s="84">
        <f>K19+K12</f>
        <v>26498.45076064609</v>
      </c>
      <c r="L21" s="85">
        <f>L19+L12</f>
        <v>27724.07219538563</v>
      </c>
      <c r="M21" s="55"/>
      <c r="O21" s="8">
        <f>+P21*L21/J21</f>
        <v>10422.290464968253</v>
      </c>
      <c r="P21" s="8">
        <v>9000</v>
      </c>
    </row>
    <row r="22" spans="1:16" s="8" customFormat="1" x14ac:dyDescent="0.2">
      <c r="A22" s="15"/>
      <c r="B22" s="90"/>
      <c r="C22" s="22"/>
      <c r="D22" s="22"/>
      <c r="E22" s="26"/>
      <c r="F22" s="23"/>
      <c r="G22" s="46"/>
      <c r="H22" s="35"/>
      <c r="I22" s="35"/>
      <c r="J22" s="66"/>
      <c r="K22" s="36"/>
      <c r="L22" s="67"/>
      <c r="O22" s="8">
        <f>+P22*L21/J21</f>
        <v>2316.064547770723</v>
      </c>
      <c r="P22" s="8">
        <v>2000</v>
      </c>
    </row>
    <row r="23" spans="1:16" s="8" customFormat="1" x14ac:dyDescent="0.2">
      <c r="A23" s="15" t="s">
        <v>34</v>
      </c>
      <c r="B23" s="90">
        <v>1000</v>
      </c>
      <c r="C23" s="22"/>
      <c r="D23" s="22"/>
      <c r="E23" s="26">
        <v>0.93</v>
      </c>
      <c r="F23" s="23">
        <f>+B23*E23</f>
        <v>930</v>
      </c>
      <c r="G23" s="46">
        <f>0.8917*F23</f>
        <v>829.28100000000006</v>
      </c>
      <c r="H23" s="35"/>
      <c r="I23" s="35"/>
      <c r="J23" s="66">
        <f>G23/($G$50-$G$48-$G$39)*($J$50-$J$48-$J$39)</f>
        <v>450.80482969140377</v>
      </c>
      <c r="K23" s="36">
        <f>J23/0.8917</f>
        <v>505.55661062173795</v>
      </c>
      <c r="L23" s="67">
        <f>K23/E23</f>
        <v>543.60925873305155</v>
      </c>
    </row>
    <row r="24" spans="1:16" s="8" customFormat="1" ht="13.5" thickBot="1" x14ac:dyDescent="0.25">
      <c r="A24" s="15" t="s">
        <v>35</v>
      </c>
      <c r="B24" s="91">
        <v>1100</v>
      </c>
      <c r="C24" s="22"/>
      <c r="D24" s="22"/>
      <c r="E24" s="27">
        <v>0.92600000000000005</v>
      </c>
      <c r="F24" s="21">
        <f>+B24*E24</f>
        <v>1018.6</v>
      </c>
      <c r="G24" s="47">
        <f>0.8917*F24</f>
        <v>908.28562000000011</v>
      </c>
      <c r="H24" s="35"/>
      <c r="I24" s="35"/>
      <c r="J24" s="68">
        <f>G24/($G$50-$G$48-$G$39)*($J$50-$J$48-$J$39)</f>
        <v>493.75247260609024</v>
      </c>
      <c r="K24" s="37">
        <f>J24/0.8917</f>
        <v>553.72039094548643</v>
      </c>
      <c r="L24" s="69">
        <f>K24/E24</f>
        <v>597.97018460635684</v>
      </c>
    </row>
    <row r="25" spans="1:16" s="8" customFormat="1" x14ac:dyDescent="0.2">
      <c r="A25" s="76" t="s">
        <v>43</v>
      </c>
      <c r="B25" s="92">
        <f>SUM(B23:B24)</f>
        <v>2100</v>
      </c>
      <c r="C25" s="22"/>
      <c r="D25" s="22"/>
      <c r="E25" s="26">
        <f>AVERAGE(E21:E24)</f>
        <v>0.92800000000000005</v>
      </c>
      <c r="F25" s="23">
        <f>SUM(F23:F24)</f>
        <v>1948.6</v>
      </c>
      <c r="G25" s="46">
        <f>SUM(G23:G24)</f>
        <v>1737.5666200000001</v>
      </c>
      <c r="H25" s="35"/>
      <c r="I25" s="35"/>
      <c r="J25" s="66">
        <f>SUM(J23:J24)</f>
        <v>944.55730229749406</v>
      </c>
      <c r="K25" s="36">
        <f>SUM(K23:K24)</f>
        <v>1059.2770015672245</v>
      </c>
      <c r="L25" s="67">
        <f>SUM(L23:L24)</f>
        <v>1141.5794433394085</v>
      </c>
      <c r="M25" s="55"/>
    </row>
    <row r="26" spans="1:16" s="8" customFormat="1" x14ac:dyDescent="0.2">
      <c r="A26" s="15"/>
      <c r="B26" s="90"/>
      <c r="C26" s="22"/>
      <c r="D26" s="22"/>
      <c r="E26" s="26"/>
      <c r="F26" s="23"/>
      <c r="G26" s="46"/>
      <c r="H26" s="35"/>
      <c r="I26" s="35"/>
      <c r="J26" s="66"/>
      <c r="K26" s="36"/>
      <c r="L26" s="67"/>
    </row>
    <row r="27" spans="1:16" s="8" customFormat="1" x14ac:dyDescent="0.2">
      <c r="A27" s="81" t="s">
        <v>45</v>
      </c>
      <c r="B27" s="93">
        <f>B12+B25</f>
        <v>16200</v>
      </c>
      <c r="C27" s="6"/>
      <c r="D27" s="6"/>
      <c r="E27" s="6"/>
      <c r="F27" s="79">
        <f>F25+F12</f>
        <v>15421.9</v>
      </c>
      <c r="G27" s="80">
        <f>G25+G12</f>
        <v>13697.81503</v>
      </c>
      <c r="H27" s="38"/>
      <c r="I27" s="38"/>
      <c r="J27" s="83">
        <f>J25+J12</f>
        <v>7446.2590747207523</v>
      </c>
      <c r="K27" s="84">
        <f>K25+K12</f>
        <v>8383.4876272552483</v>
      </c>
      <c r="L27" s="85">
        <f>L25+L12</f>
        <v>8806.4699914754347</v>
      </c>
    </row>
    <row r="28" spans="1:16" s="8" customFormat="1" x14ac:dyDescent="0.2">
      <c r="A28" s="81"/>
      <c r="B28" s="93"/>
      <c r="C28" s="6"/>
      <c r="D28" s="6"/>
      <c r="E28" s="6"/>
      <c r="F28" s="31"/>
      <c r="G28" s="48"/>
      <c r="H28" s="38"/>
      <c r="I28" s="38"/>
      <c r="J28" s="70"/>
      <c r="K28" s="36"/>
      <c r="L28" s="67"/>
    </row>
    <row r="29" spans="1:16" s="8" customFormat="1" x14ac:dyDescent="0.2">
      <c r="A29" s="81" t="s">
        <v>44</v>
      </c>
      <c r="B29" s="93">
        <f>B25+B19+B12</f>
        <v>53100</v>
      </c>
      <c r="C29" s="6"/>
      <c r="D29" s="6"/>
      <c r="E29" s="6"/>
      <c r="F29" s="79">
        <f>F25+F19+F12</f>
        <v>50694</v>
      </c>
      <c r="G29" s="80">
        <f>G25+G19+G12</f>
        <v>45777.789979999994</v>
      </c>
      <c r="H29" s="38"/>
      <c r="I29" s="38"/>
      <c r="J29" s="83">
        <f>J12+J19+J25</f>
        <v>24885.230477465109</v>
      </c>
      <c r="K29" s="84">
        <f>K25+K19+K12</f>
        <v>27557.727762213312</v>
      </c>
      <c r="L29" s="85">
        <f>L19+L25+L12</f>
        <v>28865.651638725038</v>
      </c>
    </row>
    <row r="30" spans="1:16" s="8" customFormat="1" x14ac:dyDescent="0.2">
      <c r="A30" s="15"/>
      <c r="B30" s="93"/>
      <c r="C30" s="22"/>
      <c r="D30" s="22"/>
      <c r="E30" s="22"/>
      <c r="F30" s="22"/>
      <c r="G30" s="46"/>
      <c r="H30" s="35"/>
      <c r="I30" s="35"/>
      <c r="J30" s="34"/>
      <c r="K30" s="36"/>
      <c r="L30" s="67"/>
    </row>
    <row r="31" spans="1:16" s="8" customFormat="1" ht="13.5" thickBot="1" x14ac:dyDescent="0.25">
      <c r="A31" s="99" t="s">
        <v>13</v>
      </c>
      <c r="B31" s="77"/>
      <c r="C31" s="22"/>
      <c r="D31" s="22"/>
      <c r="E31" s="22"/>
      <c r="F31" s="22"/>
      <c r="G31" s="46"/>
      <c r="H31" s="35"/>
      <c r="I31" s="35"/>
      <c r="J31" s="34"/>
      <c r="K31" s="36"/>
      <c r="L31" s="67"/>
    </row>
    <row r="32" spans="1:16" s="8" customFormat="1" x14ac:dyDescent="0.2">
      <c r="A32" s="11" t="s">
        <v>36</v>
      </c>
      <c r="B32" s="89">
        <v>4400</v>
      </c>
      <c r="C32" s="12"/>
      <c r="D32" s="12"/>
      <c r="E32" s="25">
        <v>0.94199999999999995</v>
      </c>
      <c r="F32" s="20">
        <f>+B32*E32</f>
        <v>4144.8</v>
      </c>
      <c r="G32" s="45">
        <f>0.9243*F32</f>
        <v>3831.0386400000002</v>
      </c>
      <c r="H32" s="35"/>
      <c r="I32" s="35"/>
      <c r="J32" s="66">
        <f>G32/($G$50-$G$48-$G$39)*($J$50-$J$48-$J$39)</f>
        <v>2082.5880752680778</v>
      </c>
      <c r="K32" s="36">
        <f>J32/0.93</f>
        <v>2239.3420164172876</v>
      </c>
      <c r="L32" s="67">
        <f>K32/E32</f>
        <v>2377.2208242221736</v>
      </c>
    </row>
    <row r="33" spans="1:13" s="8" customFormat="1" x14ac:dyDescent="0.2">
      <c r="A33" s="15" t="s">
        <v>37</v>
      </c>
      <c r="B33" s="90">
        <v>3800</v>
      </c>
      <c r="C33" s="22"/>
      <c r="D33" s="22"/>
      <c r="E33" s="26">
        <v>0.95099999999999996</v>
      </c>
      <c r="F33" s="23">
        <f>+B33*E33</f>
        <v>3613.7999999999997</v>
      </c>
      <c r="G33" s="46">
        <f>0.9243*F33</f>
        <v>3340.2353399999997</v>
      </c>
      <c r="H33" s="35"/>
      <c r="I33" s="35"/>
      <c r="J33" s="66">
        <f>G33/($G$50-$G$48-$G$39)*($J$50-$J$48-$J$39)</f>
        <v>1815.7828571713424</v>
      </c>
      <c r="K33" s="36">
        <f>J33/0.93</f>
        <v>1952.4546851304756</v>
      </c>
      <c r="L33" s="67">
        <f>K33/E33</f>
        <v>2053.0543481918776</v>
      </c>
    </row>
    <row r="34" spans="1:13" s="8" customFormat="1" ht="13.5" thickBot="1" x14ac:dyDescent="0.25">
      <c r="A34" s="13" t="s">
        <v>38</v>
      </c>
      <c r="B34" s="91">
        <v>3300</v>
      </c>
      <c r="C34" s="14"/>
      <c r="D34" s="14"/>
      <c r="E34" s="27">
        <v>0.94499999999999995</v>
      </c>
      <c r="F34" s="21">
        <f>+B34*E34</f>
        <v>3118.5</v>
      </c>
      <c r="G34" s="47">
        <f>0.9243*F34</f>
        <v>2882.4295499999998</v>
      </c>
      <c r="H34" s="35"/>
      <c r="I34" s="35"/>
      <c r="J34" s="68">
        <f>G34/($G$50-$G$48-$G$39)*($J$50-$J$48-$J$39)</f>
        <v>1566.9153910257435</v>
      </c>
      <c r="K34" s="37">
        <f>J34/0.93</f>
        <v>1684.8552591674661</v>
      </c>
      <c r="L34" s="69">
        <f>K34/E34</f>
        <v>1782.9156181666308</v>
      </c>
    </row>
    <row r="35" spans="1:13" s="8" customFormat="1" x14ac:dyDescent="0.2">
      <c r="A35" s="30" t="s">
        <v>48</v>
      </c>
      <c r="B35" s="77">
        <f>SUM(B32:B34)</f>
        <v>11500</v>
      </c>
      <c r="C35" s="22"/>
      <c r="D35" s="22"/>
      <c r="E35" s="26">
        <f>AVERAGE(E32:E34)</f>
        <v>0.94599999999999984</v>
      </c>
      <c r="F35" s="32">
        <f>SUM(F32:F34)</f>
        <v>10877.1</v>
      </c>
      <c r="G35" s="46">
        <f>SUM(G32:G34)</f>
        <v>10053.703529999999</v>
      </c>
      <c r="H35" s="35"/>
      <c r="I35" s="35"/>
      <c r="J35" s="66">
        <f>SUM(J32:J34)</f>
        <v>5465.2863234651641</v>
      </c>
      <c r="K35" s="36">
        <f>SUM(K32:K34)</f>
        <v>5876.6519607152295</v>
      </c>
      <c r="L35" s="67">
        <f>SUM(L32:L34)</f>
        <v>6213.190790580682</v>
      </c>
    </row>
    <row r="36" spans="1:13" s="8" customFormat="1" x14ac:dyDescent="0.2">
      <c r="A36" s="22"/>
      <c r="B36" s="77"/>
      <c r="C36" s="22"/>
      <c r="D36" s="22"/>
      <c r="E36" s="22"/>
      <c r="F36" s="22"/>
      <c r="G36" s="46"/>
      <c r="H36" s="35"/>
      <c r="I36" s="35"/>
      <c r="J36" s="34"/>
      <c r="K36" s="36"/>
      <c r="L36" s="67"/>
    </row>
    <row r="37" spans="1:13" s="8" customFormat="1" x14ac:dyDescent="0.2">
      <c r="A37" s="18"/>
      <c r="B37" s="94"/>
      <c r="C37" s="18"/>
      <c r="D37" s="18"/>
      <c r="E37" s="18"/>
      <c r="F37" s="18"/>
      <c r="G37" s="49"/>
      <c r="H37" s="38"/>
      <c r="I37" s="38"/>
      <c r="J37" s="71"/>
      <c r="K37" s="36"/>
      <c r="L37" s="67"/>
    </row>
    <row r="38" spans="1:13" s="8" customFormat="1" ht="13.5" thickBot="1" x14ac:dyDescent="0.25">
      <c r="A38" s="16" t="s">
        <v>15</v>
      </c>
      <c r="B38" s="94"/>
      <c r="C38" s="18"/>
      <c r="D38" s="18"/>
      <c r="E38" s="18"/>
      <c r="F38" s="18"/>
      <c r="G38" s="49"/>
      <c r="H38" s="38"/>
      <c r="I38" s="38"/>
      <c r="J38" s="71"/>
      <c r="K38" s="36"/>
      <c r="L38" s="67"/>
    </row>
    <row r="39" spans="1:13" s="8" customFormat="1" x14ac:dyDescent="0.2">
      <c r="A39" s="11" t="s">
        <v>3</v>
      </c>
      <c r="B39" s="89">
        <v>700</v>
      </c>
      <c r="C39" s="19"/>
      <c r="D39" s="19"/>
      <c r="E39" s="25">
        <v>0.94499999999999995</v>
      </c>
      <c r="F39" s="20">
        <f>+B39*E39</f>
        <v>661.5</v>
      </c>
      <c r="G39" s="50">
        <f>0.9971*F39</f>
        <v>659.58164999999997</v>
      </c>
      <c r="H39" s="35"/>
      <c r="I39" s="35"/>
      <c r="J39" s="34">
        <f>G39</f>
        <v>659.58164999999997</v>
      </c>
      <c r="K39" s="35">
        <f>J39/0.9971</f>
        <v>661.5</v>
      </c>
      <c r="L39" s="72">
        <f>K39/E39</f>
        <v>700</v>
      </c>
    </row>
    <row r="40" spans="1:13" s="8" customFormat="1" x14ac:dyDescent="0.2">
      <c r="A40" s="15" t="s">
        <v>18</v>
      </c>
      <c r="B40" s="90">
        <v>750</v>
      </c>
      <c r="C40" s="10"/>
      <c r="D40" s="10"/>
      <c r="E40" s="26">
        <v>0.93799999999999994</v>
      </c>
      <c r="F40" s="23">
        <f>+B40*E40</f>
        <v>703.5</v>
      </c>
      <c r="G40" s="51">
        <f>0.937*F40</f>
        <v>659.17950000000008</v>
      </c>
      <c r="H40" s="35"/>
      <c r="I40" s="35"/>
      <c r="J40" s="66">
        <v>0</v>
      </c>
      <c r="K40" s="36">
        <v>0</v>
      </c>
      <c r="L40" s="67">
        <v>0</v>
      </c>
    </row>
    <row r="41" spans="1:13" s="8" customFormat="1" x14ac:dyDescent="0.2">
      <c r="A41" s="15"/>
      <c r="B41" s="90"/>
      <c r="C41" s="10"/>
      <c r="D41" s="10"/>
      <c r="E41" s="26"/>
      <c r="F41" s="23"/>
      <c r="G41" s="51"/>
      <c r="H41" s="35"/>
      <c r="I41" s="35"/>
      <c r="J41" s="66"/>
      <c r="K41" s="36"/>
      <c r="L41" s="67"/>
    </row>
    <row r="42" spans="1:13" s="8" customFormat="1" x14ac:dyDescent="0.2">
      <c r="A42" s="15" t="s">
        <v>39</v>
      </c>
      <c r="B42" s="90">
        <v>1500</v>
      </c>
      <c r="C42" s="16"/>
      <c r="D42" s="16"/>
      <c r="E42" s="26">
        <v>0.93600000000000005</v>
      </c>
      <c r="F42" s="23">
        <f>+B42*E42</f>
        <v>1404</v>
      </c>
      <c r="G42" s="46">
        <f>0.9008*F42</f>
        <v>1264.7232000000001</v>
      </c>
      <c r="H42" s="35"/>
      <c r="I42" s="35"/>
      <c r="J42" s="66">
        <f>G42/($G$50-$G$48-$G$39)*($J$50-$J$48-$J$39)</f>
        <v>687.51524125449293</v>
      </c>
      <c r="K42" s="36">
        <f>J42/0.9008</f>
        <v>763.22739926120437</v>
      </c>
      <c r="L42" s="67">
        <f>K42/E42</f>
        <v>815.41388809957732</v>
      </c>
    </row>
    <row r="43" spans="1:13" s="8" customFormat="1" x14ac:dyDescent="0.2">
      <c r="A43" s="15" t="s">
        <v>40</v>
      </c>
      <c r="B43" s="90">
        <v>2075</v>
      </c>
      <c r="C43" s="16"/>
      <c r="D43" s="16"/>
      <c r="E43" s="26">
        <v>0.93899999999999995</v>
      </c>
      <c r="F43" s="23">
        <f>+B43*E43</f>
        <v>1948.425</v>
      </c>
      <c r="G43" s="46">
        <f>0.9008*F43</f>
        <v>1755.1412400000002</v>
      </c>
      <c r="H43" s="35"/>
      <c r="I43" s="35"/>
      <c r="J43" s="66">
        <f>G43/($G$50-$G$48-$G$39)*($J$50-$J$48-$J$39)</f>
        <v>954.11102844820903</v>
      </c>
      <c r="K43" s="36">
        <f>J43/0.9008</f>
        <v>1059.1818699469461</v>
      </c>
      <c r="L43" s="67">
        <f>K43/E43</f>
        <v>1127.9892118710823</v>
      </c>
    </row>
    <row r="44" spans="1:13" s="8" customFormat="1" ht="13.5" thickBot="1" x14ac:dyDescent="0.25">
      <c r="A44" s="15" t="s">
        <v>54</v>
      </c>
      <c r="B44" s="91">
        <v>1100</v>
      </c>
      <c r="C44" s="16"/>
      <c r="D44" s="16"/>
      <c r="E44" s="27">
        <v>0.92500000000000004</v>
      </c>
      <c r="F44" s="21">
        <f>+B44*E44</f>
        <v>1017.5</v>
      </c>
      <c r="G44" s="47">
        <f>0.9008*F44</f>
        <v>916.56400000000008</v>
      </c>
      <c r="H44" s="35"/>
      <c r="I44" s="35"/>
      <c r="J44" s="68">
        <f>G44/($G$50-$G$48-$G$39)*($J$50-$J$48-$J$39)</f>
        <v>498.25267662140072</v>
      </c>
      <c r="K44" s="37">
        <f>J44/0.9008</f>
        <v>553.12242076088</v>
      </c>
      <c r="L44" s="69">
        <f>K44/E44</f>
        <v>597.97018460635672</v>
      </c>
    </row>
    <row r="45" spans="1:13" s="8" customFormat="1" x14ac:dyDescent="0.2">
      <c r="A45" s="81" t="s">
        <v>47</v>
      </c>
      <c r="B45" s="90">
        <f>SUM(B42:B44)</f>
        <v>4675</v>
      </c>
      <c r="C45" s="16"/>
      <c r="D45" s="16"/>
      <c r="E45" s="26">
        <f>AVERAGE(E42:E44)</f>
        <v>0.93333333333333324</v>
      </c>
      <c r="F45" s="23">
        <f>SUM(F42:F44)</f>
        <v>4369.9250000000002</v>
      </c>
      <c r="G45" s="46">
        <f>SUM(G42:G44)</f>
        <v>3936.4284400000006</v>
      </c>
      <c r="H45" s="35"/>
      <c r="I45" s="35"/>
      <c r="J45" s="66">
        <f>SUM(J42:J44)</f>
        <v>2139.8789463241028</v>
      </c>
      <c r="K45" s="36">
        <f>SUM(K42:K44)</f>
        <v>2375.5316899690306</v>
      </c>
      <c r="L45" s="67">
        <f>SUM(L42:L44)</f>
        <v>2541.3732845770164</v>
      </c>
    </row>
    <row r="46" spans="1:13" s="8" customFormat="1" x14ac:dyDescent="0.2">
      <c r="A46" s="15"/>
      <c r="B46" s="90"/>
      <c r="C46" s="16"/>
      <c r="D46" s="16"/>
      <c r="E46" s="26"/>
      <c r="F46" s="23"/>
      <c r="G46" s="46"/>
      <c r="H46" s="35"/>
      <c r="I46" s="35"/>
      <c r="J46" s="66"/>
      <c r="K46" s="36"/>
      <c r="L46" s="67"/>
    </row>
    <row r="47" spans="1:13" s="8" customFormat="1" x14ac:dyDescent="0.2">
      <c r="A47" s="15" t="s">
        <v>12</v>
      </c>
      <c r="B47" s="90">
        <v>0</v>
      </c>
      <c r="C47" s="16"/>
      <c r="D47" s="16"/>
      <c r="E47" s="26">
        <v>0.96699999999999997</v>
      </c>
      <c r="F47" s="23">
        <f>+B47*E47</f>
        <v>0</v>
      </c>
      <c r="G47" s="46">
        <f>0.8975*F47</f>
        <v>0</v>
      </c>
      <c r="H47" s="35"/>
      <c r="I47" s="35"/>
      <c r="J47" s="66">
        <f>G47/($G$50-$G$48-$G$39)*($J$50-$J$48-$J$39)</f>
        <v>0</v>
      </c>
      <c r="K47" s="36">
        <f>J47/0.8975</f>
        <v>0</v>
      </c>
      <c r="L47" s="67">
        <f>K47/E47</f>
        <v>0</v>
      </c>
      <c r="M47" s="55"/>
    </row>
    <row r="48" spans="1:13" s="8" customFormat="1" ht="13.5" thickBot="1" x14ac:dyDescent="0.25">
      <c r="A48" s="13" t="s">
        <v>0</v>
      </c>
      <c r="B48" s="95">
        <v>18000</v>
      </c>
      <c r="C48" s="17"/>
      <c r="D48" s="17"/>
      <c r="E48" s="27">
        <v>0.93700000000000006</v>
      </c>
      <c r="F48" s="21">
        <f>+B48*E48</f>
        <v>16866</v>
      </c>
      <c r="G48" s="47">
        <f>0.9512*F48</f>
        <v>16042.939200000001</v>
      </c>
      <c r="H48" s="35"/>
      <c r="I48" s="35"/>
      <c r="J48" s="68">
        <f>G48</f>
        <v>16042.939200000001</v>
      </c>
      <c r="K48" s="37">
        <f>J48/0.9512</f>
        <v>16866</v>
      </c>
      <c r="L48" s="73">
        <f>K48/E48</f>
        <v>18000</v>
      </c>
      <c r="M48" s="55"/>
    </row>
    <row r="49" spans="1:13" x14ac:dyDescent="0.2">
      <c r="A49" s="7" t="s">
        <v>16</v>
      </c>
      <c r="B49" s="52">
        <f>SUM(B39:B48)</f>
        <v>28800</v>
      </c>
      <c r="F49" s="29">
        <f>F48+F47+F43+F42+F40+F39</f>
        <v>21583.424999999999</v>
      </c>
      <c r="G49" s="96">
        <f>G48+G47+G43+G42+G40+G39</f>
        <v>20381.56479</v>
      </c>
      <c r="H49" s="39"/>
      <c r="I49" s="39"/>
      <c r="J49" s="74">
        <f>J48+J47+J43+J42+J39</f>
        <v>18344.147119702702</v>
      </c>
      <c r="K49" s="56">
        <f>K48+K47+K43+K42+K39</f>
        <v>19349.90926920815</v>
      </c>
      <c r="L49" s="98">
        <f>L48+L47+L43+L42+L39</f>
        <v>20643.403099970659</v>
      </c>
    </row>
    <row r="50" spans="1:13" ht="30.75" x14ac:dyDescent="0.25">
      <c r="A50" s="1" t="s">
        <v>19</v>
      </c>
      <c r="B50" s="6"/>
      <c r="C50" s="6"/>
      <c r="D50" s="6"/>
      <c r="E50" s="6"/>
      <c r="F50" s="88">
        <f>F49+F35+F29</f>
        <v>83154.524999999994</v>
      </c>
      <c r="G50" s="97">
        <f>G49+G35+G29</f>
        <v>76213.05829999999</v>
      </c>
      <c r="H50" s="41"/>
      <c r="I50" s="53" t="s">
        <v>20</v>
      </c>
      <c r="J50" s="75">
        <v>49053</v>
      </c>
      <c r="K50" s="87">
        <f>K49+K35+K29</f>
        <v>52784.288992136688</v>
      </c>
      <c r="L50" s="86">
        <f>L49+L35+L29</f>
        <v>55722.245529276377</v>
      </c>
    </row>
    <row r="51" spans="1:13" x14ac:dyDescent="0.2">
      <c r="A51" s="7"/>
    </row>
    <row r="53" spans="1:13" x14ac:dyDescent="0.2">
      <c r="A53" s="16" t="s">
        <v>49</v>
      </c>
      <c r="B53" s="59">
        <f>B45+B35</f>
        <v>16175</v>
      </c>
      <c r="C53" s="10"/>
      <c r="D53" s="10"/>
      <c r="E53" s="10"/>
      <c r="F53" s="57">
        <f>F45+F35</f>
        <v>15247.025000000001</v>
      </c>
      <c r="G53" s="57">
        <f>G45+G35</f>
        <v>13990.131969999999</v>
      </c>
      <c r="J53" s="29">
        <f>J45+J35</f>
        <v>7605.1652697892669</v>
      </c>
      <c r="K53" s="29">
        <f>K45+K35</f>
        <v>8252.1836506842592</v>
      </c>
      <c r="L53" s="29">
        <f>L45+L35</f>
        <v>8754.5640751576975</v>
      </c>
      <c r="M53" s="55"/>
    </row>
    <row r="54" spans="1:13" x14ac:dyDescent="0.2">
      <c r="A54" s="22" t="s">
        <v>50</v>
      </c>
      <c r="B54" s="24"/>
      <c r="C54" s="10"/>
      <c r="D54" s="10"/>
      <c r="E54" s="26"/>
      <c r="F54" s="23"/>
      <c r="G54" s="23">
        <f>+G12+G19</f>
        <v>44040.223359999996</v>
      </c>
    </row>
    <row r="55" spans="1:13" x14ac:dyDescent="0.2">
      <c r="A55" s="22" t="s">
        <v>51</v>
      </c>
      <c r="B55" s="24"/>
      <c r="C55" s="16"/>
      <c r="D55" s="16"/>
      <c r="E55" s="26"/>
      <c r="F55" s="23"/>
      <c r="G55" s="23">
        <f>+G25</f>
        <v>1737.5666200000001</v>
      </c>
      <c r="H55" s="5"/>
      <c r="I55" s="5"/>
    </row>
    <row r="56" spans="1:13" x14ac:dyDescent="0.2">
      <c r="A56" s="101" t="s">
        <v>52</v>
      </c>
      <c r="B56" s="90">
        <v>14700</v>
      </c>
      <c r="C56" s="16"/>
      <c r="D56" s="16"/>
      <c r="E56" s="26"/>
      <c r="F56" s="23"/>
      <c r="G56" s="40"/>
      <c r="M56" s="29"/>
    </row>
    <row r="57" spans="1:13" x14ac:dyDescent="0.2">
      <c r="A57" s="10"/>
      <c r="B57" s="10"/>
      <c r="C57" s="10"/>
      <c r="D57" s="10"/>
      <c r="E57" s="10"/>
      <c r="F57" s="10"/>
      <c r="G57" s="10"/>
      <c r="M57" s="29"/>
    </row>
    <row r="58" spans="1:13" x14ac:dyDescent="0.2">
      <c r="A58" s="16"/>
      <c r="B58" s="10"/>
      <c r="C58" s="10"/>
      <c r="D58" s="10"/>
      <c r="E58" s="10"/>
      <c r="F58" s="57"/>
      <c r="G58" s="58"/>
    </row>
    <row r="59" spans="1:13" x14ac:dyDescent="0.2">
      <c r="A59" s="10"/>
      <c r="B59" s="10"/>
      <c r="C59" s="10"/>
      <c r="D59" s="10"/>
      <c r="E59" s="10"/>
      <c r="F59" s="10"/>
      <c r="G59" s="10"/>
    </row>
    <row r="60" spans="1:13" x14ac:dyDescent="0.2">
      <c r="A60" s="10"/>
      <c r="B60" s="10"/>
      <c r="C60" s="10"/>
      <c r="D60" s="10"/>
      <c r="E60" s="10"/>
      <c r="F60" s="10"/>
      <c r="G60" s="10"/>
    </row>
    <row r="61" spans="1:13" x14ac:dyDescent="0.2">
      <c r="A61" s="16"/>
      <c r="B61" s="10"/>
      <c r="C61" s="10"/>
      <c r="D61" s="10"/>
      <c r="E61" s="10"/>
      <c r="F61" s="10"/>
      <c r="G61" s="59"/>
    </row>
  </sheetData>
  <phoneticPr fontId="0" type="noConversion"/>
  <pageMargins left="0.5" right="0.5" top="0.75" bottom="0.75" header="0" footer="0"/>
  <pageSetup scale="6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Sitter</dc:creator>
  <cp:lastModifiedBy>Jan Havlíček</cp:lastModifiedBy>
  <cp:lastPrinted>2001-10-24T21:51:26Z</cp:lastPrinted>
  <dcterms:created xsi:type="dcterms:W3CDTF">2000-01-25T16:35:05Z</dcterms:created>
  <dcterms:modified xsi:type="dcterms:W3CDTF">2023-09-17T11:15:10Z</dcterms:modified>
</cp:coreProperties>
</file>