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C6F1E2-E3C5-41EE-8BD4-2AE0437B8264}" xr6:coauthVersionLast="47" xr6:coauthVersionMax="47" xr10:uidLastSave="{00000000-0000-0000-0000-000000000000}"/>
  <bookViews>
    <workbookView xWindow="-120" yWindow="-120" windowWidth="38640" windowHeight="15720" activeTab="2"/>
  </bookViews>
  <sheets>
    <sheet name="Summary" sheetId="1" r:id="rId1"/>
    <sheet name="Box Draw" sheetId="2" r:id="rId2"/>
    <sheet name="South Kitty" sheetId="3" r:id="rId3"/>
  </sheets>
  <externalReferences>
    <externalReference r:id="rId4"/>
    <externalReference r:id="rId5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2" l="1"/>
  <c r="A2" i="2"/>
  <c r="C5" i="2"/>
  <c r="C6" i="2"/>
  <c r="C7" i="2"/>
  <c r="C8" i="2"/>
  <c r="B11" i="2"/>
  <c r="C11" i="2"/>
  <c r="D11" i="2"/>
  <c r="B12" i="2"/>
  <c r="C12" i="2"/>
  <c r="D12" i="2"/>
  <c r="F15" i="2"/>
  <c r="D16" i="2"/>
  <c r="I16" i="2"/>
  <c r="K16" i="2"/>
  <c r="D17" i="2"/>
  <c r="E17" i="2"/>
  <c r="F17" i="2"/>
  <c r="I17" i="2"/>
  <c r="K17" i="2"/>
  <c r="D18" i="2"/>
  <c r="I18" i="2"/>
  <c r="K18" i="2"/>
  <c r="D19" i="2"/>
  <c r="I19" i="2"/>
  <c r="K19" i="2"/>
  <c r="D20" i="2"/>
  <c r="F20" i="2"/>
  <c r="I20" i="2"/>
  <c r="K20" i="2"/>
  <c r="F24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A55" i="2"/>
  <c r="B55" i="2"/>
  <c r="C55" i="2"/>
  <c r="E55" i="2"/>
  <c r="G55" i="2"/>
  <c r="I55" i="2"/>
  <c r="K55" i="2"/>
  <c r="M55" i="2"/>
  <c r="N55" i="2"/>
  <c r="O55" i="2"/>
  <c r="P55" i="2"/>
  <c r="Q55" i="2"/>
  <c r="R55" i="2"/>
  <c r="S55" i="2"/>
  <c r="T55" i="2"/>
  <c r="U55" i="2"/>
  <c r="D57" i="2"/>
  <c r="F57" i="2"/>
  <c r="H57" i="2"/>
  <c r="J57" i="2"/>
  <c r="L57" i="2"/>
  <c r="M57" i="2"/>
  <c r="N57" i="2"/>
  <c r="O57" i="2"/>
  <c r="P57" i="2"/>
  <c r="Q57" i="2"/>
  <c r="R57" i="2"/>
  <c r="S57" i="2"/>
  <c r="T57" i="2"/>
  <c r="U57" i="2"/>
  <c r="R59" i="2"/>
  <c r="S1" i="3"/>
  <c r="A2" i="3"/>
  <c r="C5" i="3"/>
  <c r="C6" i="3"/>
  <c r="C7" i="3"/>
  <c r="C8" i="3"/>
  <c r="B11" i="3"/>
  <c r="C11" i="3"/>
  <c r="D11" i="3"/>
  <c r="B12" i="3"/>
  <c r="C12" i="3"/>
  <c r="D12" i="3"/>
  <c r="F15" i="3"/>
  <c r="D16" i="3"/>
  <c r="I16" i="3"/>
  <c r="K16" i="3"/>
  <c r="D17" i="3"/>
  <c r="E17" i="3"/>
  <c r="F17" i="3"/>
  <c r="I17" i="3"/>
  <c r="K17" i="3"/>
  <c r="D18" i="3"/>
  <c r="I18" i="3"/>
  <c r="K18" i="3"/>
  <c r="D19" i="3"/>
  <c r="I19" i="3"/>
  <c r="K19" i="3"/>
  <c r="D20" i="3"/>
  <c r="F20" i="3"/>
  <c r="I20" i="3"/>
  <c r="K20" i="3"/>
  <c r="F24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A55" i="3"/>
  <c r="B55" i="3"/>
  <c r="C55" i="3"/>
  <c r="E55" i="3"/>
  <c r="G55" i="3"/>
  <c r="I55" i="3"/>
  <c r="K55" i="3"/>
  <c r="M55" i="3"/>
  <c r="N55" i="3"/>
  <c r="O55" i="3"/>
  <c r="P55" i="3"/>
  <c r="Q55" i="3"/>
  <c r="R55" i="3"/>
  <c r="S55" i="3"/>
  <c r="T55" i="3"/>
  <c r="U55" i="3"/>
  <c r="D57" i="3"/>
  <c r="F57" i="3"/>
  <c r="H57" i="3"/>
  <c r="J57" i="3"/>
  <c r="L57" i="3"/>
  <c r="M57" i="3"/>
  <c r="N57" i="3"/>
  <c r="O57" i="3"/>
  <c r="P57" i="3"/>
  <c r="Q57" i="3"/>
  <c r="R57" i="3"/>
  <c r="S57" i="3"/>
  <c r="T57" i="3"/>
  <c r="U57" i="3"/>
  <c r="R59" i="3"/>
</calcChain>
</file>

<file path=xl/sharedStrings.xml><?xml version="1.0" encoding="utf-8"?>
<sst xmlns="http://schemas.openxmlformats.org/spreadsheetml/2006/main" count="207" uniqueCount="118">
  <si>
    <t xml:space="preserve">Bill To:  </t>
  </si>
  <si>
    <t>Remit To:</t>
  </si>
  <si>
    <t xml:space="preserve">Verification Date: </t>
  </si>
  <si>
    <t>Enron North America Corp.</t>
  </si>
  <si>
    <t>Kennedy Oil</t>
  </si>
  <si>
    <t>Bank:  First Interstate Bank</t>
  </si>
  <si>
    <t>ABA:  102300129</t>
  </si>
  <si>
    <t>Due Date:</t>
  </si>
  <si>
    <t>Acct:  362170342</t>
  </si>
  <si>
    <t>Payment Method:</t>
  </si>
  <si>
    <t>Contact:  Theresa Staab</t>
  </si>
  <si>
    <t>Contact:  Ruth Reile</t>
  </si>
  <si>
    <t>Wire</t>
  </si>
  <si>
    <t>Tel:  (303) 575-6485</t>
  </si>
  <si>
    <t>Tel:  (307) 682-8726</t>
  </si>
  <si>
    <t>Terms:</t>
  </si>
  <si>
    <t>Fax: (303) 534-0552</t>
  </si>
  <si>
    <t>Fax: (307) 682-6060</t>
  </si>
  <si>
    <t>Last Day of Month</t>
  </si>
  <si>
    <t xml:space="preserve">Delivery Period: </t>
  </si>
  <si>
    <t>Contract #</t>
  </si>
  <si>
    <t>Meter # / Meter Name</t>
  </si>
  <si>
    <t>Net Volume Mmbtu</t>
  </si>
  <si>
    <t>WT. Average Price</t>
  </si>
  <si>
    <t xml:space="preserve">Box Draw </t>
  </si>
  <si>
    <t>South Kitty</t>
  </si>
  <si>
    <t>TOTAL</t>
  </si>
  <si>
    <t>Index</t>
  </si>
  <si>
    <t>Discount / Premium</t>
  </si>
  <si>
    <t>Price/MMBtu</t>
  </si>
  <si>
    <t>Mcf Quantity</t>
  </si>
  <si>
    <t>MMBtu Quantity</t>
  </si>
  <si>
    <t>Amount Due</t>
  </si>
  <si>
    <t>FOM CIG GD Box Draw</t>
  </si>
  <si>
    <t>FOM IF NGPL-Midcont. Box Draw</t>
  </si>
  <si>
    <t>FOM IF CIG - Rockies Box Draw</t>
  </si>
  <si>
    <t>Add'l CIG GD +.10 - Box Draw</t>
  </si>
  <si>
    <t>Add'l CIG GD - Box Draw</t>
  </si>
  <si>
    <t>FOM CIG GD South Kitty</t>
  </si>
  <si>
    <t>FOM IF NGPL-Midcont. South Kitty</t>
  </si>
  <si>
    <t>FOM IF CIG - Rockies South Kitty</t>
  </si>
  <si>
    <t>Add'l CIG GD -South Kitty</t>
  </si>
  <si>
    <t>Add'l CIG GD +.10 - South Kitty</t>
  </si>
  <si>
    <t>Box Draw</t>
  </si>
  <si>
    <t>Fuel Loss</t>
  </si>
  <si>
    <t>$             0.00</t>
  </si>
  <si>
    <t>$                                        0.00</t>
  </si>
  <si>
    <t>S. Kitty</t>
  </si>
  <si>
    <t>Total</t>
  </si>
  <si>
    <t>TOTAL PAYMENT</t>
  </si>
  <si>
    <t>11/01/01 - 11/30/01</t>
  </si>
  <si>
    <t>Kennedy</t>
  </si>
  <si>
    <t>Contact:</t>
  </si>
  <si>
    <t>Ruth Reile</t>
  </si>
  <si>
    <t>Enron North America</t>
  </si>
  <si>
    <t>PH:</t>
  </si>
  <si>
    <t>307-682-8726</t>
  </si>
  <si>
    <t>FAX:</t>
  </si>
  <si>
    <t>307-682-6060</t>
  </si>
  <si>
    <t>Theresa Staab</t>
  </si>
  <si>
    <t>303-575-6485</t>
  </si>
  <si>
    <t>Inside FERC NGPL Midcont.:</t>
  </si>
  <si>
    <t>Inside FERC CIG:</t>
  </si>
  <si>
    <t>First of Month Nomination:</t>
  </si>
  <si>
    <t>MMBtu</t>
  </si>
  <si>
    <t>Additional Purchases:</t>
  </si>
  <si>
    <t>Wt. Avg. Btu:</t>
  </si>
  <si>
    <t>Nom.</t>
  </si>
  <si>
    <t>Pro rata Production</t>
  </si>
  <si>
    <t>Transportation/MMBtu</t>
  </si>
  <si>
    <t>Box Draw Net Backs:</t>
  </si>
  <si>
    <t>Index Discount/Premium</t>
  </si>
  <si>
    <t>Crestone Transport/MMBtu</t>
  </si>
  <si>
    <t>WIC Xport</t>
  </si>
  <si>
    <t>Trailblazer Xport</t>
  </si>
  <si>
    <t>Trailblazer Fuel (0%*NGPLindex)</t>
  </si>
  <si>
    <t>Total Receipts Fee Adjustment*</t>
  </si>
  <si>
    <t>Total Net Back</t>
  </si>
  <si>
    <t>FOM Nom.</t>
  </si>
  <si>
    <t>CIG GD</t>
  </si>
  <si>
    <t>IF NGPL Midcont.</t>
  </si>
  <si>
    <t>IF CIG Rockies</t>
  </si>
  <si>
    <t>Add'l Purchases</t>
  </si>
  <si>
    <t>See GD Pricing Sheet</t>
  </si>
  <si>
    <t>BOX DRAW</t>
  </si>
  <si>
    <t>Over 80% of FOM Nom.</t>
  </si>
  <si>
    <t>FOM CIG GD Volume MMBtu</t>
  </si>
  <si>
    <t>Box Draw (Less S. Kitty) 80% of FOM Nom. up to 12,000/Day</t>
  </si>
  <si>
    <t>NGPL Volume MMBtu</t>
  </si>
  <si>
    <t>80% of FOM Nom. Less 12,000/Day</t>
  </si>
  <si>
    <t>FOM CIG Volume MMBtu</t>
  </si>
  <si>
    <t>Additional CIG GD +.10 Purchases</t>
  </si>
  <si>
    <t>Add'l CIG GD + .10 Volume MMBtu</t>
  </si>
  <si>
    <t>Additional CIG GD - Daily Discount</t>
  </si>
  <si>
    <t>Add'l CIG GD - Daily Discount Volume MMBtu</t>
  </si>
  <si>
    <t xml:space="preserve"> Total Box Draw Allocated Fuel MMBtu</t>
  </si>
  <si>
    <t>Box Draw Wellhead Production MMBtu</t>
  </si>
  <si>
    <t>Total Purchased Production MMBtu</t>
  </si>
  <si>
    <t>Total Box Draw Payments by Pricing Package</t>
  </si>
  <si>
    <t>CIG GD Rockies</t>
  </si>
  <si>
    <t>CIG GD less Netback</t>
  </si>
  <si>
    <t>NGPL less Netback</t>
  </si>
  <si>
    <t>CIG less Netback</t>
  </si>
  <si>
    <t>$ FOM CIG GD</t>
  </si>
  <si>
    <t>$ NGPL</t>
  </si>
  <si>
    <t>$ FOM CIG</t>
  </si>
  <si>
    <t>$ Add'l CIG GD + .10</t>
  </si>
  <si>
    <t>$ Add'l CIG GD - Daily Discount</t>
  </si>
  <si>
    <t>Total Payment</t>
  </si>
  <si>
    <t>Avg. $/Mmbtu:</t>
  </si>
  <si>
    <t>*Total Receipts Fee Adjustment is calculated by applying the Field Services Fee to the fuel volume and then dividing that dollar amount(fee times fuel volume) by the volume purchased.</t>
  </si>
  <si>
    <t>S. Kitty Net Backs:</t>
  </si>
  <si>
    <t>EMS Transport/MMBtu</t>
  </si>
  <si>
    <t>SOUTH KITTY</t>
  </si>
  <si>
    <t xml:space="preserve"> Total South Kitty Allocated Fuel MMBtu</t>
  </si>
  <si>
    <t>Total South Kitty Production MMBtu</t>
  </si>
  <si>
    <t>Total South Kitty Payments by Pricing Package</t>
  </si>
  <si>
    <t>(7% Max to Maverick)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</si>
</sst>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mm/dd/yy"/>
    <numFmt numFmtId="166" formatCode="_(&quot;$&quot;* #,##0.0000_);_(&quot;$&quot;* \(#,##0.0000\);_(&quot;$&quot;* &quot;-&quot;????_);_(@_)"/>
    <numFmt numFmtId="167" formatCode="_(&quot;$&quot;* #,##0.0000_);_(&quot;$&quot;* \(#,##0.0000\);_(&quot;$&quot;* &quot;-&quot;??_);_(@_)"/>
    <numFmt numFmtId="168" formatCode="_(&quot;$&quot;* #,##0.000000_);_(&quot;$&quot;* \(#,##0.000000\);_(&quot;$&quot;* &quot;-&quot;??_);_(@_)"/>
    <numFmt numFmtId="169" formatCode="_(* #,##0_);_(* \(#,##0\);_(* &quot;-&quot;??_);_(@_)"/>
    <numFmt numFmtId="170" formatCode="0.0000"/>
    <numFmt numFmtId="171" formatCode="0.0%"/>
    <numFmt numFmtId="172" formatCode="_(* #,##0.0000_);_(* \(#,##0.000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</font>
    <font>
      <sz val="14"/>
      <color indexed="9"/>
      <name val="Arial Black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164" fontId="3" fillId="0" borderId="6" xfId="0" quotePrefix="1" applyNumberFormat="1" applyFont="1" applyBorder="1" applyAlignment="1">
      <alignment horizontal="center"/>
    </xf>
    <xf numFmtId="15" fontId="4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165" fontId="1" fillId="0" borderId="10" xfId="2" applyNumberFormat="1" applyBorder="1"/>
    <xf numFmtId="0" fontId="0" fillId="0" borderId="10" xfId="0" applyBorder="1"/>
    <xf numFmtId="0" fontId="0" fillId="0" borderId="0" xfId="0" applyBorder="1"/>
    <xf numFmtId="0" fontId="2" fillId="0" borderId="0" xfId="0" applyFont="1"/>
    <xf numFmtId="17" fontId="2" fillId="0" borderId="0" xfId="0" quotePrefix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1" fontId="0" fillId="0" borderId="0" xfId="0" quotePrefix="1" applyNumberFormat="1"/>
    <xf numFmtId="166" fontId="5" fillId="0" borderId="0" xfId="2" applyNumberFormat="1" applyFont="1"/>
    <xf numFmtId="17" fontId="0" fillId="0" borderId="0" xfId="0" quotePrefix="1" applyNumberFormat="1"/>
    <xf numFmtId="1" fontId="0" fillId="0" borderId="11" xfId="0" applyNumberFormat="1" applyBorder="1"/>
    <xf numFmtId="166" fontId="1" fillId="0" borderId="0" xfId="2" applyNumberFormat="1"/>
    <xf numFmtId="0" fontId="0" fillId="0" borderId="0" xfId="0" applyAlignment="1">
      <alignment horizontal="right"/>
    </xf>
    <xf numFmtId="1" fontId="0" fillId="0" borderId="0" xfId="0" applyNumberForma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14" fontId="0" fillId="0" borderId="0" xfId="0" applyNumberFormat="1"/>
    <xf numFmtId="167" fontId="1" fillId="0" borderId="0" xfId="2" applyNumberFormat="1"/>
    <xf numFmtId="168" fontId="1" fillId="0" borderId="0" xfId="2" applyNumberFormat="1"/>
    <xf numFmtId="169" fontId="1" fillId="0" borderId="0" xfId="1" applyNumberFormat="1"/>
    <xf numFmtId="44" fontId="0" fillId="0" borderId="0" xfId="0" applyNumberFormat="1"/>
    <xf numFmtId="0" fontId="0" fillId="0" borderId="11" xfId="0" applyBorder="1"/>
    <xf numFmtId="0" fontId="3" fillId="0" borderId="11" xfId="0" applyFont="1" applyBorder="1"/>
    <xf numFmtId="167" fontId="3" fillId="0" borderId="11" xfId="2" applyNumberFormat="1" applyFont="1" applyBorder="1"/>
    <xf numFmtId="168" fontId="3" fillId="0" borderId="11" xfId="2" applyNumberFormat="1" applyFont="1" applyBorder="1"/>
    <xf numFmtId="169" fontId="3" fillId="0" borderId="11" xfId="1" applyNumberFormat="1" applyFont="1" applyBorder="1"/>
    <xf numFmtId="44" fontId="3" fillId="0" borderId="11" xfId="0" applyNumberFormat="1" applyFont="1" applyBorder="1"/>
    <xf numFmtId="44" fontId="0" fillId="0" borderId="0" xfId="2" quotePrefix="1" applyFont="1"/>
    <xf numFmtId="44" fontId="0" fillId="0" borderId="0" xfId="2" quotePrefix="1" applyFont="1" applyAlignment="1">
      <alignment horizontal="right"/>
    </xf>
    <xf numFmtId="169" fontId="2" fillId="0" borderId="0" xfId="1" applyNumberFormat="1" applyFont="1"/>
    <xf numFmtId="44" fontId="2" fillId="0" borderId="0" xfId="2" quotePrefix="1" applyFont="1"/>
    <xf numFmtId="44" fontId="2" fillId="0" borderId="0" xfId="2" quotePrefix="1" applyFont="1" applyAlignment="1">
      <alignment horizontal="right"/>
    </xf>
    <xf numFmtId="169" fontId="0" fillId="0" borderId="0" xfId="0" applyNumberFormat="1"/>
    <xf numFmtId="0" fontId="2" fillId="0" borderId="0" xfId="0" applyFont="1" applyAlignment="1">
      <alignment horizontal="right"/>
    </xf>
    <xf numFmtId="169" fontId="2" fillId="0" borderId="0" xfId="0" applyNumberFormat="1" applyFont="1"/>
    <xf numFmtId="44" fontId="2" fillId="0" borderId="0" xfId="0" applyNumberFormat="1" applyFont="1"/>
    <xf numFmtId="10" fontId="0" fillId="0" borderId="0" xfId="3" applyNumberFormat="1" applyFont="1"/>
    <xf numFmtId="0" fontId="2" fillId="0" borderId="0" xfId="0" applyFont="1" applyAlignment="1"/>
    <xf numFmtId="0" fontId="0" fillId="0" borderId="0" xfId="0" applyAlignment="1"/>
    <xf numFmtId="165" fontId="1" fillId="0" borderId="0" xfId="2" applyNumberFormat="1" applyAlignment="1"/>
    <xf numFmtId="17" fontId="2" fillId="0" borderId="0" xfId="0" applyNumberFormat="1" applyFont="1" applyAlignment="1">
      <alignment horizontal="left"/>
    </xf>
    <xf numFmtId="44" fontId="1" fillId="0" borderId="0" xfId="2" applyAlignment="1"/>
    <xf numFmtId="17" fontId="2" fillId="0" borderId="0" xfId="0" applyNumberFormat="1" applyFont="1" applyAlignment="1"/>
    <xf numFmtId="169" fontId="7" fillId="0" borderId="0" xfId="1" applyNumberFormat="1" applyFont="1" applyAlignment="1"/>
    <xf numFmtId="169" fontId="8" fillId="0" borderId="0" xfId="1" applyNumberFormat="1" applyFont="1" applyAlignment="1"/>
    <xf numFmtId="17" fontId="2" fillId="0" borderId="12" xfId="0" applyNumberFormat="1" applyFont="1" applyBorder="1" applyAlignment="1"/>
    <xf numFmtId="17" fontId="2" fillId="0" borderId="13" xfId="0" applyNumberFormat="1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170" fontId="3" fillId="0" borderId="16" xfId="0" applyNumberFormat="1" applyFont="1" applyBorder="1" applyAlignment="1"/>
    <xf numFmtId="41" fontId="1" fillId="0" borderId="16" xfId="1" applyNumberFormat="1" applyBorder="1" applyAlignment="1"/>
    <xf numFmtId="171" fontId="0" fillId="0" borderId="16" xfId="3" applyNumberFormat="1" applyFont="1" applyBorder="1" applyAlignment="1"/>
    <xf numFmtId="44" fontId="4" fillId="0" borderId="17" xfId="2" applyFont="1" applyBorder="1" applyAlignment="1"/>
    <xf numFmtId="0" fontId="0" fillId="0" borderId="18" xfId="0" applyBorder="1" applyAlignment="1"/>
    <xf numFmtId="170" fontId="3" fillId="0" borderId="19" xfId="0" applyNumberFormat="1" applyFont="1" applyBorder="1" applyAlignment="1"/>
    <xf numFmtId="169" fontId="0" fillId="0" borderId="19" xfId="0" applyNumberFormat="1" applyBorder="1" applyAlignment="1"/>
    <xf numFmtId="171" fontId="0" fillId="0" borderId="19" xfId="3" applyNumberFormat="1" applyFont="1" applyBorder="1" applyAlignment="1"/>
    <xf numFmtId="44" fontId="4" fillId="0" borderId="20" xfId="2" applyFont="1" applyBorder="1" applyAlignment="1"/>
    <xf numFmtId="17" fontId="0" fillId="0" borderId="0" xfId="0" applyNumberFormat="1" applyAlignment="1"/>
    <xf numFmtId="169" fontId="0" fillId="0" borderId="0" xfId="0" applyNumberFormat="1" applyAlignment="1"/>
    <xf numFmtId="167" fontId="2" fillId="0" borderId="12" xfId="2" applyNumberFormat="1" applyFont="1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7" fontId="1" fillId="0" borderId="15" xfId="2" applyNumberFormat="1" applyFont="1" applyFill="1" applyBorder="1" applyAlignment="1"/>
    <xf numFmtId="167" fontId="0" fillId="0" borderId="16" xfId="2" applyNumberFormat="1" applyFont="1" applyFill="1" applyBorder="1" applyAlignment="1"/>
    <xf numFmtId="167" fontId="1" fillId="0" borderId="16" xfId="2" applyNumberFormat="1" applyFill="1" applyBorder="1" applyAlignment="1"/>
    <xf numFmtId="172" fontId="0" fillId="0" borderId="16" xfId="0" applyNumberFormat="1" applyBorder="1" applyAlignment="1"/>
    <xf numFmtId="167" fontId="2" fillId="0" borderId="17" xfId="2" applyNumberFormat="1" applyFont="1" applyFill="1" applyBorder="1" applyAlignment="1"/>
    <xf numFmtId="167" fontId="9" fillId="0" borderId="16" xfId="2" applyNumberFormat="1" applyFont="1" applyFill="1" applyBorder="1" applyAlignment="1"/>
    <xf numFmtId="167" fontId="0" fillId="0" borderId="0" xfId="0" applyNumberFormat="1" applyAlignment="1"/>
    <xf numFmtId="43" fontId="0" fillId="0" borderId="0" xfId="0" applyNumberFormat="1" applyAlignment="1"/>
    <xf numFmtId="0" fontId="10" fillId="2" borderId="21" xfId="0" applyFont="1" applyFill="1" applyBorder="1" applyAlignment="1">
      <alignment horizontal="centerContinuous"/>
    </xf>
    <xf numFmtId="0" fontId="10" fillId="2" borderId="22" xfId="0" applyFont="1" applyFill="1" applyBorder="1" applyAlignment="1">
      <alignment horizontal="centerContinuous"/>
    </xf>
    <xf numFmtId="0" fontId="10" fillId="2" borderId="23" xfId="0" applyFont="1" applyFill="1" applyBorder="1" applyAlignment="1">
      <alignment horizontal="centerContinuous"/>
    </xf>
    <xf numFmtId="0" fontId="10" fillId="2" borderId="24" xfId="0" applyFont="1" applyFill="1" applyBorder="1" applyAlignment="1">
      <alignment horizontal="centerContinuous"/>
    </xf>
    <xf numFmtId="0" fontId="0" fillId="0" borderId="25" xfId="0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4" borderId="23" xfId="0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25" xfId="0" applyBorder="1" applyAlignment="1">
      <alignment wrapText="1"/>
    </xf>
    <xf numFmtId="0" fontId="0" fillId="3" borderId="28" xfId="0" applyFill="1" applyBorder="1" applyAlignment="1">
      <alignment wrapText="1"/>
    </xf>
    <xf numFmtId="169" fontId="1" fillId="0" borderId="25" xfId="1" applyNumberFormat="1" applyBorder="1" applyAlignment="1">
      <alignment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0" fillId="0" borderId="28" xfId="0" applyBorder="1" applyAlignment="1"/>
    <xf numFmtId="0" fontId="0" fillId="0" borderId="0" xfId="0" applyBorder="1" applyAlignment="1"/>
    <xf numFmtId="0" fontId="0" fillId="0" borderId="25" xfId="0" applyBorder="1" applyAlignment="1"/>
    <xf numFmtId="0" fontId="0" fillId="4" borderId="25" xfId="0" applyFill="1" applyBorder="1" applyAlignment="1">
      <alignment wrapText="1"/>
    </xf>
    <xf numFmtId="0" fontId="0" fillId="3" borderId="28" xfId="0" applyFill="1" applyBorder="1" applyAlignment="1">
      <alignment horizontal="center" wrapText="1"/>
    </xf>
    <xf numFmtId="0" fontId="0" fillId="3" borderId="29" xfId="0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2" fillId="4" borderId="30" xfId="0" applyFont="1" applyFill="1" applyBorder="1" applyAlignment="1">
      <alignment horizontal="center" wrapText="1"/>
    </xf>
    <xf numFmtId="16" fontId="0" fillId="0" borderId="0" xfId="0" applyNumberFormat="1" applyAlignment="1"/>
    <xf numFmtId="167" fontId="1" fillId="0" borderId="0" xfId="2" applyNumberFormat="1" applyAlignment="1"/>
    <xf numFmtId="167" fontId="1" fillId="3" borderId="26" xfId="2" applyNumberFormat="1" applyFill="1" applyBorder="1" applyAlignment="1"/>
    <xf numFmtId="3" fontId="0" fillId="0" borderId="27" xfId="0" applyNumberFormat="1" applyBorder="1" applyAlignment="1"/>
    <xf numFmtId="167" fontId="0" fillId="3" borderId="26" xfId="0" applyNumberFormat="1" applyFill="1" applyBorder="1" applyAlignment="1"/>
    <xf numFmtId="169" fontId="1" fillId="0" borderId="27" xfId="1" applyNumberFormat="1" applyBorder="1" applyAlignment="1"/>
    <xf numFmtId="41" fontId="1" fillId="0" borderId="27" xfId="1" applyNumberFormat="1" applyBorder="1" applyAlignment="1"/>
    <xf numFmtId="41" fontId="1" fillId="0" borderId="23" xfId="1" applyNumberFormat="1" applyFill="1" applyBorder="1" applyAlignment="1"/>
    <xf numFmtId="3" fontId="5" fillId="4" borderId="26" xfId="0" applyNumberFormat="1" applyFont="1" applyFill="1" applyBorder="1" applyAlignment="1"/>
    <xf numFmtId="169" fontId="1" fillId="4" borderId="23" xfId="1" applyNumberFormat="1" applyFill="1" applyBorder="1" applyAlignment="1"/>
    <xf numFmtId="169" fontId="2" fillId="4" borderId="27" xfId="1" applyNumberFormat="1" applyFont="1" applyFill="1" applyBorder="1" applyAlignment="1"/>
    <xf numFmtId="44" fontId="1" fillId="0" borderId="0" xfId="2" applyBorder="1" applyAlignment="1"/>
    <xf numFmtId="44" fontId="1" fillId="0" borderId="25" xfId="2" applyBorder="1" applyAlignment="1"/>
    <xf numFmtId="44" fontId="0" fillId="4" borderId="27" xfId="0" applyNumberFormat="1" applyFill="1" applyBorder="1" applyAlignment="1"/>
    <xf numFmtId="167" fontId="1" fillId="3" borderId="28" xfId="2" applyNumberFormat="1" applyFill="1" applyBorder="1" applyAlignment="1"/>
    <xf numFmtId="3" fontId="0" fillId="0" borderId="25" xfId="0" applyNumberFormat="1" applyBorder="1" applyAlignment="1"/>
    <xf numFmtId="167" fontId="0" fillId="3" borderId="28" xfId="0" applyNumberFormat="1" applyFill="1" applyBorder="1" applyAlignment="1"/>
    <xf numFmtId="169" fontId="1" fillId="0" borderId="25" xfId="1" applyNumberFormat="1" applyBorder="1" applyAlignment="1"/>
    <xf numFmtId="41" fontId="1" fillId="0" borderId="25" xfId="1" applyNumberFormat="1" applyBorder="1" applyAlignment="1"/>
    <xf numFmtId="41" fontId="1" fillId="0" borderId="0" xfId="1" applyNumberFormat="1" applyFill="1" applyBorder="1" applyAlignment="1"/>
    <xf numFmtId="3" fontId="5" fillId="4" borderId="28" xfId="0" applyNumberFormat="1" applyFont="1" applyFill="1" applyBorder="1" applyAlignment="1"/>
    <xf numFmtId="169" fontId="1" fillId="4" borderId="0" xfId="1" applyNumberFormat="1" applyFill="1" applyBorder="1" applyAlignment="1"/>
    <xf numFmtId="169" fontId="2" fillId="4" borderId="25" xfId="1" applyNumberFormat="1" applyFont="1" applyFill="1" applyBorder="1" applyAlignment="1"/>
    <xf numFmtId="44" fontId="0" fillId="4" borderId="25" xfId="0" applyNumberFormat="1" applyFill="1" applyBorder="1" applyAlignment="1"/>
    <xf numFmtId="167" fontId="3" fillId="0" borderId="0" xfId="2" applyNumberFormat="1" applyFont="1" applyAlignment="1"/>
    <xf numFmtId="167" fontId="1" fillId="3" borderId="29" xfId="2" applyNumberFormat="1" applyFill="1" applyBorder="1" applyAlignment="1"/>
    <xf numFmtId="3" fontId="0" fillId="0" borderId="30" xfId="0" applyNumberFormat="1" applyBorder="1" applyAlignment="1"/>
    <xf numFmtId="167" fontId="0" fillId="3" borderId="29" xfId="0" applyNumberFormat="1" applyFill="1" applyBorder="1" applyAlignment="1"/>
    <xf numFmtId="169" fontId="1" fillId="0" borderId="30" xfId="1" applyNumberFormat="1" applyBorder="1" applyAlignment="1"/>
    <xf numFmtId="41" fontId="1" fillId="0" borderId="30" xfId="1" applyNumberFormat="1" applyBorder="1" applyAlignment="1"/>
    <xf numFmtId="167" fontId="0" fillId="0" borderId="29" xfId="0" applyNumberFormat="1" applyFill="1" applyBorder="1" applyAlignment="1"/>
    <xf numFmtId="41" fontId="1" fillId="0" borderId="10" xfId="1" applyNumberFormat="1" applyFill="1" applyBorder="1" applyAlignment="1"/>
    <xf numFmtId="3" fontId="5" fillId="4" borderId="29" xfId="0" applyNumberFormat="1" applyFont="1" applyFill="1" applyBorder="1" applyAlignment="1"/>
    <xf numFmtId="169" fontId="1" fillId="4" borderId="10" xfId="1" applyNumberFormat="1" applyFill="1" applyBorder="1" applyAlignment="1"/>
    <xf numFmtId="169" fontId="1" fillId="4" borderId="30" xfId="1" applyNumberFormat="1" applyFill="1" applyBorder="1" applyAlignment="1"/>
    <xf numFmtId="44" fontId="1" fillId="0" borderId="10" xfId="2" applyBorder="1" applyAlignment="1"/>
    <xf numFmtId="44" fontId="1" fillId="0" borderId="30" xfId="2" applyBorder="1" applyAlignment="1"/>
    <xf numFmtId="44" fontId="0" fillId="4" borderId="30" xfId="0" applyNumberFormat="1" applyFill="1" applyBorder="1" applyAlignment="1"/>
    <xf numFmtId="3" fontId="2" fillId="0" borderId="0" xfId="0" applyNumberFormat="1" applyFont="1" applyAlignment="1"/>
    <xf numFmtId="169" fontId="2" fillId="0" borderId="0" xfId="1" applyNumberFormat="1" applyFont="1" applyAlignment="1"/>
    <xf numFmtId="3" fontId="2" fillId="0" borderId="0" xfId="0" applyNumberFormat="1" applyFont="1" applyBorder="1" applyAlignment="1"/>
    <xf numFmtId="3" fontId="11" fillId="4" borderId="0" xfId="0" applyNumberFormat="1" applyFont="1" applyFill="1" applyBorder="1" applyAlignment="1"/>
    <xf numFmtId="169" fontId="2" fillId="4" borderId="0" xfId="1" applyNumberFormat="1" applyFont="1" applyFill="1" applyBorder="1" applyAlignment="1"/>
    <xf numFmtId="44" fontId="2" fillId="0" borderId="0" xfId="2" applyFont="1" applyBorder="1" applyAlignment="1"/>
    <xf numFmtId="44" fontId="2" fillId="4" borderId="0" xfId="0" applyNumberFormat="1" applyFont="1" applyFill="1" applyBorder="1" applyAlignment="1"/>
    <xf numFmtId="10" fontId="0" fillId="0" borderId="0" xfId="3" applyNumberFormat="1" applyFont="1" applyAlignment="1"/>
    <xf numFmtId="169" fontId="1" fillId="0" borderId="0" xfId="1" applyNumberFormat="1" applyAlignment="1"/>
    <xf numFmtId="167" fontId="2" fillId="0" borderId="0" xfId="2" applyNumberFormat="1" applyFont="1" applyAlignment="1"/>
    <xf numFmtId="3" fontId="0" fillId="0" borderId="0" xfId="0" applyNumberFormat="1" applyAlignment="1"/>
    <xf numFmtId="1" fontId="0" fillId="0" borderId="0" xfId="0" applyNumberFormat="1" applyAlignment="1"/>
    <xf numFmtId="41" fontId="1" fillId="0" borderId="0" xfId="1" applyNumberFormat="1" applyAlignment="1"/>
    <xf numFmtId="171" fontId="1" fillId="0" borderId="16" xfId="3" applyNumberFormat="1" applyBorder="1" applyAlignment="1"/>
    <xf numFmtId="44" fontId="4" fillId="0" borderId="17" xfId="2" applyFont="1" applyFill="1" applyBorder="1" applyAlignment="1"/>
    <xf numFmtId="171" fontId="1" fillId="0" borderId="19" xfId="3" applyNumberFormat="1" applyBorder="1" applyAlignment="1"/>
    <xf numFmtId="44" fontId="4" fillId="0" borderId="20" xfId="2" applyFont="1" applyFill="1" applyBorder="1" applyAlignment="1"/>
    <xf numFmtId="167" fontId="1" fillId="0" borderId="16" xfId="2" applyNumberFormat="1" applyFont="1" applyFill="1" applyBorder="1" applyAlignment="1"/>
    <xf numFmtId="167" fontId="1" fillId="0" borderId="0" xfId="2" applyNumberFormat="1" applyFont="1" applyFill="1" applyBorder="1" applyAlignment="1"/>
    <xf numFmtId="167" fontId="1" fillId="0" borderId="0" xfId="2" applyNumberFormat="1" applyFill="1" applyBorder="1" applyAlignment="1"/>
    <xf numFmtId="172" fontId="0" fillId="0" borderId="0" xfId="0" applyNumberFormat="1" applyBorder="1" applyAlignment="1"/>
    <xf numFmtId="167" fontId="2" fillId="0" borderId="0" xfId="2" applyNumberFormat="1" applyFont="1" applyFill="1" applyBorder="1" applyAlignment="1"/>
    <xf numFmtId="0" fontId="0" fillId="3" borderId="28" xfId="0" applyFill="1" applyBorder="1" applyAlignment="1"/>
    <xf numFmtId="0" fontId="0" fillId="4" borderId="0" xfId="0" applyFill="1" applyBorder="1" applyAlignment="1"/>
    <xf numFmtId="0" fontId="2" fillId="4" borderId="0" xfId="0" applyFont="1" applyFill="1" applyBorder="1" applyAlignment="1"/>
    <xf numFmtId="0" fontId="0" fillId="4" borderId="25" xfId="0" applyFill="1" applyBorder="1" applyAlignment="1"/>
    <xf numFmtId="44" fontId="0" fillId="0" borderId="0" xfId="0" applyNumberFormat="1" applyAlignment="1"/>
    <xf numFmtId="10" fontId="1" fillId="0" borderId="0" xfId="3" applyNumberFormat="1" applyAlignment="1"/>
    <xf numFmtId="4" fontId="0" fillId="0" borderId="0" xfId="0" applyNumberFormat="1" applyAlignment="1"/>
    <xf numFmtId="0" fontId="2" fillId="0" borderId="26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6EF75DD-ED21-C62D-74DA-CF9C873DEF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843F21F-4E6B-9EB8-BC1F-729D8E055E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CE067B1-2064-6A7F-1F17-686D6A7ABE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AE2DB3C5-DC1D-888B-61FC-6A5C53130D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DF0E302E-3332-9407-67EE-25DA9132B7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697F8C5E-87EB-ECE8-D4D6-56D964E7F6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22DA0BD1-A725-A84E-D373-C279B843C9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2167B00E-A46C-2800-F29B-32F67532C9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roducer%20Pricing%20Detail%20Nov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ron%20Statement_1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 Pricing"/>
      <sheetName val="Independent Summary"/>
      <sheetName val="Independent Detail"/>
      <sheetName val="Kennedy Summary"/>
      <sheetName val="Box Draw Detail"/>
      <sheetName val="S Kitty Detail"/>
      <sheetName val="Internal Kennedy Total"/>
      <sheetName val="Kennedy Gas Daily Pricing"/>
      <sheetName val="MTG Summary"/>
      <sheetName val="MTG Detail"/>
      <sheetName val="Phillips Summary"/>
      <sheetName val="Phillips Detail"/>
      <sheetName val="Internal Phillips Combined"/>
      <sheetName val="Quantum Summary"/>
      <sheetName val="Quantum Detail"/>
      <sheetName val="Wellstar Summary"/>
      <sheetName val="Wellstar Detail"/>
      <sheetName val="North Finn Summary"/>
      <sheetName val="North Finn Detail"/>
      <sheetName val="Westport Summary"/>
      <sheetName val="Westport Detail"/>
      <sheetName val="Citation Summary"/>
      <sheetName val="Citation Detail"/>
      <sheetName val="Internal Xfer Summary"/>
    </sheetNames>
    <sheetDataSet>
      <sheetData sheetId="0">
        <row r="1">
          <cell r="A1">
            <v>37196</v>
          </cell>
        </row>
        <row r="3">
          <cell r="B3">
            <v>2.54</v>
          </cell>
          <cell r="F3">
            <v>6.7999999999999996E-3</v>
          </cell>
        </row>
        <row r="4">
          <cell r="B4">
            <v>3.04</v>
          </cell>
        </row>
        <row r="7">
          <cell r="A7">
            <v>37196</v>
          </cell>
          <cell r="B7">
            <v>2.67</v>
          </cell>
        </row>
        <row r="8">
          <cell r="A8">
            <v>37197</v>
          </cell>
          <cell r="B8">
            <v>2.36</v>
          </cell>
        </row>
        <row r="9">
          <cell r="A9">
            <v>37198</v>
          </cell>
          <cell r="B9">
            <v>2.0150000000000001</v>
          </cell>
        </row>
        <row r="10">
          <cell r="A10">
            <v>37199</v>
          </cell>
          <cell r="B10">
            <v>2.0150000000000001</v>
          </cell>
        </row>
        <row r="11">
          <cell r="A11">
            <v>37200</v>
          </cell>
          <cell r="B11">
            <v>2.0150000000000001</v>
          </cell>
        </row>
        <row r="12">
          <cell r="A12">
            <v>37201</v>
          </cell>
          <cell r="B12">
            <v>2.16</v>
          </cell>
        </row>
        <row r="13">
          <cell r="A13">
            <v>37202</v>
          </cell>
          <cell r="B13">
            <v>2.1349999999999998</v>
          </cell>
        </row>
        <row r="14">
          <cell r="A14">
            <v>37203</v>
          </cell>
          <cell r="B14">
            <v>2.13</v>
          </cell>
        </row>
        <row r="15">
          <cell r="A15">
            <v>37204</v>
          </cell>
          <cell r="B15">
            <v>1.9350000000000001</v>
          </cell>
        </row>
        <row r="16">
          <cell r="A16">
            <v>37205</v>
          </cell>
          <cell r="B16">
            <v>1.7</v>
          </cell>
        </row>
        <row r="17">
          <cell r="A17">
            <v>37206</v>
          </cell>
          <cell r="B17">
            <v>1.7</v>
          </cell>
        </row>
        <row r="18">
          <cell r="A18">
            <v>37207</v>
          </cell>
          <cell r="B18">
            <v>1.7</v>
          </cell>
        </row>
        <row r="19">
          <cell r="A19">
            <v>37208</v>
          </cell>
          <cell r="B19">
            <v>1.52</v>
          </cell>
        </row>
        <row r="20">
          <cell r="A20">
            <v>37209</v>
          </cell>
          <cell r="B20">
            <v>1.595</v>
          </cell>
        </row>
        <row r="21">
          <cell r="A21">
            <v>37210</v>
          </cell>
          <cell r="B21">
            <v>1.84</v>
          </cell>
        </row>
        <row r="22">
          <cell r="A22">
            <v>37211</v>
          </cell>
          <cell r="B22">
            <v>1.4350000000000001</v>
          </cell>
        </row>
        <row r="23">
          <cell r="A23">
            <v>37212</v>
          </cell>
          <cell r="B23">
            <v>1.135</v>
          </cell>
        </row>
        <row r="24">
          <cell r="A24">
            <v>37213</v>
          </cell>
          <cell r="B24">
            <v>1.135</v>
          </cell>
        </row>
        <row r="25">
          <cell r="A25">
            <v>37214</v>
          </cell>
          <cell r="B25">
            <v>1.135</v>
          </cell>
        </row>
        <row r="26">
          <cell r="A26">
            <v>37215</v>
          </cell>
          <cell r="B26">
            <v>1.5349999999999999</v>
          </cell>
        </row>
        <row r="27">
          <cell r="A27">
            <v>37216</v>
          </cell>
          <cell r="B27">
            <v>2.2050000000000001</v>
          </cell>
        </row>
        <row r="28">
          <cell r="A28">
            <v>37217</v>
          </cell>
          <cell r="B28">
            <v>1.43</v>
          </cell>
        </row>
        <row r="29">
          <cell r="A29">
            <v>37218</v>
          </cell>
          <cell r="B29">
            <v>1.43</v>
          </cell>
        </row>
        <row r="30">
          <cell r="A30">
            <v>37219</v>
          </cell>
          <cell r="B30">
            <v>1.43</v>
          </cell>
        </row>
        <row r="31">
          <cell r="A31">
            <v>37220</v>
          </cell>
          <cell r="B31">
            <v>1.43</v>
          </cell>
        </row>
        <row r="32">
          <cell r="A32">
            <v>37221</v>
          </cell>
          <cell r="B32">
            <v>1.43</v>
          </cell>
        </row>
        <row r="33">
          <cell r="A33">
            <v>37222</v>
          </cell>
          <cell r="B33">
            <v>1.88</v>
          </cell>
        </row>
        <row r="34">
          <cell r="A34">
            <v>37223</v>
          </cell>
          <cell r="B34">
            <v>2.16</v>
          </cell>
        </row>
        <row r="35">
          <cell r="A35">
            <v>37224</v>
          </cell>
          <cell r="B35">
            <v>2.38</v>
          </cell>
        </row>
        <row r="36">
          <cell r="A36">
            <v>37225</v>
          </cell>
          <cell r="B36">
            <v>2.0249999999999999</v>
          </cell>
        </row>
      </sheetData>
      <sheetData sheetId="1"/>
      <sheetData sheetId="2"/>
      <sheetData sheetId="3"/>
      <sheetData sheetId="4">
        <row r="17">
          <cell r="K17">
            <v>-0.77939999999999998</v>
          </cell>
        </row>
      </sheetData>
      <sheetData sheetId="5">
        <row r="17">
          <cell r="K17">
            <v>-0.91959999999999997</v>
          </cell>
        </row>
      </sheetData>
      <sheetData sheetId="6">
        <row r="7">
          <cell r="C7">
            <v>21032</v>
          </cell>
          <cell r="H7">
            <v>0.30968824937892958</v>
          </cell>
        </row>
        <row r="8">
          <cell r="C8">
            <v>21893</v>
          </cell>
          <cell r="H8">
            <v>0.69031175062107042</v>
          </cell>
        </row>
        <row r="18">
          <cell r="M18">
            <v>12766</v>
          </cell>
          <cell r="N18">
            <v>26880</v>
          </cell>
          <cell r="T18">
            <v>0.10608888664682439</v>
          </cell>
          <cell r="U18">
            <v>0.302678706552994</v>
          </cell>
          <cell r="V18">
            <v>0.12172728648539576</v>
          </cell>
          <cell r="W18">
            <v>5.5617212329112646E-2</v>
          </cell>
          <cell r="X18">
            <v>0.41388790798567321</v>
          </cell>
        </row>
        <row r="19">
          <cell r="M19">
            <v>12498</v>
          </cell>
          <cell r="N19">
            <v>29066</v>
          </cell>
          <cell r="T19">
            <v>0.10119334039072274</v>
          </cell>
          <cell r="U19">
            <v>0.28871138485227599</v>
          </cell>
          <cell r="V19">
            <v>0.11611009527475701</v>
          </cell>
          <cell r="W19">
            <v>5.3050716966605717E-2</v>
          </cell>
          <cell r="X19">
            <v>0.44093446251563856</v>
          </cell>
        </row>
        <row r="20">
          <cell r="M20">
            <v>12443</v>
          </cell>
          <cell r="N20">
            <v>30557</v>
          </cell>
          <cell r="T20">
            <v>9.7813953488372088E-2</v>
          </cell>
          <cell r="U20">
            <v>0.27906976744186046</v>
          </cell>
          <cell r="V20">
            <v>0.11223255813953488</v>
          </cell>
          <cell r="W20">
            <v>5.1279069767441864E-2</v>
          </cell>
          <cell r="X20">
            <v>0.4596046511627907</v>
          </cell>
        </row>
        <row r="21">
          <cell r="M21">
            <v>12424</v>
          </cell>
          <cell r="N21">
            <v>29850</v>
          </cell>
          <cell r="T21">
            <v>9.9493778681932155E-2</v>
          </cell>
          <cell r="U21">
            <v>0.28386242134645406</v>
          </cell>
          <cell r="V21">
            <v>0.11416000378483228</v>
          </cell>
          <cell r="W21">
            <v>5.215971992241094E-2</v>
          </cell>
          <cell r="X21">
            <v>0.45032407626437054</v>
          </cell>
        </row>
        <row r="22">
          <cell r="M22">
            <v>12271</v>
          </cell>
          <cell r="N22">
            <v>30557</v>
          </cell>
          <cell r="T22">
            <v>9.820678061081535E-2</v>
          </cell>
          <cell r="U22">
            <v>0.28019052956010088</v>
          </cell>
          <cell r="V22">
            <v>0.11268329130475389</v>
          </cell>
          <cell r="W22">
            <v>5.1485009806668536E-2</v>
          </cell>
          <cell r="X22">
            <v>0.45743438871766134</v>
          </cell>
        </row>
        <row r="23">
          <cell r="M23">
            <v>12591</v>
          </cell>
          <cell r="N23">
            <v>29579</v>
          </cell>
          <cell r="T23">
            <v>9.9739151055252551E-2</v>
          </cell>
          <cell r="U23">
            <v>0.28456248517903721</v>
          </cell>
          <cell r="V23">
            <v>0.11444154612283614</v>
          </cell>
          <cell r="W23">
            <v>5.2288356651648091E-2</v>
          </cell>
          <cell r="X23">
            <v>0.448968460991226</v>
          </cell>
        </row>
        <row r="24">
          <cell r="M24">
            <v>12373</v>
          </cell>
          <cell r="N24">
            <v>30569</v>
          </cell>
          <cell r="T24">
            <v>9.794606678776023E-2</v>
          </cell>
          <cell r="U24">
            <v>0.2794466955428252</v>
          </cell>
          <cell r="V24">
            <v>0.11238414605747286</v>
          </cell>
          <cell r="W24">
            <v>5.134833030599413E-2</v>
          </cell>
          <cell r="X24">
            <v>0.45887476130594756</v>
          </cell>
        </row>
        <row r="25">
          <cell r="M25">
            <v>11926</v>
          </cell>
          <cell r="N25">
            <v>30946</v>
          </cell>
          <cell r="T25">
            <v>9.8105989923493189E-2</v>
          </cell>
          <cell r="U25">
            <v>0.2799029669714499</v>
          </cell>
          <cell r="V25">
            <v>0.11256764321701811</v>
          </cell>
          <cell r="W25">
            <v>5.1432170181003919E-2</v>
          </cell>
          <cell r="X25">
            <v>0.45799122970703487</v>
          </cell>
        </row>
        <row r="26">
          <cell r="M26">
            <v>12561</v>
          </cell>
          <cell r="N26">
            <v>29422</v>
          </cell>
          <cell r="T26">
            <v>0.10018340756973061</v>
          </cell>
          <cell r="U26">
            <v>0.28582997880094324</v>
          </cell>
          <cell r="V26">
            <v>0.11495128980777934</v>
          </cell>
          <cell r="W26">
            <v>5.252125860467332E-2</v>
          </cell>
          <cell r="X26">
            <v>0.44651406521687348</v>
          </cell>
        </row>
        <row r="27">
          <cell r="M27">
            <v>12444</v>
          </cell>
          <cell r="N27">
            <v>25759</v>
          </cell>
          <cell r="T27">
            <v>0.11009606575399837</v>
          </cell>
          <cell r="U27">
            <v>0.31411145721540196</v>
          </cell>
          <cell r="V27">
            <v>0.12632515771012748</v>
          </cell>
          <cell r="W27">
            <v>5.7717980263330103E-2</v>
          </cell>
          <cell r="X27">
            <v>0.3917493390571421</v>
          </cell>
        </row>
        <row r="28">
          <cell r="M28">
            <v>12303</v>
          </cell>
          <cell r="N28">
            <v>25182</v>
          </cell>
          <cell r="T28">
            <v>0.11220488195278111</v>
          </cell>
          <cell r="U28">
            <v>0.32012805122048821</v>
          </cell>
          <cell r="V28">
            <v>0.12874483126583966</v>
          </cell>
          <cell r="W28">
            <v>5.8823529411764705E-2</v>
          </cell>
          <cell r="X28">
            <v>0.38009870614912633</v>
          </cell>
        </row>
        <row r="29">
          <cell r="M29">
            <v>12078</v>
          </cell>
          <cell r="N29">
            <v>25748</v>
          </cell>
          <cell r="T29">
            <v>0.11119335906519326</v>
          </cell>
          <cell r="U29">
            <v>0.31724210860254853</v>
          </cell>
          <cell r="V29">
            <v>0.12758420134299159</v>
          </cell>
          <cell r="W29">
            <v>5.8293237455718287E-2</v>
          </cell>
          <cell r="X29">
            <v>0.38568709353354835</v>
          </cell>
        </row>
        <row r="30">
          <cell r="M30">
            <v>10975</v>
          </cell>
          <cell r="N30">
            <v>21047</v>
          </cell>
          <cell r="T30">
            <v>0.13134719880082443</v>
          </cell>
          <cell r="U30">
            <v>0.37474236462432076</v>
          </cell>
          <cell r="V30">
            <v>0.15070888763974769</v>
          </cell>
          <cell r="W30">
            <v>6.8858909499718943E-2</v>
          </cell>
          <cell r="X30">
            <v>0.27434263943538817</v>
          </cell>
        </row>
        <row r="31">
          <cell r="M31">
            <v>11771</v>
          </cell>
          <cell r="N31">
            <v>23679</v>
          </cell>
          <cell r="T31">
            <v>0.11864598025387871</v>
          </cell>
          <cell r="U31">
            <v>0.33850493653032437</v>
          </cell>
          <cell r="V31">
            <v>0.13613540197461213</v>
          </cell>
          <cell r="W31">
            <v>6.2200282087447108E-2</v>
          </cell>
          <cell r="X31">
            <v>0.34451339915373763</v>
          </cell>
        </row>
        <row r="32">
          <cell r="M32">
            <v>11806</v>
          </cell>
          <cell r="N32">
            <v>25623</v>
          </cell>
          <cell r="T32">
            <v>0.11237275909054477</v>
          </cell>
          <cell r="U32">
            <v>0.32060701595019903</v>
          </cell>
          <cell r="V32">
            <v>0.12893745491463837</v>
          </cell>
          <cell r="W32">
            <v>5.8911539180849078E-2</v>
          </cell>
          <cell r="X32">
            <v>0.37917123086376875</v>
          </cell>
        </row>
        <row r="33">
          <cell r="M33">
            <v>11997</v>
          </cell>
          <cell r="N33">
            <v>25713</v>
          </cell>
          <cell r="T33">
            <v>0.11153540175019888</v>
          </cell>
          <cell r="U33">
            <v>0.31821797931583135</v>
          </cell>
          <cell r="V33">
            <v>0.12797666401485017</v>
          </cell>
          <cell r="W33">
            <v>5.8472553699284009E-2</v>
          </cell>
          <cell r="X33">
            <v>0.38379740121983558</v>
          </cell>
        </row>
        <row r="34">
          <cell r="M34">
            <v>12120</v>
          </cell>
          <cell r="N34">
            <v>24600</v>
          </cell>
          <cell r="T34">
            <v>0.11454248366013071</v>
          </cell>
          <cell r="U34">
            <v>0.32679738562091504</v>
          </cell>
          <cell r="V34">
            <v>0.13142701525054465</v>
          </cell>
          <cell r="W34">
            <v>6.0049019607843139E-2</v>
          </cell>
          <cell r="X34">
            <v>0.36718409586056644</v>
          </cell>
        </row>
        <row r="35">
          <cell r="M35">
            <v>11814</v>
          </cell>
          <cell r="N35">
            <v>22314</v>
          </cell>
          <cell r="T35">
            <v>0.12324191279887482</v>
          </cell>
          <cell r="U35">
            <v>0.35161744022503516</v>
          </cell>
          <cell r="V35">
            <v>0.1414088138771683</v>
          </cell>
          <cell r="W35">
            <v>6.4609704641350213E-2</v>
          </cell>
          <cell r="X35">
            <v>0.31912212845757149</v>
          </cell>
        </row>
        <row r="36">
          <cell r="M36">
            <v>11597</v>
          </cell>
          <cell r="N36">
            <v>25562</v>
          </cell>
          <cell r="T36">
            <v>0.1131892677413278</v>
          </cell>
          <cell r="U36">
            <v>0.32293656987540031</v>
          </cell>
          <cell r="V36">
            <v>0.12987432385155681</v>
          </cell>
          <cell r="W36">
            <v>5.9339594714604808E-2</v>
          </cell>
          <cell r="X36">
            <v>0.37466024381711027</v>
          </cell>
        </row>
        <row r="37">
          <cell r="M37">
            <v>11818</v>
          </cell>
          <cell r="N37">
            <v>28195</v>
          </cell>
          <cell r="T37">
            <v>0.10511583735286031</v>
          </cell>
          <cell r="U37">
            <v>0.29990253167720493</v>
          </cell>
          <cell r="V37">
            <v>0.1206108014895159</v>
          </cell>
          <cell r="W37">
            <v>5.5107090195686402E-2</v>
          </cell>
          <cell r="X37">
            <v>0.41926373928473248</v>
          </cell>
        </row>
        <row r="38">
          <cell r="M38">
            <v>12175</v>
          </cell>
          <cell r="N38">
            <v>29680</v>
          </cell>
          <cell r="T38">
            <v>0.1004897861665273</v>
          </cell>
          <cell r="U38">
            <v>0.28670409747939313</v>
          </cell>
          <cell r="V38">
            <v>0.11530283120296261</v>
          </cell>
          <cell r="W38">
            <v>5.2681877911838489E-2</v>
          </cell>
          <cell r="X38">
            <v>0.44482140723927849</v>
          </cell>
        </row>
        <row r="39">
          <cell r="M39">
            <v>12187</v>
          </cell>
          <cell r="N39">
            <v>30524</v>
          </cell>
          <cell r="T39">
            <v>9.8475802486478886E-2</v>
          </cell>
          <cell r="U39">
            <v>0.28095806700849896</v>
          </cell>
          <cell r="V39">
            <v>0.112991969281918</v>
          </cell>
          <cell r="W39">
            <v>5.1626044812811689E-2</v>
          </cell>
          <cell r="X39">
            <v>0.45594811641029243</v>
          </cell>
        </row>
        <row r="40">
          <cell r="M40">
            <v>12218</v>
          </cell>
          <cell r="N40">
            <v>30655</v>
          </cell>
          <cell r="T40">
            <v>9.810370163039675E-2</v>
          </cell>
          <cell r="U40">
            <v>0.2798964383178224</v>
          </cell>
          <cell r="V40">
            <v>0.11256501761015091</v>
          </cell>
          <cell r="W40">
            <v>5.1430970540899866E-2</v>
          </cell>
          <cell r="X40">
            <v>0.45800387190073005</v>
          </cell>
        </row>
        <row r="41">
          <cell r="M41">
            <v>12508</v>
          </cell>
          <cell r="N41">
            <v>28374</v>
          </cell>
          <cell r="T41">
            <v>0.10288146372486669</v>
          </cell>
          <cell r="U41">
            <v>0.2935277139083215</v>
          </cell>
          <cell r="V41">
            <v>0.11804706227679664</v>
          </cell>
          <cell r="W41">
            <v>5.3935717430654076E-2</v>
          </cell>
          <cell r="X41">
            <v>0.43160804265936109</v>
          </cell>
        </row>
        <row r="42">
          <cell r="M42">
            <v>12039</v>
          </cell>
          <cell r="N42">
            <v>20635</v>
          </cell>
          <cell r="T42">
            <v>0.12872620432147885</v>
          </cell>
          <cell r="U42">
            <v>0.36726449164473279</v>
          </cell>
          <cell r="V42">
            <v>0.14770153638979006</v>
          </cell>
          <cell r="W42">
            <v>6.7484850339719654E-2</v>
          </cell>
          <cell r="X42">
            <v>0.28882291730427861</v>
          </cell>
        </row>
        <row r="43">
          <cell r="M43">
            <v>11735</v>
          </cell>
          <cell r="N43">
            <v>26699</v>
          </cell>
          <cell r="T43">
            <v>0.10943435499817869</v>
          </cell>
          <cell r="U43">
            <v>0.31222355206327729</v>
          </cell>
          <cell r="V43">
            <v>0.1255659051881147</v>
          </cell>
          <cell r="W43">
            <v>5.7371077691627206E-2</v>
          </cell>
          <cell r="X43">
            <v>0.39540511005880208</v>
          </cell>
        </row>
        <row r="44">
          <cell r="M44">
            <v>11631</v>
          </cell>
          <cell r="N44">
            <v>25962</v>
          </cell>
          <cell r="T44">
            <v>0.11188253132232065</v>
          </cell>
          <cell r="U44">
            <v>0.31920836325911739</v>
          </cell>
          <cell r="V44">
            <v>0.1283749634240417</v>
          </cell>
          <cell r="W44">
            <v>5.8654536748862819E-2</v>
          </cell>
          <cell r="X44">
            <v>0.38187960524565745</v>
          </cell>
        </row>
        <row r="45">
          <cell r="M45">
            <v>12331</v>
          </cell>
          <cell r="N45">
            <v>23833</v>
          </cell>
          <cell r="T45">
            <v>0.1163035062493087</v>
          </cell>
          <cell r="U45">
            <v>0.33182170113925452</v>
          </cell>
          <cell r="V45">
            <v>0.13344762747483685</v>
          </cell>
          <cell r="W45">
            <v>6.0972237584338014E-2</v>
          </cell>
          <cell r="X45">
            <v>0.35745492755226194</v>
          </cell>
        </row>
        <row r="46">
          <cell r="M46">
            <v>5220</v>
          </cell>
          <cell r="N46">
            <v>10966.5</v>
          </cell>
          <cell r="T46">
            <v>0</v>
          </cell>
          <cell r="U46">
            <v>0.74135853952367714</v>
          </cell>
          <cell r="V46">
            <v>0.25867235041546965</v>
          </cell>
          <cell r="W46">
            <v>0</v>
          </cell>
          <cell r="X46">
            <v>0</v>
          </cell>
        </row>
        <row r="47">
          <cell r="M47">
            <v>0</v>
          </cell>
          <cell r="N47">
            <v>0</v>
          </cell>
        </row>
      </sheetData>
      <sheetData sheetId="7">
        <row r="7">
          <cell r="B7">
            <v>-0.05</v>
          </cell>
        </row>
        <row r="8">
          <cell r="B8">
            <v>-0.05</v>
          </cell>
        </row>
        <row r="9">
          <cell r="B9">
            <v>-0.05</v>
          </cell>
        </row>
        <row r="10">
          <cell r="B10">
            <v>-0.05</v>
          </cell>
        </row>
        <row r="11">
          <cell r="B11">
            <v>-0.05</v>
          </cell>
        </row>
        <row r="12">
          <cell r="B12">
            <v>-0.05</v>
          </cell>
        </row>
        <row r="13">
          <cell r="B13">
            <v>-0.05</v>
          </cell>
        </row>
        <row r="14">
          <cell r="B14">
            <v>-0.05</v>
          </cell>
        </row>
        <row r="15">
          <cell r="B15">
            <v>-0.05</v>
          </cell>
        </row>
        <row r="16">
          <cell r="B16">
            <v>-0.05</v>
          </cell>
        </row>
        <row r="17">
          <cell r="B17">
            <v>-0.05</v>
          </cell>
        </row>
        <row r="18">
          <cell r="B18">
            <v>-0.05</v>
          </cell>
        </row>
        <row r="19">
          <cell r="B19">
            <v>-0.05</v>
          </cell>
        </row>
        <row r="20">
          <cell r="B20">
            <v>-0.05</v>
          </cell>
        </row>
        <row r="21">
          <cell r="B21">
            <v>-0.05</v>
          </cell>
        </row>
        <row r="22">
          <cell r="B22">
            <v>-0.05</v>
          </cell>
        </row>
        <row r="23">
          <cell r="B23">
            <v>-0.05</v>
          </cell>
        </row>
        <row r="24">
          <cell r="B24">
            <v>-0.05</v>
          </cell>
        </row>
        <row r="25">
          <cell r="B25">
            <v>-0.05</v>
          </cell>
        </row>
        <row r="26">
          <cell r="B26">
            <v>-0.05</v>
          </cell>
        </row>
        <row r="27">
          <cell r="B27">
            <v>-0.05</v>
          </cell>
        </row>
        <row r="28">
          <cell r="B28">
            <v>-0.05</v>
          </cell>
        </row>
        <row r="29">
          <cell r="B29">
            <v>-0.05</v>
          </cell>
        </row>
        <row r="30">
          <cell r="B30">
            <v>-0.05</v>
          </cell>
        </row>
        <row r="31">
          <cell r="B31">
            <v>-0.05</v>
          </cell>
        </row>
        <row r="32">
          <cell r="B32">
            <v>-0.05</v>
          </cell>
        </row>
        <row r="33">
          <cell r="B33">
            <v>-0.05</v>
          </cell>
        </row>
        <row r="34">
          <cell r="B34">
            <v>-0.05</v>
          </cell>
        </row>
        <row r="35">
          <cell r="B35">
            <v>-0.05</v>
          </cell>
        </row>
        <row r="36">
          <cell r="B36">
            <v>-0.05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n Detail"/>
      <sheetName val="Enron Summary"/>
      <sheetName val="Enron Imbalance"/>
      <sheetName val="Enron Fuel Sale"/>
    </sheetNames>
    <sheetDataSet>
      <sheetData sheetId="0">
        <row r="9">
          <cell r="C9">
            <v>0.95568674906203954</v>
          </cell>
          <cell r="F9">
            <v>1.1030684510914626</v>
          </cell>
        </row>
        <row r="14">
          <cell r="D14">
            <v>-1228</v>
          </cell>
          <cell r="G14">
            <v>-2213</v>
          </cell>
        </row>
        <row r="15">
          <cell r="D15">
            <v>-1246</v>
          </cell>
          <cell r="G15">
            <v>-2386</v>
          </cell>
        </row>
        <row r="16">
          <cell r="D16">
            <v>-1124</v>
          </cell>
          <cell r="G16">
            <v>-2197</v>
          </cell>
        </row>
        <row r="17">
          <cell r="D17">
            <v>-1193</v>
          </cell>
          <cell r="G17">
            <v>-542</v>
          </cell>
        </row>
        <row r="18">
          <cell r="D18">
            <v>-1226</v>
          </cell>
          <cell r="G18">
            <v>-2212</v>
          </cell>
        </row>
        <row r="19">
          <cell r="D19">
            <v>-1231</v>
          </cell>
          <cell r="G19">
            <v>-2110</v>
          </cell>
        </row>
        <row r="20">
          <cell r="D20">
            <v>-1214</v>
          </cell>
          <cell r="G20">
            <v>-2146</v>
          </cell>
        </row>
        <row r="21">
          <cell r="D21">
            <v>-1086</v>
          </cell>
          <cell r="G21">
            <v>-1970</v>
          </cell>
        </row>
        <row r="22">
          <cell r="D22">
            <v>-1103</v>
          </cell>
          <cell r="G22">
            <v>-1865</v>
          </cell>
        </row>
        <row r="23">
          <cell r="D23">
            <v>-1162</v>
          </cell>
          <cell r="G23">
            <v>-1889</v>
          </cell>
        </row>
        <row r="24">
          <cell r="D24">
            <v>-1143</v>
          </cell>
          <cell r="G24">
            <v>-1847</v>
          </cell>
        </row>
        <row r="25">
          <cell r="D25">
            <v>-1187</v>
          </cell>
          <cell r="G25">
            <v>-1963</v>
          </cell>
        </row>
        <row r="26">
          <cell r="D26">
            <v>-1196</v>
          </cell>
          <cell r="G26">
            <v>-1690</v>
          </cell>
        </row>
        <row r="27">
          <cell r="D27">
            <v>-1237</v>
          </cell>
          <cell r="G27">
            <v>-2624</v>
          </cell>
        </row>
        <row r="28">
          <cell r="D28">
            <v>-1394</v>
          </cell>
          <cell r="G28">
            <v>-2434</v>
          </cell>
        </row>
        <row r="29">
          <cell r="D29">
            <v>-1003</v>
          </cell>
          <cell r="G29">
            <v>-1902</v>
          </cell>
        </row>
        <row r="30">
          <cell r="D30">
            <v>-1092</v>
          </cell>
          <cell r="G30">
            <v>-1798</v>
          </cell>
        </row>
        <row r="31">
          <cell r="D31">
            <v>-967</v>
          </cell>
          <cell r="G31">
            <v>-1478</v>
          </cell>
        </row>
        <row r="32">
          <cell r="D32">
            <v>-1132</v>
          </cell>
          <cell r="G32">
            <v>-1959</v>
          </cell>
        </row>
        <row r="33">
          <cell r="D33">
            <v>-1199</v>
          </cell>
          <cell r="G33">
            <v>-2230</v>
          </cell>
        </row>
        <row r="34">
          <cell r="D34">
            <v>-1232</v>
          </cell>
          <cell r="G34">
            <v>-2160</v>
          </cell>
        </row>
        <row r="35">
          <cell r="D35">
            <v>-1124</v>
          </cell>
          <cell r="G35">
            <v>-1937</v>
          </cell>
        </row>
        <row r="36">
          <cell r="D36">
            <v>-1084</v>
          </cell>
          <cell r="G36">
            <v>-1800</v>
          </cell>
        </row>
        <row r="37">
          <cell r="D37">
            <v>-899</v>
          </cell>
          <cell r="G37">
            <v>-2225</v>
          </cell>
        </row>
        <row r="38">
          <cell r="D38">
            <v>-1263</v>
          </cell>
          <cell r="G38">
            <v>-1775</v>
          </cell>
        </row>
        <row r="39">
          <cell r="D39">
            <v>-1085</v>
          </cell>
          <cell r="G39">
            <v>-2004</v>
          </cell>
        </row>
        <row r="40">
          <cell r="D40">
            <v>-1102</v>
          </cell>
          <cell r="G40">
            <v>-2217</v>
          </cell>
        </row>
        <row r="41">
          <cell r="D41">
            <v>-885</v>
          </cell>
          <cell r="G41">
            <v>-1640</v>
          </cell>
        </row>
        <row r="42">
          <cell r="D42">
            <v>-844.5</v>
          </cell>
          <cell r="G42">
            <v>-1489.5</v>
          </cell>
        </row>
        <row r="43">
          <cell r="D43">
            <v>0</v>
          </cell>
          <cell r="G43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4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oleObject" Target="../embeddings/oleObject6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oleObject" Target="../embeddings/oleObject8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"/>
  <sheetViews>
    <sheetView workbookViewId="0">
      <selection activeCell="B17" sqref="B17"/>
    </sheetView>
  </sheetViews>
  <sheetFormatPr defaultRowHeight="12.75" x14ac:dyDescent="0.2"/>
  <cols>
    <col min="1" max="1" width="22.140625" customWidth="1"/>
    <col min="2" max="2" width="41.42578125" bestFit="1" customWidth="1"/>
    <col min="3" max="3" width="36.28515625" bestFit="1" customWidth="1"/>
    <col min="4" max="4" width="19.5703125" bestFit="1" customWidth="1"/>
    <col min="5" max="5" width="20.5703125" bestFit="1" customWidth="1"/>
    <col min="6" max="6" width="33" customWidth="1"/>
    <col min="7" max="7" width="29.42578125" customWidth="1"/>
    <col min="8" max="8" width="14" bestFit="1" customWidth="1"/>
  </cols>
  <sheetData>
    <row r="1" spans="1:8" x14ac:dyDescent="0.2">
      <c r="C1" s="1" t="s">
        <v>0</v>
      </c>
      <c r="D1" s="2"/>
      <c r="E1" s="2"/>
      <c r="F1" s="3" t="s">
        <v>1</v>
      </c>
      <c r="G1" s="4"/>
    </row>
    <row r="2" spans="1:8" x14ac:dyDescent="0.2">
      <c r="C2" s="5"/>
      <c r="D2" s="6"/>
      <c r="E2" s="6"/>
      <c r="F2" s="7"/>
      <c r="G2" s="8" t="s">
        <v>2</v>
      </c>
    </row>
    <row r="3" spans="1:8" x14ac:dyDescent="0.2">
      <c r="C3" s="5" t="s">
        <v>3</v>
      </c>
      <c r="D3" s="6"/>
      <c r="E3" s="6"/>
      <c r="F3" s="7" t="s">
        <v>4</v>
      </c>
      <c r="G3" s="9">
        <v>37231</v>
      </c>
    </row>
    <row r="4" spans="1:8" x14ac:dyDescent="0.2">
      <c r="C4" s="5"/>
      <c r="D4" s="6"/>
      <c r="E4" s="6"/>
      <c r="F4" s="7" t="s">
        <v>5</v>
      </c>
      <c r="G4" s="7"/>
    </row>
    <row r="5" spans="1:8" x14ac:dyDescent="0.2">
      <c r="C5" s="5"/>
      <c r="D5" s="6"/>
      <c r="E5" s="6"/>
      <c r="F5" s="7" t="s">
        <v>6</v>
      </c>
      <c r="G5" s="8" t="s">
        <v>7</v>
      </c>
    </row>
    <row r="6" spans="1:8" x14ac:dyDescent="0.2">
      <c r="C6" s="5"/>
      <c r="D6" s="6"/>
      <c r="E6" s="6"/>
      <c r="F6" s="7" t="s">
        <v>8</v>
      </c>
      <c r="G6" s="10">
        <v>37256</v>
      </c>
    </row>
    <row r="7" spans="1:8" x14ac:dyDescent="0.2">
      <c r="C7" s="5"/>
      <c r="D7" s="6"/>
      <c r="E7" s="6"/>
      <c r="F7" s="7"/>
      <c r="G7" s="7"/>
    </row>
    <row r="8" spans="1:8" x14ac:dyDescent="0.2">
      <c r="C8" s="5"/>
      <c r="D8" s="6"/>
      <c r="E8" s="6"/>
      <c r="F8" s="7"/>
      <c r="G8" s="8" t="s">
        <v>9</v>
      </c>
    </row>
    <row r="9" spans="1:8" x14ac:dyDescent="0.2">
      <c r="C9" s="5" t="s">
        <v>10</v>
      </c>
      <c r="D9" s="6"/>
      <c r="E9" s="6"/>
      <c r="F9" s="7" t="s">
        <v>11</v>
      </c>
      <c r="G9" s="11" t="s">
        <v>12</v>
      </c>
    </row>
    <row r="10" spans="1:8" x14ac:dyDescent="0.2">
      <c r="C10" s="5" t="s">
        <v>13</v>
      </c>
      <c r="D10" s="6"/>
      <c r="E10" s="6"/>
      <c r="F10" s="7" t="s">
        <v>14</v>
      </c>
      <c r="G10" s="8" t="s">
        <v>15</v>
      </c>
    </row>
    <row r="11" spans="1:8" x14ac:dyDescent="0.2">
      <c r="A11" s="12" t="s">
        <v>3</v>
      </c>
      <c r="B11" s="13"/>
      <c r="C11" s="14" t="s">
        <v>16</v>
      </c>
      <c r="D11" s="15"/>
      <c r="E11" s="15"/>
      <c r="F11" s="16" t="s">
        <v>17</v>
      </c>
      <c r="G11" s="17" t="s">
        <v>18</v>
      </c>
    </row>
    <row r="12" spans="1:8" ht="13.5" thickBot="1" x14ac:dyDescent="0.25">
      <c r="A12" s="18">
        <v>37231.606327546295</v>
      </c>
      <c r="B12" s="19"/>
      <c r="C12" s="19"/>
      <c r="D12" s="19"/>
      <c r="E12" s="19"/>
      <c r="F12" s="19"/>
      <c r="G12" s="19"/>
      <c r="H12" s="20"/>
    </row>
    <row r="13" spans="1:8" x14ac:dyDescent="0.2">
      <c r="A13" s="21" t="s">
        <v>19</v>
      </c>
      <c r="B13" s="21" t="s">
        <v>20</v>
      </c>
      <c r="C13" s="21" t="s">
        <v>21</v>
      </c>
      <c r="D13" s="21"/>
      <c r="E13" s="21"/>
    </row>
    <row r="14" spans="1:8" x14ac:dyDescent="0.2">
      <c r="A14" s="21"/>
      <c r="B14" s="21"/>
      <c r="C14" s="21"/>
      <c r="D14" s="21"/>
      <c r="E14" s="21" t="s">
        <v>22</v>
      </c>
      <c r="F14" s="21" t="s">
        <v>23</v>
      </c>
    </row>
    <row r="15" spans="1:8" x14ac:dyDescent="0.2">
      <c r="A15" s="22">
        <v>37196</v>
      </c>
      <c r="B15" s="23">
        <v>96023720</v>
      </c>
      <c r="C15" t="s">
        <v>24</v>
      </c>
      <c r="D15" s="24"/>
      <c r="E15" s="25">
        <v>344620</v>
      </c>
      <c r="F15" s="26">
        <v>1.6437853507864542</v>
      </c>
    </row>
    <row r="16" spans="1:8" x14ac:dyDescent="0.2">
      <c r="A16" s="27"/>
      <c r="B16" s="23"/>
      <c r="C16" t="s">
        <v>25</v>
      </c>
      <c r="D16" s="24"/>
      <c r="E16" s="25">
        <v>768176.5</v>
      </c>
      <c r="F16" s="26">
        <v>1.5066327420677137</v>
      </c>
    </row>
    <row r="17" spans="1:7" x14ac:dyDescent="0.2">
      <c r="E17" s="28"/>
      <c r="F17" s="29"/>
    </row>
    <row r="18" spans="1:7" x14ac:dyDescent="0.2">
      <c r="C18" s="30" t="s">
        <v>26</v>
      </c>
      <c r="E18" s="31">
        <v>1112796.5</v>
      </c>
    </row>
    <row r="19" spans="1:7" x14ac:dyDescent="0.2">
      <c r="E19" s="31"/>
    </row>
    <row r="21" spans="1:7" x14ac:dyDescent="0.2">
      <c r="B21" s="32" t="s">
        <v>27</v>
      </c>
      <c r="C21" s="33" t="s">
        <v>28</v>
      </c>
      <c r="D21" s="34" t="s">
        <v>29</v>
      </c>
      <c r="E21" s="35" t="s">
        <v>30</v>
      </c>
      <c r="F21" s="35" t="s">
        <v>31</v>
      </c>
      <c r="G21" s="34" t="s">
        <v>32</v>
      </c>
    </row>
    <row r="22" spans="1:7" x14ac:dyDescent="0.2">
      <c r="A22" s="36" t="s">
        <v>50</v>
      </c>
      <c r="B22" t="s">
        <v>33</v>
      </c>
      <c r="C22" s="37">
        <v>-0.51480000000000004</v>
      </c>
      <c r="D22" s="38">
        <v>1.2350635694922181</v>
      </c>
      <c r="E22" s="39">
        <v>38346.702348742598</v>
      </c>
      <c r="F22" s="39">
        <v>36647.435304919491</v>
      </c>
      <c r="G22" s="40">
        <v>45261.912260429002</v>
      </c>
    </row>
    <row r="23" spans="1:7" x14ac:dyDescent="0.2">
      <c r="A23" t="s">
        <v>50</v>
      </c>
      <c r="B23" t="s">
        <v>34</v>
      </c>
      <c r="C23" s="37">
        <v>-0.77939999999999998</v>
      </c>
      <c r="D23" s="38">
        <v>2.2606000000000006</v>
      </c>
      <c r="E23" s="39">
        <v>113455.04341357762</v>
      </c>
      <c r="F23" s="39">
        <v>108427.48160461456</v>
      </c>
      <c r="G23" s="40">
        <v>245111.16491539171</v>
      </c>
    </row>
    <row r="24" spans="1:7" x14ac:dyDescent="0.2">
      <c r="A24" t="s">
        <v>50</v>
      </c>
      <c r="B24" t="s">
        <v>35</v>
      </c>
      <c r="C24" s="37">
        <v>-0.51480000000000004</v>
      </c>
      <c r="D24" s="38">
        <v>2.0251999999999999</v>
      </c>
      <c r="E24" s="39">
        <v>39344.654524936544</v>
      </c>
      <c r="F24" s="39">
        <v>43399.847125550456</v>
      </c>
      <c r="G24" s="40">
        <v>87893.370398664774</v>
      </c>
    </row>
    <row r="25" spans="1:7" x14ac:dyDescent="0.2">
      <c r="A25" t="s">
        <v>50</v>
      </c>
      <c r="B25" t="s">
        <v>36</v>
      </c>
      <c r="C25" s="37">
        <v>-0.68210000000000004</v>
      </c>
      <c r="D25" s="38">
        <v>1.0677635694922181</v>
      </c>
      <c r="E25" s="39">
        <v>17417.284619725993</v>
      </c>
      <c r="F25" s="39">
        <v>19212.457167700304</v>
      </c>
      <c r="G25" s="40">
        <v>20514.361844100025</v>
      </c>
    </row>
    <row r="26" spans="1:7" x14ac:dyDescent="0.2">
      <c r="A26" s="41" t="s">
        <v>50</v>
      </c>
      <c r="B26" s="42" t="s">
        <v>37</v>
      </c>
      <c r="C26" s="43">
        <v>-0.51480000000000004</v>
      </c>
      <c r="D26" s="44">
        <v>1.2246926354616556</v>
      </c>
      <c r="E26" s="45">
        <v>124138.20729548135</v>
      </c>
      <c r="F26" s="45">
        <v>136932.9400426975</v>
      </c>
      <c r="G26" s="46">
        <v>167700.76322240409</v>
      </c>
    </row>
    <row r="27" spans="1:7" x14ac:dyDescent="0.2">
      <c r="A27" t="s">
        <v>50</v>
      </c>
      <c r="B27" t="s">
        <v>38</v>
      </c>
      <c r="C27" s="37">
        <v>-0.65500000000000003</v>
      </c>
      <c r="D27" s="38">
        <v>1.108542309922729</v>
      </c>
      <c r="E27" s="39">
        <v>73540.825698362984</v>
      </c>
      <c r="F27" s="39">
        <v>81120.56469508048</v>
      </c>
      <c r="G27" s="40">
        <v>89925.578169320695</v>
      </c>
    </row>
    <row r="28" spans="1:7" x14ac:dyDescent="0.2">
      <c r="A28" t="s">
        <v>50</v>
      </c>
      <c r="B28" t="s">
        <v>39</v>
      </c>
      <c r="C28" s="37">
        <v>-0.91959999999999997</v>
      </c>
      <c r="D28" s="38">
        <v>2.1204000000000001</v>
      </c>
      <c r="E28" s="39">
        <v>217187.35420121351</v>
      </c>
      <c r="F28" s="39">
        <v>239572.51839538544</v>
      </c>
      <c r="G28" s="40">
        <v>507989.56800557527</v>
      </c>
    </row>
    <row r="29" spans="1:7" x14ac:dyDescent="0.2">
      <c r="A29" t="s">
        <v>50</v>
      </c>
      <c r="B29" t="s">
        <v>40</v>
      </c>
      <c r="C29" s="37">
        <v>-0.65500000000000003</v>
      </c>
      <c r="D29" s="38">
        <v>1.885</v>
      </c>
      <c r="E29" s="39">
        <v>86953.037936624503</v>
      </c>
      <c r="F29" s="39">
        <v>95915.152874449574</v>
      </c>
      <c r="G29" s="40">
        <v>180800.06316833742</v>
      </c>
    </row>
    <row r="30" spans="1:7" x14ac:dyDescent="0.2">
      <c r="A30" t="s">
        <v>50</v>
      </c>
      <c r="B30" t="s">
        <v>41</v>
      </c>
      <c r="C30" s="37">
        <v>-0.65500000000000003</v>
      </c>
      <c r="D30" s="38">
        <v>1.0957005034164899</v>
      </c>
      <c r="E30" s="39">
        <v>280164.89788236894</v>
      </c>
      <c r="F30" s="39">
        <v>309041.05995730247</v>
      </c>
      <c r="G30" s="40">
        <v>338616.44497158198</v>
      </c>
    </row>
    <row r="31" spans="1:7" x14ac:dyDescent="0.2">
      <c r="A31" t="s">
        <v>50</v>
      </c>
      <c r="B31" t="s">
        <v>42</v>
      </c>
      <c r="C31" s="37">
        <v>-0.82230000000000003</v>
      </c>
      <c r="D31" s="38">
        <v>0.94124230992272884</v>
      </c>
      <c r="E31" s="39">
        <v>38553.856553706704</v>
      </c>
      <c r="F31" s="39">
        <v>42527.542832299689</v>
      </c>
      <c r="G31" s="40">
        <v>40028.722650811549</v>
      </c>
    </row>
    <row r="32" spans="1:7" x14ac:dyDescent="0.2">
      <c r="A32" t="s">
        <v>50</v>
      </c>
      <c r="B32" t="s">
        <v>43</v>
      </c>
      <c r="C32" t="s">
        <v>44</v>
      </c>
      <c r="D32" s="47" t="s">
        <v>45</v>
      </c>
      <c r="E32" s="39">
        <v>34406.148282658105</v>
      </c>
      <c r="F32" s="39">
        <v>32881.5</v>
      </c>
      <c r="G32" s="48" t="s">
        <v>46</v>
      </c>
    </row>
    <row r="33" spans="1:11" x14ac:dyDescent="0.2">
      <c r="A33" t="s">
        <v>50</v>
      </c>
      <c r="B33" t="s">
        <v>47</v>
      </c>
      <c r="C33" t="s">
        <v>44</v>
      </c>
      <c r="D33" s="47" t="s">
        <v>45</v>
      </c>
      <c r="E33" s="39">
        <v>51404.334829714411</v>
      </c>
      <c r="F33" s="39">
        <v>56702.5</v>
      </c>
      <c r="G33" s="48" t="s">
        <v>46</v>
      </c>
    </row>
    <row r="34" spans="1:11" x14ac:dyDescent="0.2">
      <c r="A34" s="49" t="s">
        <v>48</v>
      </c>
      <c r="B34" s="21"/>
      <c r="C34" s="21"/>
      <c r="D34" s="50"/>
      <c r="E34" s="49">
        <v>1114912.3475871133</v>
      </c>
      <c r="F34" s="49">
        <v>1202381</v>
      </c>
      <c r="G34" s="51">
        <v>1723841.9496066163</v>
      </c>
    </row>
    <row r="35" spans="1:11" x14ac:dyDescent="0.2">
      <c r="C35" s="37"/>
      <c r="D35" s="47"/>
      <c r="E35" s="47"/>
      <c r="F35" s="39"/>
      <c r="G35" s="48"/>
    </row>
    <row r="36" spans="1:11" x14ac:dyDescent="0.2">
      <c r="D36" s="47"/>
      <c r="E36" s="47"/>
      <c r="F36" s="39"/>
      <c r="G36" s="48"/>
      <c r="K36" s="52"/>
    </row>
    <row r="37" spans="1:11" x14ac:dyDescent="0.2">
      <c r="D37" s="53" t="s">
        <v>49</v>
      </c>
      <c r="E37" s="53"/>
      <c r="F37" s="54"/>
      <c r="G37" s="55">
        <v>1723841.9496066163</v>
      </c>
    </row>
    <row r="40" spans="1:11" x14ac:dyDescent="0.2">
      <c r="F40" s="52"/>
      <c r="G40" s="56"/>
    </row>
    <row r="41" spans="1:11" x14ac:dyDescent="0.2">
      <c r="F41" s="5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1025" r:id="rId3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5" r:id="rId3"/>
      </mc:Fallback>
    </mc:AlternateContent>
    <mc:AlternateContent xmlns:mc="http://schemas.openxmlformats.org/markup-compatibility/2006">
      <mc:Choice Requires="x14">
        <oleObject progId="Paint.Picture" shapeId="1026" r:id="rId5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6" r:id="rId5"/>
      </mc:Fallback>
    </mc:AlternateContent>
    <mc:AlternateContent xmlns:mc="http://schemas.openxmlformats.org/markup-compatibility/2006">
      <mc:Choice Requires="x14">
        <oleObject progId="Paint.Picture" shapeId="1027" r:id="rId6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7" r:id="rId6"/>
      </mc:Fallback>
    </mc:AlternateContent>
    <mc:AlternateContent xmlns:mc="http://schemas.openxmlformats.org/markup-compatibility/2006">
      <mc:Choice Requires="x14">
        <oleObject progId="Paint.Picture" shapeId="1028" r:id="rId7">
          <objectPr defaultSize="0" autoPict="0" r:id="rId4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8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4"/>
  <sheetViews>
    <sheetView workbookViewId="0">
      <selection activeCell="C7" sqref="C7"/>
    </sheetView>
  </sheetViews>
  <sheetFormatPr defaultRowHeight="12.75" x14ac:dyDescent="0.2"/>
  <cols>
    <col min="1" max="1" width="16.7109375" style="58" customWidth="1"/>
    <col min="2" max="2" width="18.5703125" style="58" bestFit="1" customWidth="1"/>
    <col min="3" max="3" width="19.85546875" style="58" customWidth="1"/>
    <col min="4" max="4" width="17.5703125" style="58" bestFit="1" customWidth="1"/>
    <col min="5" max="5" width="21" style="58" customWidth="1"/>
    <col min="6" max="6" width="16.28515625" style="58" customWidth="1"/>
    <col min="7" max="7" width="15.5703125" style="58" customWidth="1"/>
    <col min="8" max="8" width="15.85546875" style="58" bestFit="1" customWidth="1"/>
    <col min="9" max="14" width="15.5703125" style="58" customWidth="1"/>
    <col min="15" max="15" width="14" style="58" bestFit="1" customWidth="1"/>
    <col min="16" max="16" width="13.28515625" style="58" bestFit="1" customWidth="1"/>
    <col min="17" max="17" width="13.28515625" style="58" customWidth="1"/>
    <col min="18" max="18" width="16.85546875" style="58" bestFit="1" customWidth="1"/>
    <col min="19" max="19" width="13.28515625" style="58" bestFit="1" customWidth="1"/>
    <col min="20" max="20" width="15.28515625" style="58" customWidth="1"/>
    <col min="21" max="21" width="13.28515625" style="58" bestFit="1" customWidth="1"/>
    <col min="22" max="22" width="12.140625" style="58" bestFit="1" customWidth="1"/>
    <col min="23" max="23" width="15" style="58" bestFit="1" customWidth="1"/>
    <col min="24" max="24" width="15" style="58" customWidth="1"/>
    <col min="25" max="25" width="12.140625" style="58" bestFit="1" customWidth="1"/>
    <col min="26" max="26" width="15.42578125" style="58" customWidth="1"/>
    <col min="27" max="27" width="16.42578125" style="58" customWidth="1"/>
    <col min="28" max="16384" width="9.140625" style="58"/>
  </cols>
  <sheetData>
    <row r="1" spans="1:19" x14ac:dyDescent="0.2">
      <c r="A1" s="57" t="s">
        <v>51</v>
      </c>
      <c r="B1" s="57" t="s">
        <v>52</v>
      </c>
      <c r="C1" s="57" t="s">
        <v>53</v>
      </c>
      <c r="F1" s="58" t="s">
        <v>54</v>
      </c>
      <c r="H1" s="57"/>
      <c r="I1" s="57"/>
      <c r="J1" s="57"/>
      <c r="K1" s="57"/>
      <c r="L1" s="57"/>
      <c r="M1" s="57"/>
      <c r="N1" s="57"/>
      <c r="O1" s="57"/>
      <c r="S1" s="59">
        <f ca="1">NOW()</f>
        <v>37231.608659375001</v>
      </c>
    </row>
    <row r="2" spans="1:19" x14ac:dyDescent="0.2">
      <c r="A2" s="60">
        <f>+'[1]Index Pricing'!A1</f>
        <v>37196</v>
      </c>
      <c r="B2" s="57" t="s">
        <v>55</v>
      </c>
      <c r="C2" s="57" t="s">
        <v>56</v>
      </c>
      <c r="H2" s="57"/>
      <c r="I2" s="57"/>
      <c r="J2" s="57"/>
      <c r="K2" s="57"/>
      <c r="L2" s="57"/>
      <c r="M2" s="57"/>
      <c r="N2" s="57"/>
      <c r="O2" s="57"/>
    </row>
    <row r="3" spans="1:19" x14ac:dyDescent="0.2">
      <c r="A3" s="60"/>
      <c r="B3" s="57" t="s">
        <v>57</v>
      </c>
      <c r="C3" s="57" t="s">
        <v>58</v>
      </c>
      <c r="F3" s="58" t="s">
        <v>59</v>
      </c>
      <c r="G3" s="58" t="s">
        <v>60</v>
      </c>
      <c r="H3" s="57"/>
      <c r="I3" s="57"/>
      <c r="J3" s="57"/>
      <c r="K3" s="57"/>
      <c r="L3" s="57"/>
      <c r="M3" s="57"/>
      <c r="N3" s="57"/>
      <c r="O3" s="57"/>
    </row>
    <row r="4" spans="1:19" x14ac:dyDescent="0.2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">
      <c r="A5" s="60" t="s">
        <v>61</v>
      </c>
      <c r="B5" s="57"/>
      <c r="C5" s="61">
        <f>+'[1]Index Pricing'!B4</f>
        <v>3.04</v>
      </c>
      <c r="H5" s="57"/>
      <c r="I5" s="57"/>
      <c r="J5" s="57"/>
      <c r="K5" s="57"/>
      <c r="L5" s="57"/>
      <c r="M5" s="57"/>
      <c r="N5" s="57"/>
      <c r="O5" s="57"/>
    </row>
    <row r="6" spans="1:19" ht="12" customHeight="1" x14ac:dyDescent="0.2">
      <c r="A6" s="60" t="s">
        <v>62</v>
      </c>
      <c r="B6" s="57"/>
      <c r="C6" s="61">
        <f>+'[1]Index Pricing'!B3</f>
        <v>2.54</v>
      </c>
      <c r="H6" s="57"/>
      <c r="I6" s="57"/>
      <c r="J6" s="57"/>
      <c r="K6" s="57"/>
      <c r="L6" s="57"/>
      <c r="M6" s="57"/>
      <c r="N6" s="57"/>
      <c r="O6" s="57"/>
    </row>
    <row r="7" spans="1:19" x14ac:dyDescent="0.2">
      <c r="A7" s="62" t="s">
        <v>63</v>
      </c>
      <c r="C7" s="63">
        <f>+'[1]Internal Kennedy Total'!C7</f>
        <v>21032</v>
      </c>
      <c r="D7" s="57" t="s">
        <v>64</v>
      </c>
    </row>
    <row r="8" spans="1:19" x14ac:dyDescent="0.2">
      <c r="A8" s="62" t="s">
        <v>65</v>
      </c>
      <c r="C8" s="63">
        <f>+'[1]Internal Kennedy Total'!C8</f>
        <v>21893</v>
      </c>
      <c r="D8" s="57" t="s">
        <v>64</v>
      </c>
    </row>
    <row r="9" spans="1:19" ht="13.5" thickBot="1" x14ac:dyDescent="0.25">
      <c r="A9" s="62"/>
      <c r="C9" s="64"/>
    </row>
    <row r="10" spans="1:19" x14ac:dyDescent="0.2">
      <c r="A10" s="65"/>
      <c r="B10" s="66" t="s">
        <v>66</v>
      </c>
      <c r="C10" s="67" t="s">
        <v>67</v>
      </c>
      <c r="D10" s="67" t="s">
        <v>68</v>
      </c>
      <c r="E10" s="68" t="s">
        <v>69</v>
      </c>
    </row>
    <row r="11" spans="1:19" x14ac:dyDescent="0.2">
      <c r="A11" s="69" t="s">
        <v>47</v>
      </c>
      <c r="B11" s="70">
        <f>'[2]Enron Detail'!$F$9</f>
        <v>1.1030684510914626</v>
      </c>
      <c r="C11" s="71">
        <f>+C7*D11</f>
        <v>14518.636739062353</v>
      </c>
      <c r="D11" s="72">
        <f>'[1]Internal Kennedy Total'!H8</f>
        <v>0.69031175062107042</v>
      </c>
      <c r="E11" s="73">
        <v>0.61</v>
      </c>
    </row>
    <row r="12" spans="1:19" ht="13.5" thickBot="1" x14ac:dyDescent="0.25">
      <c r="A12" s="74" t="s">
        <v>43</v>
      </c>
      <c r="B12" s="75">
        <f>'[2]Enron Detail'!$C$9</f>
        <v>0.95568674906203954</v>
      </c>
      <c r="C12" s="76">
        <f>+C7-C11</f>
        <v>6513.3632609376473</v>
      </c>
      <c r="D12" s="77">
        <f>'[1]Internal Kennedy Total'!H7</f>
        <v>0.30968824937892958</v>
      </c>
      <c r="E12" s="78">
        <v>0.47</v>
      </c>
    </row>
    <row r="13" spans="1:19" x14ac:dyDescent="0.2">
      <c r="A13" s="79"/>
      <c r="I13" s="80"/>
    </row>
    <row r="14" spans="1:19" ht="13.5" thickBot="1" x14ac:dyDescent="0.25">
      <c r="A14" s="79"/>
    </row>
    <row r="15" spans="1:19" s="86" customFormat="1" ht="57" customHeight="1" x14ac:dyDescent="0.2">
      <c r="A15" s="81" t="s">
        <v>70</v>
      </c>
      <c r="B15" s="82"/>
      <c r="C15" s="82" t="s">
        <v>71</v>
      </c>
      <c r="D15" s="82" t="s">
        <v>72</v>
      </c>
      <c r="E15" s="82" t="s">
        <v>73</v>
      </c>
      <c r="F15" s="83" t="str">
        <f>"WIC Med.Bow Fuel ("&amp;'[1]Index Pricing'!$F$3*100&amp;"%*CIGindex)"</f>
        <v>WIC Med.Bow Fuel (0.68%*CIGindex)</v>
      </c>
      <c r="G15" s="82" t="s">
        <v>74</v>
      </c>
      <c r="H15" s="82" t="s">
        <v>75</v>
      </c>
      <c r="I15" s="82" t="s">
        <v>76</v>
      </c>
      <c r="J15" s="84"/>
      <c r="K15" s="85" t="s">
        <v>77</v>
      </c>
    </row>
    <row r="16" spans="1:19" x14ac:dyDescent="0.2">
      <c r="A16" s="87" t="s">
        <v>78</v>
      </c>
      <c r="B16" s="88" t="s">
        <v>79</v>
      </c>
      <c r="C16" s="89">
        <v>0</v>
      </c>
      <c r="D16" s="88">
        <f>-E12</f>
        <v>-0.47</v>
      </c>
      <c r="E16" s="88"/>
      <c r="F16" s="88"/>
      <c r="G16" s="88"/>
      <c r="H16" s="88"/>
      <c r="I16" s="88">
        <f>+-M57*D16/(O57)</f>
        <v>-4.4844480877488241E-2</v>
      </c>
      <c r="J16" s="90"/>
      <c r="K16" s="91">
        <f>ROUND(SUM(C16:J16),4)</f>
        <v>-0.51480000000000004</v>
      </c>
    </row>
    <row r="17" spans="1:21" x14ac:dyDescent="0.2">
      <c r="A17" s="87" t="s">
        <v>78</v>
      </c>
      <c r="B17" s="88" t="s">
        <v>80</v>
      </c>
      <c r="C17" s="89">
        <v>0.01</v>
      </c>
      <c r="D17" s="88">
        <f>-E12</f>
        <v>-0.47</v>
      </c>
      <c r="E17" s="88">
        <f>-0.13-0.0025-0.0022</f>
        <v>-0.13470000000000001</v>
      </c>
      <c r="F17" s="88">
        <f>-'[1]Index Pricing'!$F$3*'[1]Index Pricing'!B3</f>
        <v>-1.7271999999999999E-2</v>
      </c>
      <c r="G17" s="88">
        <v>-0.1226</v>
      </c>
      <c r="H17" s="88">
        <v>0</v>
      </c>
      <c r="I17" s="88">
        <f>+I16</f>
        <v>-4.4844480877488241E-2</v>
      </c>
      <c r="J17" s="90"/>
      <c r="K17" s="91">
        <f>ROUND(SUM(C17:J17),4)</f>
        <v>-0.77939999999999998</v>
      </c>
    </row>
    <row r="18" spans="1:21" x14ac:dyDescent="0.2">
      <c r="A18" s="87" t="s">
        <v>78</v>
      </c>
      <c r="B18" s="88" t="s">
        <v>81</v>
      </c>
      <c r="C18" s="89">
        <v>0</v>
      </c>
      <c r="D18" s="88">
        <f>-$E$12</f>
        <v>-0.47</v>
      </c>
      <c r="E18" s="88"/>
      <c r="F18" s="88"/>
      <c r="G18" s="88"/>
      <c r="H18" s="88"/>
      <c r="I18" s="88">
        <f>+I17</f>
        <v>-4.4844480877488241E-2</v>
      </c>
      <c r="J18" s="90"/>
      <c r="K18" s="91">
        <f>ROUND(SUM(C18:J18),4)</f>
        <v>-0.51480000000000004</v>
      </c>
    </row>
    <row r="19" spans="1:21" x14ac:dyDescent="0.2">
      <c r="A19" s="87" t="s">
        <v>82</v>
      </c>
      <c r="B19" s="88" t="s">
        <v>79</v>
      </c>
      <c r="C19" s="92" t="s">
        <v>83</v>
      </c>
      <c r="D19" s="88">
        <f>-$E$12</f>
        <v>-0.47</v>
      </c>
      <c r="E19" s="88"/>
      <c r="F19" s="88"/>
      <c r="G19" s="88"/>
      <c r="H19" s="88"/>
      <c r="I19" s="88">
        <f>I18</f>
        <v>-4.4844480877488241E-2</v>
      </c>
      <c r="J19" s="88"/>
      <c r="K19" s="91">
        <f>ROUND(SUM(C19:J19),4)</f>
        <v>-0.51480000000000004</v>
      </c>
      <c r="L19" s="93"/>
      <c r="N19" s="94"/>
    </row>
    <row r="20" spans="1:21" x14ac:dyDescent="0.2">
      <c r="A20" s="87" t="s">
        <v>82</v>
      </c>
      <c r="B20" s="88" t="s">
        <v>79</v>
      </c>
      <c r="C20" s="89">
        <v>0.1</v>
      </c>
      <c r="D20" s="88">
        <f>-$E$12</f>
        <v>-0.47</v>
      </c>
      <c r="E20" s="88">
        <v>-0.25</v>
      </c>
      <c r="F20" s="88">
        <f>-'[1]Index Pricing'!$F$3*'[1]Index Pricing'!B3</f>
        <v>-1.7271999999999999E-2</v>
      </c>
      <c r="G20" s="88"/>
      <c r="H20" s="88"/>
      <c r="I20" s="88">
        <f>I19</f>
        <v>-4.4844480877488241E-2</v>
      </c>
      <c r="J20" s="88"/>
      <c r="K20" s="91">
        <f>ROUND(SUM(C20:J20),4)</f>
        <v>-0.68210000000000004</v>
      </c>
      <c r="L20" s="93"/>
    </row>
    <row r="21" spans="1:21" ht="13.5" thickBot="1" x14ac:dyDescent="0.25"/>
    <row r="22" spans="1:21" ht="23.25" thickBot="1" x14ac:dyDescent="0.5">
      <c r="C22" s="95" t="s">
        <v>84</v>
      </c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7"/>
      <c r="Q22" s="97"/>
      <c r="R22" s="97"/>
      <c r="S22" s="97"/>
      <c r="T22" s="97"/>
      <c r="U22" s="98"/>
    </row>
    <row r="23" spans="1:21" s="86" customFormat="1" ht="57" customHeight="1" x14ac:dyDescent="0.2">
      <c r="B23" s="99"/>
      <c r="C23" s="100" t="s">
        <v>85</v>
      </c>
      <c r="D23" s="101" t="s">
        <v>86</v>
      </c>
      <c r="E23" s="100" t="s">
        <v>87</v>
      </c>
      <c r="F23" s="101" t="s">
        <v>88</v>
      </c>
      <c r="G23" s="100" t="s">
        <v>89</v>
      </c>
      <c r="H23" s="101" t="s">
        <v>90</v>
      </c>
      <c r="I23" s="100" t="s">
        <v>91</v>
      </c>
      <c r="J23" s="101" t="s">
        <v>92</v>
      </c>
      <c r="K23" s="100" t="s">
        <v>93</v>
      </c>
      <c r="L23" s="101" t="s">
        <v>94</v>
      </c>
      <c r="M23" s="102" t="s">
        <v>95</v>
      </c>
      <c r="N23" s="102" t="s">
        <v>96</v>
      </c>
      <c r="O23" s="103" t="s">
        <v>97</v>
      </c>
      <c r="P23" s="191" t="s">
        <v>98</v>
      </c>
      <c r="Q23" s="192"/>
      <c r="R23" s="192"/>
      <c r="S23" s="192"/>
      <c r="T23" s="193"/>
      <c r="U23" s="104"/>
    </row>
    <row r="24" spans="1:21" s="105" customFormat="1" x14ac:dyDescent="0.2">
      <c r="B24" s="106"/>
      <c r="C24" s="107"/>
      <c r="D24" s="106"/>
      <c r="E24" s="107"/>
      <c r="F24" s="108">
        <f>IF(+C7*0.8&gt;12000,12000,+C7*0.8)</f>
        <v>12000</v>
      </c>
      <c r="G24" s="107"/>
      <c r="H24" s="106"/>
      <c r="I24" s="107"/>
      <c r="J24" s="106"/>
      <c r="K24" s="107"/>
      <c r="L24" s="106"/>
      <c r="M24" s="109"/>
      <c r="N24" s="109"/>
      <c r="O24" s="110"/>
      <c r="P24" s="111"/>
      <c r="Q24" s="112"/>
      <c r="R24" s="112"/>
      <c r="S24" s="112"/>
      <c r="T24" s="113"/>
      <c r="U24" s="114"/>
    </row>
    <row r="25" spans="1:21" s="86" customFormat="1" ht="26.25" thickBot="1" x14ac:dyDescent="0.25">
      <c r="B25" s="99" t="s">
        <v>99</v>
      </c>
      <c r="C25" s="115" t="s">
        <v>100</v>
      </c>
      <c r="D25" s="99"/>
      <c r="E25" s="116" t="s">
        <v>101</v>
      </c>
      <c r="F25" s="117"/>
      <c r="G25" s="115" t="s">
        <v>102</v>
      </c>
      <c r="H25" s="99"/>
      <c r="I25" s="115" t="s">
        <v>100</v>
      </c>
      <c r="J25" s="99"/>
      <c r="K25" s="115" t="s">
        <v>100</v>
      </c>
      <c r="L25" s="99"/>
      <c r="M25" s="118"/>
      <c r="N25" s="118"/>
      <c r="O25" s="119"/>
      <c r="P25" s="120" t="s">
        <v>103</v>
      </c>
      <c r="Q25" s="121" t="s">
        <v>104</v>
      </c>
      <c r="R25" s="121" t="s">
        <v>105</v>
      </c>
      <c r="S25" s="121" t="s">
        <v>106</v>
      </c>
      <c r="T25" s="122" t="s">
        <v>107</v>
      </c>
      <c r="U25" s="123" t="s">
        <v>108</v>
      </c>
    </row>
    <row r="26" spans="1:21" x14ac:dyDescent="0.2">
      <c r="A26" s="124">
        <f>+'[1]Index Pricing'!A7</f>
        <v>37196</v>
      </c>
      <c r="B26" s="125">
        <f>+'[1]Index Pricing'!B7</f>
        <v>2.67</v>
      </c>
      <c r="C26" s="126">
        <f t="shared" ref="C26:C55" si="0">+B26+$K$16</f>
        <v>2.1551999999999998</v>
      </c>
      <c r="D26" s="127">
        <f>O26*'[1]Internal Kennedy Total'!T18</f>
        <v>1354.3307269333602</v>
      </c>
      <c r="E26" s="128">
        <f>+'[1]Index Pricing'!$B$4+'[1]Box Draw Detail'!$K$17</f>
        <v>2.2606000000000002</v>
      </c>
      <c r="F26" s="129">
        <f>O26*'[1]Internal Kennedy Total'!U18</f>
        <v>3863.9963678555214</v>
      </c>
      <c r="G26" s="128">
        <f t="shared" ref="G26:G55" si="1">$C$6+$K$18</f>
        <v>2.0251999999999999</v>
      </c>
      <c r="H26" s="130">
        <f>O26*'[1]Internal Kennedy Total'!V18</f>
        <v>1553.9705392725623</v>
      </c>
      <c r="I26" s="128">
        <f>B26+$K$20</f>
        <v>1.9878999999999998</v>
      </c>
      <c r="J26" s="131">
        <f>O26*'[1]Internal Kennedy Total'!W18</f>
        <v>710.00933259345209</v>
      </c>
      <c r="K26" s="128">
        <f>B26+$K$19+'[1]Kennedy Gas Daily Pricing'!B7</f>
        <v>2.1052</v>
      </c>
      <c r="L26" s="131">
        <f>'[1]Internal Kennedy Total'!X18*'[1]Internal Kennedy Total'!M18</f>
        <v>5283.6930333451046</v>
      </c>
      <c r="M26" s="132">
        <f>'[2]Enron Detail'!$D14</f>
        <v>-1228</v>
      </c>
      <c r="N26" s="133">
        <f>O26-M26</f>
        <v>13994</v>
      </c>
      <c r="O26" s="134">
        <f>'[1]Internal Kennedy Total'!M18</f>
        <v>12766</v>
      </c>
      <c r="P26" s="135">
        <f>+C26*D26</f>
        <v>2918.8535826867778</v>
      </c>
      <c r="Q26" s="135">
        <f>+E26*F26</f>
        <v>8734.9501891741929</v>
      </c>
      <c r="R26" s="135">
        <f>+G26*H26</f>
        <v>3147.1011361347928</v>
      </c>
      <c r="S26" s="135">
        <f>I26*J26</f>
        <v>1411.4275522625232</v>
      </c>
      <c r="T26" s="136">
        <f>K26*L26</f>
        <v>11123.230573798113</v>
      </c>
      <c r="U26" s="137">
        <f t="shared" ref="U26:U57" si="2">SUM(P26:T26)</f>
        <v>27335.563034056398</v>
      </c>
    </row>
    <row r="27" spans="1:21" x14ac:dyDescent="0.2">
      <c r="A27" s="124">
        <f>+'[1]Index Pricing'!A8</f>
        <v>37197</v>
      </c>
      <c r="B27" s="125">
        <f>+'[1]Index Pricing'!B8</f>
        <v>2.36</v>
      </c>
      <c r="C27" s="138">
        <f t="shared" si="0"/>
        <v>1.8451999999999997</v>
      </c>
      <c r="D27" s="139">
        <f>O27*'[1]Internal Kennedy Total'!T19</f>
        <v>1264.7143682032529</v>
      </c>
      <c r="E27" s="140">
        <f>+'[1]Index Pricing'!$B$4+'[1]Box Draw Detail'!$K$17</f>
        <v>2.2606000000000002</v>
      </c>
      <c r="F27" s="141">
        <f>O27*'[1]Internal Kennedy Total'!U19</f>
        <v>3608.3148878837451</v>
      </c>
      <c r="G27" s="140">
        <f t="shared" si="1"/>
        <v>2.0251999999999999</v>
      </c>
      <c r="H27" s="142">
        <f>O27*'[1]Internal Kennedy Total'!V19</f>
        <v>1451.1439707439131</v>
      </c>
      <c r="I27" s="140">
        <f t="shared" ref="I27:I55" si="3">B27+$K$20</f>
        <v>1.6778999999999997</v>
      </c>
      <c r="J27" s="143">
        <f>O27*'[1]Internal Kennedy Total'!W19</f>
        <v>663.02786064863824</v>
      </c>
      <c r="K27" s="140">
        <f>B27+$K$19+'[1]Kennedy Gas Daily Pricing'!B8</f>
        <v>1.7951999999999997</v>
      </c>
      <c r="L27" s="143">
        <f>'[1]Internal Kennedy Total'!X19*'[1]Internal Kennedy Total'!M19</f>
        <v>5510.7989125204504</v>
      </c>
      <c r="M27" s="144">
        <f>'[2]Enron Detail'!$D15</f>
        <v>-1246</v>
      </c>
      <c r="N27" s="145">
        <f t="shared" ref="N27:N55" si="4">O27-M27</f>
        <v>13744</v>
      </c>
      <c r="O27" s="146">
        <f>'[1]Internal Kennedy Total'!M19</f>
        <v>12498</v>
      </c>
      <c r="P27" s="135">
        <f t="shared" ref="P27:P55" si="5">+C27*D27</f>
        <v>2333.6509522086417</v>
      </c>
      <c r="Q27" s="135">
        <f t="shared" ref="Q27:Q55" si="6">+E27*F27</f>
        <v>8156.9566355499946</v>
      </c>
      <c r="R27" s="135">
        <f t="shared" ref="R27:R55" si="7">+G27*H27</f>
        <v>2938.8567695505726</v>
      </c>
      <c r="S27" s="135">
        <f t="shared" ref="S27:S55" si="8">I27*J27</f>
        <v>1112.49444738235</v>
      </c>
      <c r="T27" s="136">
        <f t="shared" ref="T27:T55" si="9">K27*L27</f>
        <v>9892.9862077567104</v>
      </c>
      <c r="U27" s="147">
        <f t="shared" si="2"/>
        <v>24434.945012448272</v>
      </c>
    </row>
    <row r="28" spans="1:21" x14ac:dyDescent="0.2">
      <c r="A28" s="124">
        <f>+'[1]Index Pricing'!A9</f>
        <v>37198</v>
      </c>
      <c r="B28" s="125">
        <f>+'[1]Index Pricing'!B9</f>
        <v>2.0150000000000001</v>
      </c>
      <c r="C28" s="138">
        <f t="shared" si="0"/>
        <v>1.5002</v>
      </c>
      <c r="D28" s="139">
        <f>O28*'[1]Internal Kennedy Total'!T20</f>
        <v>1217.0990232558138</v>
      </c>
      <c r="E28" s="140">
        <f>+'[1]Index Pricing'!$B$4+'[1]Box Draw Detail'!$K$17</f>
        <v>2.2606000000000002</v>
      </c>
      <c r="F28" s="141">
        <f>O28*'[1]Internal Kennedy Total'!U20</f>
        <v>3472.4651162790697</v>
      </c>
      <c r="G28" s="140">
        <f t="shared" si="1"/>
        <v>2.0251999999999999</v>
      </c>
      <c r="H28" s="142">
        <f>O28*'[1]Internal Kennedy Total'!V20</f>
        <v>1396.5097209302326</v>
      </c>
      <c r="I28" s="140">
        <f t="shared" si="3"/>
        <v>1.3329</v>
      </c>
      <c r="J28" s="143">
        <f>O28*'[1]Internal Kennedy Total'!W20</f>
        <v>638.06546511627914</v>
      </c>
      <c r="K28" s="140">
        <f>B28+$K$19+'[1]Kennedy Gas Daily Pricing'!B9</f>
        <v>1.4501999999999999</v>
      </c>
      <c r="L28" s="143">
        <f>'[1]Internal Kennedy Total'!X20*'[1]Internal Kennedy Total'!M20</f>
        <v>5718.8606744186045</v>
      </c>
      <c r="M28" s="144">
        <f>'[2]Enron Detail'!$D16</f>
        <v>-1124</v>
      </c>
      <c r="N28" s="145">
        <f t="shared" si="4"/>
        <v>13567</v>
      </c>
      <c r="O28" s="146">
        <f>'[1]Internal Kennedy Total'!M20</f>
        <v>12443</v>
      </c>
      <c r="P28" s="135">
        <f t="shared" si="5"/>
        <v>1825.8919546883719</v>
      </c>
      <c r="Q28" s="135">
        <f t="shared" si="6"/>
        <v>7849.8546418604656</v>
      </c>
      <c r="R28" s="135">
        <f t="shared" si="7"/>
        <v>2828.2114868279068</v>
      </c>
      <c r="S28" s="135">
        <f t="shared" si="8"/>
        <v>850.47745845348845</v>
      </c>
      <c r="T28" s="136">
        <f t="shared" si="9"/>
        <v>8293.4917500418596</v>
      </c>
      <c r="U28" s="147">
        <f t="shared" si="2"/>
        <v>21647.927291872089</v>
      </c>
    </row>
    <row r="29" spans="1:21" x14ac:dyDescent="0.2">
      <c r="A29" s="124">
        <f>+'[1]Index Pricing'!A10</f>
        <v>37199</v>
      </c>
      <c r="B29" s="125">
        <f>+'[1]Index Pricing'!B10</f>
        <v>2.0150000000000001</v>
      </c>
      <c r="C29" s="138">
        <f t="shared" si="0"/>
        <v>1.5002</v>
      </c>
      <c r="D29" s="139">
        <f>O29*'[1]Internal Kennedy Total'!T21</f>
        <v>1236.1107063443251</v>
      </c>
      <c r="E29" s="140">
        <f>+'[1]Index Pricing'!$B$4+'[1]Box Draw Detail'!$K$17</f>
        <v>2.2606000000000002</v>
      </c>
      <c r="F29" s="141">
        <f>O29*'[1]Internal Kennedy Total'!U21</f>
        <v>3526.7067228083451</v>
      </c>
      <c r="G29" s="140">
        <f t="shared" si="1"/>
        <v>2.0251999999999999</v>
      </c>
      <c r="H29" s="142">
        <f>O29*'[1]Internal Kennedy Total'!V21</f>
        <v>1418.3238870227563</v>
      </c>
      <c r="I29" s="140">
        <f t="shared" si="3"/>
        <v>1.3329</v>
      </c>
      <c r="J29" s="143">
        <f>O29*'[1]Internal Kennedy Total'!W21</f>
        <v>648.03236031603353</v>
      </c>
      <c r="K29" s="140">
        <f>B29+$K$19+'[1]Kennedy Gas Daily Pricing'!B10</f>
        <v>1.4501999999999999</v>
      </c>
      <c r="L29" s="143">
        <f>'[1]Internal Kennedy Total'!X21*'[1]Internal Kennedy Total'!M21</f>
        <v>5594.8263235085396</v>
      </c>
      <c r="M29" s="144">
        <f>'[2]Enron Detail'!$D17</f>
        <v>-1193</v>
      </c>
      <c r="N29" s="145">
        <f t="shared" si="4"/>
        <v>13617</v>
      </c>
      <c r="O29" s="146">
        <f>'[1]Internal Kennedy Total'!M21</f>
        <v>12424</v>
      </c>
      <c r="P29" s="135">
        <f t="shared" si="5"/>
        <v>1854.4132816577564</v>
      </c>
      <c r="Q29" s="135">
        <f t="shared" si="6"/>
        <v>7972.4732175805457</v>
      </c>
      <c r="R29" s="135">
        <f t="shared" si="7"/>
        <v>2872.3895359984858</v>
      </c>
      <c r="S29" s="135">
        <f t="shared" si="8"/>
        <v>863.76233306524102</v>
      </c>
      <c r="T29" s="136">
        <f t="shared" si="9"/>
        <v>8113.6171343520837</v>
      </c>
      <c r="U29" s="147">
        <f t="shared" si="2"/>
        <v>21676.65550265411</v>
      </c>
    </row>
    <row r="30" spans="1:21" x14ac:dyDescent="0.2">
      <c r="A30" s="124">
        <f>+'[1]Index Pricing'!A11</f>
        <v>37200</v>
      </c>
      <c r="B30" s="125">
        <f>+'[1]Index Pricing'!B11</f>
        <v>2.0150000000000001</v>
      </c>
      <c r="C30" s="138">
        <f t="shared" si="0"/>
        <v>1.5002</v>
      </c>
      <c r="D30" s="139">
        <f>O30*'[1]Internal Kennedy Total'!T22</f>
        <v>1205.0954048753151</v>
      </c>
      <c r="E30" s="140">
        <f>+'[1]Index Pricing'!$B$4+'[1]Box Draw Detail'!$K$17</f>
        <v>2.2606000000000002</v>
      </c>
      <c r="F30" s="141">
        <f>O30*'[1]Internal Kennedy Total'!U22</f>
        <v>3438.2179882319979</v>
      </c>
      <c r="G30" s="140">
        <f t="shared" si="1"/>
        <v>2.0251999999999999</v>
      </c>
      <c r="H30" s="142">
        <f>O30*'[1]Internal Kennedy Total'!V22</f>
        <v>1382.736667600635</v>
      </c>
      <c r="I30" s="140">
        <f t="shared" si="3"/>
        <v>1.3329</v>
      </c>
      <c r="J30" s="143">
        <f>O30*'[1]Internal Kennedy Total'!W22</f>
        <v>631.77255533762957</v>
      </c>
      <c r="K30" s="140">
        <f>B30+$K$19+'[1]Kennedy Gas Daily Pricing'!B11</f>
        <v>1.4501999999999999</v>
      </c>
      <c r="L30" s="143">
        <f>'[1]Internal Kennedy Total'!X22*'[1]Internal Kennedy Total'!M22</f>
        <v>5613.1773839544221</v>
      </c>
      <c r="M30" s="144">
        <f>'[2]Enron Detail'!$D18</f>
        <v>-1226</v>
      </c>
      <c r="N30" s="145">
        <f t="shared" si="4"/>
        <v>13497</v>
      </c>
      <c r="O30" s="146">
        <f>'[1]Internal Kennedy Total'!M22</f>
        <v>12271</v>
      </c>
      <c r="P30" s="135">
        <f t="shared" si="5"/>
        <v>1807.8841263939478</v>
      </c>
      <c r="Q30" s="135">
        <f t="shared" si="6"/>
        <v>7772.4355841972547</v>
      </c>
      <c r="R30" s="135">
        <f t="shared" si="7"/>
        <v>2800.3182992248057</v>
      </c>
      <c r="S30" s="135">
        <f t="shared" si="8"/>
        <v>842.08963900952642</v>
      </c>
      <c r="T30" s="136">
        <f t="shared" si="9"/>
        <v>8140.2298422107024</v>
      </c>
      <c r="U30" s="147">
        <f t="shared" si="2"/>
        <v>21362.957491036235</v>
      </c>
    </row>
    <row r="31" spans="1:21" x14ac:dyDescent="0.2">
      <c r="A31" s="124">
        <f>+'[1]Index Pricing'!A12</f>
        <v>37201</v>
      </c>
      <c r="B31" s="125">
        <f>+'[1]Index Pricing'!B12</f>
        <v>2.16</v>
      </c>
      <c r="C31" s="138">
        <f t="shared" si="0"/>
        <v>1.6452</v>
      </c>
      <c r="D31" s="139">
        <f>O31*'[1]Internal Kennedy Total'!T23</f>
        <v>1255.815650936685</v>
      </c>
      <c r="E31" s="140">
        <f>+'[1]Index Pricing'!$B$4+'[1]Box Draw Detail'!$K$17</f>
        <v>2.2606000000000002</v>
      </c>
      <c r="F31" s="141">
        <f>O31*'[1]Internal Kennedy Total'!U23</f>
        <v>3582.9262508892575</v>
      </c>
      <c r="G31" s="140">
        <f t="shared" si="1"/>
        <v>2.0251999999999999</v>
      </c>
      <c r="H31" s="142">
        <f>O31*'[1]Internal Kennedy Total'!V23</f>
        <v>1440.9335072326298</v>
      </c>
      <c r="I31" s="140">
        <f t="shared" si="3"/>
        <v>1.4779</v>
      </c>
      <c r="J31" s="143">
        <f>O31*'[1]Internal Kennedy Total'!W23</f>
        <v>658.36269860090113</v>
      </c>
      <c r="K31" s="140">
        <f>B31+$K$19+'[1]Kennedy Gas Daily Pricing'!B12</f>
        <v>1.5952</v>
      </c>
      <c r="L31" s="143">
        <f>'[1]Internal Kennedy Total'!X23*'[1]Internal Kennedy Total'!M23</f>
        <v>5652.9618923405269</v>
      </c>
      <c r="M31" s="144">
        <f>'[2]Enron Detail'!$D19</f>
        <v>-1231</v>
      </c>
      <c r="N31" s="145">
        <f t="shared" si="4"/>
        <v>13822</v>
      </c>
      <c r="O31" s="146">
        <f>'[1]Internal Kennedy Total'!M23</f>
        <v>12591</v>
      </c>
      <c r="P31" s="135">
        <f t="shared" si="5"/>
        <v>2066.0679089210339</v>
      </c>
      <c r="Q31" s="135">
        <f t="shared" si="6"/>
        <v>8099.5630827602563</v>
      </c>
      <c r="R31" s="135">
        <f t="shared" si="7"/>
        <v>2918.1785388475218</v>
      </c>
      <c r="S31" s="135">
        <f t="shared" si="8"/>
        <v>972.99423226227179</v>
      </c>
      <c r="T31" s="136">
        <f t="shared" si="9"/>
        <v>9017.604810661609</v>
      </c>
      <c r="U31" s="147">
        <f t="shared" si="2"/>
        <v>23074.408573452693</v>
      </c>
    </row>
    <row r="32" spans="1:21" x14ac:dyDescent="0.2">
      <c r="A32" s="124">
        <f>+'[1]Index Pricing'!A13</f>
        <v>37202</v>
      </c>
      <c r="B32" s="148">
        <f>+'[1]Index Pricing'!B13</f>
        <v>2.1349999999999998</v>
      </c>
      <c r="C32" s="138">
        <f t="shared" si="0"/>
        <v>1.6201999999999996</v>
      </c>
      <c r="D32" s="139">
        <f>O32*'[1]Internal Kennedy Total'!T24</f>
        <v>1211.8866843649573</v>
      </c>
      <c r="E32" s="140">
        <f>+'[1]Index Pricing'!$B$4+'[1]Box Draw Detail'!$K$17</f>
        <v>2.2606000000000002</v>
      </c>
      <c r="F32" s="141">
        <f>O32*'[1]Internal Kennedy Total'!U24</f>
        <v>3457.5939639513763</v>
      </c>
      <c r="G32" s="140">
        <f t="shared" si="1"/>
        <v>2.0251999999999999</v>
      </c>
      <c r="H32" s="142">
        <f>O32*'[1]Internal Kennedy Total'!V24</f>
        <v>1390.5290391691117</v>
      </c>
      <c r="I32" s="140">
        <f t="shared" si="3"/>
        <v>1.4528999999999996</v>
      </c>
      <c r="J32" s="143">
        <f>O32*'[1]Internal Kennedy Total'!W24</f>
        <v>635.33289087606533</v>
      </c>
      <c r="K32" s="140">
        <f>B32+$K$19+'[1]Kennedy Gas Daily Pricing'!B13</f>
        <v>1.5701999999999996</v>
      </c>
      <c r="L32" s="143">
        <f>'[1]Internal Kennedy Total'!X24*'[1]Internal Kennedy Total'!M24</f>
        <v>5677.6574216384888</v>
      </c>
      <c r="M32" s="144">
        <f>'[2]Enron Detail'!$D20</f>
        <v>-1214</v>
      </c>
      <c r="N32" s="145">
        <f t="shared" si="4"/>
        <v>13587</v>
      </c>
      <c r="O32" s="146">
        <f>'[1]Internal Kennedy Total'!M24</f>
        <v>12373</v>
      </c>
      <c r="P32" s="135">
        <f t="shared" si="5"/>
        <v>1963.4988060081034</v>
      </c>
      <c r="Q32" s="135">
        <f t="shared" si="6"/>
        <v>7816.2369149084816</v>
      </c>
      <c r="R32" s="135">
        <f t="shared" si="7"/>
        <v>2816.099410125285</v>
      </c>
      <c r="S32" s="135">
        <f t="shared" si="8"/>
        <v>923.07515715383511</v>
      </c>
      <c r="T32" s="136">
        <f t="shared" si="9"/>
        <v>8915.0576834567528</v>
      </c>
      <c r="U32" s="147">
        <f t="shared" si="2"/>
        <v>22433.967971652459</v>
      </c>
    </row>
    <row r="33" spans="1:21" x14ac:dyDescent="0.2">
      <c r="A33" s="124">
        <f>+'[1]Index Pricing'!A14</f>
        <v>37203</v>
      </c>
      <c r="B33" s="125">
        <f>+'[1]Index Pricing'!B14</f>
        <v>2.13</v>
      </c>
      <c r="C33" s="138">
        <f t="shared" si="0"/>
        <v>1.6151999999999997</v>
      </c>
      <c r="D33" s="139">
        <f>O33*'[1]Internal Kennedy Total'!T25</f>
        <v>1170.0120358275797</v>
      </c>
      <c r="E33" s="140">
        <f>+'[1]Index Pricing'!$B$4+'[1]Box Draw Detail'!$K$17</f>
        <v>2.2606000000000002</v>
      </c>
      <c r="F33" s="141">
        <f>O33*'[1]Internal Kennedy Total'!U25</f>
        <v>3338.1227841015116</v>
      </c>
      <c r="G33" s="140">
        <f t="shared" si="1"/>
        <v>2.0251999999999999</v>
      </c>
      <c r="H33" s="142">
        <f>O33*'[1]Internal Kennedy Total'!V25</f>
        <v>1342.4817130061579</v>
      </c>
      <c r="I33" s="140">
        <f t="shared" si="3"/>
        <v>1.4478999999999997</v>
      </c>
      <c r="J33" s="143">
        <f>O33*'[1]Internal Kennedy Total'!W25</f>
        <v>613.38006157865277</v>
      </c>
      <c r="K33" s="140">
        <f>B33+$K$19+'[1]Kennedy Gas Daily Pricing'!B14</f>
        <v>1.5651999999999997</v>
      </c>
      <c r="L33" s="143">
        <f>'[1]Internal Kennedy Total'!X25*'[1]Internal Kennedy Total'!M25</f>
        <v>5462.003405486098</v>
      </c>
      <c r="M33" s="144">
        <f>'[2]Enron Detail'!$D21</f>
        <v>-1086</v>
      </c>
      <c r="N33" s="145">
        <f t="shared" si="4"/>
        <v>13012</v>
      </c>
      <c r="O33" s="146">
        <f>'[1]Internal Kennedy Total'!M25</f>
        <v>11926</v>
      </c>
      <c r="P33" s="135">
        <f t="shared" si="5"/>
        <v>1889.8034402687065</v>
      </c>
      <c r="Q33" s="135">
        <f t="shared" si="6"/>
        <v>7546.1603657398773</v>
      </c>
      <c r="R33" s="135">
        <f t="shared" si="7"/>
        <v>2718.7939651800707</v>
      </c>
      <c r="S33" s="135">
        <f t="shared" si="8"/>
        <v>888.11299115973122</v>
      </c>
      <c r="T33" s="136">
        <f t="shared" si="9"/>
        <v>8549.1277302668386</v>
      </c>
      <c r="U33" s="147">
        <f t="shared" si="2"/>
        <v>21591.998492615225</v>
      </c>
    </row>
    <row r="34" spans="1:21" x14ac:dyDescent="0.2">
      <c r="A34" s="124">
        <f>+'[1]Index Pricing'!A15</f>
        <v>37204</v>
      </c>
      <c r="B34" s="125">
        <f>+'[1]Index Pricing'!B15</f>
        <v>1.9350000000000001</v>
      </c>
      <c r="C34" s="138">
        <f t="shared" si="0"/>
        <v>1.4201999999999999</v>
      </c>
      <c r="D34" s="139">
        <f>O34*'[1]Internal Kennedy Total'!T26</f>
        <v>1258.4037824833863</v>
      </c>
      <c r="E34" s="140">
        <f>+'[1]Index Pricing'!$B$4+'[1]Box Draw Detail'!$K$17</f>
        <v>2.2606000000000002</v>
      </c>
      <c r="F34" s="141">
        <f>O34*'[1]Internal Kennedy Total'!U26</f>
        <v>3590.3103637186482</v>
      </c>
      <c r="G34" s="140">
        <f t="shared" si="1"/>
        <v>2.0251999999999999</v>
      </c>
      <c r="H34" s="142">
        <f>O34*'[1]Internal Kennedy Total'!V26</f>
        <v>1443.9031512755164</v>
      </c>
      <c r="I34" s="140">
        <f t="shared" si="3"/>
        <v>1.2528999999999999</v>
      </c>
      <c r="J34" s="143">
        <f>O34*'[1]Internal Kennedy Total'!W26</f>
        <v>659.71952933330158</v>
      </c>
      <c r="K34" s="140">
        <f>B34+$K$19+'[1]Kennedy Gas Daily Pricing'!B15</f>
        <v>1.3701999999999999</v>
      </c>
      <c r="L34" s="143">
        <f>'[1]Internal Kennedy Total'!X26*'[1]Internal Kennedy Total'!M26</f>
        <v>5608.6631731891475</v>
      </c>
      <c r="M34" s="144">
        <f>'[2]Enron Detail'!$D22</f>
        <v>-1103</v>
      </c>
      <c r="N34" s="145">
        <f t="shared" si="4"/>
        <v>13664</v>
      </c>
      <c r="O34" s="146">
        <f>'[1]Internal Kennedy Total'!M26</f>
        <v>12561</v>
      </c>
      <c r="P34" s="135">
        <f t="shared" si="5"/>
        <v>1787.1850518829051</v>
      </c>
      <c r="Q34" s="135">
        <f t="shared" si="6"/>
        <v>8116.2556082223764</v>
      </c>
      <c r="R34" s="135">
        <f t="shared" si="7"/>
        <v>2924.1926619631759</v>
      </c>
      <c r="S34" s="135">
        <f t="shared" si="8"/>
        <v>826.56259830169347</v>
      </c>
      <c r="T34" s="136">
        <f t="shared" si="9"/>
        <v>7684.9902799037691</v>
      </c>
      <c r="U34" s="147">
        <f t="shared" si="2"/>
        <v>21339.186200273922</v>
      </c>
    </row>
    <row r="35" spans="1:21" x14ac:dyDescent="0.2">
      <c r="A35" s="124">
        <f>+'[1]Index Pricing'!A16</f>
        <v>37205</v>
      </c>
      <c r="B35" s="125">
        <f>+'[1]Index Pricing'!B16</f>
        <v>1.7</v>
      </c>
      <c r="C35" s="138">
        <f t="shared" si="0"/>
        <v>1.1852</v>
      </c>
      <c r="D35" s="139">
        <f>O35*'[1]Internal Kennedy Total'!T27</f>
        <v>1370.0354422427558</v>
      </c>
      <c r="E35" s="140">
        <f>+'[1]Index Pricing'!$B$4+'[1]Box Draw Detail'!$K$17</f>
        <v>2.2606000000000002</v>
      </c>
      <c r="F35" s="141">
        <f>O35*'[1]Internal Kennedy Total'!U27</f>
        <v>3908.802973588462</v>
      </c>
      <c r="G35" s="140">
        <f t="shared" si="1"/>
        <v>2.0251999999999999</v>
      </c>
      <c r="H35" s="142">
        <f>O35*'[1]Internal Kennedy Total'!V27</f>
        <v>1571.9902625448262</v>
      </c>
      <c r="I35" s="140">
        <f t="shared" si="3"/>
        <v>1.0179</v>
      </c>
      <c r="J35" s="143">
        <f>O35*'[1]Internal Kennedy Total'!W27</f>
        <v>718.24254639687979</v>
      </c>
      <c r="K35" s="140">
        <f>B35+$K$19+'[1]Kennedy Gas Daily Pricing'!B16</f>
        <v>1.1352</v>
      </c>
      <c r="L35" s="143">
        <f>'[1]Internal Kennedy Total'!X27*'[1]Internal Kennedy Total'!M27</f>
        <v>4874.9287752270766</v>
      </c>
      <c r="M35" s="144">
        <f>'[2]Enron Detail'!$D23</f>
        <v>-1162</v>
      </c>
      <c r="N35" s="145">
        <f t="shared" si="4"/>
        <v>13606</v>
      </c>
      <c r="O35" s="146">
        <f>'[1]Internal Kennedy Total'!M27</f>
        <v>12444</v>
      </c>
      <c r="P35" s="135">
        <f t="shared" si="5"/>
        <v>1623.7660061461143</v>
      </c>
      <c r="Q35" s="135">
        <f t="shared" si="6"/>
        <v>8836.2400020940786</v>
      </c>
      <c r="R35" s="135">
        <f t="shared" si="7"/>
        <v>3183.5946797057818</v>
      </c>
      <c r="S35" s="135">
        <f t="shared" si="8"/>
        <v>731.09908797738399</v>
      </c>
      <c r="T35" s="136">
        <f t="shared" si="9"/>
        <v>5534.019145637777</v>
      </c>
      <c r="U35" s="147">
        <f t="shared" si="2"/>
        <v>19908.718921561136</v>
      </c>
    </row>
    <row r="36" spans="1:21" x14ac:dyDescent="0.2">
      <c r="A36" s="124">
        <f>+'[1]Index Pricing'!A17</f>
        <v>37206</v>
      </c>
      <c r="B36" s="125">
        <f>+'[1]Index Pricing'!B17</f>
        <v>1.7</v>
      </c>
      <c r="C36" s="138">
        <f t="shared" si="0"/>
        <v>1.1852</v>
      </c>
      <c r="D36" s="139">
        <f>O36*'[1]Internal Kennedy Total'!T28</f>
        <v>1380.456662665066</v>
      </c>
      <c r="E36" s="140">
        <f>+'[1]Index Pricing'!$B$4+'[1]Box Draw Detail'!$K$17</f>
        <v>2.2606000000000002</v>
      </c>
      <c r="F36" s="141">
        <f>O36*'[1]Internal Kennedy Total'!U28</f>
        <v>3938.5354141656662</v>
      </c>
      <c r="G36" s="140">
        <f t="shared" si="1"/>
        <v>2.0251999999999999</v>
      </c>
      <c r="H36" s="142">
        <f>O36*'[1]Internal Kennedy Total'!V28</f>
        <v>1583.9476590636252</v>
      </c>
      <c r="I36" s="140">
        <f t="shared" si="3"/>
        <v>1.0179</v>
      </c>
      <c r="J36" s="143">
        <f>O36*'[1]Internal Kennedy Total'!W28</f>
        <v>723.70588235294122</v>
      </c>
      <c r="K36" s="140">
        <f>B36+$K$19+'[1]Kennedy Gas Daily Pricing'!B17</f>
        <v>1.1352</v>
      </c>
      <c r="L36" s="143">
        <f>'[1]Internal Kennedy Total'!X28*'[1]Internal Kennedy Total'!M28</f>
        <v>4676.3543817527016</v>
      </c>
      <c r="M36" s="144">
        <f>'[2]Enron Detail'!$D24</f>
        <v>-1143</v>
      </c>
      <c r="N36" s="145">
        <f t="shared" si="4"/>
        <v>13446</v>
      </c>
      <c r="O36" s="146">
        <f>'[1]Internal Kennedy Total'!M28</f>
        <v>12303</v>
      </c>
      <c r="P36" s="135">
        <f t="shared" si="5"/>
        <v>1636.1172365906364</v>
      </c>
      <c r="Q36" s="135">
        <f t="shared" si="6"/>
        <v>8903.4531572629057</v>
      </c>
      <c r="R36" s="135">
        <f t="shared" si="7"/>
        <v>3207.8107991356537</v>
      </c>
      <c r="S36" s="135">
        <f t="shared" si="8"/>
        <v>736.66021764705886</v>
      </c>
      <c r="T36" s="136">
        <f t="shared" si="9"/>
        <v>5308.5974941656668</v>
      </c>
      <c r="U36" s="147">
        <f t="shared" si="2"/>
        <v>19792.638904801923</v>
      </c>
    </row>
    <row r="37" spans="1:21" x14ac:dyDescent="0.2">
      <c r="A37" s="124">
        <f>+'[1]Index Pricing'!A18</f>
        <v>37207</v>
      </c>
      <c r="B37" s="125">
        <f>+'[1]Index Pricing'!B18</f>
        <v>1.7</v>
      </c>
      <c r="C37" s="138">
        <f t="shared" si="0"/>
        <v>1.1852</v>
      </c>
      <c r="D37" s="139">
        <f>O37*'[1]Internal Kennedy Total'!T29</f>
        <v>1342.9933907894042</v>
      </c>
      <c r="E37" s="140">
        <f>+'[1]Index Pricing'!$B$4+'[1]Box Draw Detail'!$K$17</f>
        <v>2.2606000000000002</v>
      </c>
      <c r="F37" s="141">
        <f>O37*'[1]Internal Kennedy Total'!U29</f>
        <v>3831.6501877015812</v>
      </c>
      <c r="G37" s="140">
        <f t="shared" si="1"/>
        <v>2.0251999999999999</v>
      </c>
      <c r="H37" s="142">
        <f>O37*'[1]Internal Kennedy Total'!V29</f>
        <v>1540.9619838206524</v>
      </c>
      <c r="I37" s="140">
        <f t="shared" si="3"/>
        <v>1.0179</v>
      </c>
      <c r="J37" s="143">
        <f>O37*'[1]Internal Kennedy Total'!W29</f>
        <v>704.06572199016546</v>
      </c>
      <c r="K37" s="140">
        <f>B37+$K$19+'[1]Kennedy Gas Daily Pricing'!B18</f>
        <v>1.1352</v>
      </c>
      <c r="L37" s="143">
        <f>'[1]Internal Kennedy Total'!X29*'[1]Internal Kennedy Total'!M29</f>
        <v>4658.3287156981969</v>
      </c>
      <c r="M37" s="144">
        <f>'[2]Enron Detail'!$D25</f>
        <v>-1187</v>
      </c>
      <c r="N37" s="145">
        <f t="shared" si="4"/>
        <v>13265</v>
      </c>
      <c r="O37" s="146">
        <f>'[1]Internal Kennedy Total'!M29</f>
        <v>12078</v>
      </c>
      <c r="P37" s="135">
        <f t="shared" si="5"/>
        <v>1591.715766763602</v>
      </c>
      <c r="Q37" s="135">
        <f t="shared" si="6"/>
        <v>8661.8284143181954</v>
      </c>
      <c r="R37" s="135">
        <f t="shared" si="7"/>
        <v>3120.7562096335851</v>
      </c>
      <c r="S37" s="135">
        <f t="shared" si="8"/>
        <v>716.66849841378939</v>
      </c>
      <c r="T37" s="136">
        <f t="shared" si="9"/>
        <v>5288.1347580605934</v>
      </c>
      <c r="U37" s="147">
        <f t="shared" si="2"/>
        <v>19379.103647189768</v>
      </c>
    </row>
    <row r="38" spans="1:21" x14ac:dyDescent="0.2">
      <c r="A38" s="124">
        <f>+'[1]Index Pricing'!A19</f>
        <v>37208</v>
      </c>
      <c r="B38" s="125">
        <f>+'[1]Index Pricing'!B19</f>
        <v>1.52</v>
      </c>
      <c r="C38" s="138">
        <f t="shared" si="0"/>
        <v>1.0051999999999999</v>
      </c>
      <c r="D38" s="139">
        <f>O38*'[1]Internal Kennedy Total'!T30</f>
        <v>1441.5355068390481</v>
      </c>
      <c r="E38" s="140">
        <f>+'[1]Index Pricing'!$B$4+'[1]Box Draw Detail'!$K$17</f>
        <v>2.2606000000000002</v>
      </c>
      <c r="F38" s="141">
        <f>O38*'[1]Internal Kennedy Total'!U30</f>
        <v>4112.7974517519206</v>
      </c>
      <c r="G38" s="140">
        <f t="shared" si="1"/>
        <v>2.0251999999999999</v>
      </c>
      <c r="H38" s="142">
        <f>O38*'[1]Internal Kennedy Total'!V30</f>
        <v>1654.0300418462309</v>
      </c>
      <c r="I38" s="140">
        <f t="shared" si="3"/>
        <v>0.83789999999999998</v>
      </c>
      <c r="J38" s="143">
        <f>O38*'[1]Internal Kennedy Total'!W30</f>
        <v>755.72653175941537</v>
      </c>
      <c r="K38" s="140">
        <f>B38+$K$19+'[1]Kennedy Gas Daily Pricing'!B19</f>
        <v>0.95519999999999983</v>
      </c>
      <c r="L38" s="143">
        <f>'[1]Internal Kennedy Total'!X30*'[1]Internal Kennedy Total'!M30</f>
        <v>3010.910467803385</v>
      </c>
      <c r="M38" s="144">
        <f>'[2]Enron Detail'!$D26</f>
        <v>-1196</v>
      </c>
      <c r="N38" s="145">
        <f t="shared" si="4"/>
        <v>12171</v>
      </c>
      <c r="O38" s="146">
        <f>'[1]Internal Kennedy Total'!M30</f>
        <v>10975</v>
      </c>
      <c r="P38" s="135">
        <f t="shared" si="5"/>
        <v>1449.0314914746109</v>
      </c>
      <c r="Q38" s="135">
        <f t="shared" si="6"/>
        <v>9297.3899194303922</v>
      </c>
      <c r="R38" s="135">
        <f t="shared" si="7"/>
        <v>3349.7416407469868</v>
      </c>
      <c r="S38" s="135">
        <f t="shared" si="8"/>
        <v>633.22326096121412</v>
      </c>
      <c r="T38" s="136">
        <f t="shared" si="9"/>
        <v>2876.0216788457928</v>
      </c>
      <c r="U38" s="147">
        <f t="shared" si="2"/>
        <v>17605.407991458997</v>
      </c>
    </row>
    <row r="39" spans="1:21" x14ac:dyDescent="0.2">
      <c r="A39" s="124">
        <f>+'[1]Index Pricing'!A20</f>
        <v>37209</v>
      </c>
      <c r="B39" s="125">
        <f>+'[1]Index Pricing'!B20</f>
        <v>1.595</v>
      </c>
      <c r="C39" s="138">
        <f t="shared" si="0"/>
        <v>1.0802</v>
      </c>
      <c r="D39" s="139">
        <f>O39*'[1]Internal Kennedy Total'!T31</f>
        <v>1396.5818335684062</v>
      </c>
      <c r="E39" s="140">
        <f>+'[1]Index Pricing'!$B$4+'[1]Box Draw Detail'!$K$17</f>
        <v>2.2606000000000002</v>
      </c>
      <c r="F39" s="141">
        <f>O39*'[1]Internal Kennedy Total'!U31</f>
        <v>3984.5416078984481</v>
      </c>
      <c r="G39" s="140">
        <f t="shared" si="1"/>
        <v>2.0251999999999999</v>
      </c>
      <c r="H39" s="142">
        <f>O39*'[1]Internal Kennedy Total'!V31</f>
        <v>1602.4498166431595</v>
      </c>
      <c r="I39" s="140">
        <f t="shared" si="3"/>
        <v>0.91289999999999993</v>
      </c>
      <c r="J39" s="143">
        <f>O39*'[1]Internal Kennedy Total'!W31</f>
        <v>732.15952045133986</v>
      </c>
      <c r="K39" s="140">
        <f>B39+$K$19+'[1]Kennedy Gas Daily Pricing'!B20</f>
        <v>1.0302</v>
      </c>
      <c r="L39" s="143">
        <f>'[1]Internal Kennedy Total'!X31*'[1]Internal Kennedy Total'!M31</f>
        <v>4055.2672214386457</v>
      </c>
      <c r="M39" s="144">
        <f>'[2]Enron Detail'!$D27</f>
        <v>-1237</v>
      </c>
      <c r="N39" s="145">
        <f t="shared" si="4"/>
        <v>13008</v>
      </c>
      <c r="O39" s="146">
        <f>'[1]Internal Kennedy Total'!M31</f>
        <v>11771</v>
      </c>
      <c r="P39" s="135">
        <f t="shared" si="5"/>
        <v>1508.5876966205924</v>
      </c>
      <c r="Q39" s="135">
        <f t="shared" si="6"/>
        <v>9007.4547588152327</v>
      </c>
      <c r="R39" s="135">
        <f t="shared" si="7"/>
        <v>3245.2813686657264</v>
      </c>
      <c r="S39" s="135">
        <f t="shared" si="8"/>
        <v>668.38842622002812</v>
      </c>
      <c r="T39" s="136">
        <f t="shared" si="9"/>
        <v>4177.7362915260928</v>
      </c>
      <c r="U39" s="147">
        <f t="shared" si="2"/>
        <v>18607.448541847672</v>
      </c>
    </row>
    <row r="40" spans="1:21" x14ac:dyDescent="0.2">
      <c r="A40" s="124">
        <f>+'[1]Index Pricing'!A21</f>
        <v>37210</v>
      </c>
      <c r="B40" s="125">
        <f>+'[1]Index Pricing'!B21</f>
        <v>1.84</v>
      </c>
      <c r="C40" s="138">
        <f t="shared" si="0"/>
        <v>1.3252000000000002</v>
      </c>
      <c r="D40" s="139">
        <f>O40*'[1]Internal Kennedy Total'!T32</f>
        <v>1326.6727938229715</v>
      </c>
      <c r="E40" s="140">
        <f>+'[1]Index Pricing'!$B$4+'[1]Box Draw Detail'!$K$17</f>
        <v>2.2606000000000002</v>
      </c>
      <c r="F40" s="141">
        <f>O40*'[1]Internal Kennedy Total'!U32</f>
        <v>3785.0864303080498</v>
      </c>
      <c r="G40" s="140">
        <f t="shared" si="1"/>
        <v>2.0251999999999999</v>
      </c>
      <c r="H40" s="142">
        <f>O40*'[1]Internal Kennedy Total'!V32</f>
        <v>1522.2355927222206</v>
      </c>
      <c r="I40" s="140">
        <f t="shared" si="3"/>
        <v>1.1579000000000002</v>
      </c>
      <c r="J40" s="143">
        <f>O40*'[1]Internal Kennedy Total'!W32</f>
        <v>695.50963156910416</v>
      </c>
      <c r="K40" s="140">
        <f>B40+$K$19+'[1]Kennedy Gas Daily Pricing'!B21</f>
        <v>1.2752000000000001</v>
      </c>
      <c r="L40" s="143">
        <f>'[1]Internal Kennedy Total'!X32*'[1]Internal Kennedy Total'!M32</f>
        <v>4476.4955515776537</v>
      </c>
      <c r="M40" s="144">
        <f>'[2]Enron Detail'!$D28</f>
        <v>-1394</v>
      </c>
      <c r="N40" s="145">
        <f t="shared" si="4"/>
        <v>13200</v>
      </c>
      <c r="O40" s="146">
        <f>'[1]Internal Kennedy Total'!M32</f>
        <v>11806</v>
      </c>
      <c r="P40" s="135">
        <f t="shared" si="5"/>
        <v>1758.1067863742021</v>
      </c>
      <c r="Q40" s="135">
        <f t="shared" si="6"/>
        <v>8556.5663843543771</v>
      </c>
      <c r="R40" s="135">
        <f t="shared" si="7"/>
        <v>3082.8315223810409</v>
      </c>
      <c r="S40" s="135">
        <f t="shared" si="8"/>
        <v>805.33060239386577</v>
      </c>
      <c r="T40" s="136">
        <f t="shared" si="9"/>
        <v>5708.4271273718241</v>
      </c>
      <c r="U40" s="147">
        <f t="shared" si="2"/>
        <v>19911.262422875312</v>
      </c>
    </row>
    <row r="41" spans="1:21" x14ac:dyDescent="0.2">
      <c r="A41" s="124">
        <f>+'[1]Index Pricing'!A22</f>
        <v>37211</v>
      </c>
      <c r="B41" s="125">
        <f>+'[1]Index Pricing'!B22</f>
        <v>1.4350000000000001</v>
      </c>
      <c r="C41" s="138">
        <f t="shared" si="0"/>
        <v>0.92020000000000002</v>
      </c>
      <c r="D41" s="139">
        <f>O41*'[1]Internal Kennedy Total'!T33</f>
        <v>1338.090214797136</v>
      </c>
      <c r="E41" s="140">
        <f>+'[1]Index Pricing'!$B$4+'[1]Box Draw Detail'!$K$17</f>
        <v>2.2606000000000002</v>
      </c>
      <c r="F41" s="141">
        <f>O41*'[1]Internal Kennedy Total'!U33</f>
        <v>3817.6610978520284</v>
      </c>
      <c r="G41" s="140">
        <f t="shared" si="1"/>
        <v>2.0251999999999999</v>
      </c>
      <c r="H41" s="142">
        <f>O41*'[1]Internal Kennedy Total'!V33</f>
        <v>1535.3360381861573</v>
      </c>
      <c r="I41" s="140">
        <f t="shared" si="3"/>
        <v>0.75290000000000001</v>
      </c>
      <c r="J41" s="143">
        <f>O41*'[1]Internal Kennedy Total'!W33</f>
        <v>701.49522673031026</v>
      </c>
      <c r="K41" s="140">
        <f>B41+$K$19+'[1]Kennedy Gas Daily Pricing'!B22</f>
        <v>0.87019999999999997</v>
      </c>
      <c r="L41" s="143">
        <f>'[1]Internal Kennedy Total'!X33*'[1]Internal Kennedy Total'!M33</f>
        <v>4604.4174224343678</v>
      </c>
      <c r="M41" s="144">
        <f>'[2]Enron Detail'!$D29</f>
        <v>-1003</v>
      </c>
      <c r="N41" s="145">
        <f t="shared" si="4"/>
        <v>13000</v>
      </c>
      <c r="O41" s="146">
        <f>'[1]Internal Kennedy Total'!M33</f>
        <v>11997</v>
      </c>
      <c r="P41" s="135">
        <f t="shared" si="5"/>
        <v>1231.3106156563247</v>
      </c>
      <c r="Q41" s="135">
        <f t="shared" si="6"/>
        <v>8630.2046778042968</v>
      </c>
      <c r="R41" s="135">
        <f t="shared" si="7"/>
        <v>3109.3625445346056</v>
      </c>
      <c r="S41" s="135">
        <f t="shared" si="8"/>
        <v>528.15575620525055</v>
      </c>
      <c r="T41" s="136">
        <f t="shared" si="9"/>
        <v>4006.7640410023869</v>
      </c>
      <c r="U41" s="147">
        <f t="shared" si="2"/>
        <v>17505.797635202864</v>
      </c>
    </row>
    <row r="42" spans="1:21" x14ac:dyDescent="0.2">
      <c r="A42" s="124">
        <f>+'[1]Index Pricing'!A23</f>
        <v>37212</v>
      </c>
      <c r="B42" s="125">
        <f>+'[1]Index Pricing'!B23</f>
        <v>1.135</v>
      </c>
      <c r="C42" s="138">
        <f t="shared" si="0"/>
        <v>0.62019999999999997</v>
      </c>
      <c r="D42" s="139">
        <f>O42*'[1]Internal Kennedy Total'!T34</f>
        <v>1388.2549019607843</v>
      </c>
      <c r="E42" s="140">
        <f>+'[1]Index Pricing'!$B$4+'[1]Box Draw Detail'!$K$17</f>
        <v>2.2606000000000002</v>
      </c>
      <c r="F42" s="141">
        <f>O42*'[1]Internal Kennedy Total'!U34</f>
        <v>3960.7843137254904</v>
      </c>
      <c r="G42" s="140">
        <f t="shared" si="1"/>
        <v>2.0251999999999999</v>
      </c>
      <c r="H42" s="142">
        <f>O42*'[1]Internal Kennedy Total'!V34</f>
        <v>1592.8954248366013</v>
      </c>
      <c r="I42" s="140">
        <f t="shared" si="3"/>
        <v>0.45289999999999997</v>
      </c>
      <c r="J42" s="143">
        <f>O42*'[1]Internal Kennedy Total'!W34</f>
        <v>727.7941176470589</v>
      </c>
      <c r="K42" s="140">
        <f>B42+$K$19+'[1]Kennedy Gas Daily Pricing'!B23</f>
        <v>0.57019999999999993</v>
      </c>
      <c r="L42" s="143">
        <f>'[1]Internal Kennedy Total'!X34*'[1]Internal Kennedy Total'!M34</f>
        <v>4450.2712418300653</v>
      </c>
      <c r="M42" s="144">
        <f>'[2]Enron Detail'!$D30</f>
        <v>-1092</v>
      </c>
      <c r="N42" s="145">
        <f t="shared" si="4"/>
        <v>13212</v>
      </c>
      <c r="O42" s="146">
        <f>'[1]Internal Kennedy Total'!M34</f>
        <v>12120</v>
      </c>
      <c r="P42" s="135">
        <f t="shared" si="5"/>
        <v>860.99569019607839</v>
      </c>
      <c r="Q42" s="135">
        <f t="shared" si="6"/>
        <v>8953.7490196078434</v>
      </c>
      <c r="R42" s="135">
        <f t="shared" si="7"/>
        <v>3225.9318143790847</v>
      </c>
      <c r="S42" s="135">
        <f t="shared" si="8"/>
        <v>329.61795588235293</v>
      </c>
      <c r="T42" s="136">
        <f t="shared" si="9"/>
        <v>2537.5446620915027</v>
      </c>
      <c r="U42" s="147">
        <f t="shared" si="2"/>
        <v>15907.839142156861</v>
      </c>
    </row>
    <row r="43" spans="1:21" x14ac:dyDescent="0.2">
      <c r="A43" s="124">
        <f>+'[1]Index Pricing'!A24</f>
        <v>37213</v>
      </c>
      <c r="B43" s="125">
        <f>+'[1]Index Pricing'!B24</f>
        <v>1.135</v>
      </c>
      <c r="C43" s="138">
        <f t="shared" si="0"/>
        <v>0.62019999999999997</v>
      </c>
      <c r="D43" s="139">
        <f>O43*'[1]Internal Kennedy Total'!T35</f>
        <v>1455.9799578059071</v>
      </c>
      <c r="E43" s="140">
        <f>+'[1]Index Pricing'!$B$4+'[1]Box Draw Detail'!$K$17</f>
        <v>2.2606000000000002</v>
      </c>
      <c r="F43" s="141">
        <f>O43*'[1]Internal Kennedy Total'!U35</f>
        <v>4154.0084388185651</v>
      </c>
      <c r="G43" s="140">
        <f t="shared" si="1"/>
        <v>2.0251999999999999</v>
      </c>
      <c r="H43" s="142">
        <f>O43*'[1]Internal Kennedy Total'!V35</f>
        <v>1670.6037271448663</v>
      </c>
      <c r="I43" s="140">
        <f t="shared" si="3"/>
        <v>0.45289999999999997</v>
      </c>
      <c r="J43" s="143">
        <f>O43*'[1]Internal Kennedy Total'!W35</f>
        <v>763.29905063291142</v>
      </c>
      <c r="K43" s="140">
        <f>B43+$K$19+'[1]Kennedy Gas Daily Pricing'!B24</f>
        <v>0.57019999999999993</v>
      </c>
      <c r="L43" s="143">
        <f>'[1]Internal Kennedy Total'!X35*'[1]Internal Kennedy Total'!M35</f>
        <v>3770.1088255977497</v>
      </c>
      <c r="M43" s="144">
        <f>'[2]Enron Detail'!$D31</f>
        <v>-967</v>
      </c>
      <c r="N43" s="145">
        <f t="shared" si="4"/>
        <v>12781</v>
      </c>
      <c r="O43" s="146">
        <f>'[1]Internal Kennedy Total'!M35</f>
        <v>11814</v>
      </c>
      <c r="P43" s="135">
        <f t="shared" si="5"/>
        <v>902.99876983122351</v>
      </c>
      <c r="Q43" s="135">
        <f t="shared" si="6"/>
        <v>9390.5514767932491</v>
      </c>
      <c r="R43" s="135">
        <f t="shared" si="7"/>
        <v>3383.3066682137828</v>
      </c>
      <c r="S43" s="135">
        <f t="shared" si="8"/>
        <v>345.69814003164555</v>
      </c>
      <c r="T43" s="136">
        <f t="shared" si="9"/>
        <v>2149.7160523558368</v>
      </c>
      <c r="U43" s="147">
        <f t="shared" si="2"/>
        <v>16172.271107225737</v>
      </c>
    </row>
    <row r="44" spans="1:21" x14ac:dyDescent="0.2">
      <c r="A44" s="124">
        <f>+'[1]Index Pricing'!A25</f>
        <v>37214</v>
      </c>
      <c r="B44" s="125">
        <f>+'[1]Index Pricing'!B25</f>
        <v>1.135</v>
      </c>
      <c r="C44" s="138">
        <f t="shared" si="0"/>
        <v>0.62019999999999997</v>
      </c>
      <c r="D44" s="139">
        <f>O44*'[1]Internal Kennedy Total'!T36</f>
        <v>1312.6559379961784</v>
      </c>
      <c r="E44" s="140">
        <f>+'[1]Index Pricing'!$B$4+'[1]Box Draw Detail'!$K$17</f>
        <v>2.2606000000000002</v>
      </c>
      <c r="F44" s="141">
        <f>O44*'[1]Internal Kennedy Total'!U36</f>
        <v>3745.0954008450176</v>
      </c>
      <c r="G44" s="140">
        <f t="shared" si="1"/>
        <v>2.0251999999999999</v>
      </c>
      <c r="H44" s="142">
        <f>O44*'[1]Internal Kennedy Total'!V36</f>
        <v>1506.1525337065043</v>
      </c>
      <c r="I44" s="140">
        <f t="shared" si="3"/>
        <v>0.45289999999999997</v>
      </c>
      <c r="J44" s="143">
        <f>O44*'[1]Internal Kennedy Total'!W36</f>
        <v>688.16127990527195</v>
      </c>
      <c r="K44" s="140">
        <f>B44+$K$19+'[1]Kennedy Gas Daily Pricing'!B25</f>
        <v>0.57019999999999993</v>
      </c>
      <c r="L44" s="143">
        <f>'[1]Internal Kennedy Total'!X36*'[1]Internal Kennedy Total'!M36</f>
        <v>4344.9348475470279</v>
      </c>
      <c r="M44" s="144">
        <f>'[2]Enron Detail'!$D32</f>
        <v>-1132</v>
      </c>
      <c r="N44" s="145">
        <f t="shared" si="4"/>
        <v>12729</v>
      </c>
      <c r="O44" s="146">
        <f>'[1]Internal Kennedy Total'!M36</f>
        <v>11597</v>
      </c>
      <c r="P44" s="135">
        <f t="shared" si="5"/>
        <v>814.1092127452298</v>
      </c>
      <c r="Q44" s="135">
        <f t="shared" si="6"/>
        <v>8466.1626631502477</v>
      </c>
      <c r="R44" s="135">
        <f t="shared" si="7"/>
        <v>3050.2601112624125</v>
      </c>
      <c r="S44" s="135">
        <f t="shared" si="8"/>
        <v>311.66824366909765</v>
      </c>
      <c r="T44" s="136">
        <f t="shared" si="9"/>
        <v>2477.481850071315</v>
      </c>
      <c r="U44" s="147">
        <f t="shared" si="2"/>
        <v>15119.682080898303</v>
      </c>
    </row>
    <row r="45" spans="1:21" x14ac:dyDescent="0.2">
      <c r="A45" s="124">
        <f>+'[1]Index Pricing'!A26</f>
        <v>37215</v>
      </c>
      <c r="B45" s="125">
        <f>+'[1]Index Pricing'!B26</f>
        <v>1.5349999999999999</v>
      </c>
      <c r="C45" s="138">
        <f t="shared" si="0"/>
        <v>1.0202</v>
      </c>
      <c r="D45" s="139">
        <f>O45*'[1]Internal Kennedy Total'!T37</f>
        <v>1242.2589658361032</v>
      </c>
      <c r="E45" s="140">
        <f>+'[1]Index Pricing'!$B$4+'[1]Box Draw Detail'!$K$17</f>
        <v>2.2606000000000002</v>
      </c>
      <c r="F45" s="141">
        <f>O45*'[1]Internal Kennedy Total'!U37</f>
        <v>3544.248119361208</v>
      </c>
      <c r="G45" s="140">
        <f t="shared" si="1"/>
        <v>2.0251999999999999</v>
      </c>
      <c r="H45" s="142">
        <f>O45*'[1]Internal Kennedy Total'!V37</f>
        <v>1425.378452003099</v>
      </c>
      <c r="I45" s="140">
        <f t="shared" si="3"/>
        <v>0.85289999999999988</v>
      </c>
      <c r="J45" s="143">
        <f>O45*'[1]Internal Kennedy Total'!W37</f>
        <v>651.25559193262188</v>
      </c>
      <c r="K45" s="140">
        <f>B45+$K$19+'[1]Kennedy Gas Daily Pricing'!B26</f>
        <v>0.97019999999999995</v>
      </c>
      <c r="L45" s="143">
        <f>'[1]Internal Kennedy Total'!X37*'[1]Internal Kennedy Total'!M37</f>
        <v>4954.8588708669686</v>
      </c>
      <c r="M45" s="144">
        <f>'[2]Enron Detail'!$D33</f>
        <v>-1199</v>
      </c>
      <c r="N45" s="145">
        <f t="shared" si="4"/>
        <v>13017</v>
      </c>
      <c r="O45" s="146">
        <f>'[1]Internal Kennedy Total'!M37</f>
        <v>11818</v>
      </c>
      <c r="P45" s="135">
        <f t="shared" si="5"/>
        <v>1267.3525969459924</v>
      </c>
      <c r="Q45" s="135">
        <f t="shared" si="6"/>
        <v>8012.1272986279473</v>
      </c>
      <c r="R45" s="135">
        <f t="shared" si="7"/>
        <v>2886.6764409966759</v>
      </c>
      <c r="S45" s="135">
        <f t="shared" si="8"/>
        <v>555.45589435933312</v>
      </c>
      <c r="T45" s="136">
        <f t="shared" si="9"/>
        <v>4807.2040765151323</v>
      </c>
      <c r="U45" s="147">
        <f t="shared" si="2"/>
        <v>17528.816307445079</v>
      </c>
    </row>
    <row r="46" spans="1:21" x14ac:dyDescent="0.2">
      <c r="A46" s="124">
        <f>+'[1]Index Pricing'!A27</f>
        <v>37216</v>
      </c>
      <c r="B46" s="125">
        <f>+'[1]Index Pricing'!B27</f>
        <v>2.2050000000000001</v>
      </c>
      <c r="C46" s="138">
        <f t="shared" si="0"/>
        <v>1.6901999999999999</v>
      </c>
      <c r="D46" s="139">
        <f>O46*'[1]Internal Kennedy Total'!T38</f>
        <v>1223.4631465774698</v>
      </c>
      <c r="E46" s="140">
        <f>+'[1]Index Pricing'!$B$4+'[1]Box Draw Detail'!$K$17</f>
        <v>2.2606000000000002</v>
      </c>
      <c r="F46" s="141">
        <f>O46*'[1]Internal Kennedy Total'!U38</f>
        <v>3490.6223868116112</v>
      </c>
      <c r="G46" s="140">
        <f t="shared" si="1"/>
        <v>2.0251999999999999</v>
      </c>
      <c r="H46" s="142">
        <f>O46*'[1]Internal Kennedy Total'!V38</f>
        <v>1403.8119698960697</v>
      </c>
      <c r="I46" s="140">
        <f t="shared" si="3"/>
        <v>1.5228999999999999</v>
      </c>
      <c r="J46" s="143">
        <f>O46*'[1]Internal Kennedy Total'!W38</f>
        <v>641.40186357663356</v>
      </c>
      <c r="K46" s="140">
        <f>B46+$K$19+'[1]Kennedy Gas Daily Pricing'!B27</f>
        <v>1.6401999999999999</v>
      </c>
      <c r="L46" s="143">
        <f>'[1]Internal Kennedy Total'!X38*'[1]Internal Kennedy Total'!M38</f>
        <v>5415.7006331382154</v>
      </c>
      <c r="M46" s="144">
        <f>'[2]Enron Detail'!$D34</f>
        <v>-1232</v>
      </c>
      <c r="N46" s="145">
        <f t="shared" si="4"/>
        <v>13407</v>
      </c>
      <c r="O46" s="146">
        <f>'[1]Internal Kennedy Total'!M38</f>
        <v>12175</v>
      </c>
      <c r="P46" s="135">
        <f t="shared" si="5"/>
        <v>2067.8974103452392</v>
      </c>
      <c r="Q46" s="135">
        <f t="shared" si="6"/>
        <v>7890.9009676263286</v>
      </c>
      <c r="R46" s="135">
        <f t="shared" si="7"/>
        <v>2843.0000014335201</v>
      </c>
      <c r="S46" s="135">
        <f t="shared" si="8"/>
        <v>976.79089804085515</v>
      </c>
      <c r="T46" s="136">
        <f t="shared" si="9"/>
        <v>8882.8321784732998</v>
      </c>
      <c r="U46" s="147">
        <f t="shared" si="2"/>
        <v>22661.421455919244</v>
      </c>
    </row>
    <row r="47" spans="1:21" x14ac:dyDescent="0.2">
      <c r="A47" s="124">
        <f>+'[1]Index Pricing'!A28</f>
        <v>37217</v>
      </c>
      <c r="B47" s="125">
        <f>+'[1]Index Pricing'!B28</f>
        <v>1.43</v>
      </c>
      <c r="C47" s="138">
        <f t="shared" si="0"/>
        <v>0.9151999999999999</v>
      </c>
      <c r="D47" s="139">
        <f>O47*'[1]Internal Kennedy Total'!T39</f>
        <v>1200.1246049027181</v>
      </c>
      <c r="E47" s="140">
        <f>+'[1]Index Pricing'!$B$4+'[1]Box Draw Detail'!$K$17</f>
        <v>2.2606000000000002</v>
      </c>
      <c r="F47" s="141">
        <f>O47*'[1]Internal Kennedy Total'!U39</f>
        <v>3424.0359626325767</v>
      </c>
      <c r="G47" s="140">
        <f t="shared" si="1"/>
        <v>2.0251999999999999</v>
      </c>
      <c r="H47" s="142">
        <f>O47*'[1]Internal Kennedy Total'!V39</f>
        <v>1377.0331296387346</v>
      </c>
      <c r="I47" s="140">
        <f t="shared" si="3"/>
        <v>0.7478999999999999</v>
      </c>
      <c r="J47" s="143">
        <f>O47*'[1]Internal Kennedy Total'!W39</f>
        <v>629.16660813373608</v>
      </c>
      <c r="K47" s="140">
        <f>B47+$K$19+'[1]Kennedy Gas Daily Pricing'!B28</f>
        <v>0.86519999999999986</v>
      </c>
      <c r="L47" s="143">
        <f>'[1]Internal Kennedy Total'!X39*'[1]Internal Kennedy Total'!M39</f>
        <v>5556.6396946922341</v>
      </c>
      <c r="M47" s="144">
        <f>'[2]Enron Detail'!$D35</f>
        <v>-1124</v>
      </c>
      <c r="N47" s="145">
        <f t="shared" si="4"/>
        <v>13311</v>
      </c>
      <c r="O47" s="146">
        <f>'[1]Internal Kennedy Total'!M39</f>
        <v>12187</v>
      </c>
      <c r="P47" s="135">
        <f t="shared" si="5"/>
        <v>1098.3540384069674</v>
      </c>
      <c r="Q47" s="135">
        <f t="shared" si="6"/>
        <v>7740.3756971272032</v>
      </c>
      <c r="R47" s="135">
        <f t="shared" si="7"/>
        <v>2788.7674941443652</v>
      </c>
      <c r="S47" s="135">
        <f t="shared" si="8"/>
        <v>470.55370622322113</v>
      </c>
      <c r="T47" s="136">
        <f t="shared" si="9"/>
        <v>4807.6046638477201</v>
      </c>
      <c r="U47" s="147">
        <f t="shared" si="2"/>
        <v>16905.65559974948</v>
      </c>
    </row>
    <row r="48" spans="1:21" x14ac:dyDescent="0.2">
      <c r="A48" s="124">
        <f>+'[1]Index Pricing'!A29</f>
        <v>37218</v>
      </c>
      <c r="B48" s="125">
        <f>+'[1]Index Pricing'!B29</f>
        <v>1.43</v>
      </c>
      <c r="C48" s="138">
        <f t="shared" si="0"/>
        <v>0.9151999999999999</v>
      </c>
      <c r="D48" s="139">
        <f>O48*'[1]Internal Kennedy Total'!T40</f>
        <v>1198.6310265201876</v>
      </c>
      <c r="E48" s="140">
        <f>+'[1]Index Pricing'!$B$4+'[1]Box Draw Detail'!$K$17</f>
        <v>2.2606000000000002</v>
      </c>
      <c r="F48" s="141">
        <f>O48*'[1]Internal Kennedy Total'!U40</f>
        <v>3419.774683367154</v>
      </c>
      <c r="G48" s="140">
        <f t="shared" si="1"/>
        <v>2.0251999999999999</v>
      </c>
      <c r="H48" s="142">
        <f>O48*'[1]Internal Kennedy Total'!V40</f>
        <v>1375.3193851608237</v>
      </c>
      <c r="I48" s="140">
        <f t="shared" si="3"/>
        <v>0.7478999999999999</v>
      </c>
      <c r="J48" s="143">
        <f>O48*'[1]Internal Kennedy Total'!W40</f>
        <v>628.3835980687146</v>
      </c>
      <c r="K48" s="140">
        <f>B48+$K$19+'[1]Kennedy Gas Daily Pricing'!B29</f>
        <v>0.86519999999999986</v>
      </c>
      <c r="L48" s="143">
        <f>'[1]Internal Kennedy Total'!X40*'[1]Internal Kennedy Total'!M40</f>
        <v>5595.8913068831198</v>
      </c>
      <c r="M48" s="144">
        <f>'[2]Enron Detail'!$D36</f>
        <v>-1084</v>
      </c>
      <c r="N48" s="145">
        <f t="shared" si="4"/>
        <v>13302</v>
      </c>
      <c r="O48" s="146">
        <f>'[1]Internal Kennedy Total'!M40</f>
        <v>12218</v>
      </c>
      <c r="P48" s="135">
        <f t="shared" si="5"/>
        <v>1096.9871154712755</v>
      </c>
      <c r="Q48" s="135">
        <f t="shared" si="6"/>
        <v>7730.7426492197892</v>
      </c>
      <c r="R48" s="135">
        <f t="shared" si="7"/>
        <v>2785.2968188277</v>
      </c>
      <c r="S48" s="135">
        <f t="shared" si="8"/>
        <v>469.96809299559158</v>
      </c>
      <c r="T48" s="136">
        <f t="shared" si="9"/>
        <v>4841.5651587152743</v>
      </c>
      <c r="U48" s="147">
        <f t="shared" si="2"/>
        <v>16924.559835229629</v>
      </c>
    </row>
    <row r="49" spans="1:21" x14ac:dyDescent="0.2">
      <c r="A49" s="124">
        <f>+'[1]Index Pricing'!A30</f>
        <v>37219</v>
      </c>
      <c r="B49" s="125">
        <f>+'[1]Index Pricing'!B30</f>
        <v>1.43</v>
      </c>
      <c r="C49" s="138">
        <f t="shared" si="0"/>
        <v>0.9151999999999999</v>
      </c>
      <c r="D49" s="139">
        <f>O49*'[1]Internal Kennedy Total'!T41</f>
        <v>1286.8413482706326</v>
      </c>
      <c r="E49" s="140">
        <f>+'[1]Index Pricing'!$B$4+'[1]Box Draw Detail'!$K$17</f>
        <v>2.2606000000000002</v>
      </c>
      <c r="F49" s="141">
        <f>O49*'[1]Internal Kennedy Total'!U41</f>
        <v>3671.4446455652851</v>
      </c>
      <c r="G49" s="140">
        <f t="shared" si="1"/>
        <v>2.0251999999999999</v>
      </c>
      <c r="H49" s="142">
        <f>O49*'[1]Internal Kennedy Total'!V41</f>
        <v>1476.5326549581723</v>
      </c>
      <c r="I49" s="140">
        <f t="shared" si="3"/>
        <v>0.7478999999999999</v>
      </c>
      <c r="J49" s="143">
        <f>O49*'[1]Internal Kennedy Total'!W41</f>
        <v>674.62795362262113</v>
      </c>
      <c r="K49" s="140">
        <f>B49+$K$19+'[1]Kennedy Gas Daily Pricing'!B30</f>
        <v>0.86519999999999986</v>
      </c>
      <c r="L49" s="143">
        <f>'[1]Internal Kennedy Total'!X41*'[1]Internal Kennedy Total'!M41</f>
        <v>5398.5533975832886</v>
      </c>
      <c r="M49" s="144">
        <f>'[2]Enron Detail'!$D37</f>
        <v>-899</v>
      </c>
      <c r="N49" s="145">
        <f t="shared" si="4"/>
        <v>13407</v>
      </c>
      <c r="O49" s="146">
        <f>'[1]Internal Kennedy Total'!M41</f>
        <v>12508</v>
      </c>
      <c r="P49" s="135">
        <f t="shared" si="5"/>
        <v>1177.7172019372829</v>
      </c>
      <c r="Q49" s="135">
        <f t="shared" si="6"/>
        <v>8299.6677657648834</v>
      </c>
      <c r="R49" s="135">
        <f t="shared" si="7"/>
        <v>2990.2739328212906</v>
      </c>
      <c r="S49" s="135">
        <f t="shared" si="8"/>
        <v>504.55424651435828</v>
      </c>
      <c r="T49" s="136">
        <f t="shared" si="9"/>
        <v>4670.8283995890606</v>
      </c>
      <c r="U49" s="147">
        <f t="shared" si="2"/>
        <v>17643.041546626875</v>
      </c>
    </row>
    <row r="50" spans="1:21" x14ac:dyDescent="0.2">
      <c r="A50" s="124">
        <f>+'[1]Index Pricing'!A31</f>
        <v>37220</v>
      </c>
      <c r="B50" s="125">
        <f>+'[1]Index Pricing'!B31</f>
        <v>1.43</v>
      </c>
      <c r="C50" s="138">
        <f t="shared" si="0"/>
        <v>0.9151999999999999</v>
      </c>
      <c r="D50" s="139">
        <f>O50*'[1]Internal Kennedy Total'!T42</f>
        <v>1549.734773826284</v>
      </c>
      <c r="E50" s="140">
        <f>+'[1]Index Pricing'!$B$4+'[1]Box Draw Detail'!$K$17</f>
        <v>2.2606000000000002</v>
      </c>
      <c r="F50" s="141">
        <f>O50*'[1]Internal Kennedy Total'!U42</f>
        <v>4421.4972149109381</v>
      </c>
      <c r="G50" s="140">
        <f t="shared" si="1"/>
        <v>2.0251999999999999</v>
      </c>
      <c r="H50" s="142">
        <f>O50*'[1]Internal Kennedy Total'!V42</f>
        <v>1778.1787965966826</v>
      </c>
      <c r="I50" s="140">
        <f t="shared" si="3"/>
        <v>0.7478999999999999</v>
      </c>
      <c r="J50" s="143">
        <f>O50*'[1]Internal Kennedy Total'!W42</f>
        <v>812.4501132398849</v>
      </c>
      <c r="K50" s="140">
        <f>B50+$K$19+'[1]Kennedy Gas Daily Pricing'!B31</f>
        <v>0.86519999999999986</v>
      </c>
      <c r="L50" s="143">
        <f>'[1]Internal Kennedy Total'!X42*'[1]Internal Kennedy Total'!M42</f>
        <v>3477.1391014262103</v>
      </c>
      <c r="M50" s="144">
        <f>'[2]Enron Detail'!$D38</f>
        <v>-1263</v>
      </c>
      <c r="N50" s="145">
        <f t="shared" si="4"/>
        <v>13302</v>
      </c>
      <c r="O50" s="146">
        <f>'[1]Internal Kennedy Total'!M42</f>
        <v>12039</v>
      </c>
      <c r="P50" s="135">
        <f t="shared" si="5"/>
        <v>1418.317265005815</v>
      </c>
      <c r="Q50" s="135">
        <f t="shared" si="6"/>
        <v>9995.2366040276665</v>
      </c>
      <c r="R50" s="135">
        <f t="shared" si="7"/>
        <v>3601.1676988676013</v>
      </c>
      <c r="S50" s="135">
        <f t="shared" si="8"/>
        <v>607.63143969210978</v>
      </c>
      <c r="T50" s="136">
        <f t="shared" si="9"/>
        <v>3008.4207505539566</v>
      </c>
      <c r="U50" s="147">
        <f t="shared" si="2"/>
        <v>18630.773758147148</v>
      </c>
    </row>
    <row r="51" spans="1:21" x14ac:dyDescent="0.2">
      <c r="A51" s="124">
        <f>+'[1]Index Pricing'!A32</f>
        <v>37221</v>
      </c>
      <c r="B51" s="125">
        <f>+'[1]Index Pricing'!B32</f>
        <v>1.43</v>
      </c>
      <c r="C51" s="138">
        <f t="shared" si="0"/>
        <v>0.9151999999999999</v>
      </c>
      <c r="D51" s="139">
        <f>O51*'[1]Internal Kennedy Total'!T43</f>
        <v>1284.212155903627</v>
      </c>
      <c r="E51" s="140">
        <f>+'[1]Index Pricing'!$B$4+'[1]Box Draw Detail'!$K$17</f>
        <v>2.2606000000000002</v>
      </c>
      <c r="F51" s="141">
        <f>O51*'[1]Internal Kennedy Total'!U43</f>
        <v>3663.9433834625588</v>
      </c>
      <c r="G51" s="140">
        <f t="shared" si="1"/>
        <v>2.0251999999999999</v>
      </c>
      <c r="H51" s="142">
        <f>O51*'[1]Internal Kennedy Total'!V43</f>
        <v>1473.515897382526</v>
      </c>
      <c r="I51" s="140">
        <f t="shared" si="3"/>
        <v>0.7478999999999999</v>
      </c>
      <c r="J51" s="143">
        <f>O51*'[1]Internal Kennedy Total'!W43</f>
        <v>673.24959671124532</v>
      </c>
      <c r="K51" s="140">
        <f>B51+$K$19+'[1]Kennedy Gas Daily Pricing'!B32</f>
        <v>0.86519999999999986</v>
      </c>
      <c r="L51" s="143">
        <f>'[1]Internal Kennedy Total'!X43*'[1]Internal Kennedy Total'!M43</f>
        <v>4640.0789665400425</v>
      </c>
      <c r="M51" s="144">
        <f>'[2]Enron Detail'!$D39</f>
        <v>-1085</v>
      </c>
      <c r="N51" s="145">
        <f t="shared" si="4"/>
        <v>12820</v>
      </c>
      <c r="O51" s="146">
        <f>'[1]Internal Kennedy Total'!M43</f>
        <v>11735</v>
      </c>
      <c r="P51" s="135">
        <f t="shared" si="5"/>
        <v>1175.3109650829992</v>
      </c>
      <c r="Q51" s="135">
        <f t="shared" si="6"/>
        <v>8282.7104126554605</v>
      </c>
      <c r="R51" s="135">
        <f t="shared" si="7"/>
        <v>2984.1643953790913</v>
      </c>
      <c r="S51" s="135">
        <f t="shared" si="8"/>
        <v>503.52337338034033</v>
      </c>
      <c r="T51" s="136">
        <f t="shared" si="9"/>
        <v>4014.5963218504439</v>
      </c>
      <c r="U51" s="147">
        <f t="shared" si="2"/>
        <v>16960.305468348335</v>
      </c>
    </row>
    <row r="52" spans="1:21" x14ac:dyDescent="0.2">
      <c r="A52" s="124">
        <f>+'[1]Index Pricing'!A33</f>
        <v>37222</v>
      </c>
      <c r="B52" s="125">
        <f>+'[1]Index Pricing'!B33</f>
        <v>1.88</v>
      </c>
      <c r="C52" s="138">
        <f t="shared" si="0"/>
        <v>1.3651999999999997</v>
      </c>
      <c r="D52" s="139">
        <f>O52*'[1]Internal Kennedy Total'!T44</f>
        <v>1301.3057218099116</v>
      </c>
      <c r="E52" s="140">
        <f>+'[1]Index Pricing'!$B$4+'[1]Box Draw Detail'!$K$17</f>
        <v>2.2606000000000002</v>
      </c>
      <c r="F52" s="141">
        <f>O52*'[1]Internal Kennedy Total'!U44</f>
        <v>3712.7124730667942</v>
      </c>
      <c r="G52" s="140">
        <f t="shared" si="1"/>
        <v>2.0251999999999999</v>
      </c>
      <c r="H52" s="142">
        <f>O52*'[1]Internal Kennedy Total'!V44</f>
        <v>1493.129199585029</v>
      </c>
      <c r="I52" s="140">
        <f t="shared" si="3"/>
        <v>1.1978999999999997</v>
      </c>
      <c r="J52" s="143">
        <f>O52*'[1]Internal Kennedy Total'!W44</f>
        <v>682.2109169260234</v>
      </c>
      <c r="K52" s="140">
        <f>B52+$K$19+'[1]Kennedy Gas Daily Pricing'!B33</f>
        <v>1.3151999999999997</v>
      </c>
      <c r="L52" s="143">
        <f>'[1]Internal Kennedy Total'!X44*'[1]Internal Kennedy Total'!M44</f>
        <v>4441.6416886122415</v>
      </c>
      <c r="M52" s="144">
        <f>'[2]Enron Detail'!$D40</f>
        <v>-1102</v>
      </c>
      <c r="N52" s="145">
        <f t="shared" si="4"/>
        <v>12733</v>
      </c>
      <c r="O52" s="146">
        <f>'[1]Internal Kennedy Total'!M44</f>
        <v>11631</v>
      </c>
      <c r="P52" s="135">
        <f t="shared" si="5"/>
        <v>1776.542571414891</v>
      </c>
      <c r="Q52" s="135">
        <f t="shared" si="6"/>
        <v>8392.9578166147949</v>
      </c>
      <c r="R52" s="135">
        <f t="shared" si="7"/>
        <v>3023.8852549996004</v>
      </c>
      <c r="S52" s="135">
        <f t="shared" si="8"/>
        <v>817.22045738568329</v>
      </c>
      <c r="T52" s="136">
        <f t="shared" si="9"/>
        <v>5841.6471488628185</v>
      </c>
      <c r="U52" s="147">
        <f t="shared" si="2"/>
        <v>19852.25324927779</v>
      </c>
    </row>
    <row r="53" spans="1:21" x14ac:dyDescent="0.2">
      <c r="A53" s="124">
        <f>+'[1]Index Pricing'!A34</f>
        <v>37223</v>
      </c>
      <c r="B53" s="125">
        <f>+'[1]Index Pricing'!B34</f>
        <v>2.16</v>
      </c>
      <c r="C53" s="138">
        <f t="shared" si="0"/>
        <v>1.6452</v>
      </c>
      <c r="D53" s="139">
        <f>O53*'[1]Internal Kennedy Total'!T45</f>
        <v>1434.1385355602256</v>
      </c>
      <c r="E53" s="140">
        <f>+'[1]Index Pricing'!$B$4+'[1]Box Draw Detail'!$K$17</f>
        <v>2.2606000000000002</v>
      </c>
      <c r="F53" s="141">
        <f>O53*'[1]Internal Kennedy Total'!U45</f>
        <v>4091.6933967481473</v>
      </c>
      <c r="G53" s="140">
        <f t="shared" si="1"/>
        <v>2.0251999999999999</v>
      </c>
      <c r="H53" s="142">
        <f>O53*'[1]Internal Kennedy Total'!V45</f>
        <v>1645.5426943922132</v>
      </c>
      <c r="I53" s="140">
        <f t="shared" si="3"/>
        <v>1.4779</v>
      </c>
      <c r="J53" s="143">
        <f>O53*'[1]Internal Kennedy Total'!W45</f>
        <v>751.84866165247206</v>
      </c>
      <c r="K53" s="140">
        <f>B53+$K$19+'[1]Kennedy Gas Daily Pricing'!B34</f>
        <v>1.5952</v>
      </c>
      <c r="L53" s="143">
        <f>'[1]Internal Kennedy Total'!X45*'[1]Internal Kennedy Total'!M45</f>
        <v>4407.7767116469422</v>
      </c>
      <c r="M53" s="144">
        <f>'[2]Enron Detail'!$D41</f>
        <v>-885</v>
      </c>
      <c r="N53" s="145">
        <f t="shared" si="4"/>
        <v>13216</v>
      </c>
      <c r="O53" s="146">
        <f>'[1]Internal Kennedy Total'!M45</f>
        <v>12331</v>
      </c>
      <c r="P53" s="135">
        <f t="shared" si="5"/>
        <v>2359.4447187036831</v>
      </c>
      <c r="Q53" s="135">
        <f t="shared" si="6"/>
        <v>9249.6820926888631</v>
      </c>
      <c r="R53" s="135">
        <f t="shared" si="7"/>
        <v>3332.5530646831098</v>
      </c>
      <c r="S53" s="135">
        <f t="shared" si="8"/>
        <v>1111.1571370561885</v>
      </c>
      <c r="T53" s="136">
        <f t="shared" si="9"/>
        <v>7031.285410419202</v>
      </c>
      <c r="U53" s="147">
        <f t="shared" si="2"/>
        <v>23084.122423551049</v>
      </c>
    </row>
    <row r="54" spans="1:21" x14ac:dyDescent="0.2">
      <c r="A54" s="124">
        <f>+'[1]Index Pricing'!A35</f>
        <v>37224</v>
      </c>
      <c r="B54" s="125">
        <f>+'[1]Index Pricing'!B35</f>
        <v>2.38</v>
      </c>
      <c r="C54" s="138">
        <f t="shared" si="0"/>
        <v>1.8651999999999997</v>
      </c>
      <c r="D54" s="139">
        <f>O54*'[1]Internal Kennedy Total'!T46</f>
        <v>0</v>
      </c>
      <c r="E54" s="140">
        <f>+'[1]Index Pricing'!$B$4+'[1]Box Draw Detail'!$K$17</f>
        <v>2.2606000000000002</v>
      </c>
      <c r="F54" s="141">
        <f>O54*'[1]Internal Kennedy Total'!U46</f>
        <v>3869.8915763135947</v>
      </c>
      <c r="G54" s="140">
        <f t="shared" si="1"/>
        <v>2.0251999999999999</v>
      </c>
      <c r="H54" s="142">
        <f>O54*'[1]Internal Kennedy Total'!V46</f>
        <v>1350.2696691687515</v>
      </c>
      <c r="I54" s="140">
        <f t="shared" si="3"/>
        <v>1.6978999999999997</v>
      </c>
      <c r="J54" s="143">
        <f>O54*'[1]Internal Kennedy Total'!W46</f>
        <v>0</v>
      </c>
      <c r="K54" s="140">
        <f>B54+$K$19+'[1]Kennedy Gas Daily Pricing'!B35</f>
        <v>1.8151999999999997</v>
      </c>
      <c r="L54" s="143">
        <f>'[1]Internal Kennedy Total'!X46*'[1]Internal Kennedy Total'!M46</f>
        <v>0</v>
      </c>
      <c r="M54" s="144">
        <f>'[2]Enron Detail'!$D42</f>
        <v>-844.5</v>
      </c>
      <c r="N54" s="145">
        <f t="shared" si="4"/>
        <v>6064.5</v>
      </c>
      <c r="O54" s="146">
        <f>'[1]Internal Kennedy Total'!M46</f>
        <v>5220</v>
      </c>
      <c r="P54" s="135">
        <f t="shared" si="5"/>
        <v>0</v>
      </c>
      <c r="Q54" s="135">
        <f t="shared" si="6"/>
        <v>8748.2768974145129</v>
      </c>
      <c r="R54" s="135">
        <f t="shared" si="7"/>
        <v>2734.5661340005554</v>
      </c>
      <c r="S54" s="135">
        <f t="shared" si="8"/>
        <v>0</v>
      </c>
      <c r="T54" s="136">
        <f t="shared" si="9"/>
        <v>0</v>
      </c>
      <c r="U54" s="147">
        <f t="shared" si="2"/>
        <v>11482.843031415068</v>
      </c>
    </row>
    <row r="55" spans="1:21" x14ac:dyDescent="0.2">
      <c r="A55" s="124">
        <f>+'[1]Index Pricing'!A36</f>
        <v>37225</v>
      </c>
      <c r="B55" s="125">
        <f>+'[1]Index Pricing'!B36</f>
        <v>2.0249999999999999</v>
      </c>
      <c r="C55" s="138">
        <f t="shared" si="0"/>
        <v>1.5101999999999998</v>
      </c>
      <c r="D55" s="139">
        <v>0</v>
      </c>
      <c r="E55" s="140">
        <f>+'[1]Index Pricing'!$B$4+'[1]Box Draw Detail'!$K$17</f>
        <v>2.2606000000000002</v>
      </c>
      <c r="F55" s="141">
        <v>0</v>
      </c>
      <c r="G55" s="140">
        <f t="shared" si="1"/>
        <v>2.0251999999999999</v>
      </c>
      <c r="H55" s="142">
        <v>0</v>
      </c>
      <c r="I55" s="140">
        <f t="shared" si="3"/>
        <v>1.3428999999999998</v>
      </c>
      <c r="J55" s="143">
        <v>0</v>
      </c>
      <c r="K55" s="140">
        <f>B55+$K$19+'[1]Kennedy Gas Daily Pricing'!B36</f>
        <v>1.4601999999999997</v>
      </c>
      <c r="L55" s="143">
        <v>0</v>
      </c>
      <c r="M55" s="144">
        <f>'[2]Enron Detail'!$D43</f>
        <v>0</v>
      </c>
      <c r="N55" s="145">
        <f t="shared" si="4"/>
        <v>0</v>
      </c>
      <c r="O55" s="146">
        <f>'[1]Internal Kennedy Total'!M47</f>
        <v>0</v>
      </c>
      <c r="P55" s="135">
        <f t="shared" si="5"/>
        <v>0</v>
      </c>
      <c r="Q55" s="135">
        <f t="shared" si="6"/>
        <v>0</v>
      </c>
      <c r="R55" s="135">
        <f t="shared" si="7"/>
        <v>0</v>
      </c>
      <c r="S55" s="135">
        <f t="shared" si="8"/>
        <v>0</v>
      </c>
      <c r="T55" s="136">
        <f t="shared" si="9"/>
        <v>0</v>
      </c>
      <c r="U55" s="147">
        <f t="shared" si="2"/>
        <v>0</v>
      </c>
    </row>
    <row r="56" spans="1:21" ht="13.5" thickBot="1" x14ac:dyDescent="0.25">
      <c r="A56" s="124"/>
      <c r="B56" s="125"/>
      <c r="C56" s="149"/>
      <c r="D56" s="150"/>
      <c r="E56" s="151"/>
      <c r="F56" s="152"/>
      <c r="G56" s="151"/>
      <c r="H56" s="153"/>
      <c r="I56" s="154"/>
      <c r="J56" s="155"/>
      <c r="K56" s="154"/>
      <c r="L56" s="155"/>
      <c r="M56" s="156"/>
      <c r="N56" s="157"/>
      <c r="O56" s="158"/>
      <c r="P56" s="159"/>
      <c r="Q56" s="159"/>
      <c r="R56" s="159"/>
      <c r="S56" s="159"/>
      <c r="T56" s="160"/>
      <c r="U56" s="161"/>
    </row>
    <row r="57" spans="1:21" x14ac:dyDescent="0.2">
      <c r="D57" s="162">
        <f>SUM(D26:D56)</f>
        <v>36647.435304919491</v>
      </c>
      <c r="F57" s="163">
        <f>SUM(F26:F56)</f>
        <v>108427.48160461456</v>
      </c>
      <c r="H57" s="162">
        <f>SUM(H26:H56)</f>
        <v>43399.847125550456</v>
      </c>
      <c r="J57" s="164">
        <f>SUM(J26:J56)</f>
        <v>19212.457167700304</v>
      </c>
      <c r="K57" s="164"/>
      <c r="L57" s="164">
        <f>SUM(L26:L56)</f>
        <v>136932.9400426975</v>
      </c>
      <c r="M57" s="165">
        <f t="shared" ref="M57:T57" si="10">SUM(M26:M56)</f>
        <v>-32881.5</v>
      </c>
      <c r="N57" s="166">
        <f t="shared" si="10"/>
        <v>377501.5</v>
      </c>
      <c r="O57" s="166">
        <f t="shared" si="10"/>
        <v>344620</v>
      </c>
      <c r="P57" s="167">
        <f t="shared" si="10"/>
        <v>45261.912260429002</v>
      </c>
      <c r="Q57" s="167">
        <f t="shared" si="10"/>
        <v>245111.16491539171</v>
      </c>
      <c r="R57" s="167">
        <f t="shared" si="10"/>
        <v>87893.370398664774</v>
      </c>
      <c r="S57" s="167">
        <f t="shared" si="10"/>
        <v>20514.361844100025</v>
      </c>
      <c r="T57" s="167">
        <f t="shared" si="10"/>
        <v>167700.76322240409</v>
      </c>
      <c r="U57" s="168">
        <f t="shared" si="2"/>
        <v>566481.57264098956</v>
      </c>
    </row>
    <row r="58" spans="1:21" x14ac:dyDescent="0.2">
      <c r="D58" s="94"/>
      <c r="F58" s="94"/>
      <c r="M58" s="94"/>
      <c r="P58" s="169"/>
      <c r="R58" s="170"/>
    </row>
    <row r="59" spans="1:21" x14ac:dyDescent="0.2">
      <c r="N59" s="105"/>
      <c r="O59" s="105"/>
      <c r="Q59" s="53" t="s">
        <v>109</v>
      </c>
      <c r="R59" s="171">
        <f>U57/N57</f>
        <v>1.5006074747808673</v>
      </c>
    </row>
    <row r="60" spans="1:21" x14ac:dyDescent="0.2">
      <c r="A60" s="58" t="s">
        <v>110</v>
      </c>
      <c r="S60" s="39"/>
    </row>
    <row r="61" spans="1:21" x14ac:dyDescent="0.2">
      <c r="U61" s="172"/>
    </row>
    <row r="62" spans="1:21" x14ac:dyDescent="0.2">
      <c r="R62" s="173"/>
      <c r="S62" s="173"/>
      <c r="U62" s="174"/>
    </row>
    <row r="63" spans="1:21" x14ac:dyDescent="0.2">
      <c r="S63" s="174"/>
    </row>
    <row r="64" spans="1:21" x14ac:dyDescent="0.2">
      <c r="S64" s="172"/>
    </row>
  </sheetData>
  <mergeCells count="1">
    <mergeCell ref="P23:T23"/>
  </mergeCells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2049" r:id="rId3">
          <objectPr defaultSize="0" autoPict="0" r:id="rId4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2049" r:id="rId3"/>
      </mc:Fallback>
    </mc:AlternateContent>
    <mc:AlternateContent xmlns:mc="http://schemas.openxmlformats.org/markup-compatibility/2006">
      <mc:Choice Requires="x14">
        <oleObject progId="Paint.Picture" shapeId="2050" r:id="rId5">
          <objectPr defaultSize="0" autoPict="0" r:id="rId4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2050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4"/>
  <sheetViews>
    <sheetView tabSelected="1" topLeftCell="C1" workbookViewId="0">
      <selection activeCell="D15" sqref="D15"/>
    </sheetView>
  </sheetViews>
  <sheetFormatPr defaultRowHeight="12.75" x14ac:dyDescent="0.2"/>
  <cols>
    <col min="1" max="1" width="16.7109375" style="58" customWidth="1"/>
    <col min="2" max="2" width="18.5703125" style="58" bestFit="1" customWidth="1"/>
    <col min="3" max="3" width="20.42578125" style="58" customWidth="1"/>
    <col min="4" max="4" width="17.5703125" style="58" bestFit="1" customWidth="1"/>
    <col min="5" max="5" width="21" style="58" customWidth="1"/>
    <col min="6" max="6" width="16.28515625" style="58" customWidth="1"/>
    <col min="7" max="7" width="15.5703125" style="58" customWidth="1"/>
    <col min="8" max="8" width="15.85546875" style="58" bestFit="1" customWidth="1"/>
    <col min="9" max="14" width="15.5703125" style="58" customWidth="1"/>
    <col min="15" max="15" width="14" style="58" bestFit="1" customWidth="1"/>
    <col min="16" max="16" width="13.28515625" style="58" bestFit="1" customWidth="1"/>
    <col min="17" max="17" width="13.28515625" style="58" customWidth="1"/>
    <col min="18" max="18" width="16.85546875" style="58" bestFit="1" customWidth="1"/>
    <col min="19" max="19" width="15.5703125" style="58" customWidth="1"/>
    <col min="20" max="20" width="15" style="58" customWidth="1"/>
    <col min="21" max="21" width="15" style="58" bestFit="1" customWidth="1"/>
    <col min="22" max="22" width="13.28515625" style="58" bestFit="1" customWidth="1"/>
    <col min="23" max="23" width="15" style="58" bestFit="1" customWidth="1"/>
    <col min="24" max="24" width="15" style="58" customWidth="1"/>
    <col min="25" max="25" width="12.140625" style="58" bestFit="1" customWidth="1"/>
    <col min="26" max="26" width="13.28515625" style="58" bestFit="1" customWidth="1"/>
    <col min="27" max="27" width="15" style="58" bestFit="1" customWidth="1"/>
    <col min="28" max="28" width="9.140625" style="58"/>
    <col min="29" max="29" width="11.140625" style="58" bestFit="1" customWidth="1"/>
    <col min="30" max="16384" width="9.140625" style="58"/>
  </cols>
  <sheetData>
    <row r="1" spans="1:19" x14ac:dyDescent="0.2">
      <c r="A1" s="57" t="s">
        <v>51</v>
      </c>
      <c r="B1" s="57" t="s">
        <v>52</v>
      </c>
      <c r="C1" s="57" t="s">
        <v>53</v>
      </c>
      <c r="F1" s="58" t="s">
        <v>54</v>
      </c>
      <c r="H1" s="57"/>
      <c r="I1" s="57"/>
      <c r="J1" s="57"/>
      <c r="K1" s="57"/>
      <c r="L1" s="57"/>
      <c r="M1" s="57"/>
      <c r="N1" s="57"/>
      <c r="O1" s="57"/>
      <c r="S1" s="59">
        <f ca="1">NOW()</f>
        <v>37231.608659375001</v>
      </c>
    </row>
    <row r="2" spans="1:19" x14ac:dyDescent="0.2">
      <c r="A2" s="60">
        <f>+'[1]Index Pricing'!A1</f>
        <v>37196</v>
      </c>
      <c r="B2" s="57" t="s">
        <v>55</v>
      </c>
      <c r="C2" s="57" t="s">
        <v>56</v>
      </c>
      <c r="H2" s="57"/>
      <c r="I2" s="57"/>
      <c r="J2" s="57"/>
      <c r="K2" s="57"/>
      <c r="L2" s="57"/>
      <c r="M2" s="57"/>
      <c r="N2" s="57"/>
      <c r="O2" s="57"/>
    </row>
    <row r="3" spans="1:19" x14ac:dyDescent="0.2">
      <c r="A3" s="60"/>
      <c r="B3" s="57" t="s">
        <v>57</v>
      </c>
      <c r="C3" s="57" t="s">
        <v>58</v>
      </c>
      <c r="F3" s="58" t="s">
        <v>59</v>
      </c>
      <c r="G3" s="58" t="s">
        <v>60</v>
      </c>
      <c r="H3" s="57"/>
      <c r="I3" s="57"/>
      <c r="J3" s="57"/>
      <c r="K3" s="57"/>
      <c r="L3" s="57"/>
      <c r="M3" s="57"/>
      <c r="N3" s="57"/>
      <c r="O3" s="57"/>
    </row>
    <row r="4" spans="1:19" x14ac:dyDescent="0.2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">
      <c r="A5" s="60" t="s">
        <v>61</v>
      </c>
      <c r="B5" s="57"/>
      <c r="C5" s="61">
        <f>+'[1]Index Pricing'!B4</f>
        <v>3.04</v>
      </c>
      <c r="H5" s="57"/>
      <c r="I5" s="57"/>
      <c r="J5" s="57"/>
      <c r="K5" s="57"/>
      <c r="L5" s="57"/>
      <c r="M5" s="57"/>
      <c r="N5" s="57"/>
      <c r="O5" s="57"/>
    </row>
    <row r="6" spans="1:19" ht="12" customHeight="1" x14ac:dyDescent="0.2">
      <c r="A6" s="60" t="s">
        <v>62</v>
      </c>
      <c r="B6" s="57"/>
      <c r="C6" s="61">
        <f>+'[1]Index Pricing'!B3</f>
        <v>2.54</v>
      </c>
      <c r="H6" s="57"/>
      <c r="I6" s="57"/>
      <c r="J6" s="57"/>
      <c r="K6" s="57"/>
      <c r="L6" s="57"/>
      <c r="M6" s="57"/>
      <c r="N6" s="57"/>
      <c r="O6" s="57"/>
    </row>
    <row r="7" spans="1:19" x14ac:dyDescent="0.2">
      <c r="A7" s="62" t="s">
        <v>63</v>
      </c>
      <c r="C7" s="63">
        <f>+'[1]Internal Kennedy Total'!C7</f>
        <v>21032</v>
      </c>
      <c r="D7" s="57" t="s">
        <v>64</v>
      </c>
    </row>
    <row r="8" spans="1:19" x14ac:dyDescent="0.2">
      <c r="A8" s="62" t="s">
        <v>65</v>
      </c>
      <c r="C8" s="63">
        <f>+'[1]Internal Kennedy Total'!C8</f>
        <v>21893</v>
      </c>
      <c r="D8" s="57" t="s">
        <v>64</v>
      </c>
    </row>
    <row r="9" spans="1:19" ht="13.5" thickBot="1" x14ac:dyDescent="0.25">
      <c r="A9" s="62"/>
      <c r="C9" s="64"/>
    </row>
    <row r="10" spans="1:19" x14ac:dyDescent="0.2">
      <c r="A10" s="65"/>
      <c r="B10" s="66" t="s">
        <v>66</v>
      </c>
      <c r="C10" s="67" t="s">
        <v>67</v>
      </c>
      <c r="D10" s="67" t="s">
        <v>68</v>
      </c>
      <c r="E10" s="68" t="s">
        <v>69</v>
      </c>
    </row>
    <row r="11" spans="1:19" x14ac:dyDescent="0.2">
      <c r="A11" s="69" t="s">
        <v>47</v>
      </c>
      <c r="B11" s="70">
        <f>'[2]Enron Detail'!$F$9</f>
        <v>1.1030684510914626</v>
      </c>
      <c r="C11" s="71">
        <f>+C7*D11</f>
        <v>14518.636739062353</v>
      </c>
      <c r="D11" s="175">
        <f>'[1]Internal Kennedy Total'!H8</f>
        <v>0.69031175062107042</v>
      </c>
      <c r="E11" s="176">
        <v>0.61</v>
      </c>
      <c r="F11" s="58">
        <v>0.59599999999999997</v>
      </c>
    </row>
    <row r="12" spans="1:19" ht="13.5" thickBot="1" x14ac:dyDescent="0.25">
      <c r="A12" s="74" t="s">
        <v>43</v>
      </c>
      <c r="B12" s="75">
        <f>'[2]Enron Detail'!$C$9</f>
        <v>0.95568674906203954</v>
      </c>
      <c r="C12" s="76">
        <f>+C7-C11</f>
        <v>6513.3632609376473</v>
      </c>
      <c r="D12" s="177">
        <f>'[1]Internal Kennedy Total'!H7</f>
        <v>0.30968824937892958</v>
      </c>
      <c r="E12" s="178">
        <v>0.47</v>
      </c>
      <c r="F12" s="58">
        <v>0.45599999999999996</v>
      </c>
    </row>
    <row r="13" spans="1:19" x14ac:dyDescent="0.2">
      <c r="A13" s="79"/>
      <c r="I13" s="80"/>
    </row>
    <row r="14" spans="1:19" ht="13.5" thickBot="1" x14ac:dyDescent="0.25">
      <c r="A14" s="79"/>
    </row>
    <row r="15" spans="1:19" s="86" customFormat="1" ht="57" customHeight="1" x14ac:dyDescent="0.2">
      <c r="A15" s="81" t="s">
        <v>111</v>
      </c>
      <c r="B15" s="82"/>
      <c r="C15" s="82" t="s">
        <v>71</v>
      </c>
      <c r="D15" s="82" t="s">
        <v>112</v>
      </c>
      <c r="E15" s="82" t="s">
        <v>73</v>
      </c>
      <c r="F15" s="83" t="str">
        <f>"WIC Med.Bow Fuel ("&amp;'[1]Index Pricing'!$F$3*100&amp;"%*CIGindex)"</f>
        <v>WIC Med.Bow Fuel (0.68%*CIGindex)</v>
      </c>
      <c r="G15" s="82" t="s">
        <v>74</v>
      </c>
      <c r="H15" s="82" t="s">
        <v>75</v>
      </c>
      <c r="I15" s="82" t="s">
        <v>76</v>
      </c>
      <c r="J15" s="84"/>
      <c r="K15" s="85" t="s">
        <v>77</v>
      </c>
    </row>
    <row r="16" spans="1:19" x14ac:dyDescent="0.2">
      <c r="A16" s="87" t="s">
        <v>78</v>
      </c>
      <c r="B16" s="179" t="s">
        <v>79</v>
      </c>
      <c r="C16" s="89">
        <v>0</v>
      </c>
      <c r="D16" s="179">
        <f>-$E$11</f>
        <v>-0.61</v>
      </c>
      <c r="E16" s="179"/>
      <c r="F16" s="179"/>
      <c r="G16" s="179"/>
      <c r="H16" s="179"/>
      <c r="I16" s="179">
        <f>+-M57*D16/(O57)</f>
        <v>-4.5026793972478982E-2</v>
      </c>
      <c r="J16" s="90"/>
      <c r="K16" s="91">
        <f>ROUND(SUM(C16:J16),4)</f>
        <v>-0.65500000000000003</v>
      </c>
    </row>
    <row r="17" spans="1:23" x14ac:dyDescent="0.2">
      <c r="A17" s="87" t="s">
        <v>78</v>
      </c>
      <c r="B17" s="179" t="s">
        <v>80</v>
      </c>
      <c r="C17" s="89">
        <v>0.01</v>
      </c>
      <c r="D17" s="179">
        <f>-$E$11</f>
        <v>-0.61</v>
      </c>
      <c r="E17" s="179">
        <f>-0.13-0.0025-0.0022</f>
        <v>-0.13470000000000001</v>
      </c>
      <c r="F17" s="179">
        <f>-'[1]Index Pricing'!$F$3*'[1]Index Pricing'!B3</f>
        <v>-1.7271999999999999E-2</v>
      </c>
      <c r="G17" s="179">
        <v>-0.1226</v>
      </c>
      <c r="H17" s="179">
        <v>0</v>
      </c>
      <c r="I17" s="179">
        <f>+I16</f>
        <v>-4.5026793972478982E-2</v>
      </c>
      <c r="J17" s="90"/>
      <c r="K17" s="91">
        <f>ROUND(SUM(C17:J17),4)</f>
        <v>-0.91959999999999997</v>
      </c>
    </row>
    <row r="18" spans="1:23" x14ac:dyDescent="0.2">
      <c r="A18" s="87" t="s">
        <v>78</v>
      </c>
      <c r="B18" s="179" t="s">
        <v>81</v>
      </c>
      <c r="C18" s="89">
        <v>0</v>
      </c>
      <c r="D18" s="179">
        <f>-$E$11</f>
        <v>-0.61</v>
      </c>
      <c r="E18" s="179"/>
      <c r="F18" s="179"/>
      <c r="G18" s="179"/>
      <c r="H18" s="179"/>
      <c r="I18" s="179">
        <f>+I17</f>
        <v>-4.5026793972478982E-2</v>
      </c>
      <c r="J18" s="90"/>
      <c r="K18" s="91">
        <f>ROUND(SUM(C18:J18),4)</f>
        <v>-0.65500000000000003</v>
      </c>
    </row>
    <row r="19" spans="1:23" x14ac:dyDescent="0.2">
      <c r="A19" s="87" t="s">
        <v>82</v>
      </c>
      <c r="B19" s="179" t="s">
        <v>79</v>
      </c>
      <c r="C19" s="92" t="s">
        <v>83</v>
      </c>
      <c r="D19" s="179">
        <f>-$E$11</f>
        <v>-0.61</v>
      </c>
      <c r="E19" s="179"/>
      <c r="F19" s="179"/>
      <c r="G19" s="179"/>
      <c r="H19" s="179"/>
      <c r="I19" s="179">
        <f>I18</f>
        <v>-4.5026793972478982E-2</v>
      </c>
      <c r="J19" s="90"/>
      <c r="K19" s="91">
        <f>ROUND(SUM(C19:J19),4)</f>
        <v>-0.65500000000000003</v>
      </c>
      <c r="L19" s="93"/>
      <c r="N19" s="94"/>
      <c r="O19" s="94"/>
    </row>
    <row r="20" spans="1:23" x14ac:dyDescent="0.2">
      <c r="A20" s="87" t="s">
        <v>82</v>
      </c>
      <c r="B20" s="88" t="s">
        <v>79</v>
      </c>
      <c r="C20" s="89">
        <v>0.1</v>
      </c>
      <c r="D20" s="88">
        <f>D18</f>
        <v>-0.61</v>
      </c>
      <c r="E20" s="88">
        <v>-0.25</v>
      </c>
      <c r="F20" s="88">
        <f>-'[1]Index Pricing'!$F$3*'[1]Index Pricing'!B3</f>
        <v>-1.7271999999999999E-2</v>
      </c>
      <c r="G20" s="88"/>
      <c r="H20" s="88"/>
      <c r="I20" s="179">
        <f>I19</f>
        <v>-4.5026793972478982E-2</v>
      </c>
      <c r="J20" s="90"/>
      <c r="K20" s="91">
        <f>ROUND(SUM(C20:J20),4)</f>
        <v>-0.82230000000000003</v>
      </c>
      <c r="L20" s="93"/>
    </row>
    <row r="21" spans="1:23" ht="13.5" thickBot="1" x14ac:dyDescent="0.25">
      <c r="A21" s="180"/>
      <c r="B21" s="180"/>
      <c r="C21" s="181"/>
      <c r="D21" s="180"/>
      <c r="E21" s="180"/>
      <c r="F21" s="180"/>
      <c r="G21" s="180"/>
      <c r="H21" s="180"/>
      <c r="I21" s="180"/>
      <c r="J21" s="182"/>
      <c r="K21" s="182"/>
      <c r="L21" s="182"/>
      <c r="M21" s="183"/>
      <c r="N21" s="93"/>
    </row>
    <row r="22" spans="1:23" ht="23.25" thickBot="1" x14ac:dyDescent="0.5">
      <c r="C22" s="194" t="s">
        <v>113</v>
      </c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/>
      <c r="W22"/>
    </row>
    <row r="23" spans="1:23" s="86" customFormat="1" ht="57" customHeight="1" x14ac:dyDescent="0.2">
      <c r="B23" s="99"/>
      <c r="C23" s="100" t="s">
        <v>85</v>
      </c>
      <c r="D23" s="101" t="s">
        <v>86</v>
      </c>
      <c r="E23" s="100" t="s">
        <v>87</v>
      </c>
      <c r="F23" s="101" t="s">
        <v>88</v>
      </c>
      <c r="G23" s="100" t="s">
        <v>89</v>
      </c>
      <c r="H23" s="101" t="s">
        <v>90</v>
      </c>
      <c r="I23" s="100" t="s">
        <v>91</v>
      </c>
      <c r="J23" s="101" t="s">
        <v>92</v>
      </c>
      <c r="K23" s="100" t="s">
        <v>93</v>
      </c>
      <c r="L23" s="101" t="s">
        <v>94</v>
      </c>
      <c r="M23" s="102" t="s">
        <v>114</v>
      </c>
      <c r="N23" s="102" t="s">
        <v>115</v>
      </c>
      <c r="O23" s="103" t="s">
        <v>97</v>
      </c>
      <c r="P23" s="191" t="s">
        <v>116</v>
      </c>
      <c r="Q23" s="192"/>
      <c r="R23" s="192"/>
      <c r="S23" s="192"/>
      <c r="T23" s="193"/>
      <c r="U23" s="104"/>
      <c r="V23"/>
      <c r="W23"/>
    </row>
    <row r="24" spans="1:23" x14ac:dyDescent="0.2">
      <c r="B24" s="113"/>
      <c r="C24" s="184"/>
      <c r="D24" s="113"/>
      <c r="E24" s="184"/>
      <c r="F24" s="141">
        <f>IF(+C7*0.8&gt;12000,12000,+C7*0.8)</f>
        <v>12000</v>
      </c>
      <c r="G24" s="184"/>
      <c r="H24" s="113"/>
      <c r="I24" s="107"/>
      <c r="J24" s="106"/>
      <c r="K24" s="107"/>
      <c r="L24" s="106"/>
      <c r="M24" s="185" t="s">
        <v>117</v>
      </c>
      <c r="N24" s="185"/>
      <c r="O24" s="186"/>
      <c r="P24" s="111"/>
      <c r="Q24" s="112"/>
      <c r="R24" s="112"/>
      <c r="S24" s="112"/>
      <c r="T24" s="113"/>
      <c r="U24" s="187"/>
    </row>
    <row r="25" spans="1:23" s="86" customFormat="1" ht="26.25" thickBot="1" x14ac:dyDescent="0.25">
      <c r="B25" s="99" t="s">
        <v>99</v>
      </c>
      <c r="C25" s="115" t="s">
        <v>100</v>
      </c>
      <c r="D25" s="99"/>
      <c r="E25" s="116" t="s">
        <v>101</v>
      </c>
      <c r="F25" s="117"/>
      <c r="G25" s="115" t="s">
        <v>102</v>
      </c>
      <c r="H25" s="99"/>
      <c r="I25" s="115" t="s">
        <v>100</v>
      </c>
      <c r="J25" s="99"/>
      <c r="K25" s="115" t="s">
        <v>100</v>
      </c>
      <c r="L25" s="99"/>
      <c r="M25" s="118"/>
      <c r="N25" s="118"/>
      <c r="O25" s="119"/>
      <c r="P25" s="120" t="s">
        <v>103</v>
      </c>
      <c r="Q25" s="121" t="s">
        <v>104</v>
      </c>
      <c r="R25" s="121" t="s">
        <v>105</v>
      </c>
      <c r="S25" s="121" t="s">
        <v>106</v>
      </c>
      <c r="T25" s="122" t="s">
        <v>107</v>
      </c>
      <c r="U25" s="123" t="s">
        <v>108</v>
      </c>
    </row>
    <row r="26" spans="1:23" x14ac:dyDescent="0.2">
      <c r="A26" s="124">
        <f>+'[1]Index Pricing'!A7</f>
        <v>37196</v>
      </c>
      <c r="B26" s="125">
        <f>+'[1]Index Pricing'!B7</f>
        <v>2.67</v>
      </c>
      <c r="C26" s="126">
        <f t="shared" ref="C26:C55" si="0">+B26+$K$16</f>
        <v>2.0149999999999997</v>
      </c>
      <c r="D26" s="127">
        <f>O26*'[1]Internal Kennedy Total'!T18</f>
        <v>2851.6692730666396</v>
      </c>
      <c r="E26" s="128">
        <f>+'[1]Index Pricing'!$B$4+'[1]S Kitty Detail'!$K$17</f>
        <v>2.1204000000000001</v>
      </c>
      <c r="F26" s="129">
        <f>O26*'[1]Internal Kennedy Total'!U18</f>
        <v>8136.0036321444786</v>
      </c>
      <c r="G26" s="128">
        <f t="shared" ref="G26:G55" si="1">$C$6+$K$18</f>
        <v>1.885</v>
      </c>
      <c r="H26" s="130">
        <f>O26*'[1]Internal Kennedy Total'!V18</f>
        <v>3272.0294607274377</v>
      </c>
      <c r="I26" s="128">
        <f>B26+$K$20</f>
        <v>1.8476999999999999</v>
      </c>
      <c r="J26" s="131">
        <f>O26*'[1]Internal Kennedy Total'!W18</f>
        <v>1494.990667406548</v>
      </c>
      <c r="K26" s="128">
        <f>B26+$K$19+'[1]Kennedy Gas Daily Pricing'!B7</f>
        <v>1.9649999999999996</v>
      </c>
      <c r="L26" s="131">
        <f>O26*'[1]Internal Kennedy Total'!X18</f>
        <v>11125.306966654896</v>
      </c>
      <c r="M26" s="132">
        <f>'[2]Enron Detail'!$G14</f>
        <v>-2213</v>
      </c>
      <c r="N26" s="133">
        <f>O26-M26</f>
        <v>29093</v>
      </c>
      <c r="O26" s="134">
        <f>'[1]Internal Kennedy Total'!N18</f>
        <v>26880</v>
      </c>
      <c r="P26" s="135">
        <f t="shared" ref="P26:P55" si="2">+C26*D26</f>
        <v>5746.1135852292782</v>
      </c>
      <c r="Q26" s="135">
        <f t="shared" ref="Q26:Q55" si="3">+E26*F26</f>
        <v>17251.582101599153</v>
      </c>
      <c r="R26" s="135">
        <f t="shared" ref="R26:R55" si="4">+G26*H26</f>
        <v>6167.7755334712201</v>
      </c>
      <c r="S26" s="135">
        <f t="shared" ref="S26:S55" si="5">I26*J26</f>
        <v>2762.2942561670789</v>
      </c>
      <c r="T26" s="136">
        <f>K26*L26</f>
        <v>21861.228189476868</v>
      </c>
      <c r="U26" s="137">
        <f t="shared" ref="U26:U57" si="6">SUM(P26:T26)</f>
        <v>53788.993665943599</v>
      </c>
      <c r="W26" s="188"/>
    </row>
    <row r="27" spans="1:23" x14ac:dyDescent="0.2">
      <c r="A27" s="124">
        <f>+A26+1</f>
        <v>37197</v>
      </c>
      <c r="B27" s="125">
        <f>+'[1]Index Pricing'!B8</f>
        <v>2.36</v>
      </c>
      <c r="C27" s="138">
        <f t="shared" si="0"/>
        <v>1.7049999999999998</v>
      </c>
      <c r="D27" s="139">
        <f>O27*'[1]Internal Kennedy Total'!T19</f>
        <v>2941.2856317967471</v>
      </c>
      <c r="E27" s="140">
        <f>+'[1]Index Pricing'!$B$4+'[1]S Kitty Detail'!$K$17</f>
        <v>2.1204000000000001</v>
      </c>
      <c r="F27" s="141">
        <f>O27*'[1]Internal Kennedy Total'!U19</f>
        <v>8391.6851121162545</v>
      </c>
      <c r="G27" s="140">
        <f t="shared" si="1"/>
        <v>1.885</v>
      </c>
      <c r="H27" s="142">
        <f>O27*'[1]Internal Kennedy Total'!V19</f>
        <v>3374.8560292560869</v>
      </c>
      <c r="I27" s="140">
        <f t="shared" ref="I27:I55" si="7">B27+$K$20</f>
        <v>1.5376999999999998</v>
      </c>
      <c r="J27" s="143">
        <f>O27*'[1]Internal Kennedy Total'!W19</f>
        <v>1541.9721393513619</v>
      </c>
      <c r="K27" s="140">
        <f>B27+$K$19+'[1]Kennedy Gas Daily Pricing'!B8</f>
        <v>1.6549999999999998</v>
      </c>
      <c r="L27" s="143">
        <f>O27*'[1]Internal Kennedy Total'!X19</f>
        <v>12816.201087479551</v>
      </c>
      <c r="M27" s="144">
        <f>'[2]Enron Detail'!$G15</f>
        <v>-2386</v>
      </c>
      <c r="N27" s="145">
        <f t="shared" ref="N27:N55" si="8">O27-M27</f>
        <v>31452</v>
      </c>
      <c r="O27" s="146">
        <f>'[1]Internal Kennedy Total'!N19</f>
        <v>29066</v>
      </c>
      <c r="P27" s="135">
        <f t="shared" si="2"/>
        <v>5014.8920022134535</v>
      </c>
      <c r="Q27" s="135">
        <f t="shared" si="3"/>
        <v>17793.729111731307</v>
      </c>
      <c r="R27" s="135">
        <f t="shared" si="4"/>
        <v>6361.6036151477238</v>
      </c>
      <c r="S27" s="135">
        <f t="shared" si="5"/>
        <v>2371.0905586805889</v>
      </c>
      <c r="T27" s="136">
        <f t="shared" ref="T27:T55" si="9">K27*L27</f>
        <v>21210.812799778654</v>
      </c>
      <c r="U27" s="147">
        <f t="shared" si="6"/>
        <v>52752.128087551726</v>
      </c>
    </row>
    <row r="28" spans="1:23" x14ac:dyDescent="0.2">
      <c r="A28" s="124">
        <f t="shared" ref="A28:A55" si="10">+A27+1</f>
        <v>37198</v>
      </c>
      <c r="B28" s="125">
        <f>+'[1]Index Pricing'!B9</f>
        <v>2.0150000000000001</v>
      </c>
      <c r="C28" s="138">
        <f t="shared" si="0"/>
        <v>1.36</v>
      </c>
      <c r="D28" s="139">
        <f>O28*'[1]Internal Kennedy Total'!T20</f>
        <v>2988.9009767441858</v>
      </c>
      <c r="E28" s="140">
        <f>+'[1]Index Pricing'!$B$4+'[1]S Kitty Detail'!$K$17</f>
        <v>2.1204000000000001</v>
      </c>
      <c r="F28" s="141">
        <f>O28*'[1]Internal Kennedy Total'!U20</f>
        <v>8527.5348837209294</v>
      </c>
      <c r="G28" s="140">
        <f t="shared" si="1"/>
        <v>1.885</v>
      </c>
      <c r="H28" s="142">
        <f>O28*'[1]Internal Kennedy Total'!V20</f>
        <v>3429.4902790697674</v>
      </c>
      <c r="I28" s="140">
        <f t="shared" si="7"/>
        <v>1.1927000000000001</v>
      </c>
      <c r="J28" s="143">
        <f>O28*'[1]Internal Kennedy Total'!W20</f>
        <v>1566.934534883721</v>
      </c>
      <c r="K28" s="140">
        <f>B28+$K$19+'[1]Kennedy Gas Daily Pricing'!B9</f>
        <v>1.31</v>
      </c>
      <c r="L28" s="143">
        <f>O28*'[1]Internal Kennedy Total'!X20</f>
        <v>14044.139325581395</v>
      </c>
      <c r="M28" s="144">
        <f>'[2]Enron Detail'!$G16</f>
        <v>-2197</v>
      </c>
      <c r="N28" s="145">
        <f t="shared" si="8"/>
        <v>32754</v>
      </c>
      <c r="O28" s="146">
        <f>'[1]Internal Kennedy Total'!N20</f>
        <v>30557</v>
      </c>
      <c r="P28" s="135">
        <f t="shared" si="2"/>
        <v>4064.9053283720928</v>
      </c>
      <c r="Q28" s="135">
        <f t="shared" si="3"/>
        <v>18081.784967441858</v>
      </c>
      <c r="R28" s="135">
        <f t="shared" si="4"/>
        <v>6464.589176046512</v>
      </c>
      <c r="S28" s="135">
        <f t="shared" si="5"/>
        <v>1868.8828197558141</v>
      </c>
      <c r="T28" s="136">
        <f t="shared" si="9"/>
        <v>18397.822516511627</v>
      </c>
      <c r="U28" s="147">
        <f t="shared" si="6"/>
        <v>48877.984808127905</v>
      </c>
    </row>
    <row r="29" spans="1:23" x14ac:dyDescent="0.2">
      <c r="A29" s="124">
        <f t="shared" si="10"/>
        <v>37199</v>
      </c>
      <c r="B29" s="125">
        <f>+'[1]Index Pricing'!B10</f>
        <v>2.0150000000000001</v>
      </c>
      <c r="C29" s="138">
        <f t="shared" si="0"/>
        <v>1.36</v>
      </c>
      <c r="D29" s="139">
        <f>O29*'[1]Internal Kennedy Total'!T21</f>
        <v>2969.8892936556749</v>
      </c>
      <c r="E29" s="140">
        <f>+'[1]Index Pricing'!$B$4+'[1]S Kitty Detail'!$K$17</f>
        <v>2.1204000000000001</v>
      </c>
      <c r="F29" s="141">
        <f>O29*'[1]Internal Kennedy Total'!U21</f>
        <v>8473.293277191653</v>
      </c>
      <c r="G29" s="140">
        <f t="shared" si="1"/>
        <v>1.885</v>
      </c>
      <c r="H29" s="142">
        <f>O29*'[1]Internal Kennedy Total'!V21</f>
        <v>3407.6761129772435</v>
      </c>
      <c r="I29" s="140">
        <f t="shared" si="7"/>
        <v>1.1927000000000001</v>
      </c>
      <c r="J29" s="143">
        <f>O29*'[1]Internal Kennedy Total'!W21</f>
        <v>1556.9676396839666</v>
      </c>
      <c r="K29" s="140">
        <f>B29+$K$19+'[1]Kennedy Gas Daily Pricing'!B10</f>
        <v>1.31</v>
      </c>
      <c r="L29" s="143">
        <f>O29*'[1]Internal Kennedy Total'!X21</f>
        <v>13442.17367649146</v>
      </c>
      <c r="M29" s="144">
        <f>'[2]Enron Detail'!$G17</f>
        <v>-542</v>
      </c>
      <c r="N29" s="145">
        <f t="shared" si="8"/>
        <v>30392</v>
      </c>
      <c r="O29" s="146">
        <f>'[1]Internal Kennedy Total'!N21</f>
        <v>29850</v>
      </c>
      <c r="P29" s="135">
        <f t="shared" si="2"/>
        <v>4039.0494393717181</v>
      </c>
      <c r="Q29" s="135">
        <f t="shared" si="3"/>
        <v>17966.771064957182</v>
      </c>
      <c r="R29" s="135">
        <f t="shared" si="4"/>
        <v>6423.4694729621042</v>
      </c>
      <c r="S29" s="135">
        <f t="shared" si="5"/>
        <v>1856.9953038510671</v>
      </c>
      <c r="T29" s="136">
        <f t="shared" si="9"/>
        <v>17609.247516203814</v>
      </c>
      <c r="U29" s="147">
        <f t="shared" si="6"/>
        <v>47895.532797345884</v>
      </c>
    </row>
    <row r="30" spans="1:23" x14ac:dyDescent="0.2">
      <c r="A30" s="124">
        <f t="shared" si="10"/>
        <v>37200</v>
      </c>
      <c r="B30" s="125">
        <f>+'[1]Index Pricing'!B11</f>
        <v>2.0150000000000001</v>
      </c>
      <c r="C30" s="138">
        <f t="shared" si="0"/>
        <v>1.36</v>
      </c>
      <c r="D30" s="139">
        <f>O30*'[1]Internal Kennedy Total'!T22</f>
        <v>3000.9045951246849</v>
      </c>
      <c r="E30" s="140">
        <f>+'[1]Index Pricing'!$B$4+'[1]S Kitty Detail'!$K$17</f>
        <v>2.1204000000000001</v>
      </c>
      <c r="F30" s="141">
        <f>O30*'[1]Internal Kennedy Total'!U22</f>
        <v>8561.7820117680021</v>
      </c>
      <c r="G30" s="140">
        <f t="shared" si="1"/>
        <v>1.885</v>
      </c>
      <c r="H30" s="142">
        <f>O30*'[1]Internal Kennedy Total'!V22</f>
        <v>3443.2633323993646</v>
      </c>
      <c r="I30" s="140">
        <f t="shared" si="7"/>
        <v>1.1927000000000001</v>
      </c>
      <c r="J30" s="143">
        <f>O30*'[1]Internal Kennedy Total'!W22</f>
        <v>1573.2274446623705</v>
      </c>
      <c r="K30" s="140">
        <f>B30+$K$19+'[1]Kennedy Gas Daily Pricing'!B11</f>
        <v>1.31</v>
      </c>
      <c r="L30" s="143">
        <f>O30*'[1]Internal Kennedy Total'!X22</f>
        <v>13977.822616045578</v>
      </c>
      <c r="M30" s="144">
        <f>'[2]Enron Detail'!$G18</f>
        <v>-2212</v>
      </c>
      <c r="N30" s="145">
        <f t="shared" si="8"/>
        <v>32769</v>
      </c>
      <c r="O30" s="146">
        <f>'[1]Internal Kennedy Total'!N22</f>
        <v>30557</v>
      </c>
      <c r="P30" s="135">
        <f t="shared" si="2"/>
        <v>4081.2302493695715</v>
      </c>
      <c r="Q30" s="135">
        <f t="shared" si="3"/>
        <v>18154.402577752873</v>
      </c>
      <c r="R30" s="135">
        <f t="shared" si="4"/>
        <v>6490.5513815728018</v>
      </c>
      <c r="S30" s="135">
        <f t="shared" si="5"/>
        <v>1876.3883732488096</v>
      </c>
      <c r="T30" s="136">
        <f t="shared" si="9"/>
        <v>18310.947627019708</v>
      </c>
      <c r="U30" s="147">
        <f t="shared" si="6"/>
        <v>48913.520208963761</v>
      </c>
    </row>
    <row r="31" spans="1:23" x14ac:dyDescent="0.2">
      <c r="A31" s="124">
        <f t="shared" si="10"/>
        <v>37201</v>
      </c>
      <c r="B31" s="125">
        <f>+'[1]Index Pricing'!B12</f>
        <v>2.16</v>
      </c>
      <c r="C31" s="138">
        <f t="shared" si="0"/>
        <v>1.5050000000000001</v>
      </c>
      <c r="D31" s="139">
        <f>O31*'[1]Internal Kennedy Total'!T23</f>
        <v>2950.184349063315</v>
      </c>
      <c r="E31" s="140">
        <f>+'[1]Index Pricing'!$B$4+'[1]S Kitty Detail'!$K$17</f>
        <v>2.1204000000000001</v>
      </c>
      <c r="F31" s="141">
        <f>O31*'[1]Internal Kennedy Total'!U23</f>
        <v>8417.0737491107411</v>
      </c>
      <c r="G31" s="140">
        <f t="shared" si="1"/>
        <v>1.885</v>
      </c>
      <c r="H31" s="142">
        <f>O31*'[1]Internal Kennedy Total'!V23</f>
        <v>3385.0664927673702</v>
      </c>
      <c r="I31" s="140">
        <f t="shared" si="7"/>
        <v>1.3377000000000001</v>
      </c>
      <c r="J31" s="143">
        <f>O31*'[1]Internal Kennedy Total'!W23</f>
        <v>1546.637301399099</v>
      </c>
      <c r="K31" s="140">
        <f>B31+$K$19+'[1]Kennedy Gas Daily Pricing'!B12</f>
        <v>1.4550000000000001</v>
      </c>
      <c r="L31" s="143">
        <f>O31*'[1]Internal Kennedy Total'!X23</f>
        <v>13280.038107659473</v>
      </c>
      <c r="M31" s="144">
        <f>'[2]Enron Detail'!$G19</f>
        <v>-2110</v>
      </c>
      <c r="N31" s="145">
        <f t="shared" si="8"/>
        <v>31689</v>
      </c>
      <c r="O31" s="146">
        <f>'[1]Internal Kennedy Total'!N23</f>
        <v>29579</v>
      </c>
      <c r="P31" s="135">
        <f t="shared" si="2"/>
        <v>4440.0274453402899</v>
      </c>
      <c r="Q31" s="135">
        <f t="shared" si="3"/>
        <v>17847.563177614415</v>
      </c>
      <c r="R31" s="135">
        <f t="shared" si="4"/>
        <v>6380.8503388664931</v>
      </c>
      <c r="S31" s="135">
        <f t="shared" si="5"/>
        <v>2068.9367180815748</v>
      </c>
      <c r="T31" s="136">
        <f t="shared" si="9"/>
        <v>19322.455446644533</v>
      </c>
      <c r="U31" s="147">
        <f t="shared" si="6"/>
        <v>50059.83312654731</v>
      </c>
    </row>
    <row r="32" spans="1:23" x14ac:dyDescent="0.2">
      <c r="A32" s="124">
        <f t="shared" si="10"/>
        <v>37202</v>
      </c>
      <c r="B32" s="148">
        <f>+'[1]Index Pricing'!B13</f>
        <v>2.1349999999999998</v>
      </c>
      <c r="C32" s="138">
        <f t="shared" si="0"/>
        <v>1.4799999999999998</v>
      </c>
      <c r="D32" s="139">
        <f>O32*'[1]Internal Kennedy Total'!T24</f>
        <v>2994.1133156350425</v>
      </c>
      <c r="E32" s="140">
        <f>+'[1]Index Pricing'!$B$4+'[1]S Kitty Detail'!$K$17</f>
        <v>2.1204000000000001</v>
      </c>
      <c r="F32" s="141">
        <f>O32*'[1]Internal Kennedy Total'!U24</f>
        <v>8542.4060360486237</v>
      </c>
      <c r="G32" s="140">
        <f t="shared" si="1"/>
        <v>1.885</v>
      </c>
      <c r="H32" s="142">
        <f>O32*'[1]Internal Kennedy Total'!V24</f>
        <v>3435.4709608308881</v>
      </c>
      <c r="I32" s="140">
        <f t="shared" si="7"/>
        <v>1.3126999999999998</v>
      </c>
      <c r="J32" s="143">
        <f>O32*'[1]Internal Kennedy Total'!W24</f>
        <v>1569.6671091239346</v>
      </c>
      <c r="K32" s="140">
        <f>B32+$K$19+'[1]Kennedy Gas Daily Pricing'!B13</f>
        <v>1.4299999999999997</v>
      </c>
      <c r="L32" s="143">
        <f>O32*'[1]Internal Kennedy Total'!X24</f>
        <v>14027.342578361511</v>
      </c>
      <c r="M32" s="144">
        <f>'[2]Enron Detail'!$G20</f>
        <v>-2146</v>
      </c>
      <c r="N32" s="145">
        <f t="shared" si="8"/>
        <v>32715</v>
      </c>
      <c r="O32" s="146">
        <f>'[1]Internal Kennedy Total'!N24</f>
        <v>30569</v>
      </c>
      <c r="P32" s="135">
        <f t="shared" si="2"/>
        <v>4431.2877071398625</v>
      </c>
      <c r="Q32" s="135">
        <f t="shared" si="3"/>
        <v>18113.317758837504</v>
      </c>
      <c r="R32" s="135">
        <f t="shared" si="4"/>
        <v>6475.8627611662241</v>
      </c>
      <c r="S32" s="135">
        <f t="shared" si="5"/>
        <v>2060.5020141469886</v>
      </c>
      <c r="T32" s="136">
        <f t="shared" si="9"/>
        <v>20059.099887056957</v>
      </c>
      <c r="U32" s="147">
        <f t="shared" si="6"/>
        <v>51140.070128347536</v>
      </c>
    </row>
    <row r="33" spans="1:21" x14ac:dyDescent="0.2">
      <c r="A33" s="124">
        <f t="shared" si="10"/>
        <v>37203</v>
      </c>
      <c r="B33" s="125">
        <f>+'[1]Index Pricing'!B14</f>
        <v>2.13</v>
      </c>
      <c r="C33" s="138">
        <f t="shared" si="0"/>
        <v>1.4749999999999999</v>
      </c>
      <c r="D33" s="139">
        <f>O33*'[1]Internal Kennedy Total'!T25</f>
        <v>3035.9879641724201</v>
      </c>
      <c r="E33" s="140">
        <f>+'[1]Index Pricing'!$B$4+'[1]S Kitty Detail'!$K$17</f>
        <v>2.1204000000000001</v>
      </c>
      <c r="F33" s="141">
        <f>O33*'[1]Internal Kennedy Total'!U25</f>
        <v>8661.8772158984884</v>
      </c>
      <c r="G33" s="140">
        <f t="shared" si="1"/>
        <v>1.885</v>
      </c>
      <c r="H33" s="142">
        <f>O33*'[1]Internal Kennedy Total'!V25</f>
        <v>3483.5182869938421</v>
      </c>
      <c r="I33" s="140">
        <f t="shared" si="7"/>
        <v>1.3076999999999999</v>
      </c>
      <c r="J33" s="143">
        <f>O33*'[1]Internal Kennedy Total'!W25</f>
        <v>1591.6199384213473</v>
      </c>
      <c r="K33" s="140">
        <f>B33+$K$19+'[1]Kennedy Gas Daily Pricing'!B14</f>
        <v>1.4249999999999998</v>
      </c>
      <c r="L33" s="143">
        <f>O33*'[1]Internal Kennedy Total'!X25</f>
        <v>14172.996594513901</v>
      </c>
      <c r="M33" s="144">
        <f>'[2]Enron Detail'!$G21</f>
        <v>-1970</v>
      </c>
      <c r="N33" s="145">
        <f t="shared" si="8"/>
        <v>32916</v>
      </c>
      <c r="O33" s="146">
        <f>'[1]Internal Kennedy Total'!N25</f>
        <v>30946</v>
      </c>
      <c r="P33" s="135">
        <f t="shared" si="2"/>
        <v>4478.0822471543197</v>
      </c>
      <c r="Q33" s="135">
        <f t="shared" si="3"/>
        <v>18366.644448591156</v>
      </c>
      <c r="R33" s="135">
        <f t="shared" si="4"/>
        <v>6566.4319709833926</v>
      </c>
      <c r="S33" s="135">
        <f t="shared" si="5"/>
        <v>2081.3613934735959</v>
      </c>
      <c r="T33" s="136">
        <f t="shared" si="9"/>
        <v>20196.520147182306</v>
      </c>
      <c r="U33" s="147">
        <f t="shared" si="6"/>
        <v>51689.040207384773</v>
      </c>
    </row>
    <row r="34" spans="1:21" x14ac:dyDescent="0.2">
      <c r="A34" s="124">
        <f t="shared" si="10"/>
        <v>37204</v>
      </c>
      <c r="B34" s="125">
        <f>+'[1]Index Pricing'!B15</f>
        <v>1.9350000000000001</v>
      </c>
      <c r="C34" s="138">
        <f t="shared" si="0"/>
        <v>1.28</v>
      </c>
      <c r="D34" s="139">
        <f>O34*'[1]Internal Kennedy Total'!T26</f>
        <v>2947.5962175166142</v>
      </c>
      <c r="E34" s="140">
        <f>+'[1]Index Pricing'!$B$4+'[1]S Kitty Detail'!$K$17</f>
        <v>2.1204000000000001</v>
      </c>
      <c r="F34" s="141">
        <f>O34*'[1]Internal Kennedy Total'!U26</f>
        <v>8409.6896362813513</v>
      </c>
      <c r="G34" s="140">
        <f t="shared" si="1"/>
        <v>1.885</v>
      </c>
      <c r="H34" s="142">
        <f>O34*'[1]Internal Kennedy Total'!V26</f>
        <v>3382.0968487244836</v>
      </c>
      <c r="I34" s="140">
        <f t="shared" si="7"/>
        <v>1.1127</v>
      </c>
      <c r="J34" s="143">
        <f>O34*'[1]Internal Kennedy Total'!W26</f>
        <v>1545.2804706666984</v>
      </c>
      <c r="K34" s="140">
        <f>B34+$K$19+'[1]Kennedy Gas Daily Pricing'!B15</f>
        <v>1.23</v>
      </c>
      <c r="L34" s="143">
        <f>O34*'[1]Internal Kennedy Total'!X26</f>
        <v>13137.336826810852</v>
      </c>
      <c r="M34" s="144">
        <f>'[2]Enron Detail'!$G22</f>
        <v>-1865</v>
      </c>
      <c r="N34" s="145">
        <f t="shared" si="8"/>
        <v>31287</v>
      </c>
      <c r="O34" s="146">
        <f>'[1]Internal Kennedy Total'!N26</f>
        <v>29422</v>
      </c>
      <c r="P34" s="135">
        <f t="shared" si="2"/>
        <v>3772.9231584212662</v>
      </c>
      <c r="Q34" s="135">
        <f t="shared" si="3"/>
        <v>17831.905904770978</v>
      </c>
      <c r="R34" s="135">
        <f t="shared" si="4"/>
        <v>6375.2525598456514</v>
      </c>
      <c r="S34" s="135">
        <f t="shared" si="5"/>
        <v>1719.4335797108354</v>
      </c>
      <c r="T34" s="136">
        <f t="shared" si="9"/>
        <v>16158.924296977348</v>
      </c>
      <c r="U34" s="147">
        <f t="shared" si="6"/>
        <v>45858.439499726082</v>
      </c>
    </row>
    <row r="35" spans="1:21" x14ac:dyDescent="0.2">
      <c r="A35" s="124">
        <f t="shared" si="10"/>
        <v>37205</v>
      </c>
      <c r="B35" s="125">
        <f>+'[1]Index Pricing'!B16</f>
        <v>1.7</v>
      </c>
      <c r="C35" s="138">
        <f t="shared" si="0"/>
        <v>1.0449999999999999</v>
      </c>
      <c r="D35" s="139">
        <f>O35*'[1]Internal Kennedy Total'!T27</f>
        <v>2835.9645577572442</v>
      </c>
      <c r="E35" s="140">
        <f>+'[1]Index Pricing'!$B$4+'[1]S Kitty Detail'!$K$17</f>
        <v>2.1204000000000001</v>
      </c>
      <c r="F35" s="141">
        <f>O35*'[1]Internal Kennedy Total'!U27</f>
        <v>8091.1970264115389</v>
      </c>
      <c r="G35" s="140">
        <f t="shared" si="1"/>
        <v>1.885</v>
      </c>
      <c r="H35" s="142">
        <f>O35*'[1]Internal Kennedy Total'!V27</f>
        <v>3254.0097374551738</v>
      </c>
      <c r="I35" s="140">
        <f t="shared" si="7"/>
        <v>0.87769999999999992</v>
      </c>
      <c r="J35" s="143">
        <f>O35*'[1]Internal Kennedy Total'!W27</f>
        <v>1486.7574536031202</v>
      </c>
      <c r="K35" s="140">
        <f>B35+$K$19+'[1]Kennedy Gas Daily Pricing'!B16</f>
        <v>0.99499999999999988</v>
      </c>
      <c r="L35" s="143">
        <f>O35*'[1]Internal Kennedy Total'!X27</f>
        <v>10091.071224772923</v>
      </c>
      <c r="M35" s="144">
        <f>'[2]Enron Detail'!$G23</f>
        <v>-1889</v>
      </c>
      <c r="N35" s="145">
        <f t="shared" si="8"/>
        <v>27648</v>
      </c>
      <c r="O35" s="146">
        <f>'[1]Internal Kennedy Total'!N27</f>
        <v>25759</v>
      </c>
      <c r="P35" s="135">
        <f t="shared" si="2"/>
        <v>2963.5829628563201</v>
      </c>
      <c r="Q35" s="135">
        <f t="shared" si="3"/>
        <v>17156.574174803027</v>
      </c>
      <c r="R35" s="135">
        <f t="shared" si="4"/>
        <v>6133.8083551030022</v>
      </c>
      <c r="S35" s="135">
        <f t="shared" si="5"/>
        <v>1304.9270170274585</v>
      </c>
      <c r="T35" s="136">
        <f t="shared" si="9"/>
        <v>10040.615868649056</v>
      </c>
      <c r="U35" s="147">
        <f t="shared" si="6"/>
        <v>37599.508378438863</v>
      </c>
    </row>
    <row r="36" spans="1:21" x14ac:dyDescent="0.2">
      <c r="A36" s="124">
        <f t="shared" si="10"/>
        <v>37206</v>
      </c>
      <c r="B36" s="125">
        <f>+'[1]Index Pricing'!B17</f>
        <v>1.7</v>
      </c>
      <c r="C36" s="138">
        <f t="shared" si="0"/>
        <v>1.0449999999999999</v>
      </c>
      <c r="D36" s="139">
        <f>O36*'[1]Internal Kennedy Total'!T28</f>
        <v>2825.5433373349338</v>
      </c>
      <c r="E36" s="140">
        <f>+'[1]Index Pricing'!$B$4+'[1]S Kitty Detail'!$K$17</f>
        <v>2.1204000000000001</v>
      </c>
      <c r="F36" s="141">
        <f>O36*'[1]Internal Kennedy Total'!U28</f>
        <v>8061.4645858343338</v>
      </c>
      <c r="G36" s="140">
        <f t="shared" si="1"/>
        <v>1.885</v>
      </c>
      <c r="H36" s="142">
        <f>O36*'[1]Internal Kennedy Total'!V28</f>
        <v>3242.0523409363741</v>
      </c>
      <c r="I36" s="140">
        <f t="shared" si="7"/>
        <v>0.87769999999999992</v>
      </c>
      <c r="J36" s="143">
        <f>O36*'[1]Internal Kennedy Total'!W28</f>
        <v>1481.2941176470588</v>
      </c>
      <c r="K36" s="140">
        <f>B36+$K$19+'[1]Kennedy Gas Daily Pricing'!B17</f>
        <v>0.99499999999999988</v>
      </c>
      <c r="L36" s="143">
        <f>O36*'[1]Internal Kennedy Total'!X28</f>
        <v>9571.6456182472994</v>
      </c>
      <c r="M36" s="144">
        <f>'[2]Enron Detail'!$G24</f>
        <v>-1847</v>
      </c>
      <c r="N36" s="145">
        <f t="shared" si="8"/>
        <v>27029</v>
      </c>
      <c r="O36" s="146">
        <f>'[1]Internal Kennedy Total'!N28</f>
        <v>25182</v>
      </c>
      <c r="P36" s="135">
        <f t="shared" si="2"/>
        <v>2952.6927875150054</v>
      </c>
      <c r="Q36" s="135">
        <f t="shared" si="3"/>
        <v>17093.529507803123</v>
      </c>
      <c r="R36" s="135">
        <f t="shared" si="4"/>
        <v>6111.2686626650648</v>
      </c>
      <c r="S36" s="135">
        <f t="shared" si="5"/>
        <v>1300.1318470588235</v>
      </c>
      <c r="T36" s="136">
        <f t="shared" si="9"/>
        <v>9523.7873901560615</v>
      </c>
      <c r="U36" s="147">
        <f t="shared" si="6"/>
        <v>36981.410195198077</v>
      </c>
    </row>
    <row r="37" spans="1:21" x14ac:dyDescent="0.2">
      <c r="A37" s="124">
        <f t="shared" si="10"/>
        <v>37207</v>
      </c>
      <c r="B37" s="125">
        <f>+'[1]Index Pricing'!B18</f>
        <v>1.7</v>
      </c>
      <c r="C37" s="138">
        <f t="shared" si="0"/>
        <v>1.0449999999999999</v>
      </c>
      <c r="D37" s="139">
        <f>O37*'[1]Internal Kennedy Total'!T29</f>
        <v>2863.0066092105963</v>
      </c>
      <c r="E37" s="140">
        <f>+'[1]Index Pricing'!$B$4+'[1]S Kitty Detail'!$K$17</f>
        <v>2.1204000000000001</v>
      </c>
      <c r="F37" s="141">
        <f>O37*'[1]Internal Kennedy Total'!U29</f>
        <v>8168.3498122984192</v>
      </c>
      <c r="G37" s="140">
        <f t="shared" si="1"/>
        <v>1.885</v>
      </c>
      <c r="H37" s="142">
        <f>O37*'[1]Internal Kennedy Total'!V29</f>
        <v>3285.0380161793473</v>
      </c>
      <c r="I37" s="140">
        <f t="shared" si="7"/>
        <v>0.87769999999999992</v>
      </c>
      <c r="J37" s="143">
        <f>O37*'[1]Internal Kennedy Total'!W29</f>
        <v>1500.9342780098345</v>
      </c>
      <c r="K37" s="140">
        <f>B37+$K$19+'[1]Kennedy Gas Daily Pricing'!B18</f>
        <v>0.99499999999999988</v>
      </c>
      <c r="L37" s="143">
        <f>O37*'[1]Internal Kennedy Total'!X29</f>
        <v>9930.6712843018031</v>
      </c>
      <c r="M37" s="144">
        <f>'[2]Enron Detail'!$G25</f>
        <v>-1963</v>
      </c>
      <c r="N37" s="145">
        <f t="shared" si="8"/>
        <v>27711</v>
      </c>
      <c r="O37" s="146">
        <f>'[1]Internal Kennedy Total'!N29</f>
        <v>25748</v>
      </c>
      <c r="P37" s="135">
        <f t="shared" si="2"/>
        <v>2991.8419066250731</v>
      </c>
      <c r="Q37" s="135">
        <f t="shared" si="3"/>
        <v>17320.16894199757</v>
      </c>
      <c r="R37" s="135">
        <f t="shared" si="4"/>
        <v>6192.2966604980693</v>
      </c>
      <c r="S37" s="135">
        <f t="shared" si="5"/>
        <v>1317.3700158092317</v>
      </c>
      <c r="T37" s="136">
        <f t="shared" si="9"/>
        <v>9881.0179278802934</v>
      </c>
      <c r="U37" s="147">
        <f t="shared" si="6"/>
        <v>37702.695452810236</v>
      </c>
    </row>
    <row r="38" spans="1:21" x14ac:dyDescent="0.2">
      <c r="A38" s="124">
        <f t="shared" si="10"/>
        <v>37208</v>
      </c>
      <c r="B38" s="125">
        <f>+'[1]Index Pricing'!B19</f>
        <v>1.52</v>
      </c>
      <c r="C38" s="138">
        <f t="shared" si="0"/>
        <v>0.86499999999999999</v>
      </c>
      <c r="D38" s="139">
        <f>O38*'[1]Internal Kennedy Total'!T30</f>
        <v>2764.4644931609519</v>
      </c>
      <c r="E38" s="140">
        <f>+'[1]Index Pricing'!$B$4+'[1]S Kitty Detail'!$K$17</f>
        <v>2.1204000000000001</v>
      </c>
      <c r="F38" s="141">
        <f>O38*'[1]Internal Kennedy Total'!U30</f>
        <v>7887.2025482480785</v>
      </c>
      <c r="G38" s="140">
        <f t="shared" si="1"/>
        <v>1.885</v>
      </c>
      <c r="H38" s="142">
        <f>O38*'[1]Internal Kennedy Total'!V30</f>
        <v>3171.9699581537693</v>
      </c>
      <c r="I38" s="140">
        <f t="shared" si="7"/>
        <v>0.69769999999999999</v>
      </c>
      <c r="J38" s="143">
        <f>O38*'[1]Internal Kennedy Total'!W30</f>
        <v>1449.2734682405846</v>
      </c>
      <c r="K38" s="140">
        <f>B38+$K$19+'[1]Kennedy Gas Daily Pricing'!B19</f>
        <v>0.81499999999999995</v>
      </c>
      <c r="L38" s="143">
        <f>O38*'[1]Internal Kennedy Total'!X30</f>
        <v>5774.0895321966145</v>
      </c>
      <c r="M38" s="144">
        <f>'[2]Enron Detail'!$G26</f>
        <v>-1690</v>
      </c>
      <c r="N38" s="145">
        <f t="shared" si="8"/>
        <v>22737</v>
      </c>
      <c r="O38" s="146">
        <f>'[1]Internal Kennedy Total'!N30</f>
        <v>21047</v>
      </c>
      <c r="P38" s="135">
        <f t="shared" si="2"/>
        <v>2391.2617865842235</v>
      </c>
      <c r="Q38" s="135">
        <f t="shared" si="3"/>
        <v>16724.024283305225</v>
      </c>
      <c r="R38" s="135">
        <f t="shared" si="4"/>
        <v>5979.1633711198556</v>
      </c>
      <c r="S38" s="135">
        <f t="shared" si="5"/>
        <v>1011.1580987914559</v>
      </c>
      <c r="T38" s="136">
        <f t="shared" si="9"/>
        <v>4705.8829687402404</v>
      </c>
      <c r="U38" s="147">
        <f t="shared" si="6"/>
        <v>30811.490508540999</v>
      </c>
    </row>
    <row r="39" spans="1:21" x14ac:dyDescent="0.2">
      <c r="A39" s="124">
        <f t="shared" si="10"/>
        <v>37209</v>
      </c>
      <c r="B39" s="125">
        <f>+'[1]Index Pricing'!B20</f>
        <v>1.595</v>
      </c>
      <c r="C39" s="138">
        <f t="shared" si="0"/>
        <v>0.94</v>
      </c>
      <c r="D39" s="139">
        <f>O39*'[1]Internal Kennedy Total'!T31</f>
        <v>2809.4181664315938</v>
      </c>
      <c r="E39" s="140">
        <f>+'[1]Index Pricing'!$B$4+'[1]S Kitty Detail'!$K$17</f>
        <v>2.1204000000000001</v>
      </c>
      <c r="F39" s="141">
        <f>O39*'[1]Internal Kennedy Total'!U31</f>
        <v>8015.458392101551</v>
      </c>
      <c r="G39" s="140">
        <f t="shared" si="1"/>
        <v>1.885</v>
      </c>
      <c r="H39" s="142">
        <f>O39*'[1]Internal Kennedy Total'!V31</f>
        <v>3223.5501833568405</v>
      </c>
      <c r="I39" s="140">
        <f t="shared" si="7"/>
        <v>0.77269999999999994</v>
      </c>
      <c r="J39" s="143">
        <f>O39*'[1]Internal Kennedy Total'!W31</f>
        <v>1472.8404795486601</v>
      </c>
      <c r="K39" s="140">
        <f>B39+$K$19+'[1]Kennedy Gas Daily Pricing'!B20</f>
        <v>0.8899999999999999</v>
      </c>
      <c r="L39" s="143">
        <f>O39*'[1]Internal Kennedy Total'!X31</f>
        <v>8157.7327785613534</v>
      </c>
      <c r="M39" s="144">
        <f>'[2]Enron Detail'!$G27</f>
        <v>-2624</v>
      </c>
      <c r="N39" s="145">
        <f t="shared" si="8"/>
        <v>26303</v>
      </c>
      <c r="O39" s="146">
        <f>'[1]Internal Kennedy Total'!N31</f>
        <v>23679</v>
      </c>
      <c r="P39" s="135">
        <f t="shared" si="2"/>
        <v>2640.8530764456982</v>
      </c>
      <c r="Q39" s="135">
        <f t="shared" si="3"/>
        <v>16995.977974612128</v>
      </c>
      <c r="R39" s="135">
        <f t="shared" si="4"/>
        <v>6076.3920956276443</v>
      </c>
      <c r="S39" s="135">
        <f t="shared" si="5"/>
        <v>1138.0638385472496</v>
      </c>
      <c r="T39" s="136">
        <f t="shared" si="9"/>
        <v>7260.3821729196034</v>
      </c>
      <c r="U39" s="147">
        <f t="shared" si="6"/>
        <v>34111.669158152326</v>
      </c>
    </row>
    <row r="40" spans="1:21" x14ac:dyDescent="0.2">
      <c r="A40" s="124">
        <f t="shared" si="10"/>
        <v>37210</v>
      </c>
      <c r="B40" s="125">
        <f>+'[1]Index Pricing'!B21</f>
        <v>1.84</v>
      </c>
      <c r="C40" s="138">
        <f t="shared" si="0"/>
        <v>1.1850000000000001</v>
      </c>
      <c r="D40" s="139">
        <f>O40*'[1]Internal Kennedy Total'!T32</f>
        <v>2879.3272061770285</v>
      </c>
      <c r="E40" s="140">
        <f>+'[1]Index Pricing'!$B$4+'[1]S Kitty Detail'!$K$17</f>
        <v>2.1204000000000001</v>
      </c>
      <c r="F40" s="141">
        <f>O40*'[1]Internal Kennedy Total'!U32</f>
        <v>8214.9135696919493</v>
      </c>
      <c r="G40" s="140">
        <f t="shared" si="1"/>
        <v>1.885</v>
      </c>
      <c r="H40" s="142">
        <f>O40*'[1]Internal Kennedy Total'!V32</f>
        <v>3303.7644072777789</v>
      </c>
      <c r="I40" s="140">
        <f t="shared" si="7"/>
        <v>1.0177</v>
      </c>
      <c r="J40" s="143">
        <f>O40*'[1]Internal Kennedy Total'!W32</f>
        <v>1509.4903684308958</v>
      </c>
      <c r="K40" s="140">
        <f>B40+$K$19+'[1]Kennedy Gas Daily Pricing'!B21</f>
        <v>1.135</v>
      </c>
      <c r="L40" s="143">
        <f>O40*'[1]Internal Kennedy Total'!X32</f>
        <v>9715.5044484223472</v>
      </c>
      <c r="M40" s="144">
        <f>'[2]Enron Detail'!$G28</f>
        <v>-2434</v>
      </c>
      <c r="N40" s="145">
        <f t="shared" si="8"/>
        <v>28057</v>
      </c>
      <c r="O40" s="146">
        <f>'[1]Internal Kennedy Total'!N32</f>
        <v>25623</v>
      </c>
      <c r="P40" s="135">
        <f t="shared" si="2"/>
        <v>3412.0027393197788</v>
      </c>
      <c r="Q40" s="135">
        <f t="shared" si="3"/>
        <v>17418.902733174811</v>
      </c>
      <c r="R40" s="135">
        <f t="shared" si="4"/>
        <v>6227.5959077186135</v>
      </c>
      <c r="S40" s="135">
        <f t="shared" si="5"/>
        <v>1536.2083479521227</v>
      </c>
      <c r="T40" s="136">
        <f t="shared" si="9"/>
        <v>11027.097548959364</v>
      </c>
      <c r="U40" s="147">
        <f t="shared" si="6"/>
        <v>39621.807277124688</v>
      </c>
    </row>
    <row r="41" spans="1:21" x14ac:dyDescent="0.2">
      <c r="A41" s="124">
        <f t="shared" si="10"/>
        <v>37211</v>
      </c>
      <c r="B41" s="125">
        <f>+'[1]Index Pricing'!B22</f>
        <v>1.4350000000000001</v>
      </c>
      <c r="C41" s="138">
        <f t="shared" si="0"/>
        <v>0.78</v>
      </c>
      <c r="D41" s="139">
        <f>O41*'[1]Internal Kennedy Total'!T33</f>
        <v>2867.909785202864</v>
      </c>
      <c r="E41" s="140">
        <f>+'[1]Index Pricing'!$B$4+'[1]S Kitty Detail'!$K$17</f>
        <v>2.1204000000000001</v>
      </c>
      <c r="F41" s="141">
        <f>O41*'[1]Internal Kennedy Total'!U33</f>
        <v>8182.3389021479716</v>
      </c>
      <c r="G41" s="140">
        <f t="shared" si="1"/>
        <v>1.885</v>
      </c>
      <c r="H41" s="142">
        <f>O41*'[1]Internal Kennedy Total'!V33</f>
        <v>3290.6639618138424</v>
      </c>
      <c r="I41" s="140">
        <f t="shared" si="7"/>
        <v>0.61270000000000002</v>
      </c>
      <c r="J41" s="143">
        <f>O41*'[1]Internal Kennedy Total'!W33</f>
        <v>1503.5047732696896</v>
      </c>
      <c r="K41" s="140">
        <f>B41+$K$19+'[1]Kennedy Gas Daily Pricing'!B22</f>
        <v>0.73</v>
      </c>
      <c r="L41" s="143">
        <f>O41*'[1]Internal Kennedy Total'!X33</f>
        <v>9868.5825775656322</v>
      </c>
      <c r="M41" s="144">
        <f>'[2]Enron Detail'!$G29</f>
        <v>-1902</v>
      </c>
      <c r="N41" s="145">
        <f t="shared" si="8"/>
        <v>27615</v>
      </c>
      <c r="O41" s="146">
        <f>'[1]Internal Kennedy Total'!N33</f>
        <v>25713</v>
      </c>
      <c r="P41" s="135">
        <f t="shared" si="2"/>
        <v>2236.9696324582342</v>
      </c>
      <c r="Q41" s="135">
        <f t="shared" si="3"/>
        <v>17349.831408114558</v>
      </c>
      <c r="R41" s="135">
        <f t="shared" si="4"/>
        <v>6202.9015680190932</v>
      </c>
      <c r="S41" s="135">
        <f t="shared" si="5"/>
        <v>921.19737458233885</v>
      </c>
      <c r="T41" s="136">
        <f t="shared" si="9"/>
        <v>7204.0652816229112</v>
      </c>
      <c r="U41" s="147">
        <f t="shared" si="6"/>
        <v>33914.965264797131</v>
      </c>
    </row>
    <row r="42" spans="1:21" x14ac:dyDescent="0.2">
      <c r="A42" s="124">
        <f t="shared" si="10"/>
        <v>37212</v>
      </c>
      <c r="B42" s="125">
        <f>+'[1]Index Pricing'!B23</f>
        <v>1.135</v>
      </c>
      <c r="C42" s="138">
        <f t="shared" si="0"/>
        <v>0.48</v>
      </c>
      <c r="D42" s="139">
        <f>O42*'[1]Internal Kennedy Total'!T34</f>
        <v>2817.7450980392155</v>
      </c>
      <c r="E42" s="140">
        <f>+'[1]Index Pricing'!$B$4+'[1]S Kitty Detail'!$K$17</f>
        <v>2.1204000000000001</v>
      </c>
      <c r="F42" s="141">
        <f>O42*'[1]Internal Kennedy Total'!U34</f>
        <v>8039.2156862745096</v>
      </c>
      <c r="G42" s="140">
        <f t="shared" si="1"/>
        <v>1.885</v>
      </c>
      <c r="H42" s="142">
        <f>O42*'[1]Internal Kennedy Total'!V34</f>
        <v>3233.1045751633983</v>
      </c>
      <c r="I42" s="140">
        <f t="shared" si="7"/>
        <v>0.31269999999999998</v>
      </c>
      <c r="J42" s="143">
        <f>O42*'[1]Internal Kennedy Total'!W34</f>
        <v>1477.2058823529412</v>
      </c>
      <c r="K42" s="140">
        <f>B42+$K$19+'[1]Kennedy Gas Daily Pricing'!B23</f>
        <v>0.43</v>
      </c>
      <c r="L42" s="143">
        <f>O42*'[1]Internal Kennedy Total'!X34</f>
        <v>9032.7287581699347</v>
      </c>
      <c r="M42" s="144">
        <f>'[2]Enron Detail'!$G30</f>
        <v>-1798</v>
      </c>
      <c r="N42" s="145">
        <f t="shared" si="8"/>
        <v>26398</v>
      </c>
      <c r="O42" s="146">
        <f>'[1]Internal Kennedy Total'!N34</f>
        <v>24600</v>
      </c>
      <c r="P42" s="135">
        <f t="shared" si="2"/>
        <v>1352.5176470588233</v>
      </c>
      <c r="Q42" s="135">
        <f t="shared" si="3"/>
        <v>17046.352941176472</v>
      </c>
      <c r="R42" s="135">
        <f t="shared" si="4"/>
        <v>6094.402124183006</v>
      </c>
      <c r="S42" s="135">
        <f t="shared" si="5"/>
        <v>461.92227941176469</v>
      </c>
      <c r="T42" s="136">
        <f t="shared" si="9"/>
        <v>3884.0733660130718</v>
      </c>
      <c r="U42" s="147">
        <f t="shared" si="6"/>
        <v>28839.268357843135</v>
      </c>
    </row>
    <row r="43" spans="1:21" x14ac:dyDescent="0.2">
      <c r="A43" s="124">
        <f t="shared" si="10"/>
        <v>37213</v>
      </c>
      <c r="B43" s="125">
        <f>+'[1]Index Pricing'!B24</f>
        <v>1.135</v>
      </c>
      <c r="C43" s="138">
        <f t="shared" si="0"/>
        <v>0.48</v>
      </c>
      <c r="D43" s="139">
        <f>O43*'[1]Internal Kennedy Total'!T35</f>
        <v>2750.0200421940926</v>
      </c>
      <c r="E43" s="140">
        <f>+'[1]Index Pricing'!$B$4+'[1]S Kitty Detail'!$K$17</f>
        <v>2.1204000000000001</v>
      </c>
      <c r="F43" s="141">
        <f>O43*'[1]Internal Kennedy Total'!U35</f>
        <v>7845.9915611814349</v>
      </c>
      <c r="G43" s="140">
        <f t="shared" si="1"/>
        <v>1.885</v>
      </c>
      <c r="H43" s="142">
        <f>O43*'[1]Internal Kennedy Total'!V35</f>
        <v>3155.3962728551337</v>
      </c>
      <c r="I43" s="140">
        <f t="shared" si="7"/>
        <v>0.31269999999999998</v>
      </c>
      <c r="J43" s="143">
        <f>O43*'[1]Internal Kennedy Total'!W35</f>
        <v>1441.7009493670887</v>
      </c>
      <c r="K43" s="140">
        <f>B43+$K$19+'[1]Kennedy Gas Daily Pricing'!B24</f>
        <v>0.43</v>
      </c>
      <c r="L43" s="143">
        <f>O43*'[1]Internal Kennedy Total'!X35</f>
        <v>7120.8911744022498</v>
      </c>
      <c r="M43" s="144">
        <f>'[2]Enron Detail'!$G31</f>
        <v>-1478</v>
      </c>
      <c r="N43" s="145">
        <f t="shared" si="8"/>
        <v>23792</v>
      </c>
      <c r="O43" s="146">
        <f>'[1]Internal Kennedy Total'!N35</f>
        <v>22314</v>
      </c>
      <c r="P43" s="135">
        <f t="shared" si="2"/>
        <v>1320.0096202531645</v>
      </c>
      <c r="Q43" s="135">
        <f t="shared" si="3"/>
        <v>16636.640506329117</v>
      </c>
      <c r="R43" s="135">
        <f t="shared" si="4"/>
        <v>5947.9219743319272</v>
      </c>
      <c r="S43" s="135">
        <f t="shared" si="5"/>
        <v>450.8198868670886</v>
      </c>
      <c r="T43" s="136">
        <f t="shared" si="9"/>
        <v>3061.9832049929673</v>
      </c>
      <c r="U43" s="147">
        <f t="shared" si="6"/>
        <v>27417.375192774263</v>
      </c>
    </row>
    <row r="44" spans="1:21" x14ac:dyDescent="0.2">
      <c r="A44" s="124">
        <f t="shared" si="10"/>
        <v>37214</v>
      </c>
      <c r="B44" s="125">
        <f>+'[1]Index Pricing'!B25</f>
        <v>1.135</v>
      </c>
      <c r="C44" s="138">
        <f t="shared" si="0"/>
        <v>0.48</v>
      </c>
      <c r="D44" s="139">
        <f>O44*'[1]Internal Kennedy Total'!T36</f>
        <v>2893.3440620038214</v>
      </c>
      <c r="E44" s="140">
        <f>+'[1]Index Pricing'!$B$4+'[1]S Kitty Detail'!$K$17</f>
        <v>2.1204000000000001</v>
      </c>
      <c r="F44" s="141">
        <f>O44*'[1]Internal Kennedy Total'!U36</f>
        <v>8254.9045991549829</v>
      </c>
      <c r="G44" s="140">
        <f t="shared" si="1"/>
        <v>1.885</v>
      </c>
      <c r="H44" s="142">
        <f>O44*'[1]Internal Kennedy Total'!V36</f>
        <v>3319.847466293495</v>
      </c>
      <c r="I44" s="140">
        <f t="shared" si="7"/>
        <v>0.31269999999999998</v>
      </c>
      <c r="J44" s="143">
        <f>O44*'[1]Internal Kennedy Total'!W36</f>
        <v>1516.8387200947282</v>
      </c>
      <c r="K44" s="140">
        <f>B44+$K$19+'[1]Kennedy Gas Daily Pricing'!B25</f>
        <v>0.43</v>
      </c>
      <c r="L44" s="143">
        <f>O44*'[1]Internal Kennedy Total'!X36</f>
        <v>9577.0651524529731</v>
      </c>
      <c r="M44" s="144">
        <f>'[2]Enron Detail'!$G32</f>
        <v>-1959</v>
      </c>
      <c r="N44" s="145">
        <f t="shared" si="8"/>
        <v>27521</v>
      </c>
      <c r="O44" s="146">
        <f>'[1]Internal Kennedy Total'!N36</f>
        <v>25562</v>
      </c>
      <c r="P44" s="135">
        <f t="shared" si="2"/>
        <v>1388.8051497618342</v>
      </c>
      <c r="Q44" s="135">
        <f t="shared" si="3"/>
        <v>17503.699712048227</v>
      </c>
      <c r="R44" s="135">
        <f t="shared" si="4"/>
        <v>6257.912473963238</v>
      </c>
      <c r="S44" s="135">
        <f t="shared" si="5"/>
        <v>474.31546777362144</v>
      </c>
      <c r="T44" s="136">
        <f t="shared" si="9"/>
        <v>4118.1380155547786</v>
      </c>
      <c r="U44" s="147">
        <f t="shared" si="6"/>
        <v>29742.870819101696</v>
      </c>
    </row>
    <row r="45" spans="1:21" x14ac:dyDescent="0.2">
      <c r="A45" s="124">
        <f t="shared" si="10"/>
        <v>37215</v>
      </c>
      <c r="B45" s="125">
        <f>+'[1]Index Pricing'!B26</f>
        <v>1.5349999999999999</v>
      </c>
      <c r="C45" s="138">
        <f t="shared" si="0"/>
        <v>0.87999999999999989</v>
      </c>
      <c r="D45" s="139">
        <f>O45*'[1]Internal Kennedy Total'!T37</f>
        <v>2963.7410341638965</v>
      </c>
      <c r="E45" s="140">
        <f>+'[1]Index Pricing'!$B$4+'[1]S Kitty Detail'!$K$17</f>
        <v>2.1204000000000001</v>
      </c>
      <c r="F45" s="141">
        <f>O45*'[1]Internal Kennedy Total'!U37</f>
        <v>8455.7518806387925</v>
      </c>
      <c r="G45" s="140">
        <f t="shared" si="1"/>
        <v>1.885</v>
      </c>
      <c r="H45" s="142">
        <f>O45*'[1]Internal Kennedy Total'!V37</f>
        <v>3400.621547996901</v>
      </c>
      <c r="I45" s="140">
        <f t="shared" si="7"/>
        <v>0.71269999999999989</v>
      </c>
      <c r="J45" s="143">
        <f>O45*'[1]Internal Kennedy Total'!W37</f>
        <v>1553.7444080673781</v>
      </c>
      <c r="K45" s="140">
        <f>B45+$K$19+'[1]Kennedy Gas Daily Pricing'!B26</f>
        <v>0.82999999999999985</v>
      </c>
      <c r="L45" s="143">
        <f>O45*'[1]Internal Kennedy Total'!X37</f>
        <v>11821.141129133033</v>
      </c>
      <c r="M45" s="144">
        <f>'[2]Enron Detail'!$G33</f>
        <v>-2230</v>
      </c>
      <c r="N45" s="145">
        <f t="shared" si="8"/>
        <v>30425</v>
      </c>
      <c r="O45" s="146">
        <f>'[1]Internal Kennedy Total'!N37</f>
        <v>28195</v>
      </c>
      <c r="P45" s="135">
        <f t="shared" si="2"/>
        <v>2608.0921100642286</v>
      </c>
      <c r="Q45" s="135">
        <f t="shared" si="3"/>
        <v>17929.576287706495</v>
      </c>
      <c r="R45" s="135">
        <f t="shared" si="4"/>
        <v>6410.1716179741579</v>
      </c>
      <c r="S45" s="135">
        <f t="shared" si="5"/>
        <v>1107.3536396296201</v>
      </c>
      <c r="T45" s="136">
        <f t="shared" si="9"/>
        <v>9811.547137180416</v>
      </c>
      <c r="U45" s="147">
        <f t="shared" si="6"/>
        <v>37866.74079255492</v>
      </c>
    </row>
    <row r="46" spans="1:21" x14ac:dyDescent="0.2">
      <c r="A46" s="124">
        <f t="shared" si="10"/>
        <v>37216</v>
      </c>
      <c r="B46" s="125">
        <f>+'[1]Index Pricing'!B27</f>
        <v>2.2050000000000001</v>
      </c>
      <c r="C46" s="138">
        <f t="shared" si="0"/>
        <v>1.55</v>
      </c>
      <c r="D46" s="139">
        <f>O46*'[1]Internal Kennedy Total'!T38</f>
        <v>2982.5368534225304</v>
      </c>
      <c r="E46" s="140">
        <f>+'[1]Index Pricing'!$B$4+'[1]S Kitty Detail'!$K$17</f>
        <v>2.1204000000000001</v>
      </c>
      <c r="F46" s="141">
        <f>O46*'[1]Internal Kennedy Total'!U38</f>
        <v>8509.3776131883878</v>
      </c>
      <c r="G46" s="140">
        <f t="shared" si="1"/>
        <v>1.885</v>
      </c>
      <c r="H46" s="142">
        <f>O46*'[1]Internal Kennedy Total'!V38</f>
        <v>3422.1880301039305</v>
      </c>
      <c r="I46" s="140">
        <f t="shared" si="7"/>
        <v>1.3827</v>
      </c>
      <c r="J46" s="143">
        <f>O46*'[1]Internal Kennedy Total'!W38</f>
        <v>1563.5981364233664</v>
      </c>
      <c r="K46" s="140">
        <f>B46+$K$19+'[1]Kennedy Gas Daily Pricing'!B27</f>
        <v>1.5</v>
      </c>
      <c r="L46" s="143">
        <f>O46*'[1]Internal Kennedy Total'!X38</f>
        <v>13202.299366861786</v>
      </c>
      <c r="M46" s="144">
        <f>'[2]Enron Detail'!$G34</f>
        <v>-2160</v>
      </c>
      <c r="N46" s="145">
        <f t="shared" si="8"/>
        <v>31840</v>
      </c>
      <c r="O46" s="146">
        <f>'[1]Internal Kennedy Total'!N38</f>
        <v>29680</v>
      </c>
      <c r="P46" s="135">
        <f t="shared" si="2"/>
        <v>4622.9321228049221</v>
      </c>
      <c r="Q46" s="135">
        <f t="shared" si="3"/>
        <v>18043.284291004657</v>
      </c>
      <c r="R46" s="135">
        <f t="shared" si="4"/>
        <v>6450.8244367459092</v>
      </c>
      <c r="S46" s="135">
        <f t="shared" si="5"/>
        <v>2161.987143232589</v>
      </c>
      <c r="T46" s="136">
        <f t="shared" si="9"/>
        <v>19803.449050292678</v>
      </c>
      <c r="U46" s="147">
        <f t="shared" si="6"/>
        <v>51082.477044080755</v>
      </c>
    </row>
    <row r="47" spans="1:21" x14ac:dyDescent="0.2">
      <c r="A47" s="124">
        <f t="shared" si="10"/>
        <v>37217</v>
      </c>
      <c r="B47" s="125">
        <f>+'[1]Index Pricing'!B28</f>
        <v>1.43</v>
      </c>
      <c r="C47" s="138">
        <f t="shared" si="0"/>
        <v>0.77499999999999991</v>
      </c>
      <c r="D47" s="139">
        <f>O47*'[1]Internal Kennedy Total'!T39</f>
        <v>3005.8753950972814</v>
      </c>
      <c r="E47" s="140">
        <f>+'[1]Index Pricing'!$B$4+'[1]S Kitty Detail'!$K$17</f>
        <v>2.1204000000000001</v>
      </c>
      <c r="F47" s="141">
        <f>O47*'[1]Internal Kennedy Total'!U39</f>
        <v>8575.9640373674229</v>
      </c>
      <c r="G47" s="140">
        <f t="shared" si="1"/>
        <v>1.885</v>
      </c>
      <c r="H47" s="142">
        <f>O47*'[1]Internal Kennedy Total'!V39</f>
        <v>3448.9668703612651</v>
      </c>
      <c r="I47" s="140">
        <f t="shared" si="7"/>
        <v>0.60769999999999991</v>
      </c>
      <c r="J47" s="143">
        <f>O47*'[1]Internal Kennedy Total'!W39</f>
        <v>1575.833391866264</v>
      </c>
      <c r="K47" s="140">
        <f>B47+$K$19+'[1]Kennedy Gas Daily Pricing'!B28</f>
        <v>0.72499999999999987</v>
      </c>
      <c r="L47" s="143">
        <f>O47*'[1]Internal Kennedy Total'!X39</f>
        <v>13917.360305307766</v>
      </c>
      <c r="M47" s="144">
        <f>'[2]Enron Detail'!$G35</f>
        <v>-1937</v>
      </c>
      <c r="N47" s="145">
        <f t="shared" si="8"/>
        <v>32461</v>
      </c>
      <c r="O47" s="146">
        <f>'[1]Internal Kennedy Total'!N39</f>
        <v>30524</v>
      </c>
      <c r="P47" s="135">
        <f t="shared" si="2"/>
        <v>2329.5534312003929</v>
      </c>
      <c r="Q47" s="135">
        <f t="shared" si="3"/>
        <v>18184.474144833883</v>
      </c>
      <c r="R47" s="135">
        <f t="shared" si="4"/>
        <v>6501.302550630985</v>
      </c>
      <c r="S47" s="135">
        <f t="shared" si="5"/>
        <v>957.63395223712848</v>
      </c>
      <c r="T47" s="136">
        <f t="shared" si="9"/>
        <v>10090.086221348129</v>
      </c>
      <c r="U47" s="147">
        <f t="shared" si="6"/>
        <v>38063.050300250521</v>
      </c>
    </row>
    <row r="48" spans="1:21" x14ac:dyDescent="0.2">
      <c r="A48" s="124">
        <f t="shared" si="10"/>
        <v>37218</v>
      </c>
      <c r="B48" s="125">
        <f>+'[1]Index Pricing'!B29</f>
        <v>1.43</v>
      </c>
      <c r="C48" s="138">
        <f t="shared" si="0"/>
        <v>0.77499999999999991</v>
      </c>
      <c r="D48" s="139">
        <f>O48*'[1]Internal Kennedy Total'!T40</f>
        <v>3007.3689734798122</v>
      </c>
      <c r="E48" s="140">
        <f>+'[1]Index Pricing'!$B$4+'[1]S Kitty Detail'!$K$17</f>
        <v>2.1204000000000001</v>
      </c>
      <c r="F48" s="141">
        <f>O48*'[1]Internal Kennedy Total'!U40</f>
        <v>8580.2253166328464</v>
      </c>
      <c r="G48" s="140">
        <f t="shared" si="1"/>
        <v>1.885</v>
      </c>
      <c r="H48" s="142">
        <f>O48*'[1]Internal Kennedy Total'!V40</f>
        <v>3450.6806148391761</v>
      </c>
      <c r="I48" s="140">
        <f t="shared" si="7"/>
        <v>0.60769999999999991</v>
      </c>
      <c r="J48" s="143">
        <f>O48*'[1]Internal Kennedy Total'!W40</f>
        <v>1576.6164019312853</v>
      </c>
      <c r="K48" s="140">
        <f>B48+$K$19+'[1]Kennedy Gas Daily Pricing'!B29</f>
        <v>0.72499999999999987</v>
      </c>
      <c r="L48" s="143">
        <f>O48*'[1]Internal Kennedy Total'!X40</f>
        <v>14040.108693116879</v>
      </c>
      <c r="M48" s="144">
        <f>'[2]Enron Detail'!$G36</f>
        <v>-1800</v>
      </c>
      <c r="N48" s="145">
        <f t="shared" si="8"/>
        <v>32455</v>
      </c>
      <c r="O48" s="146">
        <f>'[1]Internal Kennedy Total'!N40</f>
        <v>30655</v>
      </c>
      <c r="P48" s="135">
        <f t="shared" si="2"/>
        <v>2330.710954446854</v>
      </c>
      <c r="Q48" s="135">
        <f t="shared" si="3"/>
        <v>18193.50976138829</v>
      </c>
      <c r="R48" s="135">
        <f t="shared" si="4"/>
        <v>6504.5329589718467</v>
      </c>
      <c r="S48" s="135">
        <f t="shared" si="5"/>
        <v>958.10978745364196</v>
      </c>
      <c r="T48" s="136">
        <f t="shared" si="9"/>
        <v>10179.078802509735</v>
      </c>
      <c r="U48" s="147">
        <f t="shared" si="6"/>
        <v>38165.942264770369</v>
      </c>
    </row>
    <row r="49" spans="1:26" x14ac:dyDescent="0.2">
      <c r="A49" s="124">
        <f t="shared" si="10"/>
        <v>37219</v>
      </c>
      <c r="B49" s="125">
        <f>+'[1]Index Pricing'!B30</f>
        <v>1.43</v>
      </c>
      <c r="C49" s="138">
        <f t="shared" si="0"/>
        <v>0.77499999999999991</v>
      </c>
      <c r="D49" s="139">
        <f>O49*'[1]Internal Kennedy Total'!T41</f>
        <v>2919.1586517293672</v>
      </c>
      <c r="E49" s="140">
        <f>+'[1]Index Pricing'!$B$4+'[1]S Kitty Detail'!$K$17</f>
        <v>2.1204000000000001</v>
      </c>
      <c r="F49" s="141">
        <f>O49*'[1]Internal Kennedy Total'!U41</f>
        <v>8328.5553544347149</v>
      </c>
      <c r="G49" s="140">
        <f t="shared" si="1"/>
        <v>1.885</v>
      </c>
      <c r="H49" s="142">
        <f>O49*'[1]Internal Kennedy Total'!V41</f>
        <v>3349.4673450418277</v>
      </c>
      <c r="I49" s="140">
        <f t="shared" si="7"/>
        <v>0.60769999999999991</v>
      </c>
      <c r="J49" s="143">
        <f>O49*'[1]Internal Kennedy Total'!W41</f>
        <v>1530.3720463773789</v>
      </c>
      <c r="K49" s="140">
        <f>B49+$K$19+'[1]Kennedy Gas Daily Pricing'!B30</f>
        <v>0.72499999999999987</v>
      </c>
      <c r="L49" s="143">
        <f>O49*'[1]Internal Kennedy Total'!X41</f>
        <v>12246.446602416712</v>
      </c>
      <c r="M49" s="144">
        <f>'[2]Enron Detail'!$G37</f>
        <v>-2225</v>
      </c>
      <c r="N49" s="145">
        <f t="shared" si="8"/>
        <v>30599</v>
      </c>
      <c r="O49" s="146">
        <f>'[1]Internal Kennedy Total'!N41</f>
        <v>28374</v>
      </c>
      <c r="P49" s="135">
        <f t="shared" si="2"/>
        <v>2262.3479550902593</v>
      </c>
      <c r="Q49" s="135">
        <f t="shared" si="3"/>
        <v>17659.86877354337</v>
      </c>
      <c r="R49" s="135">
        <f t="shared" si="4"/>
        <v>6313.7459454038453</v>
      </c>
      <c r="S49" s="135">
        <f t="shared" si="5"/>
        <v>930.00709258353299</v>
      </c>
      <c r="T49" s="136">
        <f t="shared" si="9"/>
        <v>8878.6737867521151</v>
      </c>
      <c r="U49" s="147">
        <f t="shared" si="6"/>
        <v>36044.64355337312</v>
      </c>
    </row>
    <row r="50" spans="1:26" x14ac:dyDescent="0.2">
      <c r="A50" s="124">
        <f t="shared" si="10"/>
        <v>37220</v>
      </c>
      <c r="B50" s="125">
        <f>+'[1]Index Pricing'!B31</f>
        <v>1.43</v>
      </c>
      <c r="C50" s="138">
        <f t="shared" si="0"/>
        <v>0.77499999999999991</v>
      </c>
      <c r="D50" s="139">
        <f>O50*'[1]Internal Kennedy Total'!T42</f>
        <v>2656.2652261737162</v>
      </c>
      <c r="E50" s="140">
        <f>+'[1]Index Pricing'!$B$4+'[1]S Kitty Detail'!$K$17</f>
        <v>2.1204000000000001</v>
      </c>
      <c r="F50" s="141">
        <f>O50*'[1]Internal Kennedy Total'!U42</f>
        <v>7578.502785089061</v>
      </c>
      <c r="G50" s="140">
        <f t="shared" si="1"/>
        <v>1.885</v>
      </c>
      <c r="H50" s="142">
        <f>O50*'[1]Internal Kennedy Total'!V42</f>
        <v>3047.8212034033177</v>
      </c>
      <c r="I50" s="140">
        <f t="shared" si="7"/>
        <v>0.60769999999999991</v>
      </c>
      <c r="J50" s="143">
        <f>O50*'[1]Internal Kennedy Total'!W42</f>
        <v>1392.549886760115</v>
      </c>
      <c r="K50" s="140">
        <f>B50+$K$19+'[1]Kennedy Gas Daily Pricing'!B31</f>
        <v>0.72499999999999987</v>
      </c>
      <c r="L50" s="143">
        <f>O50*'[1]Internal Kennedy Total'!X42</f>
        <v>5959.8608985737892</v>
      </c>
      <c r="M50" s="144">
        <f>'[2]Enron Detail'!$G38</f>
        <v>-1775</v>
      </c>
      <c r="N50" s="145">
        <f t="shared" si="8"/>
        <v>22410</v>
      </c>
      <c r="O50" s="146">
        <f>'[1]Internal Kennedy Total'!N42</f>
        <v>20635</v>
      </c>
      <c r="P50" s="135">
        <f t="shared" si="2"/>
        <v>2058.6055502846298</v>
      </c>
      <c r="Q50" s="135">
        <f t="shared" si="3"/>
        <v>16069.457305502845</v>
      </c>
      <c r="R50" s="135">
        <f t="shared" si="4"/>
        <v>5745.1429684152536</v>
      </c>
      <c r="S50" s="135">
        <f t="shared" si="5"/>
        <v>846.25256618412175</v>
      </c>
      <c r="T50" s="136">
        <f t="shared" si="9"/>
        <v>4320.8991514659965</v>
      </c>
      <c r="U50" s="147">
        <f t="shared" si="6"/>
        <v>29040.357541852845</v>
      </c>
    </row>
    <row r="51" spans="1:26" x14ac:dyDescent="0.2">
      <c r="A51" s="124">
        <f t="shared" si="10"/>
        <v>37221</v>
      </c>
      <c r="B51" s="125">
        <f>+'[1]Index Pricing'!B32</f>
        <v>1.43</v>
      </c>
      <c r="C51" s="138">
        <f t="shared" si="0"/>
        <v>0.77499999999999991</v>
      </c>
      <c r="D51" s="139">
        <f>O51*'[1]Internal Kennedy Total'!T43</f>
        <v>2921.7878440963727</v>
      </c>
      <c r="E51" s="140">
        <f>+'[1]Index Pricing'!$B$4+'[1]S Kitty Detail'!$K$17</f>
        <v>2.1204000000000001</v>
      </c>
      <c r="F51" s="141">
        <f>O51*'[1]Internal Kennedy Total'!U43</f>
        <v>8336.0566165374403</v>
      </c>
      <c r="G51" s="140">
        <f t="shared" si="1"/>
        <v>1.885</v>
      </c>
      <c r="H51" s="142">
        <f>O51*'[1]Internal Kennedy Total'!V43</f>
        <v>3352.4841026174745</v>
      </c>
      <c r="I51" s="140">
        <f t="shared" si="7"/>
        <v>0.60769999999999991</v>
      </c>
      <c r="J51" s="143">
        <f>O51*'[1]Internal Kennedy Total'!W43</f>
        <v>1531.7504032887548</v>
      </c>
      <c r="K51" s="140">
        <f>B51+$K$19+'[1]Kennedy Gas Daily Pricing'!B32</f>
        <v>0.72499999999999987</v>
      </c>
      <c r="L51" s="143">
        <f>O51*'[1]Internal Kennedy Total'!X43</f>
        <v>10556.921033459957</v>
      </c>
      <c r="M51" s="144">
        <f>'[2]Enron Detail'!$G39</f>
        <v>-2004</v>
      </c>
      <c r="N51" s="145">
        <f t="shared" si="8"/>
        <v>28703</v>
      </c>
      <c r="O51" s="146">
        <f>'[1]Internal Kennedy Total'!N43</f>
        <v>26699</v>
      </c>
      <c r="P51" s="135">
        <f t="shared" si="2"/>
        <v>2264.3855791746887</v>
      </c>
      <c r="Q51" s="135">
        <f t="shared" si="3"/>
        <v>17675.77444970599</v>
      </c>
      <c r="R51" s="135">
        <f t="shared" si="4"/>
        <v>6319.4325334339392</v>
      </c>
      <c r="S51" s="135">
        <f t="shared" si="5"/>
        <v>930.84472007857619</v>
      </c>
      <c r="T51" s="136">
        <f t="shared" si="9"/>
        <v>7653.767749258468</v>
      </c>
      <c r="U51" s="147">
        <f t="shared" si="6"/>
        <v>34844.205031651662</v>
      </c>
    </row>
    <row r="52" spans="1:26" x14ac:dyDescent="0.2">
      <c r="A52" s="124">
        <f t="shared" si="10"/>
        <v>37222</v>
      </c>
      <c r="B52" s="125">
        <f>+'[1]Index Pricing'!B33</f>
        <v>1.88</v>
      </c>
      <c r="C52" s="138">
        <f t="shared" si="0"/>
        <v>1.2249999999999999</v>
      </c>
      <c r="D52" s="139">
        <f>O52*'[1]Internal Kennedy Total'!T44</f>
        <v>2904.6942781900889</v>
      </c>
      <c r="E52" s="140">
        <f>+'[1]Index Pricing'!$B$4+'[1]S Kitty Detail'!$K$17</f>
        <v>2.1204000000000001</v>
      </c>
      <c r="F52" s="141">
        <f>O52*'[1]Internal Kennedy Total'!U44</f>
        <v>8287.2875269332053</v>
      </c>
      <c r="G52" s="140">
        <f t="shared" si="1"/>
        <v>1.885</v>
      </c>
      <c r="H52" s="142">
        <f>O52*'[1]Internal Kennedy Total'!V44</f>
        <v>3332.8708004149707</v>
      </c>
      <c r="I52" s="140">
        <f t="shared" si="7"/>
        <v>1.0576999999999999</v>
      </c>
      <c r="J52" s="143">
        <f>O52*'[1]Internal Kennedy Total'!W44</f>
        <v>1522.7890830739766</v>
      </c>
      <c r="K52" s="140">
        <f>B52+$K$19+'[1]Kennedy Gas Daily Pricing'!B33</f>
        <v>1.1749999999999998</v>
      </c>
      <c r="L52" s="143">
        <f>O52*'[1]Internal Kennedy Total'!X44</f>
        <v>9914.3583113877594</v>
      </c>
      <c r="M52" s="144">
        <f>'[2]Enron Detail'!$G40</f>
        <v>-2217</v>
      </c>
      <c r="N52" s="145">
        <f t="shared" si="8"/>
        <v>28179</v>
      </c>
      <c r="O52" s="146">
        <f>'[1]Internal Kennedy Total'!N44</f>
        <v>25962</v>
      </c>
      <c r="P52" s="135">
        <f t="shared" si="2"/>
        <v>3558.2504907828584</v>
      </c>
      <c r="Q52" s="135">
        <f t="shared" si="3"/>
        <v>17572.36447210917</v>
      </c>
      <c r="R52" s="135">
        <f t="shared" si="4"/>
        <v>6282.4614587822198</v>
      </c>
      <c r="S52" s="135">
        <f t="shared" si="5"/>
        <v>1610.6540131673448</v>
      </c>
      <c r="T52" s="136">
        <f t="shared" si="9"/>
        <v>11649.371015880615</v>
      </c>
      <c r="U52" s="147">
        <f t="shared" si="6"/>
        <v>40673.101450722206</v>
      </c>
    </row>
    <row r="53" spans="1:26" x14ac:dyDescent="0.2">
      <c r="A53" s="124">
        <f t="shared" si="10"/>
        <v>37223</v>
      </c>
      <c r="B53" s="125">
        <f>+'[1]Index Pricing'!B34</f>
        <v>2.16</v>
      </c>
      <c r="C53" s="138">
        <f t="shared" si="0"/>
        <v>1.5050000000000001</v>
      </c>
      <c r="D53" s="139">
        <f>O53*'[1]Internal Kennedy Total'!T45</f>
        <v>2771.8614644397744</v>
      </c>
      <c r="E53" s="140">
        <f>+'[1]Index Pricing'!$B$4+'[1]S Kitty Detail'!$K$17</f>
        <v>2.1204000000000001</v>
      </c>
      <c r="F53" s="141">
        <f>O53*'[1]Internal Kennedy Total'!U45</f>
        <v>7908.3066032518527</v>
      </c>
      <c r="G53" s="140">
        <f t="shared" si="1"/>
        <v>1.885</v>
      </c>
      <c r="H53" s="142">
        <f>O53*'[1]Internal Kennedy Total'!V45</f>
        <v>3180.4573056077866</v>
      </c>
      <c r="I53" s="140">
        <f t="shared" si="7"/>
        <v>1.3377000000000001</v>
      </c>
      <c r="J53" s="143">
        <f>O53*'[1]Internal Kennedy Total'!W45</f>
        <v>1453.1513383475278</v>
      </c>
      <c r="K53" s="140">
        <f>B53+$K$19+'[1]Kennedy Gas Daily Pricing'!B34</f>
        <v>1.4550000000000001</v>
      </c>
      <c r="L53" s="143">
        <f>O53*'[1]Internal Kennedy Total'!X45</f>
        <v>8519.2232883530596</v>
      </c>
      <c r="M53" s="144">
        <f>'[2]Enron Detail'!$G41</f>
        <v>-1640</v>
      </c>
      <c r="N53" s="145">
        <f t="shared" si="8"/>
        <v>25473</v>
      </c>
      <c r="O53" s="146">
        <f>'[1]Internal Kennedy Total'!N45</f>
        <v>23833</v>
      </c>
      <c r="P53" s="135">
        <f t="shared" si="2"/>
        <v>4171.6515039818605</v>
      </c>
      <c r="Q53" s="135">
        <f t="shared" si="3"/>
        <v>16768.773321535227</v>
      </c>
      <c r="R53" s="135">
        <f t="shared" si="4"/>
        <v>5995.1620210706778</v>
      </c>
      <c r="S53" s="135">
        <f t="shared" si="5"/>
        <v>1943.8805453074881</v>
      </c>
      <c r="T53" s="136">
        <f t="shared" si="9"/>
        <v>12395.469884553702</v>
      </c>
      <c r="U53" s="147">
        <f t="shared" si="6"/>
        <v>41274.93727644896</v>
      </c>
    </row>
    <row r="54" spans="1:26" x14ac:dyDescent="0.2">
      <c r="A54" s="124">
        <f t="shared" si="10"/>
        <v>37224</v>
      </c>
      <c r="B54" s="125">
        <f>+'[1]Index Pricing'!B35</f>
        <v>2.38</v>
      </c>
      <c r="C54" s="138">
        <f t="shared" si="0"/>
        <v>1.7249999999999999</v>
      </c>
      <c r="D54" s="139">
        <f>O54*'[1]Internal Kennedy Total'!T46</f>
        <v>0</v>
      </c>
      <c r="E54" s="140">
        <f>+'[1]Index Pricing'!$B$4+'[1]S Kitty Detail'!$K$17</f>
        <v>2.1204000000000001</v>
      </c>
      <c r="F54" s="141">
        <f>O54*'[1]Internal Kennedy Total'!U46</f>
        <v>8130.1084236864053</v>
      </c>
      <c r="G54" s="140">
        <f t="shared" si="1"/>
        <v>1.885</v>
      </c>
      <c r="H54" s="142">
        <f>O54*'[1]Internal Kennedy Total'!V46</f>
        <v>2836.730330831248</v>
      </c>
      <c r="I54" s="140">
        <f t="shared" si="7"/>
        <v>1.5576999999999999</v>
      </c>
      <c r="J54" s="143">
        <f>O54*'[1]Internal Kennedy Total'!W46</f>
        <v>0</v>
      </c>
      <c r="K54" s="140">
        <f>B54+$K$19+'[1]Kennedy Gas Daily Pricing'!B35</f>
        <v>1.6749999999999998</v>
      </c>
      <c r="L54" s="143">
        <f>O54*'[1]Internal Kennedy Total'!X46</f>
        <v>0</v>
      </c>
      <c r="M54" s="144">
        <f>'[2]Enron Detail'!$G42</f>
        <v>-1489.5</v>
      </c>
      <c r="N54" s="145">
        <f t="shared" si="8"/>
        <v>12456</v>
      </c>
      <c r="O54" s="146">
        <f>'[1]Internal Kennedy Total'!N46</f>
        <v>10966.5</v>
      </c>
      <c r="P54" s="135">
        <f t="shared" si="2"/>
        <v>0</v>
      </c>
      <c r="Q54" s="135">
        <f t="shared" si="3"/>
        <v>17239.081901584654</v>
      </c>
      <c r="R54" s="135">
        <f t="shared" si="4"/>
        <v>5347.2366736169024</v>
      </c>
      <c r="S54" s="135">
        <f t="shared" si="5"/>
        <v>0</v>
      </c>
      <c r="T54" s="136">
        <f t="shared" si="9"/>
        <v>0</v>
      </c>
      <c r="U54" s="147">
        <f t="shared" si="6"/>
        <v>22586.318575201556</v>
      </c>
    </row>
    <row r="55" spans="1:26" x14ac:dyDescent="0.2">
      <c r="A55" s="124">
        <f t="shared" si="10"/>
        <v>37225</v>
      </c>
      <c r="B55" s="125">
        <f>+'[1]Index Pricing'!B36</f>
        <v>2.0249999999999999</v>
      </c>
      <c r="C55" s="138">
        <f t="shared" si="0"/>
        <v>1.3699999999999999</v>
      </c>
      <c r="D55" s="139">
        <v>0</v>
      </c>
      <c r="E55" s="140">
        <f>+'[1]Index Pricing'!$B$4+'[1]S Kitty Detail'!$K$17</f>
        <v>2.1204000000000001</v>
      </c>
      <c r="F55" s="141">
        <v>0</v>
      </c>
      <c r="G55" s="140">
        <f t="shared" si="1"/>
        <v>1.885</v>
      </c>
      <c r="H55" s="142">
        <v>0</v>
      </c>
      <c r="I55" s="140">
        <f t="shared" si="7"/>
        <v>1.2026999999999999</v>
      </c>
      <c r="J55" s="143">
        <v>0</v>
      </c>
      <c r="K55" s="140">
        <f>B55+$K$19+'[1]Kennedy Gas Daily Pricing'!B36</f>
        <v>1.3199999999999998</v>
      </c>
      <c r="L55" s="143">
        <v>0</v>
      </c>
      <c r="M55" s="144">
        <f>'[2]Enron Detail'!$G43</f>
        <v>0</v>
      </c>
      <c r="N55" s="145">
        <f t="shared" si="8"/>
        <v>0</v>
      </c>
      <c r="O55" s="146">
        <f>'[1]Internal Kennedy Total'!N47</f>
        <v>0</v>
      </c>
      <c r="P55" s="135">
        <f t="shared" si="2"/>
        <v>0</v>
      </c>
      <c r="Q55" s="135">
        <f t="shared" si="3"/>
        <v>0</v>
      </c>
      <c r="R55" s="135">
        <f t="shared" si="4"/>
        <v>0</v>
      </c>
      <c r="S55" s="135">
        <f t="shared" si="5"/>
        <v>0</v>
      </c>
      <c r="T55" s="136">
        <f t="shared" si="9"/>
        <v>0</v>
      </c>
      <c r="U55" s="147">
        <f t="shared" si="6"/>
        <v>0</v>
      </c>
    </row>
    <row r="56" spans="1:26" ht="13.5" thickBot="1" x14ac:dyDescent="0.25">
      <c r="A56" s="124"/>
      <c r="B56" s="125"/>
      <c r="C56" s="149"/>
      <c r="D56" s="150"/>
      <c r="E56" s="151"/>
      <c r="F56" s="152"/>
      <c r="G56" s="151"/>
      <c r="H56" s="153"/>
      <c r="I56" s="154"/>
      <c r="J56" s="155"/>
      <c r="K56" s="154"/>
      <c r="L56" s="155"/>
      <c r="M56" s="156"/>
      <c r="N56" s="157"/>
      <c r="O56" s="158"/>
      <c r="P56" s="159"/>
      <c r="Q56" s="159"/>
      <c r="R56" s="159"/>
      <c r="S56" s="159"/>
      <c r="T56" s="160"/>
      <c r="U56" s="161"/>
    </row>
    <row r="57" spans="1:26" x14ac:dyDescent="0.2">
      <c r="D57" s="162">
        <f>SUM(D26:D56)</f>
        <v>81120.56469508048</v>
      </c>
      <c r="F57" s="163">
        <f>SUM(F26:F56)</f>
        <v>239572.51839538544</v>
      </c>
      <c r="H57" s="162">
        <f>SUM(H26:H56)</f>
        <v>95915.152874449574</v>
      </c>
      <c r="J57" s="164">
        <f t="shared" ref="J57:T57" si="11">SUM(J26:J56)</f>
        <v>42527.542832299689</v>
      </c>
      <c r="K57" s="164"/>
      <c r="L57" s="164">
        <f t="shared" si="11"/>
        <v>309041.05995730247</v>
      </c>
      <c r="M57" s="165">
        <f t="shared" si="11"/>
        <v>-56702.5</v>
      </c>
      <c r="N57" s="166">
        <f t="shared" si="11"/>
        <v>824879</v>
      </c>
      <c r="O57" s="166">
        <f t="shared" si="11"/>
        <v>768176.5</v>
      </c>
      <c r="P57" s="167">
        <f t="shared" si="11"/>
        <v>89925.578169320695</v>
      </c>
      <c r="Q57" s="167">
        <f t="shared" si="11"/>
        <v>507989.56800557527</v>
      </c>
      <c r="R57" s="167">
        <f t="shared" si="11"/>
        <v>180800.06316833742</v>
      </c>
      <c r="S57" s="167">
        <f t="shared" si="11"/>
        <v>40028.722650811549</v>
      </c>
      <c r="T57" s="167">
        <f t="shared" si="11"/>
        <v>338616.44497158198</v>
      </c>
      <c r="U57" s="168">
        <f t="shared" si="6"/>
        <v>1157360.3769656268</v>
      </c>
    </row>
    <row r="58" spans="1:26" x14ac:dyDescent="0.2">
      <c r="D58" s="94"/>
      <c r="F58" s="94"/>
      <c r="M58" s="94"/>
      <c r="P58" s="189"/>
      <c r="R58" s="170"/>
    </row>
    <row r="59" spans="1:26" x14ac:dyDescent="0.2">
      <c r="L59" s="190"/>
      <c r="Q59" s="53" t="s">
        <v>109</v>
      </c>
      <c r="R59" s="171">
        <f>U57/N57</f>
        <v>1.4030668461260705</v>
      </c>
      <c r="U59" s="188"/>
      <c r="V59" s="172"/>
    </row>
    <row r="60" spans="1:26" x14ac:dyDescent="0.2">
      <c r="A60" s="58" t="s">
        <v>110</v>
      </c>
      <c r="O60" s="80"/>
      <c r="S60" s="39"/>
      <c r="Z60" s="188"/>
    </row>
    <row r="61" spans="1:26" x14ac:dyDescent="0.2">
      <c r="U61" s="172"/>
    </row>
    <row r="62" spans="1:26" x14ac:dyDescent="0.2">
      <c r="R62" s="173"/>
      <c r="S62" s="173"/>
      <c r="U62" s="174"/>
    </row>
    <row r="63" spans="1:26" x14ac:dyDescent="0.2">
      <c r="U63" s="174"/>
    </row>
    <row r="64" spans="1:26" x14ac:dyDescent="0.2">
      <c r="U64" s="172"/>
    </row>
  </sheetData>
  <mergeCells count="2">
    <mergeCell ref="C22:U22"/>
    <mergeCell ref="P23:T23"/>
  </mergeCells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aint.Picture" shapeId="3073" r:id="rId3">
          <objectPr defaultSize="0" autoPict="0" r:id="rId4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3" r:id="rId3"/>
      </mc:Fallback>
    </mc:AlternateContent>
    <mc:AlternateContent xmlns:mc="http://schemas.openxmlformats.org/markup-compatibility/2006">
      <mc:Choice Requires="x14">
        <oleObject progId="Paint.Picture" shapeId="3074" r:id="rId5">
          <objectPr defaultSize="0" autoPict="0" r:id="rId4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4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Box Draw</vt:lpstr>
      <vt:lpstr>South Kitty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Jan Havlíček</cp:lastModifiedBy>
  <dcterms:created xsi:type="dcterms:W3CDTF">2001-12-06T21:33:03Z</dcterms:created>
  <dcterms:modified xsi:type="dcterms:W3CDTF">2023-09-17T11:16:53Z</dcterms:modified>
</cp:coreProperties>
</file>