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B72E0D-49C2-41C6-911A-402273972C58}" xr6:coauthVersionLast="47" xr6:coauthVersionMax="47" xr10:uidLastSave="{00000000-0000-0000-0000-000000000000}"/>
  <bookViews>
    <workbookView xWindow="-120" yWindow="-120" windowWidth="38640" windowHeight="15720" activeTab="1"/>
  </bookViews>
  <sheets>
    <sheet name="Summary" sheetId="1" r:id="rId1"/>
    <sheet name="Detail" sheetId="2" r:id="rId2"/>
    <sheet name="Sheet3" sheetId="3" r:id="rId3"/>
  </sheets>
  <externalReferences>
    <externalReference r:id="rId4"/>
    <externalReference r:id="rId5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2" l="1"/>
  <c r="A2" i="2"/>
  <c r="B5" i="2"/>
  <c r="B6" i="2"/>
  <c r="A7" i="2"/>
  <c r="B7" i="2"/>
  <c r="A8" i="2"/>
  <c r="B8" i="2"/>
  <c r="F12" i="2"/>
  <c r="D13" i="2"/>
  <c r="I13" i="2"/>
  <c r="J13" i="2"/>
  <c r="D14" i="2"/>
  <c r="E14" i="2"/>
  <c r="F14" i="2"/>
  <c r="I14" i="2"/>
  <c r="J14" i="2"/>
  <c r="D15" i="2"/>
  <c r="E15" i="2"/>
  <c r="F15" i="2"/>
  <c r="I15" i="2"/>
  <c r="J15" i="2"/>
  <c r="A19" i="2"/>
  <c r="B19" i="2"/>
  <c r="C19" i="2"/>
  <c r="D19" i="2"/>
  <c r="E19" i="2"/>
  <c r="F19" i="2"/>
  <c r="G19" i="2"/>
  <c r="H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H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H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H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H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H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H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H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H41" i="2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H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H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H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H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H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H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H48" i="2"/>
  <c r="J48" i="2"/>
  <c r="K48" i="2"/>
  <c r="L48" i="2"/>
  <c r="M48" i="2"/>
  <c r="N48" i="2"/>
  <c r="O48" i="2"/>
  <c r="B49" i="2"/>
  <c r="C49" i="2"/>
  <c r="D49" i="2"/>
  <c r="E49" i="2"/>
  <c r="F49" i="2"/>
  <c r="G49" i="2"/>
  <c r="H49" i="2"/>
  <c r="J49" i="2"/>
  <c r="K49" i="2"/>
  <c r="L49" i="2"/>
  <c r="M49" i="2"/>
  <c r="N49" i="2"/>
  <c r="O49" i="2"/>
  <c r="D51" i="2"/>
  <c r="F51" i="2"/>
  <c r="H51" i="2"/>
  <c r="J51" i="2"/>
  <c r="K51" i="2"/>
  <c r="L51" i="2"/>
  <c r="M51" i="2"/>
  <c r="N51" i="2"/>
  <c r="O51" i="2"/>
  <c r="J52" i="2"/>
  <c r="L53" i="2"/>
  <c r="M53" i="2"/>
  <c r="N53" i="2"/>
  <c r="O53" i="2"/>
  <c r="G3" i="1"/>
  <c r="A12" i="1"/>
  <c r="A14" i="1"/>
  <c r="C17" i="1"/>
  <c r="D17" i="1"/>
  <c r="E17" i="1"/>
  <c r="F17" i="1"/>
  <c r="G17" i="1"/>
  <c r="A18" i="1"/>
  <c r="C18" i="1"/>
  <c r="D18" i="1"/>
  <c r="E18" i="1"/>
  <c r="F18" i="1"/>
  <c r="G18" i="1"/>
  <c r="A19" i="1"/>
  <c r="C19" i="1"/>
  <c r="D19" i="1"/>
  <c r="E19" i="1"/>
  <c r="F19" i="1"/>
  <c r="G19" i="1"/>
  <c r="A20" i="1"/>
  <c r="E20" i="1"/>
  <c r="F20" i="1"/>
  <c r="E21" i="1"/>
  <c r="F21" i="1"/>
  <c r="G21" i="1"/>
  <c r="B25" i="1"/>
  <c r="G25" i="1"/>
  <c r="G30" i="1"/>
  <c r="G36" i="1"/>
</calcChain>
</file>

<file path=xl/sharedStrings.xml><?xml version="1.0" encoding="utf-8"?>
<sst xmlns="http://schemas.openxmlformats.org/spreadsheetml/2006/main" count="86" uniqueCount="84">
  <si>
    <t xml:space="preserve">Bill To:  </t>
  </si>
  <si>
    <t>Remit To:</t>
  </si>
  <si>
    <t xml:space="preserve">Verification Date: </t>
  </si>
  <si>
    <t>Enron North America Corp.</t>
  </si>
  <si>
    <t>Independent Production Company, Inc.</t>
  </si>
  <si>
    <t>Bank: U.S. Bank National Association</t>
  </si>
  <si>
    <t>ABA:  102000021</t>
  </si>
  <si>
    <t>Due Date:</t>
  </si>
  <si>
    <t>Acct:  103655778514</t>
  </si>
  <si>
    <t>Contact:  Cheryl Robacker</t>
  </si>
  <si>
    <t>Tel:  (303) 595-8829 X27</t>
  </si>
  <si>
    <t>Payment Method:</t>
  </si>
  <si>
    <t>Contact:  Theresa Staab</t>
  </si>
  <si>
    <t>Wire</t>
  </si>
  <si>
    <t>Tel:  (303) 575-6485</t>
  </si>
  <si>
    <t>Terms:</t>
  </si>
  <si>
    <t>Fax: (303) 534-0552</t>
  </si>
  <si>
    <t>Fax: (303) 595-3653</t>
  </si>
  <si>
    <t>25th of month following production</t>
  </si>
  <si>
    <t xml:space="preserve">Delivery Period: </t>
  </si>
  <si>
    <t>Contract #</t>
  </si>
  <si>
    <t>Meter # / Meter Name</t>
  </si>
  <si>
    <t>0814015-Independent 47N73WSec.9</t>
  </si>
  <si>
    <t>Index</t>
  </si>
  <si>
    <t>Discount / Premium</t>
  </si>
  <si>
    <t>Price/MMBtu</t>
  </si>
  <si>
    <t>Mcf Quantity</t>
  </si>
  <si>
    <t>MMBtu Quantity</t>
  </si>
  <si>
    <t>Amount Due</t>
  </si>
  <si>
    <t>11/01/01 - 11/30/01</t>
  </si>
  <si>
    <t>CIG GD</t>
  </si>
  <si>
    <t>IF NGPL-Midcont.</t>
  </si>
  <si>
    <t>IF CIG - Rockies</t>
  </si>
  <si>
    <t>Fuel Loss</t>
  </si>
  <si>
    <t>$             0.00</t>
  </si>
  <si>
    <t>$                                        0.00</t>
  </si>
  <si>
    <t>Total</t>
  </si>
  <si>
    <t>Hanover Compression Charges</t>
  </si>
  <si>
    <t>Field Services Fee</t>
  </si>
  <si>
    <t>Prior Month Adjustments</t>
  </si>
  <si>
    <t>Adjustment</t>
  </si>
  <si>
    <t>TOTAL PAYMENT</t>
  </si>
  <si>
    <t>Independent</t>
  </si>
  <si>
    <t>Contact:</t>
  </si>
  <si>
    <t>Cheryl Robaker</t>
  </si>
  <si>
    <t>Enron North America</t>
  </si>
  <si>
    <t>PH:</t>
  </si>
  <si>
    <t>303-595-8829</t>
  </si>
  <si>
    <t>FAX:</t>
  </si>
  <si>
    <t>303-595-3653</t>
  </si>
  <si>
    <t>Theresa Staab</t>
  </si>
  <si>
    <t>303-575-6485</t>
  </si>
  <si>
    <t>Btu factor:</t>
  </si>
  <si>
    <t>Transportation</t>
  </si>
  <si>
    <t>per Mcf</t>
  </si>
  <si>
    <t>Index Discount/Premium</t>
  </si>
  <si>
    <t>Crestone Transport /Mmbtu</t>
  </si>
  <si>
    <t>WIC Xport</t>
  </si>
  <si>
    <t>Trailblazer Xport</t>
  </si>
  <si>
    <t>Trailblazer Fuel (0%*NGPL index)</t>
  </si>
  <si>
    <t>Total Receipts Fee Adjustment*</t>
  </si>
  <si>
    <t>Total Net Back</t>
  </si>
  <si>
    <t>Net Backs:</t>
  </si>
  <si>
    <t>IF NGPL Midcont.</t>
  </si>
  <si>
    <t>IF CIG Rockies</t>
  </si>
  <si>
    <t>Over 80% of Production</t>
  </si>
  <si>
    <t>CIG GD Volume MMBtu</t>
  </si>
  <si>
    <t>80% of Production up to 10,000/Day</t>
  </si>
  <si>
    <t>NGPL Volume MMBtu</t>
  </si>
  <si>
    <t>80% of Production Less 10,000/Day</t>
  </si>
  <si>
    <t>CIG Volume MMBtu</t>
  </si>
  <si>
    <t>Allocated Fuel MMBtu (max 6.5%)</t>
  </si>
  <si>
    <t>Total Production MMBtu</t>
  </si>
  <si>
    <t>$ CIG GD</t>
  </si>
  <si>
    <t>$ NGPL</t>
  </si>
  <si>
    <t>$ CIG</t>
  </si>
  <si>
    <t>Total Payment</t>
  </si>
  <si>
    <t>CIG GD Rockies</t>
  </si>
  <si>
    <t>CIG GD les Netback</t>
  </si>
  <si>
    <t>NGPL less Netback</t>
  </si>
  <si>
    <t>CIG less Netback</t>
  </si>
  <si>
    <t>actual fuel</t>
  </si>
  <si>
    <t>avg. $/Mmbtu</t>
  </si>
  <si>
    <t>*Total Receipts Fee Adjustment is calculated by applying the Field Services Fee to the fuel volume and then dividing that dollar amount(fee times fuel volume) by the volume purchased.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</si>
</sst>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&quot;$&quot;* #,##0.0000_);_(&quot;$&quot;* \(#,##0.0000\);_(&quot;$&quot;* &quot;-&quot;??_);_(@_)"/>
    <numFmt numFmtId="166" formatCode="_(&quot;$&quot;* #,##0.000000_);_(&quot;$&quot;* \(#,##0.000000\);_(&quot;$&quot;* &quot;-&quot;??_);_(@_)"/>
    <numFmt numFmtId="167" formatCode="_(* #,##0_);_(* \(#,##0\);_(* &quot;-&quot;??_);_(@_)"/>
    <numFmt numFmtId="168" formatCode="_(&quot;$&quot;* #,##0.00000_);_(&quot;$&quot;* \(#,##0.00000\);_(&quot;$&quot;* &quot;-&quot;??_);_(@_)"/>
    <numFmt numFmtId="169" formatCode="mmmm\-yy"/>
    <numFmt numFmtId="170" formatCode="_(* #,##0.000_);_(* \(#,##0.000\);_(* &quot;-&quot;??_);_(@_)"/>
    <numFmt numFmtId="171" formatCode="_(&quot;$&quot;* #,##0.0000_);_(&quot;$&quot;* \(#,##0.0000\);_(&quot;$&quot;* &quot;-&quot;????_);_(@_)"/>
    <numFmt numFmtId="172" formatCode="_(&quot;$&quot;* #,##0.0000000_);_(&quot;$&quot;* \(#,##0.00000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5" fontId="3" fillId="0" borderId="6" xfId="0" quotePrefix="1" applyNumberFormat="1" applyFont="1" applyBorder="1" applyAlignment="1">
      <alignment horizontal="center"/>
    </xf>
    <xf numFmtId="15" fontId="4" fillId="0" borderId="6" xfId="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64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/>
    <xf numFmtId="14" fontId="3" fillId="0" borderId="0" xfId="0" applyNumberFormat="1" applyFont="1"/>
    <xf numFmtId="165" fontId="1" fillId="0" borderId="0" xfId="2" applyNumberFormat="1"/>
    <xf numFmtId="166" fontId="1" fillId="0" borderId="0" xfId="2" applyNumberFormat="1"/>
    <xf numFmtId="167" fontId="1" fillId="0" borderId="0" xfId="1" applyNumberFormat="1"/>
    <xf numFmtId="44" fontId="0" fillId="0" borderId="0" xfId="0" applyNumberFormat="1"/>
    <xf numFmtId="168" fontId="1" fillId="0" borderId="0" xfId="2" applyNumberFormat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167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0" fontId="7" fillId="0" borderId="0" xfId="0" applyFont="1"/>
    <xf numFmtId="44" fontId="7" fillId="0" borderId="0" xfId="2" applyFont="1"/>
    <xf numFmtId="167" fontId="7" fillId="0" borderId="0" xfId="1" applyNumberFormat="1" applyFont="1"/>
    <xf numFmtId="169" fontId="0" fillId="0" borderId="0" xfId="0" applyNumberFormat="1"/>
    <xf numFmtId="44" fontId="1" fillId="0" borderId="0" xfId="2"/>
    <xf numFmtId="170" fontId="1" fillId="0" borderId="0" xfId="1" quotePrefix="1" applyNumberFormat="1"/>
    <xf numFmtId="167" fontId="1" fillId="0" borderId="0" xfId="1" quotePrefix="1" applyNumberFormat="1"/>
    <xf numFmtId="44" fontId="3" fillId="0" borderId="0" xfId="2" quotePrefix="1" applyFont="1" applyAlignment="1">
      <alignment horizontal="right"/>
    </xf>
    <xf numFmtId="167" fontId="2" fillId="0" borderId="0" xfId="1" applyNumberFormat="1" applyFont="1" applyAlignment="1">
      <alignment horizontal="right"/>
    </xf>
    <xf numFmtId="165" fontId="0" fillId="0" borderId="0" xfId="2" quotePrefix="1" applyNumberFormat="1" applyFont="1"/>
    <xf numFmtId="0" fontId="2" fillId="0" borderId="0" xfId="0" applyFont="1" applyAlignment="1">
      <alignment horizontal="right"/>
    </xf>
    <xf numFmtId="167" fontId="2" fillId="0" borderId="0" xfId="0" applyNumberFormat="1" applyFont="1"/>
    <xf numFmtId="44" fontId="2" fillId="0" borderId="0" xfId="0" applyNumberFormat="1" applyFont="1"/>
    <xf numFmtId="164" fontId="1" fillId="0" borderId="0" xfId="2" applyNumberFormat="1"/>
    <xf numFmtId="17" fontId="2" fillId="0" borderId="0" xfId="0" applyNumberFormat="1" applyFont="1" applyAlignment="1">
      <alignment horizontal="left"/>
    </xf>
    <xf numFmtId="17" fontId="0" fillId="0" borderId="0" xfId="0" applyNumberFormat="1"/>
    <xf numFmtId="0" fontId="3" fillId="0" borderId="0" xfId="0" applyFont="1"/>
    <xf numFmtId="44" fontId="0" fillId="0" borderId="0" xfId="2" applyFont="1"/>
    <xf numFmtId="17" fontId="2" fillId="0" borderId="0" xfId="0" applyNumberFormat="1" applyFont="1"/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1" fillId="0" borderId="16" xfId="2" applyNumberFormat="1" applyFill="1" applyBorder="1"/>
    <xf numFmtId="165" fontId="0" fillId="0" borderId="0" xfId="2" applyNumberFormat="1" applyFont="1" applyFill="1" applyBorder="1"/>
    <xf numFmtId="165" fontId="1" fillId="0" borderId="0" xfId="2" applyNumberFormat="1" applyFill="1" applyBorder="1"/>
    <xf numFmtId="165" fontId="0" fillId="0" borderId="0" xfId="2" applyNumberFormat="1" applyFont="1" applyFill="1" applyBorder="1" applyAlignment="1">
      <alignment horizontal="center"/>
    </xf>
    <xf numFmtId="165" fontId="2" fillId="0" borderId="17" xfId="2" applyNumberFormat="1" applyFont="1" applyFill="1" applyBorder="1"/>
    <xf numFmtId="165" fontId="1" fillId="0" borderId="18" xfId="2" applyNumberFormat="1" applyFill="1" applyBorder="1"/>
    <xf numFmtId="165" fontId="0" fillId="0" borderId="10" xfId="2" applyNumberFormat="1" applyFont="1" applyFill="1" applyBorder="1"/>
    <xf numFmtId="165" fontId="1" fillId="0" borderId="10" xfId="2" applyNumberFormat="1" applyFill="1" applyBorder="1"/>
    <xf numFmtId="165" fontId="2" fillId="0" borderId="19" xfId="2" applyNumberFormat="1" applyFont="1" applyFill="1" applyBorder="1"/>
    <xf numFmtId="0" fontId="0" fillId="0" borderId="0" xfId="0" applyAlignment="1">
      <alignment wrapText="1"/>
    </xf>
    <xf numFmtId="0" fontId="0" fillId="2" borderId="11" xfId="0" applyFill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44" fontId="1" fillId="0" borderId="0" xfId="2" applyAlignment="1">
      <alignment wrapText="1"/>
    </xf>
    <xf numFmtId="0" fontId="0" fillId="0" borderId="21" xfId="0" applyBorder="1"/>
    <xf numFmtId="0" fontId="0" fillId="2" borderId="11" xfId="0" applyFill="1" applyBorder="1"/>
    <xf numFmtId="0" fontId="0" fillId="0" borderId="20" xfId="0" applyBorder="1"/>
    <xf numFmtId="0" fontId="0" fillId="0" borderId="16" xfId="0" applyBorder="1"/>
    <xf numFmtId="0" fontId="0" fillId="0" borderId="17" xfId="0" applyBorder="1"/>
    <xf numFmtId="16" fontId="0" fillId="0" borderId="0" xfId="0" applyNumberFormat="1"/>
    <xf numFmtId="165" fontId="1" fillId="2" borderId="11" xfId="2" applyNumberFormat="1" applyFill="1" applyBorder="1"/>
    <xf numFmtId="3" fontId="0" fillId="0" borderId="20" xfId="0" applyNumberFormat="1" applyBorder="1"/>
    <xf numFmtId="165" fontId="0" fillId="2" borderId="11" xfId="0" applyNumberFormat="1" applyFill="1" applyBorder="1"/>
    <xf numFmtId="3" fontId="0" fillId="0" borderId="12" xfId="0" applyNumberFormat="1" applyBorder="1"/>
    <xf numFmtId="37" fontId="0" fillId="0" borderId="20" xfId="0" applyNumberFormat="1" applyBorder="1"/>
    <xf numFmtId="44" fontId="1" fillId="0" borderId="16" xfId="2" applyBorder="1"/>
    <xf numFmtId="44" fontId="1" fillId="0" borderId="0" xfId="2" applyBorder="1"/>
    <xf numFmtId="44" fontId="1" fillId="0" borderId="17" xfId="2" applyBorder="1"/>
    <xf numFmtId="165" fontId="1" fillId="2" borderId="16" xfId="2" applyNumberFormat="1" applyFill="1" applyBorder="1"/>
    <xf numFmtId="3" fontId="0" fillId="0" borderId="17" xfId="0" applyNumberFormat="1" applyBorder="1"/>
    <xf numFmtId="165" fontId="0" fillId="2" borderId="16" xfId="0" applyNumberFormat="1" applyFill="1" applyBorder="1"/>
    <xf numFmtId="3" fontId="0" fillId="0" borderId="0" xfId="0" applyNumberFormat="1" applyBorder="1"/>
    <xf numFmtId="37" fontId="0" fillId="0" borderId="17" xfId="0" applyNumberFormat="1" applyBorder="1"/>
    <xf numFmtId="165" fontId="1" fillId="2" borderId="18" xfId="2" applyNumberFormat="1" applyFill="1" applyBorder="1"/>
    <xf numFmtId="3" fontId="0" fillId="0" borderId="19" xfId="0" applyNumberFormat="1" applyBorder="1"/>
    <xf numFmtId="165" fontId="0" fillId="2" borderId="18" xfId="0" applyNumberFormat="1" applyFill="1" applyBorder="1"/>
    <xf numFmtId="3" fontId="0" fillId="0" borderId="10" xfId="0" applyNumberFormat="1" applyBorder="1"/>
    <xf numFmtId="37" fontId="0" fillId="0" borderId="19" xfId="0" applyNumberFormat="1" applyBorder="1"/>
    <xf numFmtId="44" fontId="2" fillId="0" borderId="18" xfId="2" applyFont="1" applyBorder="1"/>
    <xf numFmtId="44" fontId="2" fillId="0" borderId="10" xfId="2" applyFont="1" applyBorder="1"/>
    <xf numFmtId="44" fontId="2" fillId="0" borderId="19" xfId="2" applyFont="1" applyBorder="1"/>
    <xf numFmtId="44" fontId="2" fillId="0" borderId="0" xfId="2" applyFont="1"/>
    <xf numFmtId="167" fontId="0" fillId="0" borderId="0" xfId="0" applyNumberFormat="1"/>
    <xf numFmtId="10" fontId="0" fillId="0" borderId="0" xfId="3" applyNumberFormat="1" applyFont="1"/>
    <xf numFmtId="171" fontId="1" fillId="0" borderId="0" xfId="2" applyNumberFormat="1"/>
    <xf numFmtId="172" fontId="1" fillId="0" borderId="0" xfId="2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2264AE9-7F91-18CC-5310-A99E78FF4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4288564-E5D7-7025-961F-C9209BE500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3008ABC-36BD-17D1-A65F-D4319D579C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C7911EB-13EA-2CD0-5F99-FC4D7E2350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E5C37D71-8BEE-07B7-AF41-DEEA7A3C9D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roducer%20Pricing%20Detail%20No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ron%20Statement_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Kennedy Gas Daily Pricing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Citation Summary"/>
      <sheetName val="Citation Detail"/>
      <sheetName val="Internal Xfer Summary"/>
    </sheetNames>
    <sheetDataSet>
      <sheetData sheetId="0">
        <row r="1">
          <cell r="A1">
            <v>37196</v>
          </cell>
        </row>
        <row r="3">
          <cell r="A3" t="str">
            <v>IF CIG Rockies</v>
          </cell>
          <cell r="B3">
            <v>2.54</v>
          </cell>
          <cell r="F3">
            <v>6.7999999999999996E-3</v>
          </cell>
        </row>
        <row r="4">
          <cell r="A4" t="str">
            <v>IF NGPL Midcont.</v>
          </cell>
          <cell r="B4">
            <v>3.04</v>
          </cell>
        </row>
        <row r="7">
          <cell r="A7">
            <v>37196</v>
          </cell>
          <cell r="B7">
            <v>2.67</v>
          </cell>
        </row>
        <row r="8">
          <cell r="A8">
            <v>37197</v>
          </cell>
          <cell r="B8">
            <v>2.36</v>
          </cell>
        </row>
        <row r="9">
          <cell r="A9">
            <v>37198</v>
          </cell>
          <cell r="B9">
            <v>2.0150000000000001</v>
          </cell>
        </row>
        <row r="10">
          <cell r="A10">
            <v>37199</v>
          </cell>
          <cell r="B10">
            <v>2.0150000000000001</v>
          </cell>
        </row>
        <row r="11">
          <cell r="A11">
            <v>37200</v>
          </cell>
          <cell r="B11">
            <v>2.0150000000000001</v>
          </cell>
        </row>
        <row r="12">
          <cell r="A12">
            <v>37201</v>
          </cell>
          <cell r="B12">
            <v>2.16</v>
          </cell>
        </row>
        <row r="13">
          <cell r="A13">
            <v>37202</v>
          </cell>
          <cell r="B13">
            <v>2.1349999999999998</v>
          </cell>
        </row>
        <row r="14">
          <cell r="A14">
            <v>37203</v>
          </cell>
          <cell r="B14">
            <v>2.13</v>
          </cell>
        </row>
        <row r="15">
          <cell r="A15">
            <v>37204</v>
          </cell>
          <cell r="B15">
            <v>1.9350000000000001</v>
          </cell>
        </row>
        <row r="16">
          <cell r="A16">
            <v>37205</v>
          </cell>
          <cell r="B16">
            <v>1.7</v>
          </cell>
        </row>
        <row r="17">
          <cell r="A17">
            <v>37206</v>
          </cell>
          <cell r="B17">
            <v>1.7</v>
          </cell>
        </row>
        <row r="18">
          <cell r="A18">
            <v>37207</v>
          </cell>
          <cell r="B18">
            <v>1.7</v>
          </cell>
        </row>
        <row r="19">
          <cell r="A19">
            <v>37208</v>
          </cell>
          <cell r="B19">
            <v>1.52</v>
          </cell>
        </row>
        <row r="20">
          <cell r="A20">
            <v>37209</v>
          </cell>
          <cell r="B20">
            <v>1.595</v>
          </cell>
        </row>
        <row r="21">
          <cell r="A21">
            <v>37210</v>
          </cell>
          <cell r="B21">
            <v>1.84</v>
          </cell>
        </row>
        <row r="22">
          <cell r="A22">
            <v>37211</v>
          </cell>
          <cell r="B22">
            <v>1.4350000000000001</v>
          </cell>
        </row>
        <row r="23">
          <cell r="A23">
            <v>37212</v>
          </cell>
          <cell r="B23">
            <v>1.135</v>
          </cell>
        </row>
        <row r="24">
          <cell r="A24">
            <v>37213</v>
          </cell>
          <cell r="B24">
            <v>1.135</v>
          </cell>
        </row>
        <row r="25">
          <cell r="A25">
            <v>37214</v>
          </cell>
          <cell r="B25">
            <v>1.135</v>
          </cell>
        </row>
        <row r="26">
          <cell r="A26">
            <v>37215</v>
          </cell>
          <cell r="B26">
            <v>1.5349999999999999</v>
          </cell>
        </row>
        <row r="27">
          <cell r="A27">
            <v>37216</v>
          </cell>
          <cell r="B27">
            <v>2.2050000000000001</v>
          </cell>
        </row>
        <row r="28">
          <cell r="A28">
            <v>37217</v>
          </cell>
          <cell r="B28">
            <v>1.43</v>
          </cell>
        </row>
        <row r="29">
          <cell r="A29">
            <v>37218</v>
          </cell>
          <cell r="B29">
            <v>1.43</v>
          </cell>
        </row>
        <row r="30">
          <cell r="A30">
            <v>37219</v>
          </cell>
          <cell r="B30">
            <v>1.43</v>
          </cell>
        </row>
        <row r="31">
          <cell r="A31">
            <v>37220</v>
          </cell>
          <cell r="B31">
            <v>1.43</v>
          </cell>
        </row>
        <row r="32">
          <cell r="A32">
            <v>37221</v>
          </cell>
          <cell r="B32">
            <v>1.43</v>
          </cell>
        </row>
        <row r="33">
          <cell r="A33">
            <v>37222</v>
          </cell>
          <cell r="B33">
            <v>1.88</v>
          </cell>
        </row>
        <row r="34">
          <cell r="A34">
            <v>37223</v>
          </cell>
          <cell r="B34">
            <v>2.16</v>
          </cell>
        </row>
        <row r="35">
          <cell r="A35">
            <v>37224</v>
          </cell>
          <cell r="B35">
            <v>2.38</v>
          </cell>
        </row>
        <row r="36">
          <cell r="A36">
            <v>37225</v>
          </cell>
          <cell r="B36">
            <v>2.0249999999999999</v>
          </cell>
        </row>
      </sheetData>
      <sheetData sheetId="1"/>
      <sheetData sheetId="2">
        <row r="5">
          <cell r="B5">
            <v>0.9369968710343024</v>
          </cell>
        </row>
        <row r="13">
          <cell r="J13">
            <v>-0.41149999999999998</v>
          </cell>
        </row>
        <row r="14">
          <cell r="J14">
            <v>-0.65600000000000003</v>
          </cell>
        </row>
        <row r="15">
          <cell r="J15">
            <v>-0.41839999999999999</v>
          </cell>
        </row>
        <row r="51">
          <cell r="D51">
            <v>73836</v>
          </cell>
          <cell r="F51">
            <v>279678</v>
          </cell>
          <cell r="H51">
            <v>15663</v>
          </cell>
          <cell r="J51">
            <v>-17724</v>
          </cell>
          <cell r="L51">
            <v>98888.921000000017</v>
          </cell>
          <cell r="M51">
            <v>666752.35199999996</v>
          </cell>
          <cell r="N51">
            <v>33230.620799999997</v>
          </cell>
        </row>
        <row r="53">
          <cell r="L53">
            <v>1.3393049596402842</v>
          </cell>
          <cell r="M53">
            <v>2.3839999999999999</v>
          </cell>
          <cell r="N53">
            <v>2.1215999999999999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</sheetNames>
    <sheetDataSet>
      <sheetData sheetId="0">
        <row r="9">
          <cell r="L9">
            <v>0.9369968710343024</v>
          </cell>
        </row>
        <row r="14">
          <cell r="L14">
            <v>13631</v>
          </cell>
          <cell r="M14">
            <v>-600</v>
          </cell>
        </row>
        <row r="15">
          <cell r="L15">
            <v>13344</v>
          </cell>
          <cell r="M15">
            <v>-603</v>
          </cell>
        </row>
        <row r="16">
          <cell r="L16">
            <v>13007</v>
          </cell>
          <cell r="M16">
            <v>-589</v>
          </cell>
        </row>
        <row r="17">
          <cell r="L17">
            <v>13594</v>
          </cell>
          <cell r="M17">
            <v>-616</v>
          </cell>
        </row>
        <row r="18">
          <cell r="L18">
            <v>13311</v>
          </cell>
          <cell r="M18">
            <v>-601</v>
          </cell>
        </row>
        <row r="19">
          <cell r="L19">
            <v>13090</v>
          </cell>
          <cell r="M19">
            <v>-624</v>
          </cell>
        </row>
        <row r="20">
          <cell r="L20">
            <v>13214</v>
          </cell>
          <cell r="M20">
            <v>-615</v>
          </cell>
        </row>
        <row r="21">
          <cell r="L21">
            <v>13500</v>
          </cell>
          <cell r="M21">
            <v>-617</v>
          </cell>
        </row>
        <row r="22">
          <cell r="L22">
            <v>13649</v>
          </cell>
          <cell r="M22">
            <v>-624</v>
          </cell>
        </row>
        <row r="23">
          <cell r="L23">
            <v>13557</v>
          </cell>
          <cell r="M23">
            <v>-624</v>
          </cell>
        </row>
        <row r="24">
          <cell r="L24">
            <v>13721</v>
          </cell>
          <cell r="M24">
            <v>-647</v>
          </cell>
        </row>
        <row r="25">
          <cell r="L25">
            <v>13632</v>
          </cell>
          <cell r="M25">
            <v>-625</v>
          </cell>
        </row>
        <row r="26">
          <cell r="L26">
            <v>13649</v>
          </cell>
          <cell r="M26">
            <v>-624</v>
          </cell>
        </row>
        <row r="27">
          <cell r="L27">
            <v>13486</v>
          </cell>
          <cell r="M27">
            <v>-612</v>
          </cell>
        </row>
        <row r="28">
          <cell r="L28">
            <v>13928</v>
          </cell>
          <cell r="M28">
            <v>-666</v>
          </cell>
        </row>
        <row r="29">
          <cell r="L29">
            <v>14024</v>
          </cell>
          <cell r="M29">
            <v>-636</v>
          </cell>
        </row>
        <row r="30">
          <cell r="L30">
            <v>14207</v>
          </cell>
          <cell r="M30">
            <v>-647</v>
          </cell>
        </row>
        <row r="31">
          <cell r="L31">
            <v>13869</v>
          </cell>
          <cell r="M31">
            <v>-626</v>
          </cell>
        </row>
        <row r="32">
          <cell r="L32">
            <v>14242</v>
          </cell>
          <cell r="M32">
            <v>-635</v>
          </cell>
        </row>
        <row r="33">
          <cell r="L33">
            <v>14306</v>
          </cell>
          <cell r="M33">
            <v>-636</v>
          </cell>
        </row>
        <row r="34">
          <cell r="L34">
            <v>14624</v>
          </cell>
          <cell r="M34">
            <v>-659</v>
          </cell>
        </row>
        <row r="35">
          <cell r="L35">
            <v>14672</v>
          </cell>
          <cell r="M35">
            <v>-656</v>
          </cell>
        </row>
        <row r="36">
          <cell r="L36">
            <v>14601</v>
          </cell>
          <cell r="M36">
            <v>-657</v>
          </cell>
        </row>
        <row r="37">
          <cell r="L37">
            <v>14535</v>
          </cell>
          <cell r="M37">
            <v>-656</v>
          </cell>
        </row>
        <row r="38">
          <cell r="L38">
            <v>14452</v>
          </cell>
          <cell r="M38">
            <v>-650</v>
          </cell>
        </row>
        <row r="39">
          <cell r="L39">
            <v>14269</v>
          </cell>
          <cell r="M39">
            <v>-667</v>
          </cell>
        </row>
        <row r="40">
          <cell r="L40">
            <v>13915</v>
          </cell>
          <cell r="M40">
            <v>-654</v>
          </cell>
        </row>
        <row r="41">
          <cell r="L41">
            <v>12872</v>
          </cell>
          <cell r="M41">
            <v>-658</v>
          </cell>
        </row>
        <row r="42">
          <cell r="L42">
            <v>0</v>
          </cell>
          <cell r="M42">
            <v>0</v>
          </cell>
        </row>
        <row r="43">
          <cell r="L43">
            <v>0</v>
          </cell>
          <cell r="M43">
            <v>0</v>
          </cell>
        </row>
      </sheetData>
      <sheetData sheetId="1">
        <row r="23">
          <cell r="B23" t="str">
            <v>Facility Fee</v>
          </cell>
          <cell r="G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oleObject" Target="../embeddings/oleObject5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topLeftCell="C1" workbookViewId="0">
      <selection activeCell="C1" sqref="A1:IV65536"/>
    </sheetView>
  </sheetViews>
  <sheetFormatPr defaultRowHeight="12.75" x14ac:dyDescent="0.2"/>
  <cols>
    <col min="1" max="1" width="22.140625" customWidth="1"/>
    <col min="2" max="2" width="34" bestFit="1" customWidth="1"/>
    <col min="3" max="3" width="31.140625" bestFit="1" customWidth="1"/>
    <col min="4" max="5" width="13.85546875" customWidth="1"/>
    <col min="6" max="6" width="46.42578125" bestFit="1" customWidth="1"/>
    <col min="7" max="7" width="29.42578125" customWidth="1"/>
  </cols>
  <sheetData>
    <row r="1" spans="1:9" x14ac:dyDescent="0.2">
      <c r="C1" s="1" t="s">
        <v>0</v>
      </c>
      <c r="D1" s="2"/>
      <c r="E1" s="2"/>
      <c r="F1" s="3" t="s">
        <v>1</v>
      </c>
      <c r="G1" s="4"/>
    </row>
    <row r="2" spans="1:9" x14ac:dyDescent="0.2">
      <c r="C2" s="5"/>
      <c r="D2" s="6"/>
      <c r="E2" s="6"/>
      <c r="F2" s="7"/>
      <c r="G2" s="8" t="s">
        <v>2</v>
      </c>
    </row>
    <row r="3" spans="1:9" x14ac:dyDescent="0.2">
      <c r="C3" s="5" t="s">
        <v>3</v>
      </c>
      <c r="D3" s="6"/>
      <c r="E3" s="6"/>
      <c r="F3" s="7" t="s">
        <v>4</v>
      </c>
      <c r="G3" s="9">
        <f ca="1">TODAY()</f>
        <v>37239</v>
      </c>
    </row>
    <row r="4" spans="1:9" x14ac:dyDescent="0.2">
      <c r="C4" s="5"/>
      <c r="D4" s="6"/>
      <c r="E4" s="6"/>
      <c r="F4" s="7" t="s">
        <v>5</v>
      </c>
      <c r="G4" s="7"/>
    </row>
    <row r="5" spans="1:9" x14ac:dyDescent="0.2">
      <c r="C5" s="5"/>
      <c r="D5" s="6"/>
      <c r="E5" s="6"/>
      <c r="F5" s="7" t="s">
        <v>6</v>
      </c>
      <c r="G5" s="8" t="s">
        <v>7</v>
      </c>
    </row>
    <row r="6" spans="1:9" x14ac:dyDescent="0.2">
      <c r="C6" s="5"/>
      <c r="D6" s="6"/>
      <c r="E6" s="6"/>
      <c r="F6" s="7" t="s">
        <v>8</v>
      </c>
      <c r="G6" s="10">
        <v>37251</v>
      </c>
    </row>
    <row r="7" spans="1:9" x14ac:dyDescent="0.2">
      <c r="C7" s="5"/>
      <c r="D7" s="6"/>
      <c r="E7" s="6"/>
      <c r="F7" s="7" t="s">
        <v>9</v>
      </c>
      <c r="G7" s="7"/>
    </row>
    <row r="8" spans="1:9" x14ac:dyDescent="0.2">
      <c r="C8" s="5"/>
      <c r="D8" s="6"/>
      <c r="E8" s="6"/>
      <c r="F8" s="7" t="s">
        <v>10</v>
      </c>
      <c r="G8" s="8" t="s">
        <v>11</v>
      </c>
    </row>
    <row r="9" spans="1:9" x14ac:dyDescent="0.2">
      <c r="C9" s="5" t="s">
        <v>12</v>
      </c>
      <c r="D9" s="6"/>
      <c r="E9" s="6"/>
      <c r="F9" s="7"/>
      <c r="G9" s="11" t="s">
        <v>13</v>
      </c>
    </row>
    <row r="10" spans="1:9" x14ac:dyDescent="0.2">
      <c r="C10" s="5" t="s">
        <v>14</v>
      </c>
      <c r="D10" s="6"/>
      <c r="E10" s="6"/>
      <c r="F10" s="7"/>
      <c r="G10" s="8" t="s">
        <v>15</v>
      </c>
    </row>
    <row r="11" spans="1:9" x14ac:dyDescent="0.2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9" ht="13.5" thickBot="1" x14ac:dyDescent="0.25">
      <c r="A12" s="18">
        <f ca="1">NOW()</f>
        <v>37239.454818518519</v>
      </c>
      <c r="B12" s="19"/>
      <c r="C12" s="19"/>
      <c r="D12" s="19"/>
      <c r="E12" s="19"/>
      <c r="F12" s="19"/>
      <c r="G12" s="19"/>
      <c r="H12" s="20"/>
    </row>
    <row r="13" spans="1:9" x14ac:dyDescent="0.2">
      <c r="A13" s="21" t="s">
        <v>19</v>
      </c>
      <c r="B13" s="21" t="s">
        <v>20</v>
      </c>
      <c r="C13" s="21" t="s">
        <v>21</v>
      </c>
      <c r="D13" s="21"/>
      <c r="E13" s="21"/>
    </row>
    <row r="14" spans="1:9" x14ac:dyDescent="0.2">
      <c r="A14" s="22">
        <f>+'[1]Index Pricing'!A1</f>
        <v>37196</v>
      </c>
      <c r="B14" s="23">
        <v>96023736</v>
      </c>
      <c r="C14" s="24" t="s">
        <v>22</v>
      </c>
      <c r="D14" s="24"/>
      <c r="E14" s="24"/>
    </row>
    <row r="16" spans="1:9" x14ac:dyDescent="0.2">
      <c r="B16" s="25" t="s">
        <v>23</v>
      </c>
      <c r="C16" s="26" t="s">
        <v>24</v>
      </c>
      <c r="D16" s="27" t="s">
        <v>25</v>
      </c>
      <c r="E16" s="28" t="s">
        <v>26</v>
      </c>
      <c r="F16" s="28" t="s">
        <v>27</v>
      </c>
      <c r="G16" s="27" t="s">
        <v>28</v>
      </c>
      <c r="I16" s="29"/>
    </row>
    <row r="17" spans="1:7" x14ac:dyDescent="0.2">
      <c r="A17" s="30" t="s">
        <v>29</v>
      </c>
      <c r="B17" t="s">
        <v>30</v>
      </c>
      <c r="C17" s="31">
        <f>+'[1]Independent Detail'!J13</f>
        <v>-0.41149999999999998</v>
      </c>
      <c r="D17" s="32">
        <f>+'[1]Independent Detail'!L53</f>
        <v>1.3393049596402842</v>
      </c>
      <c r="E17" s="33">
        <f>+F17/'[1]Independent Detail'!B$5</f>
        <v>78800.690036986198</v>
      </c>
      <c r="F17" s="33">
        <f>+'[1]Independent Detail'!D51</f>
        <v>73836</v>
      </c>
      <c r="G17" s="34">
        <f>+'[1]Independent Detail'!L51</f>
        <v>98888.921000000017</v>
      </c>
    </row>
    <row r="18" spans="1:7" x14ac:dyDescent="0.2">
      <c r="A18" t="str">
        <f>+A17</f>
        <v>11/01/01 - 11/30/01</v>
      </c>
      <c r="B18" t="s">
        <v>31</v>
      </c>
      <c r="C18" s="31">
        <f>+'[1]Independent Detail'!J14</f>
        <v>-0.65600000000000003</v>
      </c>
      <c r="D18" s="35">
        <f>+'[1]Independent Detail'!M53</f>
        <v>2.3839999999999999</v>
      </c>
      <c r="E18" s="33">
        <f>+F18/'[1]Independent Detail'!B$5</f>
        <v>298483.38734715083</v>
      </c>
      <c r="F18" s="33">
        <f>+'[1]Independent Detail'!F51</f>
        <v>279678</v>
      </c>
      <c r="G18" s="34">
        <f>+'[1]Independent Detail'!M51</f>
        <v>666752.35199999996</v>
      </c>
    </row>
    <row r="19" spans="1:7" x14ac:dyDescent="0.2">
      <c r="A19" t="str">
        <f>+A18</f>
        <v>11/01/01 - 11/30/01</v>
      </c>
      <c r="B19" t="s">
        <v>32</v>
      </c>
      <c r="C19" s="31">
        <f>+'[1]Independent Detail'!J15</f>
        <v>-0.41839999999999999</v>
      </c>
      <c r="D19" s="35">
        <f>+'[1]Independent Detail'!N53</f>
        <v>2.1215999999999999</v>
      </c>
      <c r="E19" s="33">
        <f>+F19/'[1]Independent Detail'!B$5</f>
        <v>16716.171082524987</v>
      </c>
      <c r="F19" s="33">
        <f>+'[1]Independent Detail'!H51</f>
        <v>15663</v>
      </c>
      <c r="G19" s="34">
        <f>+'[1]Independent Detail'!N51</f>
        <v>33230.620799999997</v>
      </c>
    </row>
    <row r="20" spans="1:7" x14ac:dyDescent="0.2">
      <c r="A20" t="str">
        <f>+A19</f>
        <v>11/01/01 - 11/30/01</v>
      </c>
      <c r="C20" t="s">
        <v>33</v>
      </c>
      <c r="D20" s="36" t="s">
        <v>34</v>
      </c>
      <c r="E20" s="33">
        <f>+F20/'[1]Independent Detail'!B$5</f>
        <v>18915.751533337985</v>
      </c>
      <c r="F20" s="33">
        <f>+-'[1]Independent Detail'!J51</f>
        <v>17724</v>
      </c>
      <c r="G20" s="37" t="s">
        <v>35</v>
      </c>
    </row>
    <row r="21" spans="1:7" x14ac:dyDescent="0.2">
      <c r="A21" s="38" t="s">
        <v>36</v>
      </c>
      <c r="B21" s="21"/>
      <c r="C21" s="21"/>
      <c r="D21" s="39"/>
      <c r="E21" s="33">
        <f>+F21/'[1]Independent Detail'!B$5</f>
        <v>412916</v>
      </c>
      <c r="F21" s="38">
        <f>SUM(F17:F20)</f>
        <v>386901</v>
      </c>
      <c r="G21" s="40">
        <f>SUM(G17:G20)</f>
        <v>798871.89379999996</v>
      </c>
    </row>
    <row r="22" spans="1:7" x14ac:dyDescent="0.2">
      <c r="D22" s="36"/>
      <c r="E22" s="36"/>
      <c r="F22" s="33"/>
      <c r="G22" s="37"/>
    </row>
    <row r="23" spans="1:7" x14ac:dyDescent="0.2">
      <c r="A23" s="21"/>
      <c r="D23" s="36"/>
      <c r="E23" s="36"/>
      <c r="F23" s="33"/>
      <c r="G23" s="34"/>
    </row>
    <row r="24" spans="1:7" ht="15" x14ac:dyDescent="0.35">
      <c r="A24" s="21"/>
      <c r="B24" t="s">
        <v>37</v>
      </c>
      <c r="C24" s="41"/>
      <c r="D24" s="42"/>
      <c r="E24" s="42"/>
      <c r="F24" s="43"/>
      <c r="G24" s="40">
        <v>0</v>
      </c>
    </row>
    <row r="25" spans="1:7" x14ac:dyDescent="0.2">
      <c r="A25" s="44"/>
      <c r="B25" t="str">
        <f>'[2]Enron Summary'!$B$23</f>
        <v>Facility Fee</v>
      </c>
      <c r="C25" s="45"/>
      <c r="D25" s="46"/>
      <c r="E25" s="47"/>
      <c r="F25" s="33"/>
      <c r="G25" s="40">
        <f>-'[2]Enron Summary'!$G$23</f>
        <v>0</v>
      </c>
    </row>
    <row r="26" spans="1:7" x14ac:dyDescent="0.2">
      <c r="A26" s="44"/>
      <c r="B26" t="s">
        <v>38</v>
      </c>
      <c r="C26" s="45"/>
      <c r="D26" s="46"/>
      <c r="E26" s="47"/>
      <c r="F26" s="33"/>
      <c r="G26" s="40">
        <v>-15000</v>
      </c>
    </row>
    <row r="27" spans="1:7" x14ac:dyDescent="0.2">
      <c r="A27" s="44" t="s">
        <v>39</v>
      </c>
      <c r="C27" s="45"/>
      <c r="D27" s="46"/>
      <c r="E27" s="47"/>
      <c r="F27" s="33"/>
      <c r="G27" s="40"/>
    </row>
    <row r="28" spans="1:7" x14ac:dyDescent="0.2">
      <c r="A28" s="44"/>
      <c r="C28" s="45"/>
      <c r="D28" s="46"/>
      <c r="E28" s="47"/>
      <c r="F28" s="48"/>
    </row>
    <row r="29" spans="1:7" x14ac:dyDescent="0.2">
      <c r="A29" s="44"/>
      <c r="C29" s="45"/>
      <c r="D29" s="46"/>
      <c r="E29" s="47"/>
      <c r="F29" s="48"/>
    </row>
    <row r="30" spans="1:7" x14ac:dyDescent="0.2">
      <c r="A30" s="44"/>
      <c r="C30" s="45"/>
      <c r="D30" s="46"/>
      <c r="E30" s="47"/>
      <c r="F30" s="49" t="s">
        <v>40</v>
      </c>
      <c r="G30" s="40">
        <f>SUM(F28:F29)</f>
        <v>0</v>
      </c>
    </row>
    <row r="31" spans="1:7" x14ac:dyDescent="0.2">
      <c r="A31" s="44"/>
      <c r="C31" s="45"/>
      <c r="D31" s="46"/>
      <c r="E31" s="47"/>
      <c r="F31" s="33"/>
      <c r="G31" s="40"/>
    </row>
    <row r="32" spans="1:7" x14ac:dyDescent="0.2">
      <c r="A32" s="44"/>
      <c r="C32" s="45"/>
      <c r="D32" s="46"/>
      <c r="E32" s="47"/>
      <c r="F32" s="33"/>
      <c r="G32" s="40"/>
    </row>
    <row r="33" spans="1:7" x14ac:dyDescent="0.2">
      <c r="A33" s="44"/>
      <c r="C33" s="45"/>
      <c r="D33" s="46"/>
      <c r="E33" s="47"/>
      <c r="F33" s="33"/>
      <c r="G33" s="40"/>
    </row>
    <row r="34" spans="1:7" x14ac:dyDescent="0.2">
      <c r="A34" s="44"/>
      <c r="C34" s="45"/>
      <c r="D34" s="46"/>
      <c r="E34" s="47"/>
      <c r="F34" s="33"/>
      <c r="G34" s="40"/>
    </row>
    <row r="35" spans="1:7" x14ac:dyDescent="0.2">
      <c r="D35" s="50"/>
      <c r="E35" s="50"/>
      <c r="F35" s="33"/>
      <c r="G35" s="37"/>
    </row>
    <row r="36" spans="1:7" x14ac:dyDescent="0.2">
      <c r="D36" s="51" t="s">
        <v>41</v>
      </c>
      <c r="E36" s="51"/>
      <c r="F36" s="52"/>
      <c r="G36" s="53">
        <f>SUM(G21:G32)</f>
        <v>783871.89379999996</v>
      </c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025" r:id="rId3"/>
      </mc:Fallback>
    </mc:AlternateContent>
    <mc:AlternateContent xmlns:mc="http://schemas.openxmlformats.org/markup-compatibility/2006">
      <mc:Choice Requires="x14">
        <oleObject progId="Paint.Picture" shapeId="1026" r:id="rId5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026" r:id="rId5"/>
      </mc:Fallback>
    </mc:AlternateContent>
    <mc:AlternateContent xmlns:mc="http://schemas.openxmlformats.org/markup-compatibility/2006">
      <mc:Choice Requires="x14">
        <oleObject progId="Paint.Picture" shapeId="1027" r:id="rId6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02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sqref="A1:IV65536"/>
    </sheetView>
  </sheetViews>
  <sheetFormatPr defaultRowHeight="12.75" x14ac:dyDescent="0.2"/>
  <cols>
    <col min="1" max="1" width="16" customWidth="1"/>
    <col min="2" max="2" width="17" bestFit="1" customWidth="1"/>
    <col min="3" max="3" width="17.85546875" bestFit="1" customWidth="1"/>
    <col min="4" max="4" width="10.85546875" customWidth="1"/>
    <col min="5" max="5" width="17.42578125" bestFit="1" customWidth="1"/>
    <col min="6" max="6" width="22.7109375" bestFit="1" customWidth="1"/>
    <col min="7" max="7" width="15.42578125" customWidth="1"/>
    <col min="8" max="8" width="16.140625" customWidth="1"/>
    <col min="9" max="9" width="12.42578125" customWidth="1"/>
    <col min="10" max="10" width="18" bestFit="1" customWidth="1"/>
    <col min="11" max="11" width="16.140625" bestFit="1" customWidth="1"/>
    <col min="12" max="12" width="17.28515625" bestFit="1" customWidth="1"/>
    <col min="13" max="13" width="18" bestFit="1" customWidth="1"/>
    <col min="14" max="14" width="14.5703125" bestFit="1" customWidth="1"/>
    <col min="15" max="15" width="19.42578125" bestFit="1" customWidth="1"/>
    <col min="17" max="17" width="10.28515625" bestFit="1" customWidth="1"/>
  </cols>
  <sheetData>
    <row r="1" spans="1:15" x14ac:dyDescent="0.2">
      <c r="A1" s="21" t="s">
        <v>42</v>
      </c>
      <c r="B1" s="21" t="s">
        <v>43</v>
      </c>
      <c r="C1" s="21" t="s">
        <v>44</v>
      </c>
      <c r="F1" t="s">
        <v>45</v>
      </c>
      <c r="H1" s="21"/>
      <c r="I1" s="21"/>
      <c r="J1" s="21"/>
      <c r="N1" s="54">
        <f ca="1">NOW()</f>
        <v>37239.454818518519</v>
      </c>
    </row>
    <row r="2" spans="1:15" x14ac:dyDescent="0.2">
      <c r="A2" s="55">
        <f>+'[1]Index Pricing'!A1</f>
        <v>37196</v>
      </c>
      <c r="B2" s="21" t="s">
        <v>46</v>
      </c>
      <c r="C2" s="21" t="s">
        <v>47</v>
      </c>
      <c r="H2" s="21"/>
      <c r="I2" s="21"/>
      <c r="J2" s="21"/>
    </row>
    <row r="3" spans="1:15" x14ac:dyDescent="0.2">
      <c r="A3" s="55"/>
      <c r="B3" s="21" t="s">
        <v>48</v>
      </c>
      <c r="C3" s="21" t="s">
        <v>49</v>
      </c>
      <c r="F3" t="s">
        <v>50</v>
      </c>
      <c r="G3" t="s">
        <v>51</v>
      </c>
      <c r="H3" s="21"/>
      <c r="I3" s="21"/>
      <c r="J3" s="21"/>
    </row>
    <row r="4" spans="1:15" x14ac:dyDescent="0.2">
      <c r="A4" s="55"/>
      <c r="B4" s="21"/>
      <c r="C4" s="21"/>
      <c r="H4" s="21"/>
      <c r="I4" s="21"/>
      <c r="J4" s="21"/>
    </row>
    <row r="5" spans="1:15" x14ac:dyDescent="0.2">
      <c r="A5" s="56" t="s">
        <v>52</v>
      </c>
      <c r="B5" s="57">
        <f>'[2]Enron Detail'!$L$9</f>
        <v>0.9369968710343024</v>
      </c>
    </row>
    <row r="6" spans="1:15" x14ac:dyDescent="0.2">
      <c r="A6" s="56" t="s">
        <v>53</v>
      </c>
      <c r="B6" s="58">
        <f>0.35</f>
        <v>0.35</v>
      </c>
      <c r="C6" t="s">
        <v>54</v>
      </c>
    </row>
    <row r="7" spans="1:15" x14ac:dyDescent="0.2">
      <c r="A7" s="56" t="str">
        <f>+'[1]Index Pricing'!A3</f>
        <v>IF CIG Rockies</v>
      </c>
      <c r="B7" s="45">
        <f>+'[1]Index Pricing'!B3</f>
        <v>2.54</v>
      </c>
    </row>
    <row r="8" spans="1:15" x14ac:dyDescent="0.2">
      <c r="A8" s="56" t="str">
        <f>+'[1]Index Pricing'!A4</f>
        <v>IF NGPL Midcont.</v>
      </c>
      <c r="B8" s="45">
        <f>+'[1]Index Pricing'!B4</f>
        <v>3.04</v>
      </c>
    </row>
    <row r="9" spans="1:15" x14ac:dyDescent="0.2">
      <c r="A9" s="56"/>
      <c r="B9" s="45"/>
    </row>
    <row r="10" spans="1:15" x14ac:dyDescent="0.2">
      <c r="A10" s="59"/>
      <c r="B10" s="45"/>
    </row>
    <row r="11" spans="1:15" ht="13.5" thickBot="1" x14ac:dyDescent="0.25">
      <c r="A11" s="56"/>
    </row>
    <row r="12" spans="1:15" s="13" customFormat="1" ht="38.25" x14ac:dyDescent="0.2">
      <c r="A12" s="60"/>
      <c r="B12" s="61"/>
      <c r="C12" s="62" t="s">
        <v>55</v>
      </c>
      <c r="D12" s="62" t="s">
        <v>56</v>
      </c>
      <c r="E12" s="62" t="s">
        <v>57</v>
      </c>
      <c r="F12" s="63" t="str">
        <f>"WIC Med.Bow Fuel ("&amp;'[1]Index Pricing'!$F$3*100&amp;"%*CIGindex)"</f>
        <v>WIC Med.Bow Fuel (0.68%*CIGindex)</v>
      </c>
      <c r="G12" s="62" t="s">
        <v>58</v>
      </c>
      <c r="H12" s="62" t="s">
        <v>59</v>
      </c>
      <c r="I12" s="62" t="s">
        <v>60</v>
      </c>
      <c r="J12" s="64" t="s">
        <v>61</v>
      </c>
      <c r="K12" s="65"/>
      <c r="L12" s="65"/>
      <c r="M12" s="65"/>
      <c r="N12" s="65"/>
      <c r="O12" s="65"/>
    </row>
    <row r="13" spans="1:15" x14ac:dyDescent="0.2">
      <c r="A13" s="66" t="s">
        <v>62</v>
      </c>
      <c r="B13" s="67" t="s">
        <v>30</v>
      </c>
      <c r="C13" s="68">
        <v>-0.02</v>
      </c>
      <c r="D13" s="67">
        <f>-B6/B5</f>
        <v>-0.37353379805169795</v>
      </c>
      <c r="E13" s="67">
        <v>0</v>
      </c>
      <c r="F13" s="67">
        <v>0</v>
      </c>
      <c r="G13" s="67">
        <v>0</v>
      </c>
      <c r="H13" s="69">
        <v>0</v>
      </c>
      <c r="I13" s="67">
        <f>-+J51*D13/(D51+F51+H51)</f>
        <v>-1.7933167658516901E-2</v>
      </c>
      <c r="J13" s="70">
        <f>ROUND(SUM(C13:I13),4)</f>
        <v>-0.41149999999999998</v>
      </c>
    </row>
    <row r="14" spans="1:15" x14ac:dyDescent="0.2">
      <c r="A14" s="66"/>
      <c r="B14" s="67" t="s">
        <v>63</v>
      </c>
      <c r="C14" s="68">
        <v>0.01</v>
      </c>
      <c r="D14" s="67">
        <f>-B6/B5</f>
        <v>-0.37353379805169795</v>
      </c>
      <c r="E14" s="67">
        <f>-0.13-0.0025-0.0022</f>
        <v>-0.13470000000000001</v>
      </c>
      <c r="F14" s="67">
        <f>-'[1]Index Pricing'!$F$3*'[1]Index Pricing'!B3</f>
        <v>-1.7271999999999999E-2</v>
      </c>
      <c r="G14" s="67">
        <v>-0.1226</v>
      </c>
      <c r="H14" s="67">
        <v>0</v>
      </c>
      <c r="I14" s="67">
        <f>+I13</f>
        <v>-1.7933167658516901E-2</v>
      </c>
      <c r="J14" s="70">
        <f>ROUND(SUM(C14:I14),4)</f>
        <v>-0.65600000000000003</v>
      </c>
    </row>
    <row r="15" spans="1:15" ht="13.5" thickBot="1" x14ac:dyDescent="0.25">
      <c r="A15" s="71"/>
      <c r="B15" s="72" t="s">
        <v>64</v>
      </c>
      <c r="C15" s="73">
        <v>0.125</v>
      </c>
      <c r="D15" s="72">
        <f>-B6/B5</f>
        <v>-0.37353379805169795</v>
      </c>
      <c r="E15" s="72">
        <f>-0.13-0.0025-0.0022</f>
        <v>-0.13470000000000001</v>
      </c>
      <c r="F15" s="72">
        <f>-'[1]Index Pricing'!$F$3*'[1]Index Pricing'!B3</f>
        <v>-1.7271999999999999E-2</v>
      </c>
      <c r="G15" s="72"/>
      <c r="H15" s="72"/>
      <c r="I15" s="72">
        <f>+I14</f>
        <v>-1.7933167658516901E-2</v>
      </c>
      <c r="J15" s="74">
        <f>ROUND(SUM(C15:I15),4)</f>
        <v>-0.41839999999999999</v>
      </c>
    </row>
    <row r="16" spans="1:15" ht="13.5" thickBot="1" x14ac:dyDescent="0.25"/>
    <row r="17" spans="1:15" ht="39" thickBot="1" x14ac:dyDescent="0.25">
      <c r="A17" s="75"/>
      <c r="B17" s="75"/>
      <c r="C17" s="76" t="s">
        <v>65</v>
      </c>
      <c r="D17" s="77" t="s">
        <v>66</v>
      </c>
      <c r="E17" s="76" t="s">
        <v>67</v>
      </c>
      <c r="F17" s="77" t="s">
        <v>68</v>
      </c>
      <c r="G17" s="76" t="s">
        <v>69</v>
      </c>
      <c r="H17" s="77" t="s">
        <v>70</v>
      </c>
      <c r="I17" s="78"/>
      <c r="J17" s="75" t="s">
        <v>71</v>
      </c>
      <c r="K17" s="75" t="s">
        <v>72</v>
      </c>
      <c r="L17" s="79" t="s">
        <v>73</v>
      </c>
      <c r="M17" s="80" t="s">
        <v>74</v>
      </c>
      <c r="N17" s="77" t="s">
        <v>75</v>
      </c>
      <c r="O17" s="81" t="s">
        <v>76</v>
      </c>
    </row>
    <row r="18" spans="1:15" ht="13.5" thickBot="1" x14ac:dyDescent="0.25">
      <c r="B18" s="82" t="s">
        <v>77</v>
      </c>
      <c r="C18" s="83" t="s">
        <v>78</v>
      </c>
      <c r="D18" s="84"/>
      <c r="E18" s="83" t="s">
        <v>79</v>
      </c>
      <c r="F18" s="84"/>
      <c r="G18" s="83" t="s">
        <v>80</v>
      </c>
      <c r="H18" s="84"/>
      <c r="I18" s="20"/>
      <c r="L18" s="85"/>
      <c r="M18" s="20"/>
      <c r="N18" s="86"/>
      <c r="O18" s="45"/>
    </row>
    <row r="19" spans="1:15" x14ac:dyDescent="0.2">
      <c r="A19" s="87">
        <f>+'[1]Index Pricing'!A7</f>
        <v>37196</v>
      </c>
      <c r="B19" s="31">
        <f>+'[1]Index Pricing'!B7</f>
        <v>2.67</v>
      </c>
      <c r="C19" s="88">
        <f>+B19+$J$13</f>
        <v>2.2584999999999997</v>
      </c>
      <c r="D19" s="89">
        <f>+K19+J19-F19-H19</f>
        <v>2606</v>
      </c>
      <c r="E19" s="90">
        <f>+'[1]Index Pricing'!$B$4+$J$14</f>
        <v>2.3839999999999999</v>
      </c>
      <c r="F19" s="91">
        <f>ROUND(IF(((K19+J19)*0.8)&gt;=10000,10000,((K19+J19)*0.8)),0)</f>
        <v>10000</v>
      </c>
      <c r="G19" s="90">
        <f>+'[1]Index Pricing'!$B$3+$J$15</f>
        <v>2.1215999999999999</v>
      </c>
      <c r="H19" s="92">
        <f>ROUND(+IF(((K19+J19)*0.8)&gt;=10000,((K19+J19)*0.8)-10000,0),0)</f>
        <v>425</v>
      </c>
      <c r="I19" s="20"/>
      <c r="J19" s="33">
        <f>'[2]Enron Detail'!M14</f>
        <v>-600</v>
      </c>
      <c r="K19" s="33">
        <f>'[2]Enron Detail'!L14</f>
        <v>13631</v>
      </c>
      <c r="L19" s="93">
        <f>+C19*D19</f>
        <v>5885.6509999999989</v>
      </c>
      <c r="M19" s="94">
        <f>+E19*F19</f>
        <v>23840</v>
      </c>
      <c r="N19" s="95">
        <f>+G19*H19</f>
        <v>901.68</v>
      </c>
      <c r="O19" s="45">
        <f>+C19*D19+E19*F19+G19*H19</f>
        <v>30627.330999999998</v>
      </c>
    </row>
    <row r="20" spans="1:15" x14ac:dyDescent="0.2">
      <c r="A20" s="87">
        <f>+'[1]Index Pricing'!A8</f>
        <v>37197</v>
      </c>
      <c r="B20" s="31">
        <f>+'[1]Index Pricing'!B8</f>
        <v>2.36</v>
      </c>
      <c r="C20" s="96">
        <f t="shared" ref="C20:C49" si="0">+B20+$J$13</f>
        <v>1.9484999999999999</v>
      </c>
      <c r="D20" s="97">
        <f t="shared" ref="D20:D46" si="1">+K20+J20-F20-H20</f>
        <v>2548</v>
      </c>
      <c r="E20" s="98">
        <f>+'[1]Index Pricing'!$B$4+$J$14</f>
        <v>2.3839999999999999</v>
      </c>
      <c r="F20" s="99">
        <f t="shared" ref="F20:F48" si="2">ROUND(IF(((K20+J20)*0.8)&gt;=10000,10000,((K20+J20)*0.8)),0)</f>
        <v>10000</v>
      </c>
      <c r="G20" s="98">
        <f>+'[1]Index Pricing'!$B$3+$J$15</f>
        <v>2.1215999999999999</v>
      </c>
      <c r="H20" s="100">
        <f t="shared" ref="H20:H48" si="3">ROUND(+IF(((K20+J20)*0.8)&gt;=10000,((K20+J20)*0.8)-10000,0),0)</f>
        <v>193</v>
      </c>
      <c r="I20" s="20"/>
      <c r="J20" s="33">
        <f>'[2]Enron Detail'!M15</f>
        <v>-603</v>
      </c>
      <c r="K20" s="33">
        <f>'[2]Enron Detail'!L15</f>
        <v>13344</v>
      </c>
      <c r="L20" s="93">
        <f t="shared" ref="L20:L46" si="4">+C20*D20</f>
        <v>4964.7779999999993</v>
      </c>
      <c r="M20" s="94">
        <f t="shared" ref="M20:M46" si="5">+E20*F20</f>
        <v>23840</v>
      </c>
      <c r="N20" s="95">
        <f t="shared" ref="N20:N46" si="6">+G20*H20</f>
        <v>409.46879999999999</v>
      </c>
      <c r="O20" s="45">
        <f t="shared" ref="O20:O46" si="7">+C20*D20+E20*F20+G20*H20</f>
        <v>29214.246799999997</v>
      </c>
    </row>
    <row r="21" spans="1:15" x14ac:dyDescent="0.2">
      <c r="A21" s="87">
        <f>+'[1]Index Pricing'!A9</f>
        <v>37198</v>
      </c>
      <c r="B21" s="31">
        <f>+'[1]Index Pricing'!B9</f>
        <v>2.0150000000000001</v>
      </c>
      <c r="C21" s="96">
        <f t="shared" si="0"/>
        <v>1.6035000000000001</v>
      </c>
      <c r="D21" s="97">
        <f t="shared" si="1"/>
        <v>2484</v>
      </c>
      <c r="E21" s="98">
        <f>+'[1]Index Pricing'!$B$4+$J$14</f>
        <v>2.3839999999999999</v>
      </c>
      <c r="F21" s="99">
        <f t="shared" si="2"/>
        <v>9934</v>
      </c>
      <c r="G21" s="98">
        <f>+'[1]Index Pricing'!$B$3+$J$15</f>
        <v>2.1215999999999999</v>
      </c>
      <c r="H21" s="100">
        <f t="shared" si="3"/>
        <v>0</v>
      </c>
      <c r="I21" s="20"/>
      <c r="J21" s="33">
        <f>'[2]Enron Detail'!M16</f>
        <v>-589</v>
      </c>
      <c r="K21" s="33">
        <f>'[2]Enron Detail'!L16</f>
        <v>13007</v>
      </c>
      <c r="L21" s="93">
        <f t="shared" si="4"/>
        <v>3983.0940000000005</v>
      </c>
      <c r="M21" s="94">
        <f t="shared" si="5"/>
        <v>23682.655999999999</v>
      </c>
      <c r="N21" s="95">
        <f t="shared" si="6"/>
        <v>0</v>
      </c>
      <c r="O21" s="45">
        <f t="shared" si="7"/>
        <v>27665.75</v>
      </c>
    </row>
    <row r="22" spans="1:15" x14ac:dyDescent="0.2">
      <c r="A22" s="87">
        <f>+'[1]Index Pricing'!A10</f>
        <v>37199</v>
      </c>
      <c r="B22" s="31">
        <f>+'[1]Index Pricing'!B10</f>
        <v>2.0150000000000001</v>
      </c>
      <c r="C22" s="96">
        <f t="shared" si="0"/>
        <v>1.6035000000000001</v>
      </c>
      <c r="D22" s="97">
        <f t="shared" si="1"/>
        <v>2596</v>
      </c>
      <c r="E22" s="98">
        <f>+'[1]Index Pricing'!$B$4+$J$14</f>
        <v>2.3839999999999999</v>
      </c>
      <c r="F22" s="99">
        <f t="shared" si="2"/>
        <v>10000</v>
      </c>
      <c r="G22" s="98">
        <f>+'[1]Index Pricing'!$B$3+$J$15</f>
        <v>2.1215999999999999</v>
      </c>
      <c r="H22" s="100">
        <f t="shared" si="3"/>
        <v>382</v>
      </c>
      <c r="I22" s="20"/>
      <c r="J22" s="33">
        <f>'[2]Enron Detail'!M17</f>
        <v>-616</v>
      </c>
      <c r="K22" s="33">
        <f>'[2]Enron Detail'!L17</f>
        <v>13594</v>
      </c>
      <c r="L22" s="93">
        <f t="shared" si="4"/>
        <v>4162.6860000000006</v>
      </c>
      <c r="M22" s="94">
        <f t="shared" si="5"/>
        <v>23840</v>
      </c>
      <c r="N22" s="95">
        <f t="shared" si="6"/>
        <v>810.45119999999997</v>
      </c>
      <c r="O22" s="45">
        <f t="shared" si="7"/>
        <v>28813.137200000001</v>
      </c>
    </row>
    <row r="23" spans="1:15" x14ac:dyDescent="0.2">
      <c r="A23" s="87">
        <f>+'[1]Index Pricing'!A11</f>
        <v>37200</v>
      </c>
      <c r="B23" s="31">
        <f>+'[1]Index Pricing'!B11</f>
        <v>2.0150000000000001</v>
      </c>
      <c r="C23" s="96">
        <f t="shared" si="0"/>
        <v>1.6035000000000001</v>
      </c>
      <c r="D23" s="97">
        <f t="shared" si="1"/>
        <v>2542</v>
      </c>
      <c r="E23" s="98">
        <f>+'[1]Index Pricing'!$B$4+$J$14</f>
        <v>2.3839999999999999</v>
      </c>
      <c r="F23" s="99">
        <f t="shared" si="2"/>
        <v>10000</v>
      </c>
      <c r="G23" s="98">
        <f>+'[1]Index Pricing'!$B$3+$J$15</f>
        <v>2.1215999999999999</v>
      </c>
      <c r="H23" s="100">
        <f t="shared" si="3"/>
        <v>168</v>
      </c>
      <c r="I23" s="20"/>
      <c r="J23" s="33">
        <f>'[2]Enron Detail'!M18</f>
        <v>-601</v>
      </c>
      <c r="K23" s="33">
        <f>'[2]Enron Detail'!L18</f>
        <v>13311</v>
      </c>
      <c r="L23" s="93">
        <f t="shared" si="4"/>
        <v>4076.0970000000002</v>
      </c>
      <c r="M23" s="94">
        <f t="shared" si="5"/>
        <v>23840</v>
      </c>
      <c r="N23" s="95">
        <f t="shared" si="6"/>
        <v>356.42879999999997</v>
      </c>
      <c r="O23" s="45">
        <f t="shared" si="7"/>
        <v>28272.525800000003</v>
      </c>
    </row>
    <row r="24" spans="1:15" x14ac:dyDescent="0.2">
      <c r="A24" s="87">
        <f>+'[1]Index Pricing'!A12</f>
        <v>37201</v>
      </c>
      <c r="B24" s="31">
        <f>+'[1]Index Pricing'!B12</f>
        <v>2.16</v>
      </c>
      <c r="C24" s="96">
        <f t="shared" si="0"/>
        <v>1.7485000000000002</v>
      </c>
      <c r="D24" s="97">
        <f t="shared" si="1"/>
        <v>2493</v>
      </c>
      <c r="E24" s="98">
        <f>+'[1]Index Pricing'!$B$4+$J$14</f>
        <v>2.3839999999999999</v>
      </c>
      <c r="F24" s="99">
        <f t="shared" si="2"/>
        <v>9973</v>
      </c>
      <c r="G24" s="98">
        <f>+'[1]Index Pricing'!$B$3+$J$15</f>
        <v>2.1215999999999999</v>
      </c>
      <c r="H24" s="100">
        <f t="shared" si="3"/>
        <v>0</v>
      </c>
      <c r="I24" s="20"/>
      <c r="J24" s="33">
        <f>'[2]Enron Detail'!M19</f>
        <v>-624</v>
      </c>
      <c r="K24" s="33">
        <f>'[2]Enron Detail'!L19</f>
        <v>13090</v>
      </c>
      <c r="L24" s="93">
        <f t="shared" si="4"/>
        <v>4359.0105000000003</v>
      </c>
      <c r="M24" s="94">
        <f t="shared" si="5"/>
        <v>23775.631999999998</v>
      </c>
      <c r="N24" s="95">
        <f t="shared" si="6"/>
        <v>0</v>
      </c>
      <c r="O24" s="45">
        <f t="shared" si="7"/>
        <v>28134.642499999998</v>
      </c>
    </row>
    <row r="25" spans="1:15" x14ac:dyDescent="0.2">
      <c r="A25" s="87">
        <f>+'[1]Index Pricing'!A13</f>
        <v>37202</v>
      </c>
      <c r="B25" s="31">
        <f>+'[1]Index Pricing'!B13</f>
        <v>2.1349999999999998</v>
      </c>
      <c r="C25" s="96">
        <f t="shared" si="0"/>
        <v>1.7234999999999998</v>
      </c>
      <c r="D25" s="97">
        <f t="shared" si="1"/>
        <v>2520</v>
      </c>
      <c r="E25" s="98">
        <f>+'[1]Index Pricing'!$B$4+$J$14</f>
        <v>2.3839999999999999</v>
      </c>
      <c r="F25" s="99">
        <f t="shared" si="2"/>
        <v>10000</v>
      </c>
      <c r="G25" s="98">
        <f>+'[1]Index Pricing'!$B$3+$J$15</f>
        <v>2.1215999999999999</v>
      </c>
      <c r="H25" s="100">
        <f t="shared" si="3"/>
        <v>79</v>
      </c>
      <c r="I25" s="20"/>
      <c r="J25" s="33">
        <f>'[2]Enron Detail'!M20</f>
        <v>-615</v>
      </c>
      <c r="K25" s="33">
        <f>'[2]Enron Detail'!L20</f>
        <v>13214</v>
      </c>
      <c r="L25" s="93">
        <f t="shared" si="4"/>
        <v>4343.2199999999993</v>
      </c>
      <c r="M25" s="94">
        <f t="shared" si="5"/>
        <v>23840</v>
      </c>
      <c r="N25" s="95">
        <f t="shared" si="6"/>
        <v>167.60640000000001</v>
      </c>
      <c r="O25" s="45">
        <f t="shared" si="7"/>
        <v>28350.826400000002</v>
      </c>
    </row>
    <row r="26" spans="1:15" x14ac:dyDescent="0.2">
      <c r="A26" s="87">
        <f>+'[1]Index Pricing'!A14</f>
        <v>37203</v>
      </c>
      <c r="B26" s="31">
        <f>+'[1]Index Pricing'!B14</f>
        <v>2.13</v>
      </c>
      <c r="C26" s="96">
        <f t="shared" si="0"/>
        <v>1.7184999999999999</v>
      </c>
      <c r="D26" s="97">
        <f t="shared" si="1"/>
        <v>2577</v>
      </c>
      <c r="E26" s="98">
        <f>+'[1]Index Pricing'!$B$4+$J$14</f>
        <v>2.3839999999999999</v>
      </c>
      <c r="F26" s="99">
        <f t="shared" si="2"/>
        <v>10000</v>
      </c>
      <c r="G26" s="98">
        <f>+'[1]Index Pricing'!$B$3+$J$15</f>
        <v>2.1215999999999999</v>
      </c>
      <c r="H26" s="100">
        <f t="shared" si="3"/>
        <v>306</v>
      </c>
      <c r="I26" s="20"/>
      <c r="J26" s="33">
        <f>'[2]Enron Detail'!M21</f>
        <v>-617</v>
      </c>
      <c r="K26" s="33">
        <f>'[2]Enron Detail'!L21</f>
        <v>13500</v>
      </c>
      <c r="L26" s="93">
        <f t="shared" si="4"/>
        <v>4428.5744999999997</v>
      </c>
      <c r="M26" s="94">
        <f t="shared" si="5"/>
        <v>23840</v>
      </c>
      <c r="N26" s="95">
        <f t="shared" si="6"/>
        <v>649.20960000000002</v>
      </c>
      <c r="O26" s="45">
        <f t="shared" si="7"/>
        <v>28917.784099999997</v>
      </c>
    </row>
    <row r="27" spans="1:15" x14ac:dyDescent="0.2">
      <c r="A27" s="87">
        <f>+'[1]Index Pricing'!A15</f>
        <v>37204</v>
      </c>
      <c r="B27" s="31">
        <f>+'[1]Index Pricing'!B15</f>
        <v>1.9350000000000001</v>
      </c>
      <c r="C27" s="96">
        <f t="shared" si="0"/>
        <v>1.5235000000000001</v>
      </c>
      <c r="D27" s="97">
        <f t="shared" si="1"/>
        <v>2605</v>
      </c>
      <c r="E27" s="98">
        <f>+'[1]Index Pricing'!$B$4+$J$14</f>
        <v>2.3839999999999999</v>
      </c>
      <c r="F27" s="99">
        <f t="shared" si="2"/>
        <v>10000</v>
      </c>
      <c r="G27" s="98">
        <f>+'[1]Index Pricing'!$B$3+$J$15</f>
        <v>2.1215999999999999</v>
      </c>
      <c r="H27" s="100">
        <f t="shared" si="3"/>
        <v>420</v>
      </c>
      <c r="I27" s="20"/>
      <c r="J27" s="33">
        <f>'[2]Enron Detail'!M22</f>
        <v>-624</v>
      </c>
      <c r="K27" s="33">
        <f>'[2]Enron Detail'!L22</f>
        <v>13649</v>
      </c>
      <c r="L27" s="93">
        <f t="shared" si="4"/>
        <v>3968.7175000000002</v>
      </c>
      <c r="M27" s="94">
        <f t="shared" si="5"/>
        <v>23840</v>
      </c>
      <c r="N27" s="95">
        <f t="shared" si="6"/>
        <v>891.072</v>
      </c>
      <c r="O27" s="45">
        <f t="shared" si="7"/>
        <v>28699.789499999999</v>
      </c>
    </row>
    <row r="28" spans="1:15" x14ac:dyDescent="0.2">
      <c r="A28" s="87">
        <f>+'[1]Index Pricing'!A16</f>
        <v>37205</v>
      </c>
      <c r="B28" s="31">
        <f>+'[1]Index Pricing'!B16</f>
        <v>1.7</v>
      </c>
      <c r="C28" s="96">
        <f t="shared" si="0"/>
        <v>1.2885</v>
      </c>
      <c r="D28" s="97">
        <f t="shared" si="1"/>
        <v>2587</v>
      </c>
      <c r="E28" s="98">
        <f>+'[1]Index Pricing'!$B$4+$J$14</f>
        <v>2.3839999999999999</v>
      </c>
      <c r="F28" s="99">
        <f t="shared" si="2"/>
        <v>10000</v>
      </c>
      <c r="G28" s="98">
        <f>+'[1]Index Pricing'!$B$3+$J$15</f>
        <v>2.1215999999999999</v>
      </c>
      <c r="H28" s="100">
        <f t="shared" si="3"/>
        <v>346</v>
      </c>
      <c r="I28" s="20"/>
      <c r="J28" s="33">
        <f>'[2]Enron Detail'!M23</f>
        <v>-624</v>
      </c>
      <c r="K28" s="33">
        <f>'[2]Enron Detail'!L23</f>
        <v>13557</v>
      </c>
      <c r="L28" s="93">
        <f t="shared" si="4"/>
        <v>3333.3494999999998</v>
      </c>
      <c r="M28" s="94">
        <f t="shared" si="5"/>
        <v>23840</v>
      </c>
      <c r="N28" s="95">
        <f t="shared" si="6"/>
        <v>734.07359999999994</v>
      </c>
      <c r="O28" s="45">
        <f t="shared" si="7"/>
        <v>27907.4231</v>
      </c>
    </row>
    <row r="29" spans="1:15" x14ac:dyDescent="0.2">
      <c r="A29" s="87">
        <f>+'[1]Index Pricing'!A17</f>
        <v>37206</v>
      </c>
      <c r="B29" s="31">
        <f>+'[1]Index Pricing'!B17</f>
        <v>1.7</v>
      </c>
      <c r="C29" s="96">
        <f t="shared" si="0"/>
        <v>1.2885</v>
      </c>
      <c r="D29" s="97">
        <f t="shared" si="1"/>
        <v>2615</v>
      </c>
      <c r="E29" s="98">
        <f>+'[1]Index Pricing'!$B$4+$J$14</f>
        <v>2.3839999999999999</v>
      </c>
      <c r="F29" s="99">
        <f t="shared" si="2"/>
        <v>10000</v>
      </c>
      <c r="G29" s="98">
        <f>+'[1]Index Pricing'!$B$3+$J$15</f>
        <v>2.1215999999999999</v>
      </c>
      <c r="H29" s="100">
        <f t="shared" si="3"/>
        <v>459</v>
      </c>
      <c r="I29" s="20"/>
      <c r="J29" s="33">
        <f>'[2]Enron Detail'!M24</f>
        <v>-647</v>
      </c>
      <c r="K29" s="33">
        <f>'[2]Enron Detail'!L24</f>
        <v>13721</v>
      </c>
      <c r="L29" s="93">
        <f t="shared" si="4"/>
        <v>3369.4274999999998</v>
      </c>
      <c r="M29" s="94">
        <f t="shared" si="5"/>
        <v>23840</v>
      </c>
      <c r="N29" s="95">
        <f t="shared" si="6"/>
        <v>973.81439999999998</v>
      </c>
      <c r="O29" s="45">
        <f t="shared" si="7"/>
        <v>28183.241899999997</v>
      </c>
    </row>
    <row r="30" spans="1:15" x14ac:dyDescent="0.2">
      <c r="A30" s="87">
        <f>+'[1]Index Pricing'!A18</f>
        <v>37207</v>
      </c>
      <c r="B30" s="31">
        <f>+'[1]Index Pricing'!B18</f>
        <v>1.7</v>
      </c>
      <c r="C30" s="96">
        <f t="shared" si="0"/>
        <v>1.2885</v>
      </c>
      <c r="D30" s="97">
        <f t="shared" si="1"/>
        <v>2601</v>
      </c>
      <c r="E30" s="98">
        <f>+'[1]Index Pricing'!$B$4+$J$14</f>
        <v>2.3839999999999999</v>
      </c>
      <c r="F30" s="99">
        <f t="shared" si="2"/>
        <v>10000</v>
      </c>
      <c r="G30" s="98">
        <f>+'[1]Index Pricing'!$B$3+$J$15</f>
        <v>2.1215999999999999</v>
      </c>
      <c r="H30" s="100">
        <f t="shared" si="3"/>
        <v>406</v>
      </c>
      <c r="I30" s="20"/>
      <c r="J30" s="33">
        <f>'[2]Enron Detail'!M25</f>
        <v>-625</v>
      </c>
      <c r="K30" s="33">
        <f>'[2]Enron Detail'!L25</f>
        <v>13632</v>
      </c>
      <c r="L30" s="93">
        <f t="shared" si="4"/>
        <v>3351.3885</v>
      </c>
      <c r="M30" s="94">
        <f t="shared" si="5"/>
        <v>23840</v>
      </c>
      <c r="N30" s="95">
        <f t="shared" si="6"/>
        <v>861.36959999999999</v>
      </c>
      <c r="O30" s="45">
        <f t="shared" si="7"/>
        <v>28052.758099999999</v>
      </c>
    </row>
    <row r="31" spans="1:15" x14ac:dyDescent="0.2">
      <c r="A31" s="87">
        <f>+'[1]Index Pricing'!A19</f>
        <v>37208</v>
      </c>
      <c r="B31" s="31">
        <f>+'[1]Index Pricing'!B19</f>
        <v>1.52</v>
      </c>
      <c r="C31" s="96">
        <f t="shared" si="0"/>
        <v>1.1085</v>
      </c>
      <c r="D31" s="97">
        <f t="shared" si="1"/>
        <v>2605</v>
      </c>
      <c r="E31" s="98">
        <f>+'[1]Index Pricing'!$B$4+$J$14</f>
        <v>2.3839999999999999</v>
      </c>
      <c r="F31" s="99">
        <f t="shared" si="2"/>
        <v>10000</v>
      </c>
      <c r="G31" s="98">
        <f>+'[1]Index Pricing'!$B$3+$J$15</f>
        <v>2.1215999999999999</v>
      </c>
      <c r="H31" s="100">
        <f t="shared" si="3"/>
        <v>420</v>
      </c>
      <c r="I31" s="20"/>
      <c r="J31" s="33">
        <f>'[2]Enron Detail'!M26</f>
        <v>-624</v>
      </c>
      <c r="K31" s="33">
        <f>'[2]Enron Detail'!L26</f>
        <v>13649</v>
      </c>
      <c r="L31" s="93">
        <f t="shared" si="4"/>
        <v>2887.6424999999999</v>
      </c>
      <c r="M31" s="94">
        <f t="shared" si="5"/>
        <v>23840</v>
      </c>
      <c r="N31" s="95">
        <f t="shared" si="6"/>
        <v>891.072</v>
      </c>
      <c r="O31" s="45">
        <f t="shared" si="7"/>
        <v>27618.714500000002</v>
      </c>
    </row>
    <row r="32" spans="1:15" x14ac:dyDescent="0.2">
      <c r="A32" s="87">
        <f>+'[1]Index Pricing'!A20</f>
        <v>37209</v>
      </c>
      <c r="B32" s="31">
        <f>+'[1]Index Pricing'!B20</f>
        <v>1.595</v>
      </c>
      <c r="C32" s="96">
        <f t="shared" si="0"/>
        <v>1.1835</v>
      </c>
      <c r="D32" s="97">
        <f t="shared" si="1"/>
        <v>2575</v>
      </c>
      <c r="E32" s="98">
        <f>+'[1]Index Pricing'!$B$4+$J$14</f>
        <v>2.3839999999999999</v>
      </c>
      <c r="F32" s="99">
        <f t="shared" si="2"/>
        <v>10000</v>
      </c>
      <c r="G32" s="98">
        <f>+'[1]Index Pricing'!$B$3+$J$15</f>
        <v>2.1215999999999999</v>
      </c>
      <c r="H32" s="100">
        <f t="shared" si="3"/>
        <v>299</v>
      </c>
      <c r="I32" s="20"/>
      <c r="J32" s="33">
        <f>'[2]Enron Detail'!M27</f>
        <v>-612</v>
      </c>
      <c r="K32" s="33">
        <f>'[2]Enron Detail'!L27</f>
        <v>13486</v>
      </c>
      <c r="L32" s="93">
        <f t="shared" si="4"/>
        <v>3047.5124999999998</v>
      </c>
      <c r="M32" s="94">
        <f t="shared" si="5"/>
        <v>23840</v>
      </c>
      <c r="N32" s="95">
        <f t="shared" si="6"/>
        <v>634.35839999999996</v>
      </c>
      <c r="O32" s="45">
        <f t="shared" si="7"/>
        <v>27521.870900000002</v>
      </c>
    </row>
    <row r="33" spans="1:15" x14ac:dyDescent="0.2">
      <c r="A33" s="87">
        <f>+'[1]Index Pricing'!A21</f>
        <v>37210</v>
      </c>
      <c r="B33" s="31">
        <f>+'[1]Index Pricing'!B21</f>
        <v>1.84</v>
      </c>
      <c r="C33" s="96">
        <f t="shared" si="0"/>
        <v>1.4285000000000001</v>
      </c>
      <c r="D33" s="97">
        <f t="shared" si="1"/>
        <v>2652</v>
      </c>
      <c r="E33" s="98">
        <f>+'[1]Index Pricing'!$B$4+$J$14</f>
        <v>2.3839999999999999</v>
      </c>
      <c r="F33" s="99">
        <f t="shared" si="2"/>
        <v>10000</v>
      </c>
      <c r="G33" s="98">
        <f>+'[1]Index Pricing'!$B$3+$J$15</f>
        <v>2.1215999999999999</v>
      </c>
      <c r="H33" s="100">
        <f t="shared" si="3"/>
        <v>610</v>
      </c>
      <c r="I33" s="20"/>
      <c r="J33" s="33">
        <f>'[2]Enron Detail'!M28</f>
        <v>-666</v>
      </c>
      <c r="K33" s="33">
        <f>'[2]Enron Detail'!L28</f>
        <v>13928</v>
      </c>
      <c r="L33" s="93">
        <f t="shared" si="4"/>
        <v>3788.3820000000001</v>
      </c>
      <c r="M33" s="94">
        <f t="shared" si="5"/>
        <v>23840</v>
      </c>
      <c r="N33" s="95">
        <f t="shared" si="6"/>
        <v>1294.1759999999999</v>
      </c>
      <c r="O33" s="45">
        <f t="shared" si="7"/>
        <v>28922.558000000001</v>
      </c>
    </row>
    <row r="34" spans="1:15" x14ac:dyDescent="0.2">
      <c r="A34" s="87">
        <f>+'[1]Index Pricing'!A22</f>
        <v>37211</v>
      </c>
      <c r="B34" s="31">
        <f>+'[1]Index Pricing'!B22</f>
        <v>1.4350000000000001</v>
      </c>
      <c r="C34" s="96">
        <f t="shared" si="0"/>
        <v>1.0235000000000001</v>
      </c>
      <c r="D34" s="97">
        <f t="shared" si="1"/>
        <v>2678</v>
      </c>
      <c r="E34" s="98">
        <f>+'[1]Index Pricing'!$B$4+$J$14</f>
        <v>2.3839999999999999</v>
      </c>
      <c r="F34" s="99">
        <f t="shared" si="2"/>
        <v>10000</v>
      </c>
      <c r="G34" s="98">
        <f>+'[1]Index Pricing'!$B$3+$J$15</f>
        <v>2.1215999999999999</v>
      </c>
      <c r="H34" s="100">
        <f t="shared" si="3"/>
        <v>710</v>
      </c>
      <c r="I34" s="20"/>
      <c r="J34" s="33">
        <f>'[2]Enron Detail'!M29</f>
        <v>-636</v>
      </c>
      <c r="K34" s="33">
        <f>'[2]Enron Detail'!L29</f>
        <v>14024</v>
      </c>
      <c r="L34" s="93">
        <f t="shared" si="4"/>
        <v>2740.933</v>
      </c>
      <c r="M34" s="94">
        <f t="shared" si="5"/>
        <v>23840</v>
      </c>
      <c r="N34" s="95">
        <f t="shared" si="6"/>
        <v>1506.336</v>
      </c>
      <c r="O34" s="45">
        <f t="shared" si="7"/>
        <v>28087.269</v>
      </c>
    </row>
    <row r="35" spans="1:15" x14ac:dyDescent="0.2">
      <c r="A35" s="87">
        <f>+'[1]Index Pricing'!A23</f>
        <v>37212</v>
      </c>
      <c r="B35" s="31">
        <f>+'[1]Index Pricing'!B23</f>
        <v>1.135</v>
      </c>
      <c r="C35" s="96">
        <f t="shared" si="0"/>
        <v>0.72350000000000003</v>
      </c>
      <c r="D35" s="97">
        <f t="shared" si="1"/>
        <v>2712</v>
      </c>
      <c r="E35" s="98">
        <f>+'[1]Index Pricing'!$B$4+$J$14</f>
        <v>2.3839999999999999</v>
      </c>
      <c r="F35" s="99">
        <f t="shared" si="2"/>
        <v>10000</v>
      </c>
      <c r="G35" s="98">
        <f>+'[1]Index Pricing'!$B$3+$J$15</f>
        <v>2.1215999999999999</v>
      </c>
      <c r="H35" s="100">
        <f t="shared" si="3"/>
        <v>848</v>
      </c>
      <c r="I35" s="20"/>
      <c r="J35" s="33">
        <f>'[2]Enron Detail'!M30</f>
        <v>-647</v>
      </c>
      <c r="K35" s="33">
        <f>'[2]Enron Detail'!L30</f>
        <v>14207</v>
      </c>
      <c r="L35" s="93">
        <f t="shared" si="4"/>
        <v>1962.1320000000001</v>
      </c>
      <c r="M35" s="94">
        <f t="shared" si="5"/>
        <v>23840</v>
      </c>
      <c r="N35" s="95">
        <f t="shared" si="6"/>
        <v>1799.1168</v>
      </c>
      <c r="O35" s="45">
        <f t="shared" si="7"/>
        <v>27601.248800000001</v>
      </c>
    </row>
    <row r="36" spans="1:15" x14ac:dyDescent="0.2">
      <c r="A36" s="87">
        <f>+'[1]Index Pricing'!A24</f>
        <v>37213</v>
      </c>
      <c r="B36" s="31">
        <f>+'[1]Index Pricing'!B24</f>
        <v>1.135</v>
      </c>
      <c r="C36" s="96">
        <f t="shared" si="0"/>
        <v>0.72350000000000003</v>
      </c>
      <c r="D36" s="97">
        <f t="shared" si="1"/>
        <v>2649</v>
      </c>
      <c r="E36" s="98">
        <f>+'[1]Index Pricing'!$B$4+$J$14</f>
        <v>2.3839999999999999</v>
      </c>
      <c r="F36" s="99">
        <f t="shared" si="2"/>
        <v>10000</v>
      </c>
      <c r="G36" s="98">
        <f>+'[1]Index Pricing'!$B$3+$J$15</f>
        <v>2.1215999999999999</v>
      </c>
      <c r="H36" s="100">
        <f t="shared" si="3"/>
        <v>594</v>
      </c>
      <c r="I36" s="20"/>
      <c r="J36" s="33">
        <f>'[2]Enron Detail'!M31</f>
        <v>-626</v>
      </c>
      <c r="K36" s="33">
        <f>'[2]Enron Detail'!L31</f>
        <v>13869</v>
      </c>
      <c r="L36" s="93">
        <f t="shared" si="4"/>
        <v>1916.5515</v>
      </c>
      <c r="M36" s="94">
        <f t="shared" si="5"/>
        <v>23840</v>
      </c>
      <c r="N36" s="95">
        <f t="shared" si="6"/>
        <v>1260.2303999999999</v>
      </c>
      <c r="O36" s="45">
        <f t="shared" si="7"/>
        <v>27016.781900000002</v>
      </c>
    </row>
    <row r="37" spans="1:15" x14ac:dyDescent="0.2">
      <c r="A37" s="87">
        <f>+'[1]Index Pricing'!A25</f>
        <v>37214</v>
      </c>
      <c r="B37" s="31">
        <f>+'[1]Index Pricing'!B25</f>
        <v>1.135</v>
      </c>
      <c r="C37" s="96">
        <f t="shared" si="0"/>
        <v>0.72350000000000003</v>
      </c>
      <c r="D37" s="97">
        <f t="shared" si="1"/>
        <v>2721</v>
      </c>
      <c r="E37" s="98">
        <f>+'[1]Index Pricing'!$B$4+$J$14</f>
        <v>2.3839999999999999</v>
      </c>
      <c r="F37" s="99">
        <f t="shared" si="2"/>
        <v>10000</v>
      </c>
      <c r="G37" s="98">
        <f>+'[1]Index Pricing'!$B$3+$J$15</f>
        <v>2.1215999999999999</v>
      </c>
      <c r="H37" s="100">
        <f t="shared" si="3"/>
        <v>886</v>
      </c>
      <c r="I37" s="20"/>
      <c r="J37" s="33">
        <f>'[2]Enron Detail'!M32</f>
        <v>-635</v>
      </c>
      <c r="K37" s="33">
        <f>'[2]Enron Detail'!L32</f>
        <v>14242</v>
      </c>
      <c r="L37" s="93">
        <f t="shared" si="4"/>
        <v>1968.6435000000001</v>
      </c>
      <c r="M37" s="94">
        <f t="shared" si="5"/>
        <v>23840</v>
      </c>
      <c r="N37" s="95">
        <f t="shared" si="6"/>
        <v>1879.7375999999999</v>
      </c>
      <c r="O37" s="45">
        <f t="shared" si="7"/>
        <v>27688.381099999999</v>
      </c>
    </row>
    <row r="38" spans="1:15" x14ac:dyDescent="0.2">
      <c r="A38" s="87">
        <f>+'[1]Index Pricing'!A26</f>
        <v>37215</v>
      </c>
      <c r="B38" s="31">
        <f>+'[1]Index Pricing'!B26</f>
        <v>1.5349999999999999</v>
      </c>
      <c r="C38" s="96">
        <f t="shared" si="0"/>
        <v>1.1234999999999999</v>
      </c>
      <c r="D38" s="97">
        <f t="shared" si="1"/>
        <v>2734</v>
      </c>
      <c r="E38" s="98">
        <f>+'[1]Index Pricing'!$B$4+$J$14</f>
        <v>2.3839999999999999</v>
      </c>
      <c r="F38" s="99">
        <f t="shared" si="2"/>
        <v>10000</v>
      </c>
      <c r="G38" s="98">
        <f>+'[1]Index Pricing'!$B$3+$J$15</f>
        <v>2.1215999999999999</v>
      </c>
      <c r="H38" s="100">
        <f t="shared" si="3"/>
        <v>936</v>
      </c>
      <c r="I38" s="20"/>
      <c r="J38" s="33">
        <f>'[2]Enron Detail'!M33</f>
        <v>-636</v>
      </c>
      <c r="K38" s="33">
        <f>'[2]Enron Detail'!L33</f>
        <v>14306</v>
      </c>
      <c r="L38" s="93">
        <f t="shared" si="4"/>
        <v>3071.6489999999999</v>
      </c>
      <c r="M38" s="94">
        <f t="shared" si="5"/>
        <v>23840</v>
      </c>
      <c r="N38" s="95">
        <f t="shared" si="6"/>
        <v>1985.8175999999999</v>
      </c>
      <c r="O38" s="45">
        <f t="shared" si="7"/>
        <v>28897.4666</v>
      </c>
    </row>
    <row r="39" spans="1:15" x14ac:dyDescent="0.2">
      <c r="A39" s="87">
        <f>+'[1]Index Pricing'!A27</f>
        <v>37216</v>
      </c>
      <c r="B39" s="31">
        <f>+'[1]Index Pricing'!B27</f>
        <v>2.2050000000000001</v>
      </c>
      <c r="C39" s="96">
        <f t="shared" si="0"/>
        <v>1.7935000000000001</v>
      </c>
      <c r="D39" s="97">
        <f t="shared" si="1"/>
        <v>2793</v>
      </c>
      <c r="E39" s="98">
        <f>+'[1]Index Pricing'!$B$4+$J$14</f>
        <v>2.3839999999999999</v>
      </c>
      <c r="F39" s="99">
        <f t="shared" si="2"/>
        <v>10000</v>
      </c>
      <c r="G39" s="98">
        <f>+'[1]Index Pricing'!$B$3+$J$15</f>
        <v>2.1215999999999999</v>
      </c>
      <c r="H39" s="100">
        <f t="shared" si="3"/>
        <v>1172</v>
      </c>
      <c r="I39" s="20"/>
      <c r="J39" s="33">
        <f>'[2]Enron Detail'!M34</f>
        <v>-659</v>
      </c>
      <c r="K39" s="33">
        <f>'[2]Enron Detail'!L34</f>
        <v>14624</v>
      </c>
      <c r="L39" s="93">
        <f t="shared" si="4"/>
        <v>5009.2455</v>
      </c>
      <c r="M39" s="94">
        <f t="shared" si="5"/>
        <v>23840</v>
      </c>
      <c r="N39" s="95">
        <f t="shared" si="6"/>
        <v>2486.5151999999998</v>
      </c>
      <c r="O39" s="45">
        <f t="shared" si="7"/>
        <v>31335.760699999999</v>
      </c>
    </row>
    <row r="40" spans="1:15" x14ac:dyDescent="0.2">
      <c r="A40" s="87">
        <f>+'[1]Index Pricing'!A28</f>
        <v>37217</v>
      </c>
      <c r="B40" s="31">
        <f>+'[1]Index Pricing'!B28</f>
        <v>1.43</v>
      </c>
      <c r="C40" s="96">
        <f t="shared" si="0"/>
        <v>1.0185</v>
      </c>
      <c r="D40" s="97">
        <f t="shared" si="1"/>
        <v>2803</v>
      </c>
      <c r="E40" s="98">
        <f>+'[1]Index Pricing'!$B$4+$J$14</f>
        <v>2.3839999999999999</v>
      </c>
      <c r="F40" s="99">
        <f t="shared" si="2"/>
        <v>10000</v>
      </c>
      <c r="G40" s="98">
        <f>+'[1]Index Pricing'!$B$3+$J$15</f>
        <v>2.1215999999999999</v>
      </c>
      <c r="H40" s="100">
        <f t="shared" si="3"/>
        <v>1213</v>
      </c>
      <c r="I40" s="20"/>
      <c r="J40" s="33">
        <f>'[2]Enron Detail'!M35</f>
        <v>-656</v>
      </c>
      <c r="K40" s="33">
        <f>'[2]Enron Detail'!L35</f>
        <v>14672</v>
      </c>
      <c r="L40" s="93">
        <f t="shared" si="4"/>
        <v>2854.8554999999997</v>
      </c>
      <c r="M40" s="94">
        <f t="shared" si="5"/>
        <v>23840</v>
      </c>
      <c r="N40" s="95">
        <f t="shared" si="6"/>
        <v>2573.5007999999998</v>
      </c>
      <c r="O40" s="45">
        <f t="shared" si="7"/>
        <v>29268.356299999999</v>
      </c>
    </row>
    <row r="41" spans="1:15" x14ac:dyDescent="0.2">
      <c r="A41" s="87">
        <f>+'[1]Index Pricing'!A29</f>
        <v>37218</v>
      </c>
      <c r="B41" s="31">
        <f>+'[1]Index Pricing'!B29</f>
        <v>1.43</v>
      </c>
      <c r="C41" s="96">
        <f t="shared" si="0"/>
        <v>1.0185</v>
      </c>
      <c r="D41" s="97">
        <f t="shared" si="1"/>
        <v>2789</v>
      </c>
      <c r="E41" s="98">
        <f>+'[1]Index Pricing'!$B$4+$J$14</f>
        <v>2.3839999999999999</v>
      </c>
      <c r="F41" s="99">
        <f t="shared" si="2"/>
        <v>10000</v>
      </c>
      <c r="G41" s="98">
        <f>+'[1]Index Pricing'!$B$3+$J$15</f>
        <v>2.1215999999999999</v>
      </c>
      <c r="H41" s="100">
        <f t="shared" si="3"/>
        <v>1155</v>
      </c>
      <c r="I41" s="20"/>
      <c r="J41" s="33">
        <f>'[2]Enron Detail'!M36</f>
        <v>-657</v>
      </c>
      <c r="K41" s="33">
        <f>'[2]Enron Detail'!L36</f>
        <v>14601</v>
      </c>
      <c r="L41" s="93">
        <f t="shared" si="4"/>
        <v>2840.5965000000001</v>
      </c>
      <c r="M41" s="94">
        <f t="shared" si="5"/>
        <v>23840</v>
      </c>
      <c r="N41" s="95">
        <f t="shared" si="6"/>
        <v>2450.4479999999999</v>
      </c>
      <c r="O41" s="45">
        <f t="shared" si="7"/>
        <v>29131.0445</v>
      </c>
    </row>
    <row r="42" spans="1:15" x14ac:dyDescent="0.2">
      <c r="A42" s="87">
        <f>+'[1]Index Pricing'!A30</f>
        <v>37219</v>
      </c>
      <c r="B42" s="31">
        <f>+'[1]Index Pricing'!B30</f>
        <v>1.43</v>
      </c>
      <c r="C42" s="96">
        <f t="shared" si="0"/>
        <v>1.0185</v>
      </c>
      <c r="D42" s="97">
        <f t="shared" si="1"/>
        <v>2776</v>
      </c>
      <c r="E42" s="98">
        <f>+'[1]Index Pricing'!$B$4+$J$14</f>
        <v>2.3839999999999999</v>
      </c>
      <c r="F42" s="99">
        <f t="shared" si="2"/>
        <v>10000</v>
      </c>
      <c r="G42" s="98">
        <f>+'[1]Index Pricing'!$B$3+$J$15</f>
        <v>2.1215999999999999</v>
      </c>
      <c r="H42" s="100">
        <f t="shared" si="3"/>
        <v>1103</v>
      </c>
      <c r="I42" s="20"/>
      <c r="J42" s="33">
        <f>'[2]Enron Detail'!M37</f>
        <v>-656</v>
      </c>
      <c r="K42" s="33">
        <f>'[2]Enron Detail'!L37</f>
        <v>14535</v>
      </c>
      <c r="L42" s="93">
        <f t="shared" si="4"/>
        <v>2827.3559999999998</v>
      </c>
      <c r="M42" s="94">
        <f t="shared" si="5"/>
        <v>23840</v>
      </c>
      <c r="N42" s="95">
        <f t="shared" si="6"/>
        <v>2340.1248000000001</v>
      </c>
      <c r="O42" s="45">
        <f t="shared" si="7"/>
        <v>29007.480800000001</v>
      </c>
    </row>
    <row r="43" spans="1:15" x14ac:dyDescent="0.2">
      <c r="A43" s="87">
        <f>+'[1]Index Pricing'!A31</f>
        <v>37220</v>
      </c>
      <c r="B43" s="31">
        <f>+'[1]Index Pricing'!B31</f>
        <v>1.43</v>
      </c>
      <c r="C43" s="96">
        <f t="shared" si="0"/>
        <v>1.0185</v>
      </c>
      <c r="D43" s="97">
        <f t="shared" si="1"/>
        <v>2760</v>
      </c>
      <c r="E43" s="98">
        <f>+'[1]Index Pricing'!$B$4+$J$14</f>
        <v>2.3839999999999999</v>
      </c>
      <c r="F43" s="99">
        <f t="shared" si="2"/>
        <v>10000</v>
      </c>
      <c r="G43" s="98">
        <f>+'[1]Index Pricing'!$B$3+$J$15</f>
        <v>2.1215999999999999</v>
      </c>
      <c r="H43" s="100">
        <f t="shared" si="3"/>
        <v>1042</v>
      </c>
      <c r="I43" s="20"/>
      <c r="J43" s="33">
        <f>'[2]Enron Detail'!M38</f>
        <v>-650</v>
      </c>
      <c r="K43" s="33">
        <f>'[2]Enron Detail'!L38</f>
        <v>14452</v>
      </c>
      <c r="L43" s="93">
        <f t="shared" si="4"/>
        <v>2811.06</v>
      </c>
      <c r="M43" s="94">
        <f t="shared" si="5"/>
        <v>23840</v>
      </c>
      <c r="N43" s="95">
        <f t="shared" si="6"/>
        <v>2210.7071999999998</v>
      </c>
      <c r="O43" s="45">
        <f t="shared" si="7"/>
        <v>28861.767200000002</v>
      </c>
    </row>
    <row r="44" spans="1:15" x14ac:dyDescent="0.2">
      <c r="A44" s="87">
        <f>+'[1]Index Pricing'!A32</f>
        <v>37221</v>
      </c>
      <c r="B44" s="31">
        <f>+'[1]Index Pricing'!B32</f>
        <v>1.43</v>
      </c>
      <c r="C44" s="96">
        <f t="shared" si="0"/>
        <v>1.0185</v>
      </c>
      <c r="D44" s="97">
        <f t="shared" si="1"/>
        <v>2720</v>
      </c>
      <c r="E44" s="98">
        <f>+'[1]Index Pricing'!$B$4+$J$14</f>
        <v>2.3839999999999999</v>
      </c>
      <c r="F44" s="99">
        <f t="shared" si="2"/>
        <v>10000</v>
      </c>
      <c r="G44" s="98">
        <f>+'[1]Index Pricing'!$B$3+$J$15</f>
        <v>2.1215999999999999</v>
      </c>
      <c r="H44" s="100">
        <f t="shared" si="3"/>
        <v>882</v>
      </c>
      <c r="I44" s="20"/>
      <c r="J44" s="33">
        <f>'[2]Enron Detail'!M39</f>
        <v>-667</v>
      </c>
      <c r="K44" s="33">
        <f>'[2]Enron Detail'!L39</f>
        <v>14269</v>
      </c>
      <c r="L44" s="93">
        <f t="shared" si="4"/>
        <v>2770.3199999999997</v>
      </c>
      <c r="M44" s="94">
        <f t="shared" si="5"/>
        <v>23840</v>
      </c>
      <c r="N44" s="95">
        <f t="shared" si="6"/>
        <v>1871.2511999999999</v>
      </c>
      <c r="O44" s="45">
        <f t="shared" si="7"/>
        <v>28481.571199999998</v>
      </c>
    </row>
    <row r="45" spans="1:15" x14ac:dyDescent="0.2">
      <c r="A45" s="87">
        <f>+'[1]Index Pricing'!A33</f>
        <v>37222</v>
      </c>
      <c r="B45" s="31">
        <f>+'[1]Index Pricing'!B33</f>
        <v>1.88</v>
      </c>
      <c r="C45" s="96">
        <f t="shared" si="0"/>
        <v>1.4684999999999999</v>
      </c>
      <c r="D45" s="97">
        <f t="shared" si="1"/>
        <v>2652</v>
      </c>
      <c r="E45" s="98">
        <f>+'[1]Index Pricing'!$B$4+$J$14</f>
        <v>2.3839999999999999</v>
      </c>
      <c r="F45" s="99">
        <f t="shared" si="2"/>
        <v>10000</v>
      </c>
      <c r="G45" s="98">
        <f>+'[1]Index Pricing'!$B$3+$J$15</f>
        <v>2.1215999999999999</v>
      </c>
      <c r="H45" s="100">
        <f t="shared" si="3"/>
        <v>609</v>
      </c>
      <c r="I45" s="20"/>
      <c r="J45" s="33">
        <f>'[2]Enron Detail'!M40</f>
        <v>-654</v>
      </c>
      <c r="K45" s="33">
        <f>'[2]Enron Detail'!L40</f>
        <v>13915</v>
      </c>
      <c r="L45" s="93">
        <f t="shared" si="4"/>
        <v>3894.462</v>
      </c>
      <c r="M45" s="94">
        <f t="shared" si="5"/>
        <v>23840</v>
      </c>
      <c r="N45" s="95">
        <f t="shared" si="6"/>
        <v>1292.0544</v>
      </c>
      <c r="O45" s="45">
        <f t="shared" si="7"/>
        <v>29026.5164</v>
      </c>
    </row>
    <row r="46" spans="1:15" x14ac:dyDescent="0.2">
      <c r="A46" s="87">
        <f>+'[1]Index Pricing'!A34</f>
        <v>37223</v>
      </c>
      <c r="B46" s="31">
        <f>+'[1]Index Pricing'!B34</f>
        <v>2.16</v>
      </c>
      <c r="C46" s="96">
        <f t="shared" si="0"/>
        <v>1.7485000000000002</v>
      </c>
      <c r="D46" s="97">
        <f t="shared" si="1"/>
        <v>2443</v>
      </c>
      <c r="E46" s="98">
        <f>+'[1]Index Pricing'!$B$4+$J$14</f>
        <v>2.3839999999999999</v>
      </c>
      <c r="F46" s="99">
        <f t="shared" si="2"/>
        <v>9771</v>
      </c>
      <c r="G46" s="98">
        <f>+'[1]Index Pricing'!$B$3+$J$15</f>
        <v>2.1215999999999999</v>
      </c>
      <c r="H46" s="100">
        <f t="shared" si="3"/>
        <v>0</v>
      </c>
      <c r="I46" s="20"/>
      <c r="J46" s="33">
        <f>'[2]Enron Detail'!M41</f>
        <v>-658</v>
      </c>
      <c r="K46" s="33">
        <f>'[2]Enron Detail'!L41</f>
        <v>12872</v>
      </c>
      <c r="L46" s="93">
        <f t="shared" si="4"/>
        <v>4271.5855000000001</v>
      </c>
      <c r="M46" s="94">
        <f t="shared" si="5"/>
        <v>23294.063999999998</v>
      </c>
      <c r="N46" s="95">
        <f t="shared" si="6"/>
        <v>0</v>
      </c>
      <c r="O46" s="45">
        <f t="shared" si="7"/>
        <v>27565.6495</v>
      </c>
    </row>
    <row r="47" spans="1:15" x14ac:dyDescent="0.2">
      <c r="A47" s="87">
        <f>+'[1]Index Pricing'!A35</f>
        <v>37224</v>
      </c>
      <c r="B47" s="31">
        <f>+'[1]Index Pricing'!B35</f>
        <v>2.38</v>
      </c>
      <c r="C47" s="96">
        <f t="shared" si="0"/>
        <v>1.9684999999999999</v>
      </c>
      <c r="D47" s="97">
        <f>+K47+J47-F47-H47</f>
        <v>0</v>
      </c>
      <c r="E47" s="98">
        <f>+'[1]Index Pricing'!$B$4+$J$14</f>
        <v>2.3839999999999999</v>
      </c>
      <c r="F47" s="99">
        <f t="shared" si="2"/>
        <v>0</v>
      </c>
      <c r="G47" s="98">
        <f>+'[1]Index Pricing'!$B$3+$J$15</f>
        <v>2.1215999999999999</v>
      </c>
      <c r="H47" s="100">
        <f t="shared" si="3"/>
        <v>0</v>
      </c>
      <c r="I47" s="20"/>
      <c r="J47" s="33">
        <f>'[2]Enron Detail'!M42</f>
        <v>0</v>
      </c>
      <c r="K47" s="33">
        <f>'[2]Enron Detail'!L42</f>
        <v>0</v>
      </c>
      <c r="L47" s="93">
        <f>+C47*D47</f>
        <v>0</v>
      </c>
      <c r="M47" s="94">
        <f>+E47*F47</f>
        <v>0</v>
      </c>
      <c r="N47" s="95">
        <f>+G47*H47</f>
        <v>0</v>
      </c>
      <c r="O47" s="45">
        <f>+C47*D47+E47*F47+G47*H47</f>
        <v>0</v>
      </c>
    </row>
    <row r="48" spans="1:15" x14ac:dyDescent="0.2">
      <c r="A48" s="87">
        <f>+'[1]Index Pricing'!A36</f>
        <v>37225</v>
      </c>
      <c r="B48" s="31">
        <f>+'[1]Index Pricing'!B36</f>
        <v>2.0249999999999999</v>
      </c>
      <c r="C48" s="96">
        <f t="shared" si="0"/>
        <v>1.6134999999999999</v>
      </c>
      <c r="D48" s="97">
        <f>+K48+J48-F48-H48</f>
        <v>0</v>
      </c>
      <c r="E48" s="98">
        <f>+'[1]Index Pricing'!$B$4+$J$14</f>
        <v>2.3839999999999999</v>
      </c>
      <c r="F48" s="99">
        <f t="shared" si="2"/>
        <v>0</v>
      </c>
      <c r="G48" s="98">
        <f>+'[1]Index Pricing'!$B$3+$J$15</f>
        <v>2.1215999999999999</v>
      </c>
      <c r="H48" s="100">
        <f t="shared" si="3"/>
        <v>0</v>
      </c>
      <c r="I48" s="20"/>
      <c r="J48" s="33">
        <f>'[2]Enron Detail'!M43</f>
        <v>0</v>
      </c>
      <c r="K48" s="33">
        <f>'[2]Enron Detail'!L43</f>
        <v>0</v>
      </c>
      <c r="L48" s="93">
        <f>+C48*D48</f>
        <v>0</v>
      </c>
      <c r="M48" s="94">
        <f>+E48*F48</f>
        <v>0</v>
      </c>
      <c r="N48" s="95">
        <f>+G48*H48</f>
        <v>0</v>
      </c>
      <c r="O48" s="45">
        <f>+C48*D48+E48*F48+G48*H48</f>
        <v>0</v>
      </c>
    </row>
    <row r="49" spans="1:17" x14ac:dyDescent="0.2">
      <c r="A49" s="87"/>
      <c r="B49" s="31">
        <f>+'[1]Index Pricing'!B37</f>
        <v>0</v>
      </c>
      <c r="C49" s="96">
        <f t="shared" si="0"/>
        <v>-0.41149999999999998</v>
      </c>
      <c r="D49" s="97">
        <f>+K49+J49-F49-H49</f>
        <v>0</v>
      </c>
      <c r="E49" s="98">
        <f>+'[1]Index Pricing'!$B$4+$J$14</f>
        <v>2.3839999999999999</v>
      </c>
      <c r="F49" s="99">
        <f>ROUND(IF(((K49+J49)*0.8)&gt;=10000,10000,((K49+J49)*0.8)),0)</f>
        <v>0</v>
      </c>
      <c r="G49" s="98">
        <f>+'[1]Index Pricing'!$B$3+$J$15</f>
        <v>2.1215999999999999</v>
      </c>
      <c r="H49" s="100">
        <f>ROUND(+IF(((K49+J49)*0.8)&gt;=10000,((K49+J49)*0.8)-10000,0),0)</f>
        <v>0</v>
      </c>
      <c r="I49" s="20"/>
      <c r="J49" s="33">
        <f>'[2]Enron Detail'!M44</f>
        <v>0</v>
      </c>
      <c r="K49" s="33">
        <f>'[2]Enron Detail'!L44</f>
        <v>0</v>
      </c>
      <c r="L49" s="93">
        <f>+C49*D49</f>
        <v>0</v>
      </c>
      <c r="M49" s="94">
        <f>+E49*F49</f>
        <v>0</v>
      </c>
      <c r="N49" s="95">
        <f>+G49*H49</f>
        <v>0</v>
      </c>
      <c r="O49" s="45">
        <f>+C49*D49+E49*F49+G49*H49</f>
        <v>0</v>
      </c>
    </row>
    <row r="50" spans="1:17" ht="13.5" thickBot="1" x14ac:dyDescent="0.25">
      <c r="A50" s="87"/>
      <c r="B50" s="31"/>
      <c r="C50" s="101"/>
      <c r="D50" s="102"/>
      <c r="E50" s="103"/>
      <c r="F50" s="104"/>
      <c r="G50" s="103"/>
      <c r="H50" s="105"/>
      <c r="I50" s="20"/>
      <c r="J50" s="33"/>
      <c r="K50" s="33"/>
      <c r="L50" s="93"/>
      <c r="M50" s="94"/>
      <c r="N50" s="95"/>
      <c r="O50" s="45"/>
    </row>
    <row r="51" spans="1:17" ht="13.5" thickBot="1" x14ac:dyDescent="0.25">
      <c r="D51" s="33">
        <f>SUM(D19:D50)</f>
        <v>73836</v>
      </c>
      <c r="F51" s="33">
        <f>SUM(F19:F50)</f>
        <v>279678</v>
      </c>
      <c r="H51" s="33">
        <f>SUM(H19:H50)</f>
        <v>15663</v>
      </c>
      <c r="J51" s="33">
        <f t="shared" ref="J51:O51" si="8">SUM(J19:J50)</f>
        <v>-17724</v>
      </c>
      <c r="K51" s="33">
        <f t="shared" si="8"/>
        <v>386901</v>
      </c>
      <c r="L51" s="106">
        <f t="shared" si="8"/>
        <v>98888.921000000017</v>
      </c>
      <c r="M51" s="107">
        <f t="shared" si="8"/>
        <v>666752.35199999996</v>
      </c>
      <c r="N51" s="108">
        <f t="shared" si="8"/>
        <v>33230.620799999997</v>
      </c>
      <c r="O51" s="109">
        <f t="shared" si="8"/>
        <v>798871.89379999996</v>
      </c>
      <c r="Q51" s="110"/>
    </row>
    <row r="52" spans="1:17" x14ac:dyDescent="0.2">
      <c r="I52" t="s">
        <v>81</v>
      </c>
      <c r="J52" s="111">
        <f>+J51/K51</f>
        <v>-4.5810168492715193E-2</v>
      </c>
    </row>
    <row r="53" spans="1:17" x14ac:dyDescent="0.2">
      <c r="K53" t="s">
        <v>82</v>
      </c>
      <c r="L53" s="31">
        <f>+L51/D51</f>
        <v>1.3393049596402842</v>
      </c>
      <c r="M53" s="31">
        <f>+M51/F51</f>
        <v>2.3839999999999999</v>
      </c>
      <c r="N53" s="112">
        <f>+N51/H51</f>
        <v>2.1215999999999999</v>
      </c>
      <c r="O53" s="113">
        <f>+O51/(K51+J51)</f>
        <v>2.1639265008383513</v>
      </c>
    </row>
    <row r="55" spans="1:17" x14ac:dyDescent="0.2">
      <c r="A55" t="s">
        <v>83</v>
      </c>
    </row>
    <row r="58" spans="1:17" x14ac:dyDescent="0.2">
      <c r="H58" s="110"/>
      <c r="I58" s="110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3"/>
      </mc:Fallback>
    </mc:AlternateContent>
    <mc:AlternateContent xmlns:mc="http://schemas.openxmlformats.org/markup-compatibility/2006">
      <mc:Choice Requires="x14">
        <oleObject progId="Paint.Picture" shapeId="2050" r:id="rId5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Jan Havlíček</cp:lastModifiedBy>
  <dcterms:created xsi:type="dcterms:W3CDTF">2001-12-06T21:18:28Z</dcterms:created>
  <dcterms:modified xsi:type="dcterms:W3CDTF">2023-09-17T11:17:04Z</dcterms:modified>
</cp:coreProperties>
</file>