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DF66D2-2D9B-4D55-A255-57F29EF1F00C}" xr6:coauthVersionLast="47" xr6:coauthVersionMax="47" xr10:uidLastSave="{00000000-0000-0000-0000-000000000000}"/>
  <bookViews>
    <workbookView xWindow="-120" yWindow="-120" windowWidth="38640" windowHeight="15720"/>
  </bookViews>
  <sheets>
    <sheet name="CIG  WKST" sheetId="2" r:id="rId1"/>
    <sheet name="PSCO WKST" sheetId="1" r:id="rId2"/>
  </sheets>
  <definedNames>
    <definedName name="_Order1" localSheetId="1" hidden="1">255</definedName>
    <definedName name="CANON">#REF!</definedName>
    <definedName name="cigwkst">'CIG  WKST'!$A$1:$H$105</definedName>
    <definedName name="PSCO">#REF!</definedName>
    <definedName name="tiffanywire">#REF!</definedName>
    <definedName name="TIFWKSHT">'PSCO WKST'!$B$1:$F$94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2" l="1"/>
  <c r="A2" i="2"/>
  <c r="B4" i="2"/>
  <c r="D6" i="2"/>
  <c r="E6" i="2"/>
  <c r="F6" i="2"/>
  <c r="L6" i="2"/>
  <c r="D7" i="2"/>
  <c r="E7" i="2"/>
  <c r="F7" i="2"/>
  <c r="D8" i="2"/>
  <c r="E8" i="2"/>
  <c r="F8" i="2"/>
  <c r="E9" i="2"/>
  <c r="F9" i="2"/>
  <c r="D11" i="2"/>
  <c r="E11" i="2"/>
  <c r="F11" i="2"/>
  <c r="D12" i="2"/>
  <c r="E12" i="2"/>
  <c r="F12" i="2"/>
  <c r="K12" i="2"/>
  <c r="E13" i="2"/>
  <c r="F13" i="2"/>
  <c r="L13" i="2"/>
  <c r="E15" i="2"/>
  <c r="F15" i="2"/>
  <c r="D16" i="2"/>
  <c r="E16" i="2"/>
  <c r="F16" i="2"/>
  <c r="G16" i="2"/>
  <c r="H16" i="2"/>
  <c r="D17" i="2"/>
  <c r="F17" i="2"/>
  <c r="K17" i="2"/>
  <c r="D18" i="2"/>
  <c r="E18" i="2"/>
  <c r="F18" i="2"/>
  <c r="G18" i="2"/>
  <c r="H18" i="2"/>
  <c r="K18" i="2"/>
  <c r="D19" i="2"/>
  <c r="E19" i="2"/>
  <c r="F19" i="2"/>
  <c r="G19" i="2"/>
  <c r="H19" i="2"/>
  <c r="E20" i="2"/>
  <c r="F20" i="2"/>
  <c r="G20" i="2"/>
  <c r="H20" i="2"/>
  <c r="B27" i="2"/>
  <c r="D29" i="2"/>
  <c r="E29" i="2"/>
  <c r="F29" i="2"/>
  <c r="D30" i="2"/>
  <c r="E30" i="2"/>
  <c r="F30" i="2"/>
  <c r="D31" i="2"/>
  <c r="E31" i="2"/>
  <c r="F31" i="2"/>
  <c r="L31" i="2"/>
  <c r="E32" i="2"/>
  <c r="F32" i="2"/>
  <c r="M33" i="2"/>
  <c r="D34" i="2"/>
  <c r="E34" i="2"/>
  <c r="F34" i="2"/>
  <c r="M34" i="2"/>
  <c r="D35" i="2"/>
  <c r="E35" i="2"/>
  <c r="F35" i="2"/>
  <c r="K35" i="2"/>
  <c r="E36" i="2"/>
  <c r="F36" i="2"/>
  <c r="E38" i="2"/>
  <c r="F38" i="2"/>
  <c r="D39" i="2"/>
  <c r="E39" i="2"/>
  <c r="F39" i="2"/>
  <c r="G39" i="2"/>
  <c r="H39" i="2"/>
  <c r="D40" i="2"/>
  <c r="E40" i="2"/>
  <c r="F40" i="2"/>
  <c r="G40" i="2"/>
  <c r="H40" i="2"/>
  <c r="K40" i="2"/>
  <c r="D41" i="2"/>
  <c r="E41" i="2"/>
  <c r="F41" i="2"/>
  <c r="G41" i="2"/>
  <c r="H41" i="2"/>
  <c r="D42" i="2"/>
  <c r="E42" i="2"/>
  <c r="F42" i="2"/>
  <c r="G42" i="2"/>
  <c r="H42" i="2"/>
  <c r="D43" i="2"/>
  <c r="E43" i="2"/>
  <c r="F43" i="2"/>
  <c r="G43" i="2"/>
  <c r="H43" i="2"/>
  <c r="E44" i="2"/>
  <c r="F44" i="2"/>
  <c r="H44" i="2"/>
  <c r="B47" i="2"/>
  <c r="D49" i="2"/>
  <c r="E49" i="2"/>
  <c r="F49" i="2"/>
  <c r="D50" i="2"/>
  <c r="E50" i="2"/>
  <c r="F50" i="2"/>
  <c r="D51" i="2"/>
  <c r="E51" i="2"/>
  <c r="F51" i="2"/>
  <c r="E52" i="2"/>
  <c r="F52" i="2"/>
  <c r="K53" i="2"/>
  <c r="D54" i="2"/>
  <c r="E54" i="2"/>
  <c r="F54" i="2"/>
  <c r="D55" i="2"/>
  <c r="E55" i="2"/>
  <c r="F55" i="2"/>
  <c r="E56" i="2"/>
  <c r="F56" i="2"/>
  <c r="E58" i="2"/>
  <c r="F58" i="2"/>
  <c r="D59" i="2"/>
  <c r="E59" i="2"/>
  <c r="F59" i="2"/>
  <c r="G59" i="2"/>
  <c r="H59" i="2"/>
  <c r="D60" i="2"/>
  <c r="E60" i="2"/>
  <c r="F60" i="2"/>
  <c r="G60" i="2"/>
  <c r="H60" i="2"/>
  <c r="D61" i="2"/>
  <c r="E61" i="2"/>
  <c r="F61" i="2"/>
  <c r="G61" i="2"/>
  <c r="H61" i="2"/>
  <c r="E62" i="2"/>
  <c r="F62" i="2"/>
  <c r="H62" i="2"/>
  <c r="K64" i="2"/>
  <c r="E67" i="2"/>
  <c r="F67" i="2"/>
  <c r="E68" i="2"/>
  <c r="F68" i="2"/>
  <c r="E69" i="2"/>
  <c r="F69" i="2"/>
  <c r="E70" i="2"/>
  <c r="F70" i="2"/>
  <c r="E72" i="2"/>
  <c r="F72" i="2"/>
  <c r="E73" i="2"/>
  <c r="F73" i="2"/>
  <c r="E74" i="2"/>
  <c r="F74" i="2"/>
  <c r="K75" i="2"/>
  <c r="E76" i="2"/>
  <c r="F76" i="2"/>
  <c r="E77" i="2"/>
  <c r="F77" i="2"/>
  <c r="G77" i="2"/>
  <c r="H77" i="2"/>
  <c r="E78" i="2"/>
  <c r="F78" i="2"/>
  <c r="G78" i="2"/>
  <c r="H78" i="2"/>
  <c r="H79" i="2"/>
  <c r="E80" i="2"/>
  <c r="F80" i="2"/>
  <c r="G80" i="2"/>
  <c r="H80" i="2"/>
  <c r="E81" i="2"/>
  <c r="F81" i="2"/>
  <c r="G81" i="2"/>
  <c r="H81" i="2"/>
  <c r="E82" i="2"/>
  <c r="F82" i="2"/>
  <c r="H82" i="2"/>
  <c r="L82" i="2"/>
  <c r="L84" i="2"/>
  <c r="E85" i="2"/>
  <c r="H85" i="2"/>
  <c r="K85" i="2"/>
  <c r="L85" i="2"/>
  <c r="E86" i="2"/>
  <c r="H86" i="2"/>
  <c r="E87" i="2"/>
  <c r="H87" i="2"/>
  <c r="E88" i="2"/>
  <c r="H88" i="2"/>
  <c r="K88" i="2"/>
  <c r="L88" i="2"/>
  <c r="H89" i="2"/>
  <c r="K90" i="2"/>
  <c r="L90" i="2"/>
  <c r="B91" i="2"/>
  <c r="C91" i="2"/>
  <c r="F91" i="2"/>
  <c r="F92" i="2"/>
  <c r="F93" i="2"/>
  <c r="G93" i="2"/>
  <c r="H93" i="2"/>
  <c r="H96" i="2"/>
  <c r="H97" i="2"/>
  <c r="H99" i="2"/>
  <c r="H101" i="2"/>
  <c r="F2" i="1"/>
  <c r="F8" i="1"/>
  <c r="F9" i="1"/>
  <c r="F10" i="1"/>
  <c r="F11" i="1"/>
  <c r="C12" i="1"/>
  <c r="F12" i="1"/>
  <c r="H12" i="1"/>
  <c r="F16" i="1"/>
  <c r="F17" i="1"/>
  <c r="F18" i="1"/>
  <c r="F19" i="1"/>
  <c r="C20" i="1"/>
  <c r="F20" i="1"/>
  <c r="F24" i="1"/>
  <c r="C25" i="1"/>
  <c r="F25" i="1"/>
  <c r="C26" i="1"/>
  <c r="F26" i="1"/>
  <c r="F27" i="1"/>
  <c r="C28" i="1"/>
  <c r="F28" i="1"/>
  <c r="H28" i="1"/>
  <c r="F32" i="1"/>
  <c r="I32" i="1"/>
  <c r="F33" i="1"/>
  <c r="I33" i="1"/>
  <c r="F34" i="1"/>
  <c r="I34" i="1"/>
  <c r="F35" i="1"/>
  <c r="I35" i="1"/>
  <c r="F36" i="1"/>
  <c r="I36" i="1"/>
  <c r="F38" i="1"/>
  <c r="F39" i="1"/>
  <c r="F40" i="1"/>
  <c r="F41" i="1"/>
  <c r="C42" i="1"/>
  <c r="F42" i="1"/>
  <c r="F44" i="1"/>
  <c r="D52" i="1"/>
  <c r="F52" i="1"/>
  <c r="D53" i="1"/>
  <c r="F53" i="1"/>
  <c r="D54" i="1"/>
  <c r="F54" i="1"/>
  <c r="D55" i="1"/>
  <c r="F55" i="1"/>
  <c r="C56" i="1"/>
  <c r="F56" i="1"/>
  <c r="H56" i="1"/>
  <c r="F59" i="1"/>
  <c r="D60" i="1"/>
  <c r="F60" i="1"/>
  <c r="D61" i="1"/>
  <c r="F61" i="1"/>
  <c r="D62" i="1"/>
  <c r="F62" i="1"/>
  <c r="C63" i="1"/>
  <c r="F63" i="1"/>
  <c r="I66" i="1"/>
  <c r="I67" i="1"/>
  <c r="I68" i="1"/>
  <c r="I69" i="1"/>
  <c r="F70" i="1"/>
  <c r="I70" i="1"/>
  <c r="F72" i="1"/>
  <c r="F76" i="1"/>
  <c r="F77" i="1"/>
  <c r="F78" i="1"/>
  <c r="H78" i="1"/>
  <c r="F79" i="1"/>
  <c r="F82" i="1"/>
  <c r="H82" i="1"/>
  <c r="C85" i="1"/>
  <c r="D85" i="1"/>
  <c r="F85" i="1"/>
  <c r="H85" i="1"/>
  <c r="C88" i="1"/>
  <c r="D88" i="1"/>
  <c r="F88" i="1"/>
  <c r="H88" i="1"/>
  <c r="C89" i="1"/>
  <c r="D89" i="1"/>
  <c r="F89" i="1"/>
  <c r="H89" i="1"/>
  <c r="C90" i="1"/>
  <c r="D90" i="1"/>
  <c r="F90" i="1"/>
  <c r="H90" i="1"/>
  <c r="C91" i="1"/>
  <c r="D91" i="1"/>
  <c r="F91" i="1"/>
  <c r="H91" i="1"/>
  <c r="I93" i="1"/>
</calcChain>
</file>

<file path=xl/comments1.xml><?xml version="1.0" encoding="utf-8"?>
<comments xmlns="http://schemas.openxmlformats.org/spreadsheetml/2006/main">
  <authors>
    <author>CWLipke</author>
  </authors>
  <commentList>
    <comment ref="K13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Call Nicole Cortez at ENRON to get vols sched into CIG southern system.</t>
        </r>
      </text>
    </comment>
    <comment ref="K19" authorId="0" shapeId="0">
      <text>
        <r>
          <rPr>
            <b/>
            <sz val="10"/>
            <color indexed="81"/>
            <rFont val="Tahoma"/>
          </rPr>
          <t>CWLipke:</t>
        </r>
        <r>
          <rPr>
            <sz val="10"/>
            <color indexed="81"/>
            <rFont val="Tahoma"/>
          </rPr>
          <t xml:space="preserve">
Put in neg. amt to deduct for chgs to Deliv Pts other than WRK &amp; Strorage.</t>
        </r>
      </text>
    </comment>
    <comment ref="K21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This contract does not allow release of unused volumes.</t>
        </r>
      </text>
    </comment>
    <comment ref="K36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Call Nicole Cortez at ENRON (Denver) to get vols sched into CIG southern system.</t>
        </r>
      </text>
    </comment>
    <comment ref="K42" authorId="0" shapeId="0">
      <text>
        <r>
          <rPr>
            <b/>
            <sz val="10"/>
            <color indexed="81"/>
            <rFont val="Tahoma"/>
          </rPr>
          <t>CWLipke:</t>
        </r>
        <r>
          <rPr>
            <sz val="10"/>
            <color indexed="81"/>
            <rFont val="Tahoma"/>
          </rPr>
          <t xml:space="preserve">
Put in whole invoice. Credit for 3rd party shippers taken in K44 which flows to H98.</t>
        </r>
      </text>
    </comment>
    <comment ref="K44" authorId="0" shapeId="0">
      <text>
        <r>
          <rPr>
            <b/>
            <sz val="10"/>
            <color indexed="81"/>
            <rFont val="Tahoma"/>
          </rPr>
          <t>CWLipke:</t>
        </r>
        <r>
          <rPr>
            <sz val="10"/>
            <color indexed="81"/>
            <rFont val="Tahoma"/>
          </rPr>
          <t xml:space="preserve">
Put in neg. amt to deduct for chgs to Deliv Pts other than WRK &amp; Strorage.</t>
        </r>
      </text>
    </comment>
    <comment ref="K65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per current contract, Czn receives a credit of $0.06 /Dth of unused cap. On FT contract #33171000.</t>
        </r>
      </text>
    </comment>
    <comment ref="K73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Vols  accounted for above in withdrawl from storage.
</t>
        </r>
      </text>
    </comment>
  </commentList>
</comments>
</file>

<file path=xl/comments2.xml><?xml version="1.0" encoding="utf-8"?>
<comments xmlns="http://schemas.openxmlformats.org/spreadsheetml/2006/main">
  <authors>
    <author>CWLipke</author>
  </authors>
  <commentList>
    <comment ref="F4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In tariff or Summary Qtys report, col.6</t>
        </r>
      </text>
    </comment>
    <comment ref="C8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From PSCo invoice Firm Cap. Chg volume .</t>
        </r>
      </text>
    </comment>
    <comment ref="H12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Vol &amp; $ should match PSCo summary invoice</t>
        </r>
      </text>
    </comment>
    <comment ref="C28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Verify qty matches PSCo summary for total of Transportation chgs.</t>
        </r>
      </text>
    </comment>
    <comment ref="H28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Vol &amp; $ should match PSCo summary invoice</t>
        </r>
      </text>
    </comment>
    <comment ref="I36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Should match PSCo summary invoice</t>
        </r>
      </text>
    </comment>
    <comment ref="F44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Match to PSCo summary inv. Total Transportation Charges total.</t>
        </r>
      </text>
    </comment>
    <comment ref="D52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Firm bkup chg per tariff
Changed from $2.80 to $2.89 6-Jan-00.
</t>
        </r>
      </text>
    </comment>
    <comment ref="H56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Agreement w/pipeline to pay for 400 MMBtu
</t>
        </r>
      </text>
    </comment>
    <comment ref="F60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Added $0.01 to correct for rounding error.</t>
        </r>
      </text>
    </comment>
    <comment ref="H82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Should match PSCo summary invoice Total Amount Due less any late charges and Prev Bal Fwd</t>
        </r>
      </text>
    </comment>
  </commentList>
</comments>
</file>

<file path=xl/sharedStrings.xml><?xml version="1.0" encoding="utf-8"?>
<sst xmlns="http://schemas.openxmlformats.org/spreadsheetml/2006/main" count="246" uniqueCount="119">
  <si>
    <t>PSCO</t>
  </si>
  <si>
    <t>Month:</t>
  </si>
  <si>
    <t>Due:</t>
  </si>
  <si>
    <t>IFEPSJ:</t>
  </si>
  <si>
    <t>TRANSPORTATION SERVICE</t>
  </si>
  <si>
    <t>Fuel Rate:</t>
  </si>
  <si>
    <t>FIRM CAPACITY CHARGE</t>
  </si>
  <si>
    <t>VOLUME</t>
  </si>
  <si>
    <t>RATE</t>
  </si>
  <si>
    <t>AMOUNT DUE</t>
  </si>
  <si>
    <t>PINE</t>
  </si>
  <si>
    <t>BAYFIELD</t>
  </si>
  <si>
    <t>PAGOSA SPRINGS</t>
  </si>
  <si>
    <t>LaPlata (Airport)</t>
  </si>
  <si>
    <t>SERVICE &amp; FACILITY CHARGE</t>
  </si>
  <si>
    <t>TRANSPORTATION CHARGE</t>
  </si>
  <si>
    <t>ADJUSTMENTS - GRSA</t>
  </si>
  <si>
    <t>Total Transp Chgs</t>
  </si>
  <si>
    <t>Prior Period Adj:</t>
  </si>
  <si>
    <t>TOTAL TRANSPORTATION CHARGES</t>
  </si>
  <si>
    <t>BACKUP SALES SERVICE</t>
  </si>
  <si>
    <t>FIRM SUPPLY CHARGE</t>
  </si>
  <si>
    <t xml:space="preserve">Dth  </t>
  </si>
  <si>
    <t xml:space="preserve">Rate   </t>
  </si>
  <si>
    <t>Ext</t>
  </si>
  <si>
    <t>GAS SUPPLY COST ADJ.</t>
  </si>
  <si>
    <t>ADJUSTMENTS - GRSA / BALANCE FORWARD</t>
  </si>
  <si>
    <t>Total Supply Chgs</t>
  </si>
  <si>
    <t xml:space="preserve"> </t>
  </si>
  <si>
    <t>TOTAL SUPPLY CHARGES</t>
  </si>
  <si>
    <t>TOTALS</t>
  </si>
  <si>
    <t>PINE STATION</t>
  </si>
  <si>
    <t>Cashout Credit</t>
  </si>
  <si>
    <t>TOTAL TRANSPORTATION SERVICE</t>
  </si>
  <si>
    <t>Net Receipts</t>
  </si>
  <si>
    <t xml:space="preserve">Dth   </t>
  </si>
  <si>
    <t xml:space="preserve">AMOUNT  </t>
  </si>
  <si>
    <t>TIFFANY receipt</t>
  </si>
  <si>
    <t>Prior period Adj:</t>
  </si>
  <si>
    <t>Adj Net City Gate Deliv.</t>
  </si>
  <si>
    <t xml:space="preserve">    Feb-01</t>
  </si>
  <si>
    <t xml:space="preserve">    Mar-01</t>
  </si>
  <si>
    <t xml:space="preserve">    Apr-02</t>
  </si>
  <si>
    <t xml:space="preserve">    May-02</t>
  </si>
  <si>
    <t>TOTAL AMOUNT DUE</t>
  </si>
  <si>
    <t>Date:</t>
  </si>
  <si>
    <t>Enron, ENA - C.I.G.</t>
  </si>
  <si>
    <t>DUE DATE:</t>
  </si>
  <si>
    <t>IFCIGRky</t>
  </si>
  <si>
    <t>33175000 TF-1</t>
  </si>
  <si>
    <t>Contract</t>
  </si>
  <si>
    <t>DELIVERED</t>
  </si>
  <si>
    <t>Fuel</t>
  </si>
  <si>
    <t>Receipt</t>
  </si>
  <si>
    <t>Delivered</t>
  </si>
  <si>
    <t>Price</t>
  </si>
  <si>
    <t>Amount</t>
  </si>
  <si>
    <t>N29</t>
  </si>
  <si>
    <t xml:space="preserve">Total Volume To N29 </t>
  </si>
  <si>
    <t>STORAGE</t>
  </si>
  <si>
    <t>Total Volume To Storage (TCS)</t>
  </si>
  <si>
    <t>OTHERS/WRK</t>
  </si>
  <si>
    <t>Total Volume To White Rock (WRK)</t>
  </si>
  <si>
    <t>For Others</t>
  </si>
  <si>
    <t>FIXED VOLUMES</t>
  </si>
  <si>
    <t>NORTH VOLUMES</t>
  </si>
  <si>
    <t>SOUTH VOLUMES</t>
  </si>
  <si>
    <t>Net Volume To Citizens Utilities</t>
  </si>
  <si>
    <t>FIXED PRICING</t>
  </si>
  <si>
    <t>Fixed Pricing</t>
  </si>
  <si>
    <t>NORTH PRICING Rocky+.01</t>
  </si>
  <si>
    <t>North Pricing</t>
  </si>
  <si>
    <t>SOUTH PRICING Rocky+.10</t>
  </si>
  <si>
    <t>South Pricing</t>
  </si>
  <si>
    <t>Shipper Third Party Credit</t>
  </si>
  <si>
    <t>INVOICE AMOUNT</t>
  </si>
  <si>
    <t>RESERV. VOLUME</t>
  </si>
  <si>
    <t>33171000 TF-1</t>
  </si>
  <si>
    <t>Total Volume To N29</t>
  </si>
  <si>
    <t>ROCKY + .01</t>
  </si>
  <si>
    <t>33229000  NNT-1</t>
  </si>
  <si>
    <t>EXPIRED - No longer in use.</t>
  </si>
  <si>
    <t>NORTH PRICING</t>
  </si>
  <si>
    <t>SOUTH PRICING</t>
  </si>
  <si>
    <t>Misc.</t>
  </si>
  <si>
    <t># DAYS IN MONTH</t>
  </si>
  <si>
    <t>Total All</t>
  </si>
  <si>
    <t>CREDIT DUE CUC</t>
  </si>
  <si>
    <t>Prior Period Adjust</t>
  </si>
  <si>
    <t>Fuel Rate (Transp)</t>
  </si>
  <si>
    <t>L &amp; U Rate</t>
  </si>
  <si>
    <t>Fuel Rate (Storage)</t>
  </si>
  <si>
    <t>31029000 NNT-1</t>
  </si>
  <si>
    <t>CIG -NNT</t>
  </si>
  <si>
    <t xml:space="preserve">OverRun Adj </t>
  </si>
  <si>
    <t>Net Total</t>
  </si>
  <si>
    <t>Storage Summary</t>
  </si>
  <si>
    <t>From NNT Contract</t>
  </si>
  <si>
    <t xml:space="preserve">   Beginning Balance</t>
  </si>
  <si>
    <t xml:space="preserve">    Injection Gross Qty</t>
  </si>
  <si>
    <t xml:space="preserve">    Injection Fuel Qty</t>
  </si>
  <si>
    <t xml:space="preserve">    Injection Net Qty</t>
  </si>
  <si>
    <t xml:space="preserve">  Withdrawl Net Qty</t>
  </si>
  <si>
    <t xml:space="preserve">    Ending Balance</t>
  </si>
  <si>
    <t>Total Transportation Invoice</t>
  </si>
  <si>
    <t xml:space="preserve">    Change</t>
  </si>
  <si>
    <t>From TF Contracts</t>
  </si>
  <si>
    <t>Total CIG - NNT Invoice</t>
  </si>
  <si>
    <t xml:space="preserve">          Difference</t>
  </si>
  <si>
    <t>Total Capacity Available For Release</t>
  </si>
  <si>
    <t>Days</t>
  </si>
  <si>
    <t>Total Capacity Used To Serve Citizens</t>
  </si>
  <si>
    <t>Transportation Credit Due Citizens</t>
  </si>
  <si>
    <t>Net</t>
  </si>
  <si>
    <t>Adjustments</t>
  </si>
  <si>
    <t>Unauth Ovrn Nov-00</t>
  </si>
  <si>
    <t>Prior Period Adjustments</t>
  </si>
  <si>
    <t>Third Party Shipper Credit</t>
  </si>
  <si>
    <t>Total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</si>
</sst>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7" formatCode="&quot;$&quot;#,##0.00_);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_);_(* \(#,##0\);_(* &quot;-&quot;??_);_(@_)"/>
    <numFmt numFmtId="170" formatCode="_(&quot;$&quot;* #,##0.000_);_(&quot;$&quot;* \(#,##0.000\);_(&quot;$&quot;* &quot;-&quot;??_);_(@_)"/>
    <numFmt numFmtId="171" formatCode="_(&quot;$&quot;* #,##0.0000_);_(&quot;$&quot;* \(#,##0.0000\);_(&quot;$&quot;* &quot;-&quot;??_);_(@_)"/>
    <numFmt numFmtId="173" formatCode="_(* #,##0.0000_);_(* \(#,##0.0000\);_(* &quot;-&quot;??_);_(@_)"/>
    <numFmt numFmtId="176" formatCode="0.00_);\(0.00\)"/>
    <numFmt numFmtId="181" formatCode="_(&quot;$&quot;* #,##0_);_(&quot;$&quot;* \(#,##0\);_(&quot;$&quot;* &quot;-&quot;??_);_(@_)"/>
    <numFmt numFmtId="182" formatCode="mmmm\-yy"/>
    <numFmt numFmtId="184" formatCode="dd\-mmm\-yy"/>
    <numFmt numFmtId="193" formatCode="_(* #,##0.00000000_);_(* \(#,##0.00000000\);_(* &quot;-&quot;??_);_(@_)"/>
    <numFmt numFmtId="198" formatCode="0_);[Red]\(0\)"/>
    <numFmt numFmtId="202" formatCode="_(* #,##0_);_(* \(#,##0\);_(* &quot;-0-&quot;??_);_(@_)"/>
    <numFmt numFmtId="203" formatCode="_(&quot;$&quot;* #,##0.00_);_(&quot;$&quot;* \(#,##0.00\);_(&quot;$&quot;* &quot;-0-&quot;??_);_(@_)"/>
  </numFmts>
  <fonts count="35" x14ac:knownFonts="1">
    <font>
      <sz val="12"/>
      <name val="Arial"/>
    </font>
    <font>
      <sz val="10"/>
      <name val="Arial"/>
    </font>
    <font>
      <b/>
      <sz val="20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b/>
      <i/>
      <u/>
      <sz val="12"/>
      <name val="Arial"/>
      <family val="2"/>
    </font>
    <font>
      <u/>
      <sz val="12"/>
      <name val="Arial"/>
      <family val="2"/>
    </font>
    <font>
      <sz val="12"/>
      <name val="Arial"/>
    </font>
    <font>
      <u/>
      <sz val="12"/>
      <color indexed="12"/>
      <name val="Arial"/>
      <family val="2"/>
    </font>
    <font>
      <u val="singleAccounting"/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16"/>
      <name val="Arial"/>
      <family val="2"/>
    </font>
    <font>
      <sz val="12"/>
      <color indexed="56"/>
      <name val="Arial"/>
      <family val="2"/>
    </font>
    <font>
      <b/>
      <i/>
      <u/>
      <sz val="14"/>
      <name val="Arial"/>
      <family val="2"/>
    </font>
    <font>
      <b/>
      <u/>
      <sz val="12"/>
      <name val="Arial"/>
      <family val="2"/>
    </font>
    <font>
      <b/>
      <i/>
      <sz val="20"/>
      <name val="Arial"/>
      <family val="2"/>
    </font>
    <font>
      <b/>
      <sz val="16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i/>
      <sz val="16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sz val="10"/>
      <color indexed="8"/>
      <name val="Arial"/>
      <family val="2"/>
    </font>
    <font>
      <b/>
      <sz val="10"/>
      <color indexed="14"/>
      <name val="Arial"/>
      <family val="2"/>
    </font>
    <font>
      <b/>
      <sz val="14"/>
      <color indexed="8"/>
      <name val="Courier New"/>
      <family val="3"/>
    </font>
    <font>
      <sz val="10"/>
      <color indexed="14"/>
      <name val="Arial"/>
      <family val="2"/>
    </font>
    <font>
      <b/>
      <sz val="10"/>
      <color indexed="81"/>
      <name val="Tahoma"/>
    </font>
    <font>
      <sz val="10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7" fontId="3" fillId="0" borderId="0" xfId="0" applyNumberFormat="1" applyFont="1" applyAlignment="1">
      <alignment horizontal="center"/>
    </xf>
    <xf numFmtId="184" fontId="4" fillId="0" borderId="0" xfId="0" applyNumberFormat="1" applyFont="1"/>
    <xf numFmtId="170" fontId="3" fillId="0" borderId="0" xfId="2" applyNumberFormat="1" applyFont="1"/>
    <xf numFmtId="0" fontId="5" fillId="0" borderId="0" xfId="0" applyFont="1"/>
    <xf numFmtId="10" fontId="4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169" fontId="4" fillId="0" borderId="0" xfId="1" applyNumberFormat="1" applyFont="1"/>
    <xf numFmtId="2" fontId="0" fillId="0" borderId="0" xfId="0" applyNumberFormat="1"/>
    <xf numFmtId="44" fontId="7" fillId="0" borderId="0" xfId="2" applyFont="1"/>
    <xf numFmtId="169" fontId="8" fillId="0" borderId="0" xfId="1" applyNumberFormat="1" applyFont="1"/>
    <xf numFmtId="44" fontId="9" fillId="0" borderId="0" xfId="2" applyFont="1"/>
    <xf numFmtId="169" fontId="0" fillId="0" borderId="0" xfId="0" applyNumberFormat="1"/>
    <xf numFmtId="44" fontId="0" fillId="0" borderId="0" xfId="0" applyNumberFormat="1"/>
    <xf numFmtId="169" fontId="4" fillId="0" borderId="1" xfId="1" applyNumberFormat="1" applyFont="1" applyBorder="1"/>
    <xf numFmtId="44" fontId="7" fillId="0" borderId="1" xfId="2" applyFont="1" applyBorder="1"/>
    <xf numFmtId="169" fontId="0" fillId="0" borderId="0" xfId="0" applyNumberFormat="1" applyFill="1"/>
    <xf numFmtId="0" fontId="0" fillId="0" borderId="0" xfId="0" applyFill="1"/>
    <xf numFmtId="44" fontId="7" fillId="0" borderId="0" xfId="2" applyFont="1" applyFill="1"/>
    <xf numFmtId="169" fontId="10" fillId="0" borderId="0" xfId="1" applyNumberFormat="1" applyFont="1"/>
    <xf numFmtId="0" fontId="10" fillId="0" borderId="1" xfId="0" applyFont="1" applyBorder="1"/>
    <xf numFmtId="0" fontId="4" fillId="0" borderId="0" xfId="0" applyFont="1"/>
    <xf numFmtId="44" fontId="11" fillId="0" borderId="0" xfId="2" applyFont="1"/>
    <xf numFmtId="43" fontId="7" fillId="0" borderId="0" xfId="1" applyFont="1"/>
    <xf numFmtId="44" fontId="11" fillId="0" borderId="1" xfId="2" applyFont="1" applyBorder="1"/>
    <xf numFmtId="43" fontId="7" fillId="0" borderId="1" xfId="1" applyFont="1" applyBorder="1"/>
    <xf numFmtId="0" fontId="10" fillId="0" borderId="0" xfId="0" applyFont="1"/>
    <xf numFmtId="44" fontId="7" fillId="0" borderId="2" xfId="2" applyFont="1" applyBorder="1"/>
    <xf numFmtId="0" fontId="6" fillId="0" borderId="0" xfId="0" applyFont="1" applyAlignment="1">
      <alignment horizontal="right"/>
    </xf>
    <xf numFmtId="44" fontId="9" fillId="0" borderId="0" xfId="2" applyFont="1" applyAlignment="1">
      <alignment horizontal="right"/>
    </xf>
    <xf numFmtId="2" fontId="4" fillId="0" borderId="0" xfId="0" applyNumberFormat="1" applyFont="1" applyFill="1"/>
    <xf numFmtId="193" fontId="7" fillId="0" borderId="0" xfId="1" applyNumberFormat="1" applyFont="1"/>
    <xf numFmtId="44" fontId="4" fillId="0" borderId="0" xfId="2" applyFont="1"/>
    <xf numFmtId="43" fontId="4" fillId="0" borderId="0" xfId="1" applyFont="1"/>
    <xf numFmtId="2" fontId="4" fillId="0" borderId="1" xfId="0" applyNumberFormat="1" applyFont="1" applyBorder="1"/>
    <xf numFmtId="43" fontId="4" fillId="0" borderId="1" xfId="1" applyFont="1" applyBorder="1"/>
    <xf numFmtId="43" fontId="12" fillId="0" borderId="0" xfId="1" applyFont="1"/>
    <xf numFmtId="1" fontId="4" fillId="0" borderId="1" xfId="0" applyNumberFormat="1" applyFont="1" applyBorder="1"/>
    <xf numFmtId="0" fontId="10" fillId="0" borderId="1" xfId="0" applyFont="1" applyBorder="1" applyAlignment="1">
      <alignment horizontal="right"/>
    </xf>
    <xf numFmtId="44" fontId="13" fillId="0" borderId="0" xfId="2" applyFont="1"/>
    <xf numFmtId="0" fontId="14" fillId="0" borderId="0" xfId="0" applyFont="1" applyAlignment="1">
      <alignment horizontal="center"/>
    </xf>
    <xf numFmtId="44" fontId="0" fillId="0" borderId="3" xfId="0" applyNumberFormat="1" applyBorder="1"/>
    <xf numFmtId="44" fontId="0" fillId="0" borderId="0" xfId="0" applyNumberFormat="1" applyBorder="1"/>
    <xf numFmtId="0" fontId="15" fillId="0" borderId="4" xfId="0" applyFont="1" applyBorder="1" applyAlignment="1"/>
    <xf numFmtId="0" fontId="11" fillId="0" borderId="0" xfId="0" applyFont="1"/>
    <xf numFmtId="169" fontId="11" fillId="0" borderId="0" xfId="1" applyNumberFormat="1" applyFont="1"/>
    <xf numFmtId="0" fontId="16" fillId="0" borderId="0" xfId="0" applyFont="1" applyAlignment="1"/>
    <xf numFmtId="44" fontId="17" fillId="0" borderId="2" xfId="0" applyNumberFormat="1" applyFont="1" applyBorder="1"/>
    <xf numFmtId="0" fontId="0" fillId="0" borderId="0" xfId="0" applyBorder="1"/>
    <xf numFmtId="0" fontId="0" fillId="0" borderId="0" xfId="0" applyBorder="1" applyProtection="1"/>
    <xf numFmtId="0" fontId="11" fillId="0" borderId="1" xfId="0" applyFont="1" applyBorder="1" applyProtection="1"/>
    <xf numFmtId="0" fontId="11" fillId="0" borderId="0" xfId="0" applyFont="1" applyBorder="1" applyAlignment="1" applyProtection="1">
      <alignment horizontal="right"/>
    </xf>
    <xf numFmtId="0" fontId="11" fillId="0" borderId="0" xfId="0" applyFont="1" applyBorder="1" applyProtection="1"/>
    <xf numFmtId="0" fontId="20" fillId="0" borderId="0" xfId="3" applyFont="1"/>
    <xf numFmtId="0" fontId="1" fillId="0" borderId="0" xfId="3"/>
    <xf numFmtId="17" fontId="3" fillId="0" borderId="5" xfId="3" quotePrefix="1" applyNumberFormat="1" applyFont="1" applyBorder="1" applyAlignment="1">
      <alignment horizontal="center"/>
    </xf>
    <xf numFmtId="0" fontId="1" fillId="0" borderId="6" xfId="3" applyFont="1" applyBorder="1"/>
    <xf numFmtId="184" fontId="21" fillId="0" borderId="7" xfId="3" quotePrefix="1" applyNumberFormat="1" applyFont="1" applyBorder="1"/>
    <xf numFmtId="182" fontId="1" fillId="0" borderId="0" xfId="3" applyNumberFormat="1"/>
    <xf numFmtId="0" fontId="1" fillId="0" borderId="0" xfId="3" applyFont="1"/>
    <xf numFmtId="171" fontId="21" fillId="0" borderId="0" xfId="2" applyNumberFormat="1" applyFont="1"/>
    <xf numFmtId="17" fontId="1" fillId="0" borderId="0" xfId="3" applyNumberFormat="1"/>
    <xf numFmtId="0" fontId="22" fillId="2" borderId="8" xfId="3" applyFont="1" applyFill="1" applyBorder="1"/>
    <xf numFmtId="0" fontId="23" fillId="0" borderId="9" xfId="3" applyFont="1" applyBorder="1" applyAlignment="1">
      <alignment horizontal="right"/>
    </xf>
    <xf numFmtId="0" fontId="23" fillId="0" borderId="10" xfId="3" applyFont="1" applyBorder="1"/>
    <xf numFmtId="0" fontId="1" fillId="0" borderId="10" xfId="3" applyBorder="1"/>
    <xf numFmtId="0" fontId="1" fillId="0" borderId="11" xfId="3" applyBorder="1"/>
    <xf numFmtId="0" fontId="1" fillId="0" borderId="4" xfId="3" applyFont="1" applyBorder="1"/>
    <xf numFmtId="0" fontId="1" fillId="0" borderId="12" xfId="3" applyBorder="1"/>
    <xf numFmtId="0" fontId="1" fillId="0" borderId="0" xfId="3" applyBorder="1"/>
    <xf numFmtId="0" fontId="24" fillId="0" borderId="0" xfId="3" applyFont="1" applyBorder="1" applyAlignment="1">
      <alignment horizontal="center"/>
    </xf>
    <xf numFmtId="0" fontId="24" fillId="0" borderId="13" xfId="3" applyFont="1" applyBorder="1" applyAlignment="1">
      <alignment horizontal="center"/>
    </xf>
    <xf numFmtId="0" fontId="25" fillId="0" borderId="0" xfId="3" applyFont="1"/>
    <xf numFmtId="169" fontId="26" fillId="0" borderId="0" xfId="1" applyNumberFormat="1" applyFont="1"/>
    <xf numFmtId="0" fontId="1" fillId="0" borderId="12" xfId="3" applyFont="1" applyBorder="1"/>
    <xf numFmtId="173" fontId="1" fillId="0" borderId="0" xfId="1" applyNumberFormat="1" applyBorder="1"/>
    <xf numFmtId="169" fontId="1" fillId="0" borderId="0" xfId="1" applyNumberFormat="1" applyBorder="1"/>
    <xf numFmtId="169" fontId="1" fillId="0" borderId="0" xfId="1" applyNumberFormat="1" applyBorder="1" applyAlignment="1">
      <alignment horizontal="center"/>
    </xf>
    <xf numFmtId="44" fontId="1" fillId="0" borderId="13" xfId="2" applyBorder="1"/>
    <xf numFmtId="169" fontId="1" fillId="0" borderId="0" xfId="3" applyNumberFormat="1"/>
    <xf numFmtId="169" fontId="27" fillId="0" borderId="0" xfId="1" applyNumberFormat="1" applyFont="1" applyBorder="1"/>
    <xf numFmtId="171" fontId="1" fillId="0" borderId="0" xfId="2" applyNumberFormat="1" applyBorder="1"/>
    <xf numFmtId="169" fontId="28" fillId="0" borderId="0" xfId="1" applyNumberFormat="1" applyFont="1" applyBorder="1"/>
    <xf numFmtId="169" fontId="1" fillId="0" borderId="0" xfId="1" applyNumberFormat="1"/>
    <xf numFmtId="0" fontId="29" fillId="0" borderId="0" xfId="3" applyFont="1"/>
    <xf numFmtId="171" fontId="1" fillId="0" borderId="0" xfId="2" applyNumberFormat="1" applyFont="1" applyBorder="1"/>
    <xf numFmtId="202" fontId="26" fillId="3" borderId="0" xfId="1" applyNumberFormat="1" applyFont="1" applyFill="1"/>
    <xf numFmtId="181" fontId="1" fillId="0" borderId="0" xfId="2" applyNumberFormat="1" applyFont="1" applyBorder="1"/>
    <xf numFmtId="173" fontId="1" fillId="0" borderId="0" xfId="1" applyNumberFormat="1"/>
    <xf numFmtId="0" fontId="26" fillId="4" borderId="0" xfId="3" applyFont="1" applyFill="1" applyBorder="1"/>
    <xf numFmtId="17" fontId="26" fillId="4" borderId="0" xfId="3" applyNumberFormat="1" applyFont="1" applyFill="1" applyBorder="1"/>
    <xf numFmtId="173" fontId="26" fillId="4" borderId="0" xfId="1" applyNumberFormat="1" applyFont="1" applyFill="1" applyBorder="1"/>
    <xf numFmtId="169" fontId="26" fillId="4" borderId="0" xfId="1" applyNumberFormat="1" applyFont="1" applyFill="1" applyBorder="1"/>
    <xf numFmtId="171" fontId="26" fillId="4" borderId="0" xfId="2" applyNumberFormat="1" applyFont="1" applyFill="1" applyBorder="1"/>
    <xf numFmtId="44" fontId="26" fillId="4" borderId="13" xfId="2" applyFont="1" applyFill="1" applyBorder="1"/>
    <xf numFmtId="171" fontId="27" fillId="0" borderId="0" xfId="2" applyNumberFormat="1" applyFont="1"/>
    <xf numFmtId="171" fontId="1" fillId="0" borderId="0" xfId="2" applyNumberFormat="1" applyFont="1"/>
    <xf numFmtId="171" fontId="28" fillId="0" borderId="0" xfId="2" applyNumberFormat="1" applyFont="1" applyBorder="1"/>
    <xf numFmtId="44" fontId="28" fillId="0" borderId="13" xfId="2" applyFont="1" applyBorder="1"/>
    <xf numFmtId="203" fontId="26" fillId="0" borderId="0" xfId="2" applyNumberFormat="1" applyFont="1"/>
    <xf numFmtId="0" fontId="1" fillId="0" borderId="14" xfId="3" applyBorder="1"/>
    <xf numFmtId="0" fontId="1" fillId="0" borderId="15" xfId="3" applyBorder="1"/>
    <xf numFmtId="173" fontId="1" fillId="0" borderId="15" xfId="1" applyNumberFormat="1" applyBorder="1"/>
    <xf numFmtId="169" fontId="1" fillId="0" borderId="15" xfId="1" applyNumberFormat="1" applyBorder="1"/>
    <xf numFmtId="171" fontId="1" fillId="0" borderId="15" xfId="2" applyNumberFormat="1" applyBorder="1"/>
    <xf numFmtId="44" fontId="1" fillId="0" borderId="16" xfId="2" applyBorder="1"/>
    <xf numFmtId="44" fontId="26" fillId="0" borderId="0" xfId="2" applyFont="1"/>
    <xf numFmtId="10" fontId="1" fillId="0" borderId="0" xfId="4" applyNumberFormat="1" applyFill="1"/>
    <xf numFmtId="10" fontId="1" fillId="0" borderId="0" xfId="3" applyNumberFormat="1" applyFill="1"/>
    <xf numFmtId="171" fontId="1" fillId="0" borderId="0" xfId="2" applyNumberFormat="1"/>
    <xf numFmtId="44" fontId="1" fillId="0" borderId="0" xfId="2"/>
    <xf numFmtId="202" fontId="26" fillId="0" borderId="0" xfId="1" applyNumberFormat="1" applyFont="1"/>
    <xf numFmtId="0" fontId="1" fillId="0" borderId="4" xfId="3" applyBorder="1"/>
    <xf numFmtId="169" fontId="1" fillId="0" borderId="0" xfId="1" applyNumberFormat="1" applyFont="1"/>
    <xf numFmtId="0" fontId="30" fillId="0" borderId="0" xfId="3" applyFont="1"/>
    <xf numFmtId="43" fontId="1" fillId="0" borderId="0" xfId="1" applyNumberFormat="1"/>
    <xf numFmtId="173" fontId="1" fillId="0" borderId="0" xfId="3" applyNumberFormat="1"/>
    <xf numFmtId="43" fontId="1" fillId="0" borderId="0" xfId="3" applyNumberFormat="1"/>
    <xf numFmtId="198" fontId="31" fillId="0" borderId="0" xfId="0" applyNumberFormat="1" applyFont="1" applyFill="1" applyProtection="1"/>
    <xf numFmtId="0" fontId="23" fillId="0" borderId="10" xfId="3" applyFont="1" applyBorder="1" applyAlignment="1">
      <alignment horizontal="right"/>
    </xf>
    <xf numFmtId="43" fontId="25" fillId="0" borderId="0" xfId="1" applyFont="1"/>
    <xf numFmtId="176" fontId="1" fillId="0" borderId="0" xfId="3" applyNumberFormat="1"/>
    <xf numFmtId="43" fontId="1" fillId="0" borderId="0" xfId="1"/>
    <xf numFmtId="7" fontId="1" fillId="0" borderId="0" xfId="3" applyNumberFormat="1"/>
    <xf numFmtId="10" fontId="1" fillId="3" borderId="0" xfId="4" applyNumberFormat="1" applyFill="1"/>
    <xf numFmtId="43" fontId="1" fillId="0" borderId="0" xfId="1" quotePrefix="1" applyFont="1"/>
    <xf numFmtId="41" fontId="1" fillId="0" borderId="0" xfId="1" applyNumberFormat="1"/>
    <xf numFmtId="0" fontId="1" fillId="0" borderId="0" xfId="3" quotePrefix="1" applyFont="1"/>
    <xf numFmtId="44" fontId="26" fillId="0" borderId="4" xfId="2" applyFont="1" applyBorder="1"/>
    <xf numFmtId="0" fontId="32" fillId="0" borderId="12" xfId="3" applyFont="1" applyBorder="1"/>
    <xf numFmtId="169" fontId="29" fillId="0" borderId="0" xfId="1" applyNumberFormat="1" applyFont="1" applyBorder="1"/>
    <xf numFmtId="169" fontId="1" fillId="0" borderId="0" xfId="1" applyNumberFormat="1" applyFont="1" applyBorder="1"/>
    <xf numFmtId="169" fontId="25" fillId="0" borderId="0" xfId="1" applyNumberFormat="1" applyFont="1"/>
    <xf numFmtId="44" fontId="1" fillId="0" borderId="0" xfId="2" applyBorder="1"/>
    <xf numFmtId="169" fontId="1" fillId="0" borderId="0" xfId="3" applyNumberFormat="1" applyFont="1" applyAlignment="1"/>
    <xf numFmtId="1" fontId="1" fillId="0" borderId="0" xfId="3" applyNumberFormat="1"/>
    <xf numFmtId="44" fontId="27" fillId="0" borderId="0" xfId="2" applyFont="1"/>
    <xf numFmtId="44" fontId="28" fillId="0" borderId="0" xfId="2" applyFont="1"/>
    <xf numFmtId="0" fontId="25" fillId="0" borderId="0" xfId="3" applyFont="1" applyAlignment="1"/>
    <xf numFmtId="169" fontId="28" fillId="0" borderId="0" xfId="3" applyNumberFormat="1" applyFont="1"/>
    <xf numFmtId="0" fontId="1" fillId="0" borderId="0" xfId="3" applyAlignment="1">
      <alignment horizontal="right"/>
    </xf>
    <xf numFmtId="0" fontId="22" fillId="0" borderId="0" xfId="3" applyFont="1" applyAlignment="1">
      <alignment horizontal="right"/>
    </xf>
    <xf numFmtId="0" fontId="27" fillId="0" borderId="0" xfId="3" applyFont="1" applyAlignment="1">
      <alignment horizontal="right"/>
    </xf>
    <xf numFmtId="41" fontId="1" fillId="0" borderId="0" xfId="3" applyNumberFormat="1"/>
    <xf numFmtId="17" fontId="1" fillId="0" borderId="0" xfId="3" quotePrefix="1" applyNumberFormat="1" applyFont="1" applyAlignment="1">
      <alignment horizontal="right"/>
    </xf>
    <xf numFmtId="173" fontId="1" fillId="0" borderId="0" xfId="1" applyNumberFormat="1" applyFont="1"/>
    <xf numFmtId="0" fontId="27" fillId="0" borderId="0" xfId="3" applyFont="1" applyAlignment="1"/>
    <xf numFmtId="41" fontId="1" fillId="0" borderId="0" xfId="3" applyNumberFormat="1" applyFont="1" applyAlignment="1">
      <alignment horizontal="right"/>
    </xf>
    <xf numFmtId="44" fontId="1" fillId="0" borderId="0" xfId="3" applyNumberFormat="1" applyFont="1"/>
    <xf numFmtId="0" fontId="22" fillId="0" borderId="0" xfId="3" applyFont="1"/>
    <xf numFmtId="44" fontId="1" fillId="0" borderId="0" xfId="3" applyNumberFormat="1"/>
  </cellXfs>
  <cellStyles count="5">
    <cellStyle name="Comma" xfId="1" builtinId="3"/>
    <cellStyle name="Currency" xfId="2" builtinId="4"/>
    <cellStyle name="Normal" xfId="0" builtinId="0"/>
    <cellStyle name="Normal_NFMCINV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26"/>
  <sheetViews>
    <sheetView tabSelected="1" topLeftCell="A71" zoomScale="75" workbookViewId="0">
      <selection activeCell="F100" sqref="F100"/>
    </sheetView>
  </sheetViews>
  <sheetFormatPr defaultColWidth="7.21875" defaultRowHeight="12.75" x14ac:dyDescent="0.2"/>
  <cols>
    <col min="1" max="1" width="27" style="57" customWidth="1"/>
    <col min="2" max="2" width="9.5546875" style="57" customWidth="1"/>
    <col min="3" max="3" width="8.44140625" style="57" customWidth="1"/>
    <col min="4" max="4" width="7.21875" style="57" customWidth="1"/>
    <col min="5" max="5" width="8" style="57" customWidth="1"/>
    <col min="6" max="6" width="9.21875" style="57" customWidth="1"/>
    <col min="7" max="7" width="7.6640625" style="57" customWidth="1"/>
    <col min="8" max="8" width="16.109375" style="57" customWidth="1"/>
    <col min="9" max="9" width="3.33203125" style="57" customWidth="1"/>
    <col min="10" max="10" width="21" style="57" customWidth="1"/>
    <col min="11" max="11" width="10.33203125" style="57" bestFit="1" customWidth="1"/>
    <col min="12" max="12" width="11.44140625" style="57" customWidth="1"/>
    <col min="13" max="13" width="10.44140625" style="57" bestFit="1" customWidth="1"/>
    <col min="14" max="16384" width="7.21875" style="57"/>
  </cols>
  <sheetData>
    <row r="1" spans="1:13" ht="21" thickBot="1" x14ac:dyDescent="0.35">
      <c r="A1" s="56" t="s">
        <v>46</v>
      </c>
      <c r="J1" s="58">
        <v>37073</v>
      </c>
      <c r="L1" s="59" t="s">
        <v>47</v>
      </c>
      <c r="M1" s="60">
        <f>J1+60</f>
        <v>37133</v>
      </c>
    </row>
    <row r="2" spans="1:13" x14ac:dyDescent="0.2">
      <c r="A2" s="61">
        <f>+J1</f>
        <v>37073</v>
      </c>
      <c r="L2" s="62" t="s">
        <v>48</v>
      </c>
      <c r="M2" s="63">
        <v>1.75</v>
      </c>
    </row>
    <row r="3" spans="1:13" ht="13.5" thickBot="1" x14ac:dyDescent="0.25">
      <c r="A3" s="64"/>
      <c r="J3" s="65" t="s">
        <v>49</v>
      </c>
    </row>
    <row r="4" spans="1:13" x14ac:dyDescent="0.2">
      <c r="A4" s="66" t="s">
        <v>50</v>
      </c>
      <c r="B4" s="67" t="str">
        <f>J3</f>
        <v>33175000 TF-1</v>
      </c>
      <c r="C4" s="68"/>
      <c r="D4" s="68"/>
      <c r="E4" s="68"/>
      <c r="F4" s="68"/>
      <c r="G4" s="68"/>
      <c r="H4" s="69"/>
      <c r="K4" s="70" t="s">
        <v>51</v>
      </c>
    </row>
    <row r="5" spans="1:13" x14ac:dyDescent="0.2">
      <c r="A5" s="71"/>
      <c r="B5" s="72"/>
      <c r="C5" s="72"/>
      <c r="D5" s="73" t="s">
        <v>52</v>
      </c>
      <c r="E5" s="73" t="s">
        <v>53</v>
      </c>
      <c r="F5" s="73" t="s">
        <v>54</v>
      </c>
      <c r="G5" s="73" t="s">
        <v>55</v>
      </c>
      <c r="H5" s="74" t="s">
        <v>56</v>
      </c>
      <c r="J5" s="75" t="s">
        <v>57</v>
      </c>
      <c r="K5" s="76">
        <v>42219</v>
      </c>
    </row>
    <row r="6" spans="1:13" x14ac:dyDescent="0.2">
      <c r="A6" s="77" t="s">
        <v>58</v>
      </c>
      <c r="B6" s="72"/>
      <c r="C6" s="72"/>
      <c r="D6" s="78">
        <f>K68</f>
        <v>2.5899999999999999E-2</v>
      </c>
      <c r="E6" s="79">
        <f>ROUND(F6/(1-D6),0)</f>
        <v>43342</v>
      </c>
      <c r="F6" s="79">
        <f>+K5</f>
        <v>42219</v>
      </c>
      <c r="G6" s="80"/>
      <c r="H6" s="81"/>
      <c r="J6" s="75" t="s">
        <v>59</v>
      </c>
      <c r="K6" s="76">
        <v>18187</v>
      </c>
      <c r="L6" s="82">
        <f>+K6+K5</f>
        <v>60406</v>
      </c>
    </row>
    <row r="7" spans="1:13" x14ac:dyDescent="0.2">
      <c r="A7" s="71" t="s">
        <v>60</v>
      </c>
      <c r="B7" s="72"/>
      <c r="C7" s="72"/>
      <c r="D7" s="78">
        <f>D$6</f>
        <v>2.5899999999999999E-2</v>
      </c>
      <c r="E7" s="83">
        <f>ROUND(F7/(1-D7),0)</f>
        <v>18671</v>
      </c>
      <c r="F7" s="83">
        <f>+K6</f>
        <v>18187</v>
      </c>
      <c r="G7" s="84"/>
      <c r="H7" s="81"/>
      <c r="J7" s="75" t="s">
        <v>61</v>
      </c>
      <c r="K7" s="76">
        <v>0</v>
      </c>
    </row>
    <row r="8" spans="1:13" ht="15" x14ac:dyDescent="0.35">
      <c r="A8" s="71" t="s">
        <v>62</v>
      </c>
      <c r="B8" s="72" t="s">
        <v>63</v>
      </c>
      <c r="C8" s="72"/>
      <c r="D8" s="78">
        <f>D$6</f>
        <v>2.5899999999999999E-2</v>
      </c>
      <c r="E8" s="85">
        <f>ROUND(F8/(1-D8),0)</f>
        <v>0</v>
      </c>
      <c r="F8" s="85">
        <f>+F13</f>
        <v>0</v>
      </c>
      <c r="G8" s="84"/>
      <c r="H8" s="81"/>
      <c r="J8" s="75" t="s">
        <v>61</v>
      </c>
      <c r="K8" s="86"/>
    </row>
    <row r="9" spans="1:13" x14ac:dyDescent="0.2">
      <c r="A9" s="71"/>
      <c r="B9" s="72"/>
      <c r="C9" s="72"/>
      <c r="D9" s="78"/>
      <c r="E9" s="83">
        <f>ROUND(SUM(E6:E8),0)</f>
        <v>62013</v>
      </c>
      <c r="F9" s="83">
        <f>SUM(F6:F8)</f>
        <v>60406</v>
      </c>
      <c r="G9" s="84"/>
      <c r="H9" s="81"/>
      <c r="J9" s="87" t="s">
        <v>51</v>
      </c>
      <c r="K9" s="86"/>
    </row>
    <row r="10" spans="1:13" x14ac:dyDescent="0.2">
      <c r="A10" s="71"/>
      <c r="B10" s="72"/>
      <c r="C10" s="72"/>
      <c r="D10" s="78"/>
      <c r="E10" s="79"/>
      <c r="F10" s="79"/>
      <c r="G10" s="84"/>
      <c r="H10" s="81"/>
      <c r="J10" s="75" t="s">
        <v>64</v>
      </c>
      <c r="K10" s="86"/>
    </row>
    <row r="11" spans="1:13" x14ac:dyDescent="0.2">
      <c r="A11" s="71" t="s">
        <v>62</v>
      </c>
      <c r="B11" s="72" t="s">
        <v>63</v>
      </c>
      <c r="C11" s="72"/>
      <c r="D11" s="78">
        <f>D$6</f>
        <v>2.5899999999999999E-2</v>
      </c>
      <c r="E11" s="79">
        <f>ROUND(F11/(1-D11),0)</f>
        <v>0</v>
      </c>
      <c r="F11" s="79">
        <f>+K7</f>
        <v>0</v>
      </c>
      <c r="G11" s="84"/>
      <c r="H11" s="81"/>
      <c r="J11" s="75" t="s">
        <v>64</v>
      </c>
      <c r="K11" s="86"/>
    </row>
    <row r="12" spans="1:13" ht="15" x14ac:dyDescent="0.35">
      <c r="A12" s="71" t="s">
        <v>62</v>
      </c>
      <c r="B12" s="72" t="s">
        <v>63</v>
      </c>
      <c r="C12" s="72"/>
      <c r="D12" s="78">
        <f>D$6</f>
        <v>2.5899999999999999E-2</v>
      </c>
      <c r="E12" s="85">
        <f>ROUND(F12/(1-D12),0)</f>
        <v>0</v>
      </c>
      <c r="F12" s="85">
        <f>+K8</f>
        <v>0</v>
      </c>
      <c r="G12" s="84"/>
      <c r="H12" s="81"/>
      <c r="J12" s="75" t="s">
        <v>65</v>
      </c>
      <c r="K12" s="86">
        <f>L6-K13</f>
        <v>45495</v>
      </c>
    </row>
    <row r="13" spans="1:13" x14ac:dyDescent="0.2">
      <c r="A13" s="71"/>
      <c r="B13" s="72"/>
      <c r="C13" s="72"/>
      <c r="D13" s="78"/>
      <c r="E13" s="79">
        <f>E11+E12</f>
        <v>0</v>
      </c>
      <c r="F13" s="79">
        <f>F11+F12</f>
        <v>0</v>
      </c>
      <c r="G13" s="88"/>
      <c r="H13" s="81"/>
      <c r="J13" s="75" t="s">
        <v>66</v>
      </c>
      <c r="K13" s="89">
        <v>14911</v>
      </c>
      <c r="L13" s="82">
        <f>+K13+K12</f>
        <v>60406</v>
      </c>
    </row>
    <row r="14" spans="1:13" x14ac:dyDescent="0.2">
      <c r="A14" s="71"/>
      <c r="B14" s="72"/>
      <c r="C14" s="72"/>
      <c r="D14" s="78"/>
      <c r="E14" s="79"/>
      <c r="F14" s="79"/>
      <c r="G14" s="90"/>
      <c r="H14" s="81"/>
      <c r="J14" s="75"/>
      <c r="K14" s="86"/>
    </row>
    <row r="15" spans="1:13" x14ac:dyDescent="0.2">
      <c r="A15" s="71" t="s">
        <v>67</v>
      </c>
      <c r="B15" s="72"/>
      <c r="C15" s="72"/>
      <c r="D15" s="78"/>
      <c r="E15" s="79">
        <f>E9-E13</f>
        <v>62013</v>
      </c>
      <c r="F15" s="79">
        <f>F9-F13</f>
        <v>60406</v>
      </c>
      <c r="G15" s="84"/>
      <c r="H15" s="81"/>
      <c r="J15" s="75" t="s">
        <v>68</v>
      </c>
      <c r="K15" s="91"/>
    </row>
    <row r="16" spans="1:13" x14ac:dyDescent="0.2">
      <c r="A16" s="77"/>
      <c r="B16" s="72" t="s">
        <v>69</v>
      </c>
      <c r="C16" s="72"/>
      <c r="D16" s="78">
        <f>D$6</f>
        <v>2.5899999999999999E-2</v>
      </c>
      <c r="E16" s="79">
        <f>ROUND(F16/(1-D16),0)</f>
        <v>0</v>
      </c>
      <c r="F16" s="79">
        <f>+K10</f>
        <v>0</v>
      </c>
      <c r="G16" s="84">
        <f>+K15</f>
        <v>0</v>
      </c>
      <c r="H16" s="81">
        <f>ROUND(E16*G16,2)</f>
        <v>0</v>
      </c>
      <c r="J16" s="75" t="s">
        <v>68</v>
      </c>
    </row>
    <row r="17" spans="1:14" x14ac:dyDescent="0.2">
      <c r="A17" s="77"/>
      <c r="B17" s="92" t="s">
        <v>69</v>
      </c>
      <c r="C17" s="93"/>
      <c r="D17" s="94">
        <f>D$6</f>
        <v>2.5899999999999999E-2</v>
      </c>
      <c r="E17" s="95">
        <v>0</v>
      </c>
      <c r="F17" s="95">
        <f>+K11</f>
        <v>0</v>
      </c>
      <c r="G17" s="96">
        <v>0</v>
      </c>
      <c r="H17" s="97"/>
      <c r="J17" s="75" t="s">
        <v>70</v>
      </c>
      <c r="K17" s="98">
        <f>M2+0.01</f>
        <v>1.76</v>
      </c>
    </row>
    <row r="18" spans="1:14" x14ac:dyDescent="0.2">
      <c r="A18" s="71"/>
      <c r="B18" s="72" t="s">
        <v>71</v>
      </c>
      <c r="C18" s="72"/>
      <c r="D18" s="78">
        <f>D$6</f>
        <v>2.5899999999999999E-2</v>
      </c>
      <c r="E18" s="83">
        <f>ROUND(F18/(1-D18),0)</f>
        <v>46705</v>
      </c>
      <c r="F18" s="79">
        <f>+K12</f>
        <v>45495</v>
      </c>
      <c r="G18" s="84">
        <f>+K17</f>
        <v>1.76</v>
      </c>
      <c r="H18" s="81">
        <f>ROUND(E18*G18,2)</f>
        <v>82200.800000000003</v>
      </c>
      <c r="J18" s="75" t="s">
        <v>72</v>
      </c>
      <c r="K18" s="99">
        <f>M2+0.1</f>
        <v>1.85</v>
      </c>
    </row>
    <row r="19" spans="1:14" ht="15" x14ac:dyDescent="0.35">
      <c r="A19" s="71"/>
      <c r="B19" s="72" t="s">
        <v>73</v>
      </c>
      <c r="C19" s="72"/>
      <c r="D19" s="78">
        <f>D$6</f>
        <v>2.5899999999999999E-2</v>
      </c>
      <c r="E19" s="85">
        <f>ROUND(F19/(1-D19),0)</f>
        <v>15307</v>
      </c>
      <c r="F19" s="85">
        <f>+K13</f>
        <v>14911</v>
      </c>
      <c r="G19" s="100">
        <f>+K18</f>
        <v>1.85</v>
      </c>
      <c r="H19" s="101">
        <f>ROUND(E19*G19,2)</f>
        <v>28317.95</v>
      </c>
      <c r="J19" s="62" t="s">
        <v>74</v>
      </c>
      <c r="K19" s="102">
        <v>0</v>
      </c>
    </row>
    <row r="20" spans="1:14" ht="13.5" thickBot="1" x14ac:dyDescent="0.25">
      <c r="A20" s="103"/>
      <c r="B20" s="104"/>
      <c r="C20" s="104"/>
      <c r="D20" s="105"/>
      <c r="E20" s="106">
        <f>+E9</f>
        <v>62013</v>
      </c>
      <c r="F20" s="106">
        <f>SUM(F16:F19)</f>
        <v>60406</v>
      </c>
      <c r="G20" s="107">
        <f>+H20/E20</f>
        <v>1.7821867995420315</v>
      </c>
      <c r="H20" s="108">
        <f>SUM(H16:H19)</f>
        <v>110518.75</v>
      </c>
      <c r="J20" s="75" t="s">
        <v>75</v>
      </c>
      <c r="K20" s="109">
        <v>3165.96</v>
      </c>
    </row>
    <row r="21" spans="1:14" x14ac:dyDescent="0.2">
      <c r="J21" s="75" t="s">
        <v>76</v>
      </c>
      <c r="K21" s="76">
        <v>2175</v>
      </c>
    </row>
    <row r="22" spans="1:14" x14ac:dyDescent="0.2">
      <c r="L22" s="110"/>
      <c r="M22" s="111"/>
      <c r="N22" s="75"/>
    </row>
    <row r="23" spans="1:14" x14ac:dyDescent="0.2">
      <c r="L23" s="110"/>
      <c r="M23" s="111"/>
      <c r="N23" s="75"/>
    </row>
    <row r="24" spans="1:14" x14ac:dyDescent="0.2">
      <c r="L24" s="110"/>
      <c r="M24" s="111"/>
      <c r="N24" s="75"/>
    </row>
    <row r="25" spans="1:14" x14ac:dyDescent="0.2">
      <c r="D25" s="91"/>
      <c r="E25" s="86"/>
      <c r="F25" s="86"/>
      <c r="G25" s="112"/>
      <c r="H25" s="113"/>
      <c r="K25" s="86"/>
    </row>
    <row r="26" spans="1:14" ht="13.5" thickBot="1" x14ac:dyDescent="0.25">
      <c r="D26" s="91"/>
      <c r="E26" s="86"/>
      <c r="F26" s="86"/>
      <c r="G26" s="112"/>
      <c r="H26" s="113"/>
      <c r="J26" s="65" t="s">
        <v>77</v>
      </c>
      <c r="K26" s="86"/>
    </row>
    <row r="27" spans="1:14" x14ac:dyDescent="0.2">
      <c r="A27" s="66" t="s">
        <v>50</v>
      </c>
      <c r="B27" s="67" t="str">
        <f>J26</f>
        <v>33171000 TF-1</v>
      </c>
      <c r="C27" s="68"/>
      <c r="D27" s="68"/>
      <c r="E27" s="68"/>
      <c r="F27" s="68"/>
      <c r="G27" s="68"/>
      <c r="H27" s="69"/>
      <c r="J27" s="75" t="s">
        <v>57</v>
      </c>
      <c r="K27" s="114">
        <v>0</v>
      </c>
    </row>
    <row r="28" spans="1:14" x14ac:dyDescent="0.2">
      <c r="A28" s="71"/>
      <c r="B28" s="72"/>
      <c r="C28" s="72"/>
      <c r="D28" s="73" t="s">
        <v>52</v>
      </c>
      <c r="E28" s="73" t="s">
        <v>53</v>
      </c>
      <c r="F28" s="73" t="s">
        <v>54</v>
      </c>
      <c r="G28" s="73" t="s">
        <v>55</v>
      </c>
      <c r="H28" s="74" t="s">
        <v>56</v>
      </c>
      <c r="J28" s="75" t="s">
        <v>59</v>
      </c>
      <c r="K28" s="114">
        <v>0</v>
      </c>
    </row>
    <row r="29" spans="1:14" x14ac:dyDescent="0.2">
      <c r="A29" s="77" t="s">
        <v>78</v>
      </c>
      <c r="B29" s="72"/>
      <c r="C29" s="72"/>
      <c r="D29" s="78">
        <f>D$6</f>
        <v>2.5899999999999999E-2</v>
      </c>
      <c r="E29" s="79">
        <f>ROUND(F29/(1-D29),0)</f>
        <v>0</v>
      </c>
      <c r="F29" s="79">
        <f>+K27</f>
        <v>0</v>
      </c>
      <c r="G29" s="84"/>
      <c r="H29" s="81"/>
      <c r="J29" s="75" t="s">
        <v>61</v>
      </c>
      <c r="K29" s="86">
        <v>0</v>
      </c>
    </row>
    <row r="30" spans="1:14" x14ac:dyDescent="0.2">
      <c r="A30" s="71" t="s">
        <v>60</v>
      </c>
      <c r="B30" s="72"/>
      <c r="C30" s="72"/>
      <c r="D30" s="78">
        <f>D$6</f>
        <v>2.5899999999999999E-2</v>
      </c>
      <c r="E30" s="83">
        <f>ROUND(F30/(1-D30),0)</f>
        <v>0</v>
      </c>
      <c r="F30" s="83">
        <f>+K28</f>
        <v>0</v>
      </c>
      <c r="G30" s="84"/>
      <c r="H30" s="81"/>
      <c r="J30" s="75" t="s">
        <v>61</v>
      </c>
      <c r="K30" s="86">
        <v>0</v>
      </c>
      <c r="L30" s="115"/>
    </row>
    <row r="31" spans="1:14" ht="15" x14ac:dyDescent="0.35">
      <c r="A31" s="71" t="s">
        <v>62</v>
      </c>
      <c r="B31" s="72" t="s">
        <v>63</v>
      </c>
      <c r="C31" s="72"/>
      <c r="D31" s="78">
        <f>D$6</f>
        <v>2.5899999999999999E-2</v>
      </c>
      <c r="E31" s="85">
        <f>ROUND(F31/(1-D31),0)</f>
        <v>0</v>
      </c>
      <c r="F31" s="85">
        <f>+F36</f>
        <v>0</v>
      </c>
      <c r="G31" s="84"/>
      <c r="H31" s="81"/>
      <c r="K31" s="86"/>
      <c r="L31" s="82">
        <f>SUM(K27:K30)</f>
        <v>0</v>
      </c>
    </row>
    <row r="32" spans="1:14" x14ac:dyDescent="0.2">
      <c r="A32" s="71"/>
      <c r="B32" s="72"/>
      <c r="C32" s="72"/>
      <c r="D32" s="78"/>
      <c r="E32" s="79">
        <f>SUM(E29:E31)</f>
        <v>0</v>
      </c>
      <c r="F32" s="79">
        <f>SUM(F29:F31)</f>
        <v>0</v>
      </c>
      <c r="G32" s="84"/>
      <c r="H32" s="81"/>
      <c r="J32" s="75" t="s">
        <v>64</v>
      </c>
      <c r="K32" s="116">
        <v>0</v>
      </c>
      <c r="M32" s="62"/>
    </row>
    <row r="33" spans="1:13" x14ac:dyDescent="0.2">
      <c r="A33" s="71"/>
      <c r="B33" s="72"/>
      <c r="C33" s="72"/>
      <c r="D33" s="78"/>
      <c r="E33" s="79"/>
      <c r="F33" s="79"/>
      <c r="G33" s="84"/>
      <c r="H33" s="81"/>
      <c r="J33" s="75" t="s">
        <v>64</v>
      </c>
      <c r="K33" s="86">
        <v>0</v>
      </c>
      <c r="M33" s="82">
        <f>+K10+K33</f>
        <v>0</v>
      </c>
    </row>
    <row r="34" spans="1:13" x14ac:dyDescent="0.2">
      <c r="A34" s="71" t="s">
        <v>62</v>
      </c>
      <c r="B34" s="72" t="s">
        <v>63</v>
      </c>
      <c r="C34" s="72"/>
      <c r="D34" s="78">
        <f>D$6</f>
        <v>2.5899999999999999E-2</v>
      </c>
      <c r="E34" s="79">
        <f>ROUND(F34/(1-D34),0)</f>
        <v>0</v>
      </c>
      <c r="F34" s="79">
        <f>+K29</f>
        <v>0</v>
      </c>
      <c r="G34" s="84"/>
      <c r="H34" s="81"/>
      <c r="J34" s="75" t="s">
        <v>64</v>
      </c>
      <c r="K34" s="86">
        <v>0</v>
      </c>
      <c r="L34" s="82"/>
      <c r="M34" s="82">
        <f>+K33+K34</f>
        <v>0</v>
      </c>
    </row>
    <row r="35" spans="1:13" ht="15" x14ac:dyDescent="0.35">
      <c r="A35" s="77"/>
      <c r="B35" s="72" t="s">
        <v>63</v>
      </c>
      <c r="C35" s="72"/>
      <c r="D35" s="78">
        <f>D$6</f>
        <v>2.5899999999999999E-2</v>
      </c>
      <c r="E35" s="85">
        <f>ROUND(F35/(1-D35),0)</f>
        <v>0</v>
      </c>
      <c r="F35" s="85">
        <f>+K30</f>
        <v>0</v>
      </c>
      <c r="G35" s="84"/>
      <c r="H35" s="81"/>
      <c r="J35" s="75" t="s">
        <v>65</v>
      </c>
      <c r="K35" s="86">
        <f>SUM(K27:K30)</f>
        <v>0</v>
      </c>
    </row>
    <row r="36" spans="1:13" x14ac:dyDescent="0.2">
      <c r="A36" s="71"/>
      <c r="B36" s="72"/>
      <c r="C36" s="72"/>
      <c r="D36" s="78"/>
      <c r="E36" s="79">
        <f>E34+E35</f>
        <v>0</v>
      </c>
      <c r="F36" s="79">
        <f>F34+F35</f>
        <v>0</v>
      </c>
      <c r="G36" s="84"/>
      <c r="H36" s="81"/>
      <c r="J36" s="75" t="s">
        <v>66</v>
      </c>
      <c r="K36" s="89">
        <v>0</v>
      </c>
      <c r="L36" s="62"/>
    </row>
    <row r="37" spans="1:13" x14ac:dyDescent="0.2">
      <c r="A37" s="71"/>
      <c r="B37" s="72"/>
      <c r="C37" s="72"/>
      <c r="D37" s="78"/>
      <c r="E37" s="79"/>
      <c r="F37" s="79"/>
      <c r="G37" s="84"/>
      <c r="H37" s="81"/>
      <c r="K37" s="86"/>
      <c r="L37" s="62"/>
    </row>
    <row r="38" spans="1:13" x14ac:dyDescent="0.2">
      <c r="A38" s="71" t="s">
        <v>67</v>
      </c>
      <c r="B38" s="72"/>
      <c r="C38" s="72"/>
      <c r="D38" s="78"/>
      <c r="E38" s="79">
        <f>E32-E36</f>
        <v>0</v>
      </c>
      <c r="F38" s="79">
        <f>F32-F36</f>
        <v>0</v>
      </c>
      <c r="G38" s="84"/>
      <c r="H38" s="81"/>
      <c r="J38" s="75" t="s">
        <v>68</v>
      </c>
      <c r="K38" s="91"/>
      <c r="L38" s="62"/>
    </row>
    <row r="39" spans="1:13" x14ac:dyDescent="0.2">
      <c r="A39" s="71"/>
      <c r="B39" s="72" t="s">
        <v>69</v>
      </c>
      <c r="C39" s="72"/>
      <c r="D39" s="78">
        <f>D$6</f>
        <v>2.5899999999999999E-2</v>
      </c>
      <c r="E39" s="79">
        <f>ROUND(F39/(1-D39),0)</f>
        <v>0</v>
      </c>
      <c r="F39" s="79">
        <f>+K32</f>
        <v>0</v>
      </c>
      <c r="G39" s="84">
        <f>+G16</f>
        <v>0</v>
      </c>
      <c r="H39" s="81">
        <f>ROUND(E39*G39,2)</f>
        <v>0</v>
      </c>
      <c r="J39" s="75" t="s">
        <v>68</v>
      </c>
      <c r="K39" s="91"/>
      <c r="L39" s="62"/>
    </row>
    <row r="40" spans="1:13" x14ac:dyDescent="0.2">
      <c r="A40" s="71"/>
      <c r="B40" s="72" t="s">
        <v>69</v>
      </c>
      <c r="C40" s="72"/>
      <c r="D40" s="78">
        <f>D$6</f>
        <v>2.5899999999999999E-2</v>
      </c>
      <c r="E40" s="79">
        <f>ROUND(F40/(1-D40),0)</f>
        <v>0</v>
      </c>
      <c r="F40" s="79">
        <f>+K33</f>
        <v>0</v>
      </c>
      <c r="G40" s="84">
        <f>+K39</f>
        <v>0</v>
      </c>
      <c r="H40" s="81">
        <f>ROUND(E40*G40,2)</f>
        <v>0</v>
      </c>
      <c r="J40" s="75" t="s">
        <v>79</v>
      </c>
      <c r="K40" s="112">
        <f>+K17</f>
        <v>1.76</v>
      </c>
    </row>
    <row r="41" spans="1:13" x14ac:dyDescent="0.2">
      <c r="A41" s="71"/>
      <c r="B41" s="72" t="s">
        <v>69</v>
      </c>
      <c r="C41" s="72"/>
      <c r="D41" s="78">
        <f>D$6</f>
        <v>2.5899999999999999E-2</v>
      </c>
      <c r="E41" s="79">
        <f>ROUND(F41/(1-D41),0)</f>
        <v>0</v>
      </c>
      <c r="F41" s="79">
        <f>+K34</f>
        <v>0</v>
      </c>
      <c r="G41" s="84">
        <f>+K40</f>
        <v>1.76</v>
      </c>
      <c r="H41" s="81">
        <f>ROUND(E41*G41,2)</f>
        <v>0</v>
      </c>
    </row>
    <row r="42" spans="1:13" x14ac:dyDescent="0.2">
      <c r="A42" s="71"/>
      <c r="B42" s="72" t="s">
        <v>71</v>
      </c>
      <c r="C42" s="72"/>
      <c r="D42" s="78">
        <f>D$6</f>
        <v>2.5899999999999999E-2</v>
      </c>
      <c r="E42" s="79">
        <f>ROUND(F42/(1-D42),0)</f>
        <v>0</v>
      </c>
      <c r="F42" s="79">
        <f>+K35</f>
        <v>0</v>
      </c>
      <c r="G42" s="84">
        <f>+G18</f>
        <v>1.76</v>
      </c>
      <c r="H42" s="81">
        <f>ROUND(E42*G42,2)</f>
        <v>0</v>
      </c>
      <c r="J42" s="75" t="s">
        <v>75</v>
      </c>
      <c r="K42" s="109">
        <v>30557.98</v>
      </c>
    </row>
    <row r="43" spans="1:13" ht="15" x14ac:dyDescent="0.35">
      <c r="A43" s="71"/>
      <c r="B43" s="72" t="s">
        <v>73</v>
      </c>
      <c r="C43" s="72"/>
      <c r="D43" s="78">
        <f>D$6</f>
        <v>2.5899999999999999E-2</v>
      </c>
      <c r="E43" s="85">
        <f>ROUND(F43/(1-D43),0)</f>
        <v>0</v>
      </c>
      <c r="F43" s="85">
        <f>+K36</f>
        <v>0</v>
      </c>
      <c r="G43" s="100">
        <f>+G19</f>
        <v>1.85</v>
      </c>
      <c r="H43" s="101">
        <f>ROUND(E43*G43,2)</f>
        <v>0</v>
      </c>
      <c r="J43" s="75" t="s">
        <v>76</v>
      </c>
      <c r="K43" s="76">
        <v>3130</v>
      </c>
    </row>
    <row r="44" spans="1:13" ht="13.5" thickBot="1" x14ac:dyDescent="0.25">
      <c r="A44" s="103"/>
      <c r="B44" s="104"/>
      <c r="C44" s="104"/>
      <c r="D44" s="105"/>
      <c r="E44" s="106">
        <f>SUM(E39:E43)</f>
        <v>0</v>
      </c>
      <c r="F44" s="106">
        <f>SUM(F39:F43)</f>
        <v>0</v>
      </c>
      <c r="G44" s="107"/>
      <c r="H44" s="108">
        <f>SUM(H39:H43)</f>
        <v>0</v>
      </c>
      <c r="J44" s="62" t="s">
        <v>74</v>
      </c>
      <c r="K44" s="109">
        <v>-1584.2</v>
      </c>
    </row>
    <row r="45" spans="1:13" x14ac:dyDescent="0.2">
      <c r="A45" s="62"/>
      <c r="D45" s="91"/>
      <c r="E45" s="86"/>
      <c r="F45" s="86"/>
      <c r="G45" s="112"/>
      <c r="H45" s="113"/>
      <c r="J45" s="65" t="s">
        <v>80</v>
      </c>
    </row>
    <row r="46" spans="1:13" ht="13.5" thickBot="1" x14ac:dyDescent="0.25">
      <c r="D46" s="91"/>
      <c r="E46" s="86"/>
      <c r="F46" s="86"/>
      <c r="G46" s="112"/>
      <c r="H46" s="113"/>
      <c r="J46" s="117" t="s">
        <v>81</v>
      </c>
    </row>
    <row r="47" spans="1:13" x14ac:dyDescent="0.2">
      <c r="A47" s="66" t="s">
        <v>50</v>
      </c>
      <c r="B47" s="67" t="str">
        <f>J45</f>
        <v>33229000  NNT-1</v>
      </c>
      <c r="C47" s="68"/>
      <c r="D47" s="68"/>
      <c r="E47" s="68"/>
      <c r="F47" s="68"/>
      <c r="G47" s="68"/>
      <c r="H47" s="69"/>
      <c r="J47" s="75" t="s">
        <v>57</v>
      </c>
      <c r="K47" s="86">
        <v>0</v>
      </c>
    </row>
    <row r="48" spans="1:13" x14ac:dyDescent="0.2">
      <c r="A48" s="71"/>
      <c r="B48" s="72"/>
      <c r="C48" s="72"/>
      <c r="D48" s="73" t="s">
        <v>52</v>
      </c>
      <c r="E48" s="73" t="s">
        <v>53</v>
      </c>
      <c r="F48" s="73" t="s">
        <v>54</v>
      </c>
      <c r="G48" s="73" t="s">
        <v>55</v>
      </c>
      <c r="H48" s="74" t="s">
        <v>56</v>
      </c>
      <c r="J48" s="75" t="s">
        <v>59</v>
      </c>
      <c r="K48" s="86">
        <v>0</v>
      </c>
    </row>
    <row r="49" spans="1:14" x14ac:dyDescent="0.2">
      <c r="A49" s="77" t="s">
        <v>78</v>
      </c>
      <c r="B49" s="72"/>
      <c r="C49" s="72"/>
      <c r="D49" s="78">
        <f>D$6</f>
        <v>2.5899999999999999E-2</v>
      </c>
      <c r="E49" s="79">
        <f>ROUND(F49/(1-D49),0)</f>
        <v>0</v>
      </c>
      <c r="F49" s="79">
        <f>+K47</f>
        <v>0</v>
      </c>
      <c r="G49" s="84"/>
      <c r="H49" s="81"/>
      <c r="J49" s="75" t="s">
        <v>61</v>
      </c>
      <c r="K49" s="86"/>
    </row>
    <row r="50" spans="1:14" x14ac:dyDescent="0.2">
      <c r="A50" s="71" t="s">
        <v>60</v>
      </c>
      <c r="B50" s="72"/>
      <c r="C50" s="72"/>
      <c r="D50" s="78">
        <f>D$6</f>
        <v>2.5899999999999999E-2</v>
      </c>
      <c r="E50" s="83">
        <f>ROUND(F50/(1-D50),0)</f>
        <v>0</v>
      </c>
      <c r="F50" s="83">
        <f>+K48</f>
        <v>0</v>
      </c>
      <c r="G50" s="84"/>
      <c r="H50" s="81"/>
      <c r="J50" s="75" t="s">
        <v>61</v>
      </c>
    </row>
    <row r="51" spans="1:14" ht="15" x14ac:dyDescent="0.35">
      <c r="A51" s="71" t="s">
        <v>62</v>
      </c>
      <c r="B51" s="72" t="s">
        <v>63</v>
      </c>
      <c r="C51" s="72"/>
      <c r="D51" s="78">
        <f>D$6</f>
        <v>2.5899999999999999E-2</v>
      </c>
      <c r="E51" s="85">
        <f>ROUND(F51/(1-D51),0)</f>
        <v>0</v>
      </c>
      <c r="F51" s="85">
        <f>+F56</f>
        <v>0</v>
      </c>
      <c r="G51" s="84"/>
      <c r="H51" s="81"/>
      <c r="J51" s="75"/>
    </row>
    <row r="52" spans="1:14" x14ac:dyDescent="0.2">
      <c r="A52" s="71"/>
      <c r="B52" s="72"/>
      <c r="C52" s="72"/>
      <c r="D52" s="78"/>
      <c r="E52" s="79">
        <f>SUM(E49:E51)</f>
        <v>0</v>
      </c>
      <c r="F52" s="79">
        <f>SUM(F49:F51)</f>
        <v>0</v>
      </c>
      <c r="G52" s="84"/>
      <c r="H52" s="81"/>
      <c r="J52" s="75" t="s">
        <v>64</v>
      </c>
      <c r="K52" s="118"/>
    </row>
    <row r="53" spans="1:14" x14ac:dyDescent="0.2">
      <c r="A53" s="71"/>
      <c r="B53" s="72"/>
      <c r="C53" s="72"/>
      <c r="D53" s="78"/>
      <c r="E53" s="79"/>
      <c r="F53" s="79"/>
      <c r="G53" s="84"/>
      <c r="H53" s="81"/>
      <c r="J53" s="75" t="s">
        <v>65</v>
      </c>
      <c r="K53" s="86">
        <f>+K47</f>
        <v>0</v>
      </c>
    </row>
    <row r="54" spans="1:14" x14ac:dyDescent="0.2">
      <c r="A54" s="71" t="s">
        <v>62</v>
      </c>
      <c r="B54" s="72" t="s">
        <v>63</v>
      </c>
      <c r="C54" s="72"/>
      <c r="D54" s="78">
        <f>D$6</f>
        <v>2.5899999999999999E-2</v>
      </c>
      <c r="E54" s="79">
        <f>ROUND(F54/(1-D54),0)</f>
        <v>0</v>
      </c>
      <c r="F54" s="79">
        <f>+K49</f>
        <v>0</v>
      </c>
      <c r="G54" s="84"/>
      <c r="H54" s="81"/>
      <c r="J54" s="75" t="s">
        <v>66</v>
      </c>
    </row>
    <row r="55" spans="1:14" ht="15" x14ac:dyDescent="0.35">
      <c r="A55" s="77"/>
      <c r="B55" s="72" t="s">
        <v>63</v>
      </c>
      <c r="C55" s="72"/>
      <c r="D55" s="78">
        <f>D$6</f>
        <v>2.5899999999999999E-2</v>
      </c>
      <c r="E55" s="85">
        <f>ROUND(F55/(1-D55),0)</f>
        <v>0</v>
      </c>
      <c r="F55" s="85">
        <f>+K50</f>
        <v>0</v>
      </c>
      <c r="G55" s="84"/>
      <c r="H55" s="81"/>
      <c r="J55" s="75"/>
    </row>
    <row r="56" spans="1:14" x14ac:dyDescent="0.2">
      <c r="A56" s="71"/>
      <c r="B56" s="72"/>
      <c r="C56" s="72"/>
      <c r="D56" s="78"/>
      <c r="E56" s="79">
        <f>E54+E55</f>
        <v>0</v>
      </c>
      <c r="F56" s="79">
        <f>F54+F55</f>
        <v>0</v>
      </c>
      <c r="G56" s="84"/>
      <c r="H56" s="81"/>
      <c r="J56" s="75" t="s">
        <v>68</v>
      </c>
      <c r="K56" s="119">
        <v>0</v>
      </c>
      <c r="N56" s="62"/>
    </row>
    <row r="57" spans="1:14" x14ac:dyDescent="0.2">
      <c r="A57" s="71"/>
      <c r="B57" s="72"/>
      <c r="C57" s="72"/>
      <c r="D57" s="78"/>
      <c r="E57" s="79"/>
      <c r="F57" s="79"/>
      <c r="G57" s="84"/>
      <c r="H57" s="81"/>
      <c r="J57" s="75" t="s">
        <v>82</v>
      </c>
      <c r="K57" s="120">
        <v>0</v>
      </c>
    </row>
    <row r="58" spans="1:14" x14ac:dyDescent="0.2">
      <c r="A58" s="71" t="s">
        <v>67</v>
      </c>
      <c r="B58" s="72"/>
      <c r="C58" s="72"/>
      <c r="D58" s="78"/>
      <c r="E58" s="79">
        <f>E52-E56</f>
        <v>0</v>
      </c>
      <c r="F58" s="79">
        <f>F52-F56</f>
        <v>0</v>
      </c>
      <c r="G58" s="84"/>
      <c r="H58" s="81"/>
      <c r="J58" s="75" t="s">
        <v>83</v>
      </c>
    </row>
    <row r="59" spans="1:14" x14ac:dyDescent="0.2">
      <c r="A59" s="71"/>
      <c r="B59" s="72" t="s">
        <v>69</v>
      </c>
      <c r="C59" s="72"/>
      <c r="D59" s="78">
        <f>D$6</f>
        <v>2.5899999999999999E-2</v>
      </c>
      <c r="E59" s="79">
        <f>ROUND(F59/(1-D59),0)</f>
        <v>0</v>
      </c>
      <c r="F59" s="79">
        <f>+K52</f>
        <v>0</v>
      </c>
      <c r="G59" s="84">
        <f>+K56</f>
        <v>0</v>
      </c>
      <c r="H59" s="81">
        <f>ROUND(E59*G59,2)</f>
        <v>0</v>
      </c>
    </row>
    <row r="60" spans="1:14" x14ac:dyDescent="0.2">
      <c r="A60" s="71"/>
      <c r="B60" s="72" t="s">
        <v>71</v>
      </c>
      <c r="C60" s="72"/>
      <c r="D60" s="78">
        <f>D$6</f>
        <v>2.5899999999999999E-2</v>
      </c>
      <c r="E60" s="79">
        <f>ROUND(F60/(1-D60),0)</f>
        <v>0</v>
      </c>
      <c r="F60" s="79">
        <f>+K53</f>
        <v>0</v>
      </c>
      <c r="G60" s="84">
        <f>+K57</f>
        <v>0</v>
      </c>
      <c r="H60" s="81">
        <f>ROUND(E60*G60,2)</f>
        <v>0</v>
      </c>
      <c r="J60" s="75" t="s">
        <v>75</v>
      </c>
      <c r="K60" s="57">
        <v>0</v>
      </c>
    </row>
    <row r="61" spans="1:14" ht="15" x14ac:dyDescent="0.35">
      <c r="A61" s="71"/>
      <c r="B61" s="72" t="s">
        <v>73</v>
      </c>
      <c r="C61" s="72"/>
      <c r="D61" s="78">
        <f>D$6</f>
        <v>2.5899999999999999E-2</v>
      </c>
      <c r="E61" s="85">
        <f>ROUND(F61/(1-D61),0)</f>
        <v>0</v>
      </c>
      <c r="F61" s="85">
        <f>+K54</f>
        <v>0</v>
      </c>
      <c r="G61" s="100">
        <f>+K58</f>
        <v>0</v>
      </c>
      <c r="H61" s="101">
        <f>ROUND(E61*G61,2)</f>
        <v>0</v>
      </c>
      <c r="J61" s="75" t="s">
        <v>76</v>
      </c>
      <c r="K61" s="57">
        <v>0</v>
      </c>
    </row>
    <row r="62" spans="1:14" ht="13.5" thickBot="1" x14ac:dyDescent="0.25">
      <c r="A62" s="103"/>
      <c r="B62" s="104"/>
      <c r="C62" s="104"/>
      <c r="D62" s="105"/>
      <c r="E62" s="106">
        <f>SUM(E59:E61)</f>
        <v>0</v>
      </c>
      <c r="F62" s="106">
        <f>SUM(F59:F61)</f>
        <v>0</v>
      </c>
      <c r="G62" s="107"/>
      <c r="H62" s="108">
        <f>SUM(H59:H61)</f>
        <v>0</v>
      </c>
    </row>
    <row r="63" spans="1:14" x14ac:dyDescent="0.2">
      <c r="D63" s="91"/>
      <c r="E63" s="86"/>
      <c r="F63" s="86"/>
      <c r="G63" s="112"/>
      <c r="H63" s="113"/>
      <c r="J63" s="65" t="s">
        <v>84</v>
      </c>
    </row>
    <row r="64" spans="1:14" ht="20.25" thickBot="1" x14ac:dyDescent="0.4">
      <c r="D64" s="91"/>
      <c r="E64" s="86"/>
      <c r="F64" s="86"/>
      <c r="G64" s="112"/>
      <c r="H64" s="113"/>
      <c r="J64" s="75" t="s">
        <v>85</v>
      </c>
      <c r="K64" s="121">
        <f>DATE(YEAR(J1+31),MONTH(J1+31),1)-J1</f>
        <v>31</v>
      </c>
    </row>
    <row r="65" spans="1:12" x14ac:dyDescent="0.2">
      <c r="A65" s="66" t="s">
        <v>50</v>
      </c>
      <c r="B65" s="122" t="s">
        <v>86</v>
      </c>
      <c r="C65" s="68"/>
      <c r="D65" s="68"/>
      <c r="E65" s="68"/>
      <c r="F65" s="68"/>
      <c r="G65" s="68"/>
      <c r="H65" s="69"/>
      <c r="J65" s="75" t="s">
        <v>87</v>
      </c>
      <c r="K65" s="109">
        <v>0.06</v>
      </c>
    </row>
    <row r="66" spans="1:12" x14ac:dyDescent="0.2">
      <c r="A66" s="71"/>
      <c r="B66" s="72"/>
      <c r="C66" s="72"/>
      <c r="D66" s="73"/>
      <c r="E66" s="73" t="s">
        <v>53</v>
      </c>
      <c r="F66" s="73" t="s">
        <v>54</v>
      </c>
      <c r="G66" s="73" t="s">
        <v>55</v>
      </c>
      <c r="H66" s="74" t="s">
        <v>56</v>
      </c>
      <c r="J66" s="75" t="s">
        <v>88</v>
      </c>
      <c r="K66" s="123">
        <v>-12740.23</v>
      </c>
      <c r="L66" s="124"/>
    </row>
    <row r="67" spans="1:12" x14ac:dyDescent="0.2">
      <c r="A67" s="77" t="s">
        <v>78</v>
      </c>
      <c r="B67" s="72"/>
      <c r="C67" s="72"/>
      <c r="D67" s="78"/>
      <c r="E67" s="79">
        <f t="shared" ref="E67:F69" si="0">E6+E29+E49</f>
        <v>43342</v>
      </c>
      <c r="F67" s="79">
        <f t="shared" si="0"/>
        <v>42219</v>
      </c>
      <c r="G67" s="84"/>
      <c r="H67" s="81"/>
      <c r="J67" s="75" t="s">
        <v>88</v>
      </c>
      <c r="K67" s="125">
        <v>0</v>
      </c>
      <c r="L67" s="126"/>
    </row>
    <row r="68" spans="1:12" x14ac:dyDescent="0.2">
      <c r="A68" s="71" t="s">
        <v>60</v>
      </c>
      <c r="B68" s="72"/>
      <c r="C68" s="72"/>
      <c r="D68" s="78"/>
      <c r="E68" s="79">
        <f t="shared" si="0"/>
        <v>18671</v>
      </c>
      <c r="F68" s="79">
        <f t="shared" si="0"/>
        <v>18187</v>
      </c>
      <c r="G68" s="84"/>
      <c r="H68" s="81"/>
      <c r="J68" s="75" t="s">
        <v>89</v>
      </c>
      <c r="K68" s="127">
        <v>2.5899999999999999E-2</v>
      </c>
      <c r="L68" s="126"/>
    </row>
    <row r="69" spans="1:12" ht="15" x14ac:dyDescent="0.35">
      <c r="A69" s="71" t="s">
        <v>62</v>
      </c>
      <c r="B69" s="72" t="s">
        <v>63</v>
      </c>
      <c r="C69" s="72"/>
      <c r="D69" s="78"/>
      <c r="E69" s="85">
        <f t="shared" si="0"/>
        <v>0</v>
      </c>
      <c r="F69" s="85">
        <f t="shared" si="0"/>
        <v>0</v>
      </c>
      <c r="G69" s="84"/>
      <c r="H69" s="81"/>
      <c r="J69" s="75" t="s">
        <v>90</v>
      </c>
      <c r="K69" s="127">
        <v>1.2999999999999999E-2</v>
      </c>
      <c r="L69" s="128"/>
    </row>
    <row r="70" spans="1:12" x14ac:dyDescent="0.2">
      <c r="A70" s="71"/>
      <c r="B70" s="72"/>
      <c r="C70" s="72"/>
      <c r="D70" s="78"/>
      <c r="E70" s="79">
        <f>SUM(E67:E69)</f>
        <v>62013</v>
      </c>
      <c r="F70" s="79">
        <f>SUM(F67:F69)</f>
        <v>60406</v>
      </c>
      <c r="G70" s="84"/>
      <c r="H70" s="81"/>
      <c r="J70" s="75" t="s">
        <v>91</v>
      </c>
      <c r="K70" s="127">
        <v>1.3100000000000001E-2</v>
      </c>
      <c r="L70" s="129"/>
    </row>
    <row r="71" spans="1:12" x14ac:dyDescent="0.2">
      <c r="A71" s="71"/>
      <c r="B71" s="72"/>
      <c r="C71" s="72"/>
      <c r="D71" s="78"/>
      <c r="E71" s="79"/>
      <c r="F71" s="79"/>
      <c r="G71" s="84"/>
      <c r="H71" s="81"/>
      <c r="J71" s="130"/>
      <c r="K71" s="118"/>
      <c r="L71" s="125"/>
    </row>
    <row r="72" spans="1:12" x14ac:dyDescent="0.2">
      <c r="A72" s="71" t="s">
        <v>62</v>
      </c>
      <c r="B72" s="72" t="s">
        <v>63</v>
      </c>
      <c r="C72" s="72"/>
      <c r="D72" s="78"/>
      <c r="E72" s="79">
        <f>E11+E34</f>
        <v>0</v>
      </c>
      <c r="F72" s="79">
        <f>F11+F34</f>
        <v>0</v>
      </c>
      <c r="G72" s="84"/>
      <c r="H72" s="81"/>
      <c r="J72" s="65" t="s">
        <v>92</v>
      </c>
      <c r="K72" s="86"/>
      <c r="L72" s="125"/>
    </row>
    <row r="73" spans="1:12" ht="15" x14ac:dyDescent="0.35">
      <c r="A73" s="71" t="s">
        <v>62</v>
      </c>
      <c r="B73" s="72" t="s">
        <v>63</v>
      </c>
      <c r="C73" s="72"/>
      <c r="D73" s="78"/>
      <c r="E73" s="85">
        <f>E12+E35</f>
        <v>0</v>
      </c>
      <c r="F73" s="85">
        <f>F12+F35</f>
        <v>0</v>
      </c>
      <c r="G73" s="84"/>
      <c r="H73" s="81"/>
      <c r="J73" s="75" t="s">
        <v>93</v>
      </c>
      <c r="K73" s="109">
        <v>342.8</v>
      </c>
      <c r="L73" s="125"/>
    </row>
    <row r="74" spans="1:12" x14ac:dyDescent="0.2">
      <c r="A74" s="71"/>
      <c r="B74" s="72"/>
      <c r="C74" s="72"/>
      <c r="D74" s="78"/>
      <c r="E74" s="79">
        <f>E72+E73</f>
        <v>0</v>
      </c>
      <c r="F74" s="79">
        <f>F72+F73</f>
        <v>0</v>
      </c>
      <c r="G74" s="84"/>
      <c r="H74" s="81"/>
      <c r="J74" s="75" t="s">
        <v>94</v>
      </c>
      <c r="K74" s="131">
        <v>0</v>
      </c>
      <c r="L74" s="125"/>
    </row>
    <row r="75" spans="1:12" x14ac:dyDescent="0.2">
      <c r="A75" s="71"/>
      <c r="B75" s="72"/>
      <c r="C75" s="72"/>
      <c r="D75" s="78"/>
      <c r="E75" s="79"/>
      <c r="F75" s="79"/>
      <c r="G75" s="84"/>
      <c r="H75" s="81"/>
      <c r="J75" s="75" t="s">
        <v>95</v>
      </c>
      <c r="K75" s="113">
        <f>SUM(K73:K74)</f>
        <v>342.8</v>
      </c>
    </row>
    <row r="76" spans="1:12" x14ac:dyDescent="0.2">
      <c r="A76" s="71" t="s">
        <v>67</v>
      </c>
      <c r="B76" s="72"/>
      <c r="C76" s="72"/>
      <c r="D76" s="78"/>
      <c r="E76" s="79">
        <f>E15+E38+E58</f>
        <v>62013</v>
      </c>
      <c r="F76" s="79">
        <f>F15+F38+F58</f>
        <v>60406</v>
      </c>
      <c r="G76" s="84"/>
      <c r="H76" s="81"/>
    </row>
    <row r="77" spans="1:12" x14ac:dyDescent="0.2">
      <c r="A77" s="132"/>
      <c r="B77" s="72" t="s">
        <v>69</v>
      </c>
      <c r="C77" s="72"/>
      <c r="D77" s="78"/>
      <c r="E77" s="133">
        <f>+E16+E39+E59</f>
        <v>0</v>
      </c>
      <c r="F77" s="133">
        <f>+F16+F39+F59</f>
        <v>0</v>
      </c>
      <c r="G77" s="84">
        <f>+G39</f>
        <v>0</v>
      </c>
      <c r="H77" s="81">
        <f>+E77*G77</f>
        <v>0</v>
      </c>
      <c r="J77" s="65" t="s">
        <v>96</v>
      </c>
    </row>
    <row r="78" spans="1:12" x14ac:dyDescent="0.2">
      <c r="A78" s="71"/>
      <c r="B78" s="72" t="s">
        <v>69</v>
      </c>
      <c r="C78" s="72"/>
      <c r="D78" s="78"/>
      <c r="E78" s="133">
        <f>+E17+E40</f>
        <v>0</v>
      </c>
      <c r="F78" s="79">
        <f>+F17</f>
        <v>0</v>
      </c>
      <c r="G78" s="84">
        <f>+K16</f>
        <v>0</v>
      </c>
      <c r="H78" s="81">
        <f>+E78*G78</f>
        <v>0</v>
      </c>
      <c r="J78" s="62" t="s">
        <v>97</v>
      </c>
    </row>
    <row r="79" spans="1:12" x14ac:dyDescent="0.2">
      <c r="A79" s="71"/>
      <c r="B79" s="72" t="s">
        <v>69</v>
      </c>
      <c r="C79" s="72"/>
      <c r="D79" s="78"/>
      <c r="E79" s="79">
        <v>0</v>
      </c>
      <c r="F79" s="79">
        <v>0</v>
      </c>
      <c r="G79" s="84">
        <v>0</v>
      </c>
      <c r="H79" s="81">
        <f>+H17</f>
        <v>0</v>
      </c>
      <c r="J79" s="62" t="s">
        <v>98</v>
      </c>
      <c r="K79" s="76">
        <v>62134</v>
      </c>
    </row>
    <row r="80" spans="1:12" x14ac:dyDescent="0.2">
      <c r="A80" s="71"/>
      <c r="B80" s="72" t="s">
        <v>71</v>
      </c>
      <c r="C80" s="72"/>
      <c r="D80" s="134"/>
      <c r="E80" s="79">
        <f>E18+E42+E60</f>
        <v>46705</v>
      </c>
      <c r="F80" s="79">
        <f>F18+F42+F60</f>
        <v>45495</v>
      </c>
      <c r="G80" s="84">
        <f>+G42</f>
        <v>1.76</v>
      </c>
      <c r="H80" s="81">
        <f>ROUND(+E80*G80,2)</f>
        <v>82200.800000000003</v>
      </c>
      <c r="J80" s="62" t="s">
        <v>99</v>
      </c>
      <c r="K80" s="76">
        <v>18187</v>
      </c>
    </row>
    <row r="81" spans="1:12" ht="15" x14ac:dyDescent="0.35">
      <c r="A81" s="71"/>
      <c r="B81" s="72" t="s">
        <v>73</v>
      </c>
      <c r="C81" s="72"/>
      <c r="D81" s="78"/>
      <c r="E81" s="85">
        <f>E19+E43+E61</f>
        <v>15307</v>
      </c>
      <c r="F81" s="85">
        <f>F19+F43+F61</f>
        <v>14911</v>
      </c>
      <c r="G81" s="100">
        <f>+G43</f>
        <v>1.85</v>
      </c>
      <c r="H81" s="101">
        <f>+E81*G81</f>
        <v>28317.95</v>
      </c>
      <c r="J81" s="62" t="s">
        <v>100</v>
      </c>
      <c r="K81" s="76">
        <v>239</v>
      </c>
    </row>
    <row r="82" spans="1:12" ht="13.5" thickBot="1" x14ac:dyDescent="0.25">
      <c r="A82" s="103"/>
      <c r="B82" s="104"/>
      <c r="C82" s="104"/>
      <c r="D82" s="105"/>
      <c r="E82" s="106">
        <f>SUM(E77:E81)</f>
        <v>62012</v>
      </c>
      <c r="F82" s="106">
        <f>SUM(F77:F81)</f>
        <v>60406</v>
      </c>
      <c r="G82" s="107"/>
      <c r="H82" s="108">
        <f>SUM(H77:H81)</f>
        <v>110518.75</v>
      </c>
      <c r="J82" s="62" t="s">
        <v>101</v>
      </c>
      <c r="K82" s="76">
        <v>17948</v>
      </c>
      <c r="L82" s="135" t="str">
        <f>IF(K80-K81=K82,"OK","Inj Qty Mismatch")</f>
        <v>OK</v>
      </c>
    </row>
    <row r="83" spans="1:12" x14ac:dyDescent="0.2">
      <c r="A83" s="72"/>
      <c r="B83" s="72"/>
      <c r="C83" s="72"/>
      <c r="D83" s="78"/>
      <c r="E83" s="79"/>
      <c r="F83" s="79"/>
      <c r="G83" s="84"/>
      <c r="H83" s="136"/>
      <c r="J83" s="137" t="s">
        <v>102</v>
      </c>
      <c r="K83" s="76">
        <v>0</v>
      </c>
    </row>
    <row r="84" spans="1:12" x14ac:dyDescent="0.2">
      <c r="H84" s="113"/>
      <c r="J84" s="62" t="s">
        <v>103</v>
      </c>
      <c r="K84" s="76">
        <v>80082</v>
      </c>
      <c r="L84" s="135" t="str">
        <f>IF(K79+K80-K81-K83-K84=0,"OK","Qty Mismatch")</f>
        <v>OK</v>
      </c>
    </row>
    <row r="85" spans="1:12" x14ac:dyDescent="0.2">
      <c r="B85" s="57" t="s">
        <v>104</v>
      </c>
      <c r="E85" s="138" t="str">
        <f>B4</f>
        <v>33175000 TF-1</v>
      </c>
      <c r="H85" s="113">
        <f>+K20</f>
        <v>3165.96</v>
      </c>
      <c r="J85" s="62" t="s">
        <v>105</v>
      </c>
      <c r="K85" s="86">
        <f>K80-K83</f>
        <v>18187</v>
      </c>
      <c r="L85" s="57" t="str">
        <f>IF(K85&gt;0,"Net Injection","Net Withdrawl")</f>
        <v>Net Injection</v>
      </c>
    </row>
    <row r="86" spans="1:12" x14ac:dyDescent="0.2">
      <c r="B86" s="57" t="s">
        <v>104</v>
      </c>
      <c r="E86" s="138" t="str">
        <f>B27</f>
        <v>33171000 TF-1</v>
      </c>
      <c r="H86" s="139">
        <f>+K42</f>
        <v>30557.98</v>
      </c>
    </row>
    <row r="87" spans="1:12" x14ac:dyDescent="0.2">
      <c r="B87" s="57" t="s">
        <v>104</v>
      </c>
      <c r="E87" s="138" t="str">
        <f>J45</f>
        <v>33229000  NNT-1</v>
      </c>
      <c r="H87" s="139">
        <f>+K60</f>
        <v>0</v>
      </c>
      <c r="J87" s="62" t="s">
        <v>106</v>
      </c>
    </row>
    <row r="88" spans="1:12" ht="15" x14ac:dyDescent="0.35">
      <c r="B88" s="62" t="s">
        <v>107</v>
      </c>
      <c r="E88" s="138" t="str">
        <f>J72</f>
        <v>31029000 NNT-1</v>
      </c>
      <c r="H88" s="140">
        <f>K75</f>
        <v>342.8</v>
      </c>
      <c r="J88" s="62" t="s">
        <v>105</v>
      </c>
      <c r="K88" s="86">
        <f>K6+K28</f>
        <v>18187</v>
      </c>
      <c r="L88" s="57" t="str">
        <f>IF(K88&gt;0,"Net Injection","Net Withdrawl")</f>
        <v>Net Injection</v>
      </c>
    </row>
    <row r="89" spans="1:12" x14ac:dyDescent="0.2">
      <c r="H89" s="113">
        <f>SUM(H85:H88)</f>
        <v>34066.740000000005</v>
      </c>
    </row>
    <row r="90" spans="1:12" x14ac:dyDescent="0.2">
      <c r="H90" s="113"/>
      <c r="J90" s="141" t="s">
        <v>108</v>
      </c>
      <c r="K90" s="82">
        <f>K85-K88</f>
        <v>0</v>
      </c>
      <c r="L90" s="75" t="str">
        <f>IF(K85=K88,"OK","Storage Mismatch")</f>
        <v>OK</v>
      </c>
    </row>
    <row r="91" spans="1:12" x14ac:dyDescent="0.2">
      <c r="A91" s="57" t="s">
        <v>109</v>
      </c>
      <c r="B91" s="116">
        <f>+K61+K43</f>
        <v>3130</v>
      </c>
      <c r="C91" s="57">
        <f>+K64</f>
        <v>31</v>
      </c>
      <c r="D91" s="57" t="s">
        <v>110</v>
      </c>
      <c r="F91" s="86">
        <f>ROUND(B91*C91,0)</f>
        <v>97030</v>
      </c>
      <c r="H91" s="113"/>
    </row>
    <row r="92" spans="1:12" ht="15" x14ac:dyDescent="0.35">
      <c r="A92" s="57" t="s">
        <v>111</v>
      </c>
      <c r="F92" s="142">
        <f>+F62+F44</f>
        <v>0</v>
      </c>
      <c r="K92" s="86"/>
    </row>
    <row r="93" spans="1:12" x14ac:dyDescent="0.2">
      <c r="A93" s="57" t="s">
        <v>112</v>
      </c>
      <c r="B93" s="86"/>
      <c r="E93" s="143" t="s">
        <v>113</v>
      </c>
      <c r="F93" s="86">
        <f>F91-F92</f>
        <v>97030</v>
      </c>
      <c r="G93" s="112">
        <f>K65</f>
        <v>0.06</v>
      </c>
      <c r="H93" s="113">
        <f>-ROUND(F93*G93,2)</f>
        <v>-5821.8</v>
      </c>
    </row>
    <row r="94" spans="1:12" x14ac:dyDescent="0.2">
      <c r="F94" s="82"/>
      <c r="H94" s="113"/>
    </row>
    <row r="95" spans="1:12" x14ac:dyDescent="0.2">
      <c r="B95" s="64"/>
      <c r="D95" s="91"/>
      <c r="E95" s="86"/>
      <c r="F95" s="86"/>
      <c r="G95" s="112"/>
      <c r="H95" s="113"/>
    </row>
    <row r="96" spans="1:12" x14ac:dyDescent="0.2">
      <c r="B96" s="64"/>
      <c r="C96" s="144" t="s">
        <v>114</v>
      </c>
      <c r="E96" s="86"/>
      <c r="F96" s="116" t="s">
        <v>115</v>
      </c>
      <c r="G96" s="145"/>
      <c r="H96" s="113">
        <f>K66</f>
        <v>-12740.23</v>
      </c>
    </row>
    <row r="97" spans="1:10" x14ac:dyDescent="0.2">
      <c r="A97" s="146"/>
      <c r="B97" s="147"/>
      <c r="D97" s="148"/>
      <c r="E97" s="86"/>
      <c r="F97" s="149" t="s">
        <v>116</v>
      </c>
      <c r="H97" s="113">
        <f>K67</f>
        <v>0</v>
      </c>
    </row>
    <row r="98" spans="1:10" x14ac:dyDescent="0.2">
      <c r="A98" s="146"/>
      <c r="D98" s="91"/>
      <c r="E98" s="86"/>
      <c r="F98" s="86"/>
      <c r="G98" s="145"/>
      <c r="H98" s="113"/>
      <c r="J98" s="62"/>
    </row>
    <row r="99" spans="1:10" ht="15" x14ac:dyDescent="0.35">
      <c r="D99" s="91"/>
      <c r="E99" s="86"/>
      <c r="F99" s="86"/>
      <c r="G99" s="150" t="s">
        <v>117</v>
      </c>
      <c r="H99" s="140">
        <f>K19+K44</f>
        <v>-1584.2</v>
      </c>
      <c r="J99" s="151"/>
    </row>
    <row r="101" spans="1:10" ht="15" x14ac:dyDescent="0.35">
      <c r="A101" s="146"/>
      <c r="D101" s="152" t="s">
        <v>118</v>
      </c>
      <c r="E101" s="152"/>
      <c r="F101" s="152"/>
      <c r="G101" s="152"/>
      <c r="H101" s="140">
        <f>SUM(H82,H89:H99)</f>
        <v>124439.26000000001</v>
      </c>
    </row>
    <row r="102" spans="1:10" ht="15" x14ac:dyDescent="0.35">
      <c r="A102" s="146"/>
      <c r="D102" s="152"/>
      <c r="E102" s="152"/>
      <c r="F102" s="152"/>
      <c r="G102" s="152"/>
      <c r="H102" s="140"/>
    </row>
    <row r="103" spans="1:10" x14ac:dyDescent="0.2">
      <c r="J103" s="151"/>
    </row>
    <row r="104" spans="1:10" x14ac:dyDescent="0.2">
      <c r="H104" s="153"/>
      <c r="J104" s="153"/>
    </row>
    <row r="105" spans="1:10" x14ac:dyDescent="0.2">
      <c r="H105" s="113"/>
    </row>
    <row r="106" spans="1:10" x14ac:dyDescent="0.2">
      <c r="H106" s="153"/>
    </row>
    <row r="107" spans="1:10" x14ac:dyDescent="0.2">
      <c r="H107" s="113"/>
    </row>
    <row r="108" spans="1:10" x14ac:dyDescent="0.2">
      <c r="H108" s="113"/>
    </row>
    <row r="109" spans="1:10" x14ac:dyDescent="0.2">
      <c r="H109" s="113"/>
    </row>
    <row r="110" spans="1:10" x14ac:dyDescent="0.2">
      <c r="H110" s="113"/>
    </row>
    <row r="111" spans="1:10" x14ac:dyDescent="0.2">
      <c r="H111" s="113"/>
    </row>
    <row r="112" spans="1:10" x14ac:dyDescent="0.2">
      <c r="H112" s="113"/>
    </row>
    <row r="113" spans="8:8" x14ac:dyDescent="0.2">
      <c r="H113" s="113"/>
    </row>
    <row r="114" spans="8:8" x14ac:dyDescent="0.2">
      <c r="H114" s="113"/>
    </row>
    <row r="115" spans="8:8" x14ac:dyDescent="0.2">
      <c r="H115" s="113"/>
    </row>
    <row r="116" spans="8:8" x14ac:dyDescent="0.2">
      <c r="H116" s="113"/>
    </row>
    <row r="117" spans="8:8" x14ac:dyDescent="0.2">
      <c r="H117" s="113"/>
    </row>
    <row r="118" spans="8:8" x14ac:dyDescent="0.2">
      <c r="H118" s="113"/>
    </row>
    <row r="119" spans="8:8" x14ac:dyDescent="0.2">
      <c r="H119" s="113"/>
    </row>
    <row r="120" spans="8:8" x14ac:dyDescent="0.2">
      <c r="H120" s="113"/>
    </row>
    <row r="121" spans="8:8" x14ac:dyDescent="0.2">
      <c r="H121" s="113"/>
    </row>
    <row r="122" spans="8:8" x14ac:dyDescent="0.2">
      <c r="H122" s="113"/>
    </row>
    <row r="123" spans="8:8" x14ac:dyDescent="0.2">
      <c r="H123" s="113"/>
    </row>
    <row r="124" spans="8:8" x14ac:dyDescent="0.2">
      <c r="H124" s="113"/>
    </row>
    <row r="125" spans="8:8" x14ac:dyDescent="0.2">
      <c r="H125" s="113"/>
    </row>
    <row r="126" spans="8:8" x14ac:dyDescent="0.2">
      <c r="H126" s="113"/>
    </row>
    <row r="127" spans="8:8" x14ac:dyDescent="0.2">
      <c r="H127" s="113"/>
    </row>
    <row r="128" spans="8:8" x14ac:dyDescent="0.2">
      <c r="H128" s="113"/>
    </row>
    <row r="129" spans="8:8" x14ac:dyDescent="0.2">
      <c r="H129" s="113"/>
    </row>
    <row r="130" spans="8:8" x14ac:dyDescent="0.2">
      <c r="H130" s="113"/>
    </row>
    <row r="131" spans="8:8" x14ac:dyDescent="0.2">
      <c r="H131" s="113"/>
    </row>
    <row r="132" spans="8:8" x14ac:dyDescent="0.2">
      <c r="H132" s="113"/>
    </row>
    <row r="133" spans="8:8" x14ac:dyDescent="0.2">
      <c r="H133" s="113"/>
    </row>
    <row r="134" spans="8:8" x14ac:dyDescent="0.2">
      <c r="H134" s="113"/>
    </row>
    <row r="135" spans="8:8" x14ac:dyDescent="0.2">
      <c r="H135" s="113"/>
    </row>
    <row r="136" spans="8:8" x14ac:dyDescent="0.2">
      <c r="H136" s="113"/>
    </row>
    <row r="137" spans="8:8" x14ac:dyDescent="0.2">
      <c r="H137" s="113"/>
    </row>
    <row r="138" spans="8:8" x14ac:dyDescent="0.2">
      <c r="H138" s="113"/>
    </row>
    <row r="139" spans="8:8" x14ac:dyDescent="0.2">
      <c r="H139" s="113"/>
    </row>
    <row r="140" spans="8:8" x14ac:dyDescent="0.2">
      <c r="H140" s="113"/>
    </row>
    <row r="141" spans="8:8" x14ac:dyDescent="0.2">
      <c r="H141" s="113"/>
    </row>
    <row r="142" spans="8:8" x14ac:dyDescent="0.2">
      <c r="H142" s="113"/>
    </row>
    <row r="143" spans="8:8" x14ac:dyDescent="0.2">
      <c r="H143" s="113"/>
    </row>
    <row r="144" spans="8:8" x14ac:dyDescent="0.2">
      <c r="H144" s="113"/>
    </row>
    <row r="145" spans="8:8" x14ac:dyDescent="0.2">
      <c r="H145" s="113"/>
    </row>
    <row r="146" spans="8:8" x14ac:dyDescent="0.2">
      <c r="H146" s="113"/>
    </row>
    <row r="147" spans="8:8" x14ac:dyDescent="0.2">
      <c r="H147" s="113"/>
    </row>
    <row r="148" spans="8:8" x14ac:dyDescent="0.2">
      <c r="H148" s="113"/>
    </row>
    <row r="149" spans="8:8" x14ac:dyDescent="0.2">
      <c r="H149" s="113"/>
    </row>
    <row r="150" spans="8:8" x14ac:dyDescent="0.2">
      <c r="H150" s="113"/>
    </row>
    <row r="151" spans="8:8" x14ac:dyDescent="0.2">
      <c r="H151" s="113"/>
    </row>
    <row r="152" spans="8:8" x14ac:dyDescent="0.2">
      <c r="H152" s="113"/>
    </row>
    <row r="153" spans="8:8" x14ac:dyDescent="0.2">
      <c r="H153" s="113"/>
    </row>
    <row r="154" spans="8:8" x14ac:dyDescent="0.2">
      <c r="H154" s="113"/>
    </row>
    <row r="155" spans="8:8" x14ac:dyDescent="0.2">
      <c r="H155" s="113"/>
    </row>
    <row r="156" spans="8:8" x14ac:dyDescent="0.2">
      <c r="H156" s="113"/>
    </row>
    <row r="157" spans="8:8" x14ac:dyDescent="0.2">
      <c r="H157" s="113"/>
    </row>
    <row r="158" spans="8:8" x14ac:dyDescent="0.2">
      <c r="H158" s="113"/>
    </row>
    <row r="159" spans="8:8" x14ac:dyDescent="0.2">
      <c r="H159" s="113"/>
    </row>
    <row r="160" spans="8:8" x14ac:dyDescent="0.2">
      <c r="H160" s="113"/>
    </row>
    <row r="161" spans="8:8" x14ac:dyDescent="0.2">
      <c r="H161" s="113"/>
    </row>
    <row r="162" spans="8:8" x14ac:dyDescent="0.2">
      <c r="H162" s="113"/>
    </row>
    <row r="163" spans="8:8" x14ac:dyDescent="0.2">
      <c r="H163" s="113"/>
    </row>
    <row r="164" spans="8:8" x14ac:dyDescent="0.2">
      <c r="H164" s="113"/>
    </row>
    <row r="165" spans="8:8" x14ac:dyDescent="0.2">
      <c r="H165" s="113"/>
    </row>
    <row r="166" spans="8:8" x14ac:dyDescent="0.2">
      <c r="H166" s="113"/>
    </row>
    <row r="167" spans="8:8" x14ac:dyDescent="0.2">
      <c r="H167" s="113"/>
    </row>
    <row r="168" spans="8:8" x14ac:dyDescent="0.2">
      <c r="H168" s="113"/>
    </row>
    <row r="169" spans="8:8" x14ac:dyDescent="0.2">
      <c r="H169" s="113"/>
    </row>
    <row r="170" spans="8:8" x14ac:dyDescent="0.2">
      <c r="H170" s="113"/>
    </row>
    <row r="171" spans="8:8" x14ac:dyDescent="0.2">
      <c r="H171" s="113"/>
    </row>
    <row r="172" spans="8:8" x14ac:dyDescent="0.2">
      <c r="H172" s="113"/>
    </row>
    <row r="173" spans="8:8" x14ac:dyDescent="0.2">
      <c r="H173" s="113"/>
    </row>
    <row r="174" spans="8:8" x14ac:dyDescent="0.2">
      <c r="H174" s="113"/>
    </row>
    <row r="175" spans="8:8" x14ac:dyDescent="0.2">
      <c r="H175" s="113"/>
    </row>
    <row r="176" spans="8:8" x14ac:dyDescent="0.2">
      <c r="H176" s="113"/>
    </row>
    <row r="177" spans="8:8" x14ac:dyDescent="0.2">
      <c r="H177" s="113"/>
    </row>
    <row r="178" spans="8:8" x14ac:dyDescent="0.2">
      <c r="H178" s="113"/>
    </row>
    <row r="179" spans="8:8" x14ac:dyDescent="0.2">
      <c r="H179" s="113"/>
    </row>
    <row r="180" spans="8:8" x14ac:dyDescent="0.2">
      <c r="H180" s="113"/>
    </row>
    <row r="181" spans="8:8" x14ac:dyDescent="0.2">
      <c r="H181" s="113"/>
    </row>
    <row r="182" spans="8:8" x14ac:dyDescent="0.2">
      <c r="H182" s="113"/>
    </row>
    <row r="183" spans="8:8" x14ac:dyDescent="0.2">
      <c r="H183" s="113"/>
    </row>
    <row r="184" spans="8:8" x14ac:dyDescent="0.2">
      <c r="H184" s="113"/>
    </row>
    <row r="185" spans="8:8" x14ac:dyDescent="0.2">
      <c r="H185" s="113"/>
    </row>
    <row r="186" spans="8:8" x14ac:dyDescent="0.2">
      <c r="H186" s="113"/>
    </row>
    <row r="187" spans="8:8" x14ac:dyDescent="0.2">
      <c r="H187" s="113"/>
    </row>
    <row r="188" spans="8:8" x14ac:dyDescent="0.2">
      <c r="H188" s="113"/>
    </row>
    <row r="189" spans="8:8" x14ac:dyDescent="0.2">
      <c r="H189" s="113"/>
    </row>
    <row r="190" spans="8:8" x14ac:dyDescent="0.2">
      <c r="H190" s="113"/>
    </row>
    <row r="191" spans="8:8" x14ac:dyDescent="0.2">
      <c r="H191" s="113"/>
    </row>
    <row r="192" spans="8:8" x14ac:dyDescent="0.2">
      <c r="H192" s="113"/>
    </row>
    <row r="193" spans="8:8" x14ac:dyDescent="0.2">
      <c r="H193" s="113"/>
    </row>
    <row r="194" spans="8:8" x14ac:dyDescent="0.2">
      <c r="H194" s="113"/>
    </row>
    <row r="195" spans="8:8" x14ac:dyDescent="0.2">
      <c r="H195" s="113"/>
    </row>
    <row r="196" spans="8:8" x14ac:dyDescent="0.2">
      <c r="H196" s="113"/>
    </row>
    <row r="197" spans="8:8" x14ac:dyDescent="0.2">
      <c r="H197" s="113"/>
    </row>
    <row r="198" spans="8:8" x14ac:dyDescent="0.2">
      <c r="H198" s="113"/>
    </row>
    <row r="199" spans="8:8" x14ac:dyDescent="0.2">
      <c r="H199" s="113"/>
    </row>
    <row r="200" spans="8:8" x14ac:dyDescent="0.2">
      <c r="H200" s="113"/>
    </row>
    <row r="201" spans="8:8" x14ac:dyDescent="0.2">
      <c r="H201" s="113"/>
    </row>
    <row r="202" spans="8:8" x14ac:dyDescent="0.2">
      <c r="H202" s="113"/>
    </row>
    <row r="203" spans="8:8" x14ac:dyDescent="0.2">
      <c r="H203" s="113"/>
    </row>
    <row r="204" spans="8:8" x14ac:dyDescent="0.2">
      <c r="H204" s="113"/>
    </row>
    <row r="205" spans="8:8" x14ac:dyDescent="0.2">
      <c r="H205" s="113"/>
    </row>
    <row r="206" spans="8:8" x14ac:dyDescent="0.2">
      <c r="H206" s="113"/>
    </row>
    <row r="207" spans="8:8" x14ac:dyDescent="0.2">
      <c r="H207" s="113"/>
    </row>
    <row r="208" spans="8:8" x14ac:dyDescent="0.2">
      <c r="H208" s="113"/>
    </row>
    <row r="209" spans="8:8" x14ac:dyDescent="0.2">
      <c r="H209" s="113"/>
    </row>
    <row r="210" spans="8:8" x14ac:dyDescent="0.2">
      <c r="H210" s="113"/>
    </row>
    <row r="211" spans="8:8" x14ac:dyDescent="0.2">
      <c r="H211" s="113"/>
    </row>
    <row r="212" spans="8:8" x14ac:dyDescent="0.2">
      <c r="H212" s="113"/>
    </row>
    <row r="213" spans="8:8" x14ac:dyDescent="0.2">
      <c r="H213" s="113"/>
    </row>
    <row r="214" spans="8:8" x14ac:dyDescent="0.2">
      <c r="H214" s="113"/>
    </row>
    <row r="215" spans="8:8" x14ac:dyDescent="0.2">
      <c r="H215" s="113"/>
    </row>
    <row r="216" spans="8:8" x14ac:dyDescent="0.2">
      <c r="H216" s="113"/>
    </row>
    <row r="217" spans="8:8" x14ac:dyDescent="0.2">
      <c r="H217" s="113"/>
    </row>
    <row r="218" spans="8:8" x14ac:dyDescent="0.2">
      <c r="H218" s="113"/>
    </row>
    <row r="219" spans="8:8" x14ac:dyDescent="0.2">
      <c r="H219" s="113"/>
    </row>
    <row r="220" spans="8:8" x14ac:dyDescent="0.2">
      <c r="H220" s="113"/>
    </row>
    <row r="221" spans="8:8" x14ac:dyDescent="0.2">
      <c r="H221" s="113"/>
    </row>
    <row r="222" spans="8:8" x14ac:dyDescent="0.2">
      <c r="H222" s="113"/>
    </row>
    <row r="223" spans="8:8" x14ac:dyDescent="0.2">
      <c r="H223" s="113"/>
    </row>
    <row r="224" spans="8:8" x14ac:dyDescent="0.2">
      <c r="H224" s="113"/>
    </row>
    <row r="225" spans="8:8" x14ac:dyDescent="0.2">
      <c r="H225" s="113"/>
    </row>
    <row r="226" spans="8:8" x14ac:dyDescent="0.2">
      <c r="H226" s="113"/>
    </row>
  </sheetData>
  <phoneticPr fontId="0" type="noConversion"/>
  <printOptions horizontalCentered="1"/>
  <pageMargins left="0.25" right="0.25" top="0.25" bottom="0.25" header="0.22" footer="0.22"/>
  <pageSetup scale="57" orientation="portrait" r:id="rId1"/>
  <headerFooter alignWithMargins="0">
    <oddFooter>&amp;L&amp;F (&amp;A)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J124"/>
  <sheetViews>
    <sheetView defaultGridColor="0" topLeftCell="A43" colorId="22" zoomScale="77" workbookViewId="0">
      <selection activeCell="C61" sqref="C61"/>
    </sheetView>
  </sheetViews>
  <sheetFormatPr defaultColWidth="12.44140625" defaultRowHeight="15" x14ac:dyDescent="0.2"/>
  <cols>
    <col min="1" max="1" width="5.6640625" customWidth="1"/>
    <col min="2" max="2" width="25" bestFit="1" customWidth="1"/>
    <col min="3" max="3" width="12" customWidth="1"/>
    <col min="4" max="4" width="11.6640625" bestFit="1" customWidth="1"/>
    <col min="5" max="5" width="4.33203125" customWidth="1"/>
    <col min="6" max="6" width="17.44140625" customWidth="1"/>
    <col min="7" max="7" width="4.44140625" customWidth="1"/>
    <col min="8" max="8" width="19.44140625" bestFit="1" customWidth="1"/>
    <col min="9" max="9" width="17" bestFit="1" customWidth="1"/>
  </cols>
  <sheetData>
    <row r="1" spans="2:8" ht="26.25" x14ac:dyDescent="0.4">
      <c r="B1" s="1" t="s">
        <v>0</v>
      </c>
      <c r="D1" s="2" t="s">
        <v>1</v>
      </c>
      <c r="F1" s="3">
        <v>37073</v>
      </c>
    </row>
    <row r="2" spans="2:8" x14ac:dyDescent="0.2">
      <c r="D2" s="2" t="s">
        <v>2</v>
      </c>
      <c r="F2" s="4">
        <f>F1+60</f>
        <v>37133</v>
      </c>
    </row>
    <row r="3" spans="2:8" ht="15.75" x14ac:dyDescent="0.25">
      <c r="D3" s="2" t="s">
        <v>3</v>
      </c>
      <c r="F3" s="5">
        <v>2.34</v>
      </c>
    </row>
    <row r="4" spans="2:8" x14ac:dyDescent="0.2">
      <c r="B4" s="6" t="s">
        <v>4</v>
      </c>
      <c r="D4" s="2" t="s">
        <v>5</v>
      </c>
      <c r="F4" s="7">
        <v>1.46E-2</v>
      </c>
    </row>
    <row r="6" spans="2:8" x14ac:dyDescent="0.2">
      <c r="B6" s="8" t="s">
        <v>6</v>
      </c>
      <c r="C6" s="9" t="s">
        <v>7</v>
      </c>
      <c r="D6" s="9" t="s">
        <v>8</v>
      </c>
      <c r="F6" s="9" t="s">
        <v>9</v>
      </c>
    </row>
    <row r="8" spans="2:8" x14ac:dyDescent="0.2">
      <c r="B8" t="s">
        <v>10</v>
      </c>
      <c r="C8" s="10">
        <v>849</v>
      </c>
      <c r="D8" s="11">
        <v>4.07</v>
      </c>
      <c r="F8" s="12">
        <f>+C8*D8</f>
        <v>3455.4300000000003</v>
      </c>
    </row>
    <row r="9" spans="2:8" x14ac:dyDescent="0.2">
      <c r="B9" t="s">
        <v>11</v>
      </c>
      <c r="C9" s="10">
        <v>658</v>
      </c>
      <c r="D9" s="11">
        <v>4.07</v>
      </c>
      <c r="F9" s="12">
        <f>+C9*D9</f>
        <v>2678.0600000000004</v>
      </c>
    </row>
    <row r="10" spans="2:8" x14ac:dyDescent="0.2">
      <c r="B10" t="s">
        <v>12</v>
      </c>
      <c r="C10" s="10">
        <v>1302</v>
      </c>
      <c r="D10" s="11">
        <v>4.07</v>
      </c>
      <c r="F10" s="12">
        <f>+C10*D10</f>
        <v>5299.14</v>
      </c>
    </row>
    <row r="11" spans="2:8" ht="17.25" x14ac:dyDescent="0.35">
      <c r="B11" t="s">
        <v>13</v>
      </c>
      <c r="C11" s="13">
        <v>124</v>
      </c>
      <c r="D11" s="11">
        <v>4.07</v>
      </c>
      <c r="F11" s="14">
        <f>+C11*D11</f>
        <v>504.68000000000006</v>
      </c>
    </row>
    <row r="12" spans="2:8" x14ac:dyDescent="0.2">
      <c r="C12" s="15">
        <f>SUM(C8:C11)</f>
        <v>2933</v>
      </c>
      <c r="D12" s="11"/>
      <c r="F12" s="12">
        <f>SUM(F8:F11)</f>
        <v>11937.310000000001</v>
      </c>
      <c r="H12" s="16">
        <f>+F12</f>
        <v>11937.310000000001</v>
      </c>
    </row>
    <row r="13" spans="2:8" x14ac:dyDescent="0.2">
      <c r="F13" s="12"/>
    </row>
    <row r="14" spans="2:8" x14ac:dyDescent="0.2">
      <c r="B14" s="8" t="s">
        <v>14</v>
      </c>
      <c r="F14" s="12"/>
    </row>
    <row r="15" spans="2:8" x14ac:dyDescent="0.2">
      <c r="F15" s="12"/>
    </row>
    <row r="16" spans="2:8" x14ac:dyDescent="0.2">
      <c r="B16" t="s">
        <v>10</v>
      </c>
      <c r="C16" s="10">
        <v>1</v>
      </c>
      <c r="D16" s="12">
        <v>60</v>
      </c>
      <c r="F16" s="12">
        <f>C16*D16</f>
        <v>60</v>
      </c>
    </row>
    <row r="17" spans="2:10" x14ac:dyDescent="0.2">
      <c r="B17" t="s">
        <v>11</v>
      </c>
      <c r="C17" s="10">
        <v>1</v>
      </c>
      <c r="D17" s="12">
        <v>60</v>
      </c>
      <c r="F17" s="12">
        <f>C17*D17</f>
        <v>60</v>
      </c>
    </row>
    <row r="18" spans="2:10" x14ac:dyDescent="0.2">
      <c r="B18" t="s">
        <v>12</v>
      </c>
      <c r="C18" s="10">
        <v>1</v>
      </c>
      <c r="D18" s="12">
        <v>60</v>
      </c>
      <c r="F18" s="12">
        <f>C18*D18</f>
        <v>60</v>
      </c>
    </row>
    <row r="19" spans="2:10" x14ac:dyDescent="0.2">
      <c r="B19" t="s">
        <v>13</v>
      </c>
      <c r="C19" s="17">
        <v>1</v>
      </c>
      <c r="D19" s="12">
        <v>60</v>
      </c>
      <c r="F19" s="18">
        <f>C19*D19</f>
        <v>60</v>
      </c>
    </row>
    <row r="20" spans="2:10" x14ac:dyDescent="0.2">
      <c r="C20" s="19">
        <f>SUM(C16:C19)</f>
        <v>4</v>
      </c>
      <c r="D20" s="20"/>
      <c r="E20" s="20"/>
      <c r="F20" s="21">
        <f>SUM(F16:F19)</f>
        <v>240</v>
      </c>
      <c r="H20" s="16"/>
    </row>
    <row r="21" spans="2:10" x14ac:dyDescent="0.2">
      <c r="F21" s="12"/>
    </row>
    <row r="22" spans="2:10" x14ac:dyDescent="0.2">
      <c r="B22" s="8" t="s">
        <v>15</v>
      </c>
      <c r="F22" s="12"/>
    </row>
    <row r="23" spans="2:10" x14ac:dyDescent="0.2">
      <c r="F23" s="12"/>
    </row>
    <row r="24" spans="2:10" x14ac:dyDescent="0.2">
      <c r="B24" t="s">
        <v>10</v>
      </c>
      <c r="C24" s="10">
        <v>3321</v>
      </c>
      <c r="D24">
        <v>0.25</v>
      </c>
      <c r="F24" s="12">
        <f>ROUND(+C24*D24,2)</f>
        <v>830.25</v>
      </c>
    </row>
    <row r="25" spans="2:10" x14ac:dyDescent="0.2">
      <c r="B25" t="s">
        <v>11</v>
      </c>
      <c r="C25" s="10">
        <f>1552+63</f>
        <v>1615</v>
      </c>
      <c r="D25">
        <v>0.25</v>
      </c>
      <c r="F25" s="12">
        <f>ROUND(+C25*D25,2)</f>
        <v>403.75</v>
      </c>
    </row>
    <row r="26" spans="2:10" x14ac:dyDescent="0.2">
      <c r="B26" t="s">
        <v>12</v>
      </c>
      <c r="C26" s="10">
        <f>828+2113</f>
        <v>2941</v>
      </c>
      <c r="D26">
        <v>0.25</v>
      </c>
      <c r="F26" s="12">
        <f>ROUND(+C26*D26,2)</f>
        <v>735.25</v>
      </c>
    </row>
    <row r="27" spans="2:10" x14ac:dyDescent="0.2">
      <c r="B27" t="s">
        <v>13</v>
      </c>
      <c r="C27" s="17">
        <v>0</v>
      </c>
      <c r="D27">
        <v>0.25</v>
      </c>
      <c r="F27" s="18">
        <f>ROUND(+C27*D27,2)</f>
        <v>0</v>
      </c>
    </row>
    <row r="28" spans="2:10" ht="15.75" x14ac:dyDescent="0.25">
      <c r="C28" s="22">
        <f>SUM(C24:C27)</f>
        <v>7877</v>
      </c>
      <c r="F28" s="12">
        <f>SUM(F24:F27)</f>
        <v>1969.25</v>
      </c>
      <c r="H28" s="16">
        <f>+F28+F20+F36+F42</f>
        <v>3654.6099999999997</v>
      </c>
    </row>
    <row r="29" spans="2:10" x14ac:dyDescent="0.2">
      <c r="F29" s="12"/>
      <c r="H29" s="16"/>
    </row>
    <row r="30" spans="2:10" x14ac:dyDescent="0.2">
      <c r="B30" s="8" t="s">
        <v>16</v>
      </c>
      <c r="F30" s="12"/>
    </row>
    <row r="31" spans="2:10" ht="15.75" x14ac:dyDescent="0.25">
      <c r="F31" s="12"/>
      <c r="I31" s="23" t="s">
        <v>17</v>
      </c>
    </row>
    <row r="32" spans="2:10" x14ac:dyDescent="0.2">
      <c r="B32" t="s">
        <v>10</v>
      </c>
      <c r="C32" s="15"/>
      <c r="D32" s="24"/>
      <c r="F32" s="25">
        <f>13.47+43.02+273.78+156.09</f>
        <v>486.36</v>
      </c>
      <c r="H32" s="16"/>
      <c r="I32" s="16">
        <f>F8+F16+F24+F32</f>
        <v>4832.04</v>
      </c>
      <c r="J32" t="s">
        <v>10</v>
      </c>
    </row>
    <row r="33" spans="2:10" x14ac:dyDescent="0.2">
      <c r="B33" t="s">
        <v>11</v>
      </c>
      <c r="C33" s="15"/>
      <c r="F33" s="25">
        <f>9.74+31.11+197.93+75.9</f>
        <v>314.68</v>
      </c>
      <c r="H33" s="16"/>
      <c r="I33" s="26">
        <f>F9+F17+F25+F33</f>
        <v>3456.4900000000002</v>
      </c>
      <c r="J33" t="s">
        <v>11</v>
      </c>
    </row>
    <row r="34" spans="2:10" x14ac:dyDescent="0.2">
      <c r="B34" t="s">
        <v>12</v>
      </c>
      <c r="C34" s="15"/>
      <c r="F34" s="25">
        <f>18.89+60.34+383.95+138.23</f>
        <v>601.41</v>
      </c>
      <c r="H34" s="16"/>
      <c r="I34" s="26">
        <f>F10+F18+F26+F34</f>
        <v>6695.8</v>
      </c>
      <c r="J34" t="s">
        <v>12</v>
      </c>
    </row>
    <row r="35" spans="2:10" x14ac:dyDescent="0.2">
      <c r="B35" t="s">
        <v>13</v>
      </c>
      <c r="C35" s="15"/>
      <c r="F35" s="27">
        <f>1.75+5.59+35.57</f>
        <v>42.91</v>
      </c>
      <c r="H35" s="16"/>
      <c r="I35" s="28">
        <f>F11+F19+F27+F35</f>
        <v>607.59</v>
      </c>
      <c r="J35" t="s">
        <v>13</v>
      </c>
    </row>
    <row r="36" spans="2:10" x14ac:dyDescent="0.2">
      <c r="F36" s="12">
        <f>SUM(F31:F35)</f>
        <v>1445.36</v>
      </c>
      <c r="H36" s="16"/>
      <c r="I36" s="12">
        <f>SUM(I31:I35)</f>
        <v>15591.920000000002</v>
      </c>
    </row>
    <row r="37" spans="2:10" x14ac:dyDescent="0.2">
      <c r="B37" s="24" t="s">
        <v>18</v>
      </c>
      <c r="F37" s="12"/>
      <c r="H37" s="16"/>
      <c r="I37" s="12"/>
    </row>
    <row r="38" spans="2:10" x14ac:dyDescent="0.2">
      <c r="B38" s="24"/>
      <c r="C38" s="10">
        <v>0</v>
      </c>
      <c r="D38" s="10">
        <v>0</v>
      </c>
      <c r="F38" s="12">
        <f>ROUND(C38*D38,2)</f>
        <v>0</v>
      </c>
      <c r="H38" s="16"/>
      <c r="I38" s="12"/>
    </row>
    <row r="39" spans="2:10" x14ac:dyDescent="0.2">
      <c r="B39" s="24"/>
      <c r="C39" s="10">
        <v>0</v>
      </c>
      <c r="D39" s="10">
        <v>0</v>
      </c>
      <c r="F39" s="12">
        <f>ROUND(C39*D39,2)</f>
        <v>0</v>
      </c>
      <c r="H39" s="16"/>
      <c r="I39" s="12"/>
    </row>
    <row r="40" spans="2:10" x14ac:dyDescent="0.2">
      <c r="B40" s="24"/>
      <c r="C40" s="10">
        <v>0</v>
      </c>
      <c r="D40" s="10">
        <v>0</v>
      </c>
      <c r="F40" s="12">
        <f>ROUND(C40*D40,2)</f>
        <v>0</v>
      </c>
      <c r="H40" s="16"/>
      <c r="I40" s="12"/>
    </row>
    <row r="41" spans="2:10" x14ac:dyDescent="0.2">
      <c r="B41" s="24"/>
      <c r="C41" s="17">
        <v>0</v>
      </c>
      <c r="D41" s="10">
        <v>0</v>
      </c>
      <c r="F41" s="27">
        <f>ROUND(C41*D41,2)</f>
        <v>0</v>
      </c>
      <c r="H41" s="16"/>
    </row>
    <row r="42" spans="2:10" x14ac:dyDescent="0.2">
      <c r="B42" s="24"/>
      <c r="C42" s="15">
        <f>SUM(C38:C41)</f>
        <v>0</v>
      </c>
      <c r="F42" s="12">
        <f>SUM(F38:F41)</f>
        <v>0</v>
      </c>
      <c r="H42" s="16"/>
    </row>
    <row r="43" spans="2:10" x14ac:dyDescent="0.2">
      <c r="B43" s="24"/>
      <c r="F43" s="12"/>
      <c r="H43" s="16"/>
    </row>
    <row r="44" spans="2:10" ht="16.5" thickBot="1" x14ac:dyDescent="0.3">
      <c r="B44" s="29" t="s">
        <v>19</v>
      </c>
      <c r="F44" s="30">
        <f>F42+F36+F28+F20+F12</f>
        <v>15591.920000000002</v>
      </c>
    </row>
    <row r="45" spans="2:10" ht="15.75" thickTop="1" x14ac:dyDescent="0.2">
      <c r="F45" s="12"/>
    </row>
    <row r="46" spans="2:10" x14ac:dyDescent="0.2">
      <c r="F46" s="12"/>
    </row>
    <row r="47" spans="2:10" x14ac:dyDescent="0.2">
      <c r="F47" s="12"/>
    </row>
    <row r="48" spans="2:10" x14ac:dyDescent="0.2">
      <c r="B48" s="6" t="s">
        <v>20</v>
      </c>
      <c r="F48" s="12"/>
    </row>
    <row r="49" spans="2:8" x14ac:dyDescent="0.2">
      <c r="F49" s="12"/>
    </row>
    <row r="50" spans="2:8" ht="17.25" x14ac:dyDescent="0.35">
      <c r="B50" s="8" t="s">
        <v>21</v>
      </c>
      <c r="C50" s="31" t="s">
        <v>22</v>
      </c>
      <c r="D50" s="31" t="s">
        <v>23</v>
      </c>
      <c r="F50" s="32" t="s">
        <v>24</v>
      </c>
    </row>
    <row r="51" spans="2:8" x14ac:dyDescent="0.2">
      <c r="F51" s="12"/>
    </row>
    <row r="52" spans="2:8" x14ac:dyDescent="0.2">
      <c r="B52" t="s">
        <v>10</v>
      </c>
      <c r="C52" s="33">
        <v>142</v>
      </c>
      <c r="D52" s="34">
        <f>2.89-2.89</f>
        <v>0</v>
      </c>
      <c r="F52" s="35">
        <f>C52*D52</f>
        <v>0</v>
      </c>
    </row>
    <row r="53" spans="2:8" x14ac:dyDescent="0.2">
      <c r="B53" t="s">
        <v>11</v>
      </c>
      <c r="C53" s="33">
        <v>101</v>
      </c>
      <c r="D53" s="34">
        <f>$D$52</f>
        <v>0</v>
      </c>
      <c r="F53" s="36">
        <f>C53*D53</f>
        <v>0</v>
      </c>
    </row>
    <row r="54" spans="2:8" x14ac:dyDescent="0.2">
      <c r="B54" t="s">
        <v>12</v>
      </c>
      <c r="C54" s="33">
        <v>145</v>
      </c>
      <c r="D54" s="34">
        <f>$D$52</f>
        <v>0</v>
      </c>
      <c r="F54" s="36">
        <f>C54*D54</f>
        <v>0</v>
      </c>
    </row>
    <row r="55" spans="2:8" x14ac:dyDescent="0.2">
      <c r="B55" t="s">
        <v>13</v>
      </c>
      <c r="C55" s="37">
        <v>12</v>
      </c>
      <c r="D55" s="34">
        <f>$D$52</f>
        <v>0</v>
      </c>
      <c r="F55" s="38">
        <f>C55*D55</f>
        <v>0</v>
      </c>
    </row>
    <row r="56" spans="2:8" x14ac:dyDescent="0.2">
      <c r="C56">
        <f>SUM(C52:C55)</f>
        <v>400</v>
      </c>
      <c r="F56" s="12">
        <f>SUM(F52:F55)</f>
        <v>0</v>
      </c>
      <c r="H56" s="16">
        <f>+F56+F63+F70</f>
        <v>0</v>
      </c>
    </row>
    <row r="57" spans="2:8" x14ac:dyDescent="0.2">
      <c r="B57" s="8" t="s">
        <v>25</v>
      </c>
      <c r="F57" s="12"/>
    </row>
    <row r="58" spans="2:8" x14ac:dyDescent="0.2">
      <c r="F58" s="12"/>
    </row>
    <row r="59" spans="2:8" x14ac:dyDescent="0.2">
      <c r="B59" t="s">
        <v>10</v>
      </c>
      <c r="C59" s="24">
        <v>0</v>
      </c>
      <c r="D59" s="24">
        <v>4.9241999999999999</v>
      </c>
      <c r="F59" s="12">
        <f>ROUND(+C59*D59,2)</f>
        <v>0</v>
      </c>
    </row>
    <row r="60" spans="2:8" x14ac:dyDescent="0.2">
      <c r="B60" t="s">
        <v>11</v>
      </c>
      <c r="C60" s="24">
        <v>0</v>
      </c>
      <c r="D60" s="24">
        <f>$D$59</f>
        <v>4.9241999999999999</v>
      </c>
      <c r="F60" s="39">
        <f>ROUND(+C60*D60,2)</f>
        <v>0</v>
      </c>
      <c r="H60" s="16"/>
    </row>
    <row r="61" spans="2:8" x14ac:dyDescent="0.2">
      <c r="B61" t="s">
        <v>12</v>
      </c>
      <c r="C61" s="24">
        <v>0</v>
      </c>
      <c r="D61" s="24">
        <f>$D$59</f>
        <v>4.9241999999999999</v>
      </c>
      <c r="F61" s="26">
        <f>ROUND(+C61*D61,2)</f>
        <v>0</v>
      </c>
      <c r="H61" s="16"/>
    </row>
    <row r="62" spans="2:8" x14ac:dyDescent="0.2">
      <c r="B62" t="s">
        <v>13</v>
      </c>
      <c r="C62" s="40">
        <v>0</v>
      </c>
      <c r="D62" s="24">
        <f>$D$59</f>
        <v>4.9241999999999999</v>
      </c>
      <c r="F62" s="28">
        <f>+C62*D62</f>
        <v>0</v>
      </c>
      <c r="H62" s="11"/>
    </row>
    <row r="63" spans="2:8" x14ac:dyDescent="0.2">
      <c r="C63">
        <f>SUM(C59:C62)</f>
        <v>0</v>
      </c>
      <c r="F63" s="12">
        <f>SUM(F59:F62)</f>
        <v>0</v>
      </c>
      <c r="H63" s="16"/>
    </row>
    <row r="64" spans="2:8" x14ac:dyDescent="0.2">
      <c r="F64" s="12"/>
    </row>
    <row r="65" spans="2:10" ht="15.75" x14ac:dyDescent="0.25">
      <c r="B65" s="8" t="s">
        <v>26</v>
      </c>
      <c r="F65" s="12"/>
      <c r="I65" s="41" t="s">
        <v>27</v>
      </c>
    </row>
    <row r="66" spans="2:10" x14ac:dyDescent="0.2">
      <c r="B66" t="s">
        <v>10</v>
      </c>
      <c r="F66" s="35">
        <v>0</v>
      </c>
      <c r="H66" s="16"/>
      <c r="I66" s="16">
        <f>F52+F59+F66</f>
        <v>0</v>
      </c>
      <c r="J66" t="s">
        <v>10</v>
      </c>
    </row>
    <row r="67" spans="2:10" x14ac:dyDescent="0.2">
      <c r="B67" t="s">
        <v>11</v>
      </c>
      <c r="F67" s="36">
        <v>0</v>
      </c>
      <c r="H67" s="16"/>
      <c r="I67" s="26">
        <f>F53+F60+F67</f>
        <v>0</v>
      </c>
      <c r="J67" t="s">
        <v>11</v>
      </c>
    </row>
    <row r="68" spans="2:10" x14ac:dyDescent="0.2">
      <c r="B68" t="s">
        <v>12</v>
      </c>
      <c r="F68" s="36">
        <v>0</v>
      </c>
      <c r="H68" s="16"/>
      <c r="I68" s="26">
        <f>F54+F61+F68</f>
        <v>0</v>
      </c>
      <c r="J68" t="s">
        <v>12</v>
      </c>
    </row>
    <row r="69" spans="2:10" x14ac:dyDescent="0.2">
      <c r="B69" t="s">
        <v>13</v>
      </c>
      <c r="F69" s="38">
        <v>0</v>
      </c>
      <c r="H69" s="16"/>
      <c r="I69" s="28">
        <f>F55+F62+F69</f>
        <v>0</v>
      </c>
      <c r="J69" t="s">
        <v>13</v>
      </c>
    </row>
    <row r="70" spans="2:10" x14ac:dyDescent="0.2">
      <c r="C70" t="s">
        <v>28</v>
      </c>
      <c r="F70" s="16">
        <f>SUM(F66:F69)</f>
        <v>0</v>
      </c>
      <c r="H70" s="16"/>
      <c r="I70" s="16">
        <f>SUM(I66:I69)</f>
        <v>0</v>
      </c>
    </row>
    <row r="71" spans="2:10" x14ac:dyDescent="0.2">
      <c r="F71" s="12"/>
    </row>
    <row r="72" spans="2:10" ht="15.75" x14ac:dyDescent="0.25">
      <c r="B72" s="29" t="s">
        <v>29</v>
      </c>
      <c r="F72" s="12">
        <f>+F70+F63+F56</f>
        <v>0</v>
      </c>
      <c r="H72" s="16"/>
    </row>
    <row r="73" spans="2:10" ht="15.75" x14ac:dyDescent="0.25">
      <c r="B73" s="29"/>
      <c r="F73" s="12"/>
    </row>
    <row r="74" spans="2:10" x14ac:dyDescent="0.2">
      <c r="F74" s="42"/>
    </row>
    <row r="75" spans="2:10" x14ac:dyDescent="0.2">
      <c r="B75" s="6" t="s">
        <v>30</v>
      </c>
      <c r="F75" s="12"/>
    </row>
    <row r="76" spans="2:10" x14ac:dyDescent="0.2">
      <c r="B76" t="s">
        <v>31</v>
      </c>
      <c r="F76" s="12">
        <f>+F8+F16+F24+F32+F66+F52+F59</f>
        <v>4832.04</v>
      </c>
      <c r="H76" s="16"/>
    </row>
    <row r="77" spans="2:10" x14ac:dyDescent="0.2">
      <c r="B77" t="s">
        <v>11</v>
      </c>
      <c r="F77" s="12">
        <f>+F9+F17+F25+F33+F67+F53+F60</f>
        <v>3456.4900000000002</v>
      </c>
      <c r="H77" s="16"/>
      <c r="I77" s="16"/>
    </row>
    <row r="78" spans="2:10" x14ac:dyDescent="0.2">
      <c r="B78" t="s">
        <v>12</v>
      </c>
      <c r="F78" s="12">
        <f>+F10+F18+F26+F34+F68+F54+F61</f>
        <v>6695.8</v>
      </c>
      <c r="H78" s="16">
        <f>SUM(F76:F78)</f>
        <v>14984.330000000002</v>
      </c>
      <c r="I78" s="16"/>
    </row>
    <row r="79" spans="2:10" x14ac:dyDescent="0.2">
      <c r="B79" t="s">
        <v>13</v>
      </c>
      <c r="F79" s="12">
        <f>+F11+F19+F27+F35+F69+F55+F62</f>
        <v>607.59</v>
      </c>
      <c r="H79" s="16"/>
    </row>
    <row r="80" spans="2:10" x14ac:dyDescent="0.2">
      <c r="B80" t="s">
        <v>32</v>
      </c>
      <c r="F80" s="12">
        <v>0</v>
      </c>
      <c r="H80" s="16"/>
    </row>
    <row r="81" spans="1:9" x14ac:dyDescent="0.2">
      <c r="F81" s="12"/>
    </row>
    <row r="82" spans="1:9" ht="18.75" x14ac:dyDescent="0.3">
      <c r="C82" s="43" t="s">
        <v>33</v>
      </c>
      <c r="F82" s="12">
        <f>SUM(F76:F81)</f>
        <v>15591.920000000002</v>
      </c>
      <c r="H82" s="44">
        <f>SUM(H11:H56)</f>
        <v>15591.920000000002</v>
      </c>
      <c r="I82" s="16"/>
    </row>
    <row r="83" spans="1:9" ht="18.75" x14ac:dyDescent="0.3">
      <c r="C83" s="43"/>
      <c r="F83" s="12"/>
      <c r="H83" s="45"/>
      <c r="I83" s="16"/>
    </row>
    <row r="84" spans="1:9" ht="15.75" x14ac:dyDescent="0.25">
      <c r="B84" s="46" t="s">
        <v>34</v>
      </c>
      <c r="C84" s="31" t="s">
        <v>35</v>
      </c>
      <c r="D84" s="31" t="s">
        <v>8</v>
      </c>
      <c r="E84" s="2"/>
      <c r="F84" s="31" t="s">
        <v>36</v>
      </c>
    </row>
    <row r="85" spans="1:9" x14ac:dyDescent="0.2">
      <c r="B85" s="47" t="s">
        <v>37</v>
      </c>
      <c r="C85" s="48">
        <f>ROUND(+C28/(1-$F$4),0)</f>
        <v>7994</v>
      </c>
      <c r="D85" s="25">
        <f>$F$3-0.25</f>
        <v>2.09</v>
      </c>
      <c r="F85" s="12">
        <f>ROUND(+C85*D85,2)</f>
        <v>16707.46</v>
      </c>
      <c r="H85" s="16">
        <f>F85</f>
        <v>16707.46</v>
      </c>
    </row>
    <row r="86" spans="1:9" x14ac:dyDescent="0.2">
      <c r="C86" s="48"/>
      <c r="D86" s="25"/>
      <c r="F86" s="12"/>
    </row>
    <row r="87" spans="1:9" x14ac:dyDescent="0.2">
      <c r="B87" s="24" t="s">
        <v>38</v>
      </c>
      <c r="C87" s="48"/>
      <c r="D87" s="42"/>
      <c r="F87" s="12"/>
      <c r="H87" s="8" t="s">
        <v>39</v>
      </c>
    </row>
    <row r="88" spans="1:9" x14ac:dyDescent="0.2">
      <c r="B88" s="24" t="s">
        <v>40</v>
      </c>
      <c r="C88" s="10">
        <f>ROUND(+H88/(1-$F$4),0)</f>
        <v>0</v>
      </c>
      <c r="D88" s="35">
        <f>$F$3-0.25</f>
        <v>2.09</v>
      </c>
      <c r="E88" s="24"/>
      <c r="F88" s="12">
        <f>ROUND(+C88*D88,2)</f>
        <v>0</v>
      </c>
      <c r="H88" s="10">
        <f>C38</f>
        <v>0</v>
      </c>
    </row>
    <row r="89" spans="1:9" x14ac:dyDescent="0.2">
      <c r="B89" s="24" t="s">
        <v>41</v>
      </c>
      <c r="C89" s="10">
        <f>ROUND(+H89/(1-$F$4),0)</f>
        <v>0</v>
      </c>
      <c r="D89" s="35">
        <f>$F$3-0.25</f>
        <v>2.09</v>
      </c>
      <c r="E89" s="24"/>
      <c r="F89" s="12">
        <f>ROUND(+C89*D89,2)</f>
        <v>0</v>
      </c>
      <c r="H89" s="10">
        <f>C39</f>
        <v>0</v>
      </c>
    </row>
    <row r="90" spans="1:9" x14ac:dyDescent="0.2">
      <c r="B90" s="24" t="s">
        <v>42</v>
      </c>
      <c r="C90" s="10">
        <f>ROUND(+H90/(1-$F$4),0)</f>
        <v>0</v>
      </c>
      <c r="D90" s="35">
        <f>$F$3-0.25</f>
        <v>2.09</v>
      </c>
      <c r="E90" s="24"/>
      <c r="F90" s="12">
        <f>ROUND(+C90*D90,2)</f>
        <v>0</v>
      </c>
      <c r="H90" s="10">
        <f>C40</f>
        <v>0</v>
      </c>
    </row>
    <row r="91" spans="1:9" x14ac:dyDescent="0.2">
      <c r="B91" s="24" t="s">
        <v>43</v>
      </c>
      <c r="C91" s="10">
        <f>ROUND(+H91/(1-$F$4),0)</f>
        <v>0</v>
      </c>
      <c r="D91" s="35">
        <f>$F$3-0.25</f>
        <v>2.09</v>
      </c>
      <c r="E91" s="24"/>
      <c r="F91" s="12">
        <f>ROUND(+C91*D91,2)</f>
        <v>0</v>
      </c>
      <c r="H91" s="10">
        <f>C41</f>
        <v>0</v>
      </c>
    </row>
    <row r="93" spans="1:9" ht="26.25" thickBot="1" x14ac:dyDescent="0.4">
      <c r="C93" s="49" t="s">
        <v>44</v>
      </c>
      <c r="H93" s="16"/>
      <c r="I93" s="50">
        <f>SUM(F82:F91)</f>
        <v>32299.38</v>
      </c>
    </row>
    <row r="94" spans="1:9" ht="15.75" thickTop="1" x14ac:dyDescent="0.2"/>
    <row r="96" spans="1:9" x14ac:dyDescent="0.2">
      <c r="A96" s="51"/>
    </row>
    <row r="97" spans="1:8" x14ac:dyDescent="0.2">
      <c r="A97" s="52"/>
      <c r="B97" s="53"/>
      <c r="C97" s="53"/>
      <c r="E97" s="54" t="s">
        <v>45</v>
      </c>
      <c r="F97" s="53"/>
      <c r="G97" s="51"/>
      <c r="H97" s="51"/>
    </row>
    <row r="98" spans="1:8" x14ac:dyDescent="0.2">
      <c r="A98" s="52"/>
      <c r="B98" s="55"/>
      <c r="C98" s="55"/>
      <c r="D98" s="55"/>
      <c r="E98" s="55"/>
      <c r="F98" s="55"/>
      <c r="G98" s="51"/>
      <c r="H98" s="51"/>
    </row>
    <row r="99" spans="1:8" x14ac:dyDescent="0.2">
      <c r="A99" s="52"/>
      <c r="B99" s="55"/>
      <c r="C99" s="55"/>
      <c r="D99" s="55"/>
      <c r="E99" s="55"/>
      <c r="F99" s="55"/>
      <c r="G99" s="51"/>
      <c r="H99" s="51"/>
    </row>
    <row r="100" spans="1:8" x14ac:dyDescent="0.2">
      <c r="A100" s="52"/>
      <c r="B100" s="55"/>
      <c r="C100" s="55"/>
      <c r="D100" s="55"/>
      <c r="E100" s="55"/>
      <c r="F100" s="55"/>
      <c r="G100" s="51"/>
      <c r="H100" s="51"/>
    </row>
    <row r="101" spans="1:8" x14ac:dyDescent="0.2">
      <c r="A101" s="51"/>
      <c r="B101" s="51"/>
      <c r="C101" s="51"/>
      <c r="D101" s="51"/>
      <c r="E101" s="51"/>
      <c r="F101" s="51"/>
      <c r="G101" s="51"/>
      <c r="H101" s="51"/>
    </row>
    <row r="102" spans="1:8" x14ac:dyDescent="0.2">
      <c r="A102" s="51"/>
      <c r="B102" s="51"/>
      <c r="C102" s="51"/>
      <c r="D102" s="51"/>
      <c r="E102" s="51"/>
      <c r="F102" s="51"/>
      <c r="G102" s="51"/>
      <c r="H102" s="51"/>
    </row>
    <row r="103" spans="1:8" x14ac:dyDescent="0.2">
      <c r="A103" s="51"/>
      <c r="B103" s="51"/>
      <c r="C103" s="51"/>
      <c r="D103" s="51"/>
      <c r="E103" s="51"/>
      <c r="F103" s="51"/>
      <c r="G103" s="51"/>
      <c r="H103" s="51"/>
    </row>
    <row r="104" spans="1:8" x14ac:dyDescent="0.2">
      <c r="A104" s="51"/>
      <c r="B104" s="51"/>
      <c r="C104" s="51"/>
      <c r="D104" s="51"/>
      <c r="E104" s="51"/>
      <c r="F104" s="51"/>
      <c r="G104" s="51"/>
      <c r="H104" s="51"/>
    </row>
    <row r="105" spans="1:8" x14ac:dyDescent="0.2">
      <c r="A105" s="51"/>
      <c r="B105" s="51"/>
      <c r="F105" s="51"/>
      <c r="G105" s="51"/>
      <c r="H105" s="51"/>
    </row>
    <row r="106" spans="1:8" x14ac:dyDescent="0.2">
      <c r="A106" s="51"/>
      <c r="B106" s="51"/>
      <c r="F106" s="51"/>
      <c r="G106" s="51"/>
      <c r="H106" s="51"/>
    </row>
    <row r="107" spans="1:8" x14ac:dyDescent="0.2">
      <c r="A107" s="51"/>
      <c r="B107" s="51"/>
      <c r="F107" s="51"/>
      <c r="G107" s="51"/>
      <c r="H107" s="51"/>
    </row>
    <row r="108" spans="1:8" x14ac:dyDescent="0.2">
      <c r="A108" s="51"/>
      <c r="B108" s="51"/>
      <c r="F108" s="51"/>
      <c r="G108" s="51"/>
      <c r="H108" s="51"/>
    </row>
    <row r="109" spans="1:8" x14ac:dyDescent="0.2">
      <c r="A109" s="51"/>
      <c r="B109" s="51"/>
      <c r="F109" s="51"/>
      <c r="G109" s="51"/>
      <c r="H109" s="51"/>
    </row>
    <row r="110" spans="1:8" x14ac:dyDescent="0.2">
      <c r="A110" s="51"/>
      <c r="B110" s="51"/>
      <c r="F110" s="51"/>
      <c r="G110" s="51"/>
      <c r="H110" s="51"/>
    </row>
    <row r="111" spans="1:8" x14ac:dyDescent="0.2">
      <c r="A111" s="51"/>
      <c r="B111" s="51"/>
      <c r="F111" s="51"/>
      <c r="G111" s="51"/>
      <c r="H111" s="51"/>
    </row>
    <row r="112" spans="1:8" x14ac:dyDescent="0.2">
      <c r="A112" s="51"/>
      <c r="B112" s="51"/>
      <c r="F112" s="51"/>
      <c r="G112" s="51"/>
      <c r="H112" s="51"/>
    </row>
    <row r="113" spans="1:8" x14ac:dyDescent="0.2">
      <c r="A113" s="51"/>
      <c r="B113" s="51"/>
      <c r="F113" s="51"/>
      <c r="G113" s="51"/>
      <c r="H113" s="51"/>
    </row>
    <row r="114" spans="1:8" x14ac:dyDescent="0.2">
      <c r="A114" s="51"/>
      <c r="B114" s="51"/>
      <c r="F114" s="51"/>
      <c r="G114" s="51"/>
      <c r="H114" s="51"/>
    </row>
    <row r="115" spans="1:8" x14ac:dyDescent="0.2">
      <c r="A115" s="51"/>
      <c r="B115" s="51"/>
      <c r="F115" s="51"/>
      <c r="G115" s="51"/>
      <c r="H115" s="51"/>
    </row>
    <row r="116" spans="1:8" x14ac:dyDescent="0.2">
      <c r="A116" s="51"/>
      <c r="B116" s="51"/>
      <c r="F116" s="51"/>
      <c r="G116" s="51"/>
      <c r="H116" s="51"/>
    </row>
    <row r="117" spans="1:8" x14ac:dyDescent="0.2">
      <c r="A117" s="51"/>
      <c r="B117" s="51"/>
      <c r="F117" s="51"/>
      <c r="G117" s="51"/>
      <c r="H117" s="51"/>
    </row>
    <row r="118" spans="1:8" x14ac:dyDescent="0.2">
      <c r="F118" s="51"/>
      <c r="G118" s="51"/>
      <c r="H118" s="51"/>
    </row>
    <row r="119" spans="1:8" x14ac:dyDescent="0.2">
      <c r="F119" s="51"/>
      <c r="G119" s="51"/>
      <c r="H119" s="51"/>
    </row>
    <row r="120" spans="1:8" x14ac:dyDescent="0.2">
      <c r="F120" s="51"/>
      <c r="G120" s="51"/>
      <c r="H120" s="51"/>
    </row>
    <row r="121" spans="1:8" x14ac:dyDescent="0.2">
      <c r="F121" s="51"/>
      <c r="G121" s="51"/>
      <c r="H121" s="51"/>
    </row>
    <row r="122" spans="1:8" x14ac:dyDescent="0.2">
      <c r="F122" s="51"/>
      <c r="G122" s="51"/>
      <c r="H122" s="51"/>
    </row>
    <row r="123" spans="1:8" x14ac:dyDescent="0.2">
      <c r="F123" s="51"/>
      <c r="G123" s="51"/>
      <c r="H123" s="51"/>
    </row>
    <row r="124" spans="1:8" x14ac:dyDescent="0.2">
      <c r="F124" s="51"/>
      <c r="G124" s="51"/>
      <c r="H124" s="51"/>
    </row>
  </sheetData>
  <phoneticPr fontId="0" type="noConversion"/>
  <printOptions horizontalCentered="1" verticalCentered="1"/>
  <pageMargins left="0.5" right="0.5" top="0.5" bottom="0.25" header="0.5" footer="0.25"/>
  <pageSetup scale="48" orientation="portrait" horizontalDpi="300" verticalDpi="300" r:id="rId1"/>
  <headerFooter alignWithMargins="0">
    <oddFooter>&amp;L&amp;F (&amp;A)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CIG  WKST</vt:lpstr>
      <vt:lpstr>PSCO WKST</vt:lpstr>
      <vt:lpstr>cigwkst</vt:lpstr>
      <vt:lpstr>TIFWKSHT</vt:lpstr>
    </vt:vector>
  </TitlesOfParts>
  <Company>Citizens Arizona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CWLipke</dc:creator>
  <cp:lastModifiedBy>Jan Havlíček</cp:lastModifiedBy>
  <dcterms:created xsi:type="dcterms:W3CDTF">2001-08-31T00:57:06Z</dcterms:created>
  <dcterms:modified xsi:type="dcterms:W3CDTF">2023-09-17T11:21:01Z</dcterms:modified>
</cp:coreProperties>
</file>