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5B9126-DC90-410F-A7AA-C54FFD808AD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Sheet1!$A$1:$M$55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J8" i="1"/>
  <c r="K8" i="1"/>
  <c r="L8" i="1"/>
  <c r="F9" i="1"/>
  <c r="G9" i="1"/>
  <c r="J9" i="1"/>
  <c r="K9" i="1"/>
  <c r="L9" i="1"/>
  <c r="F10" i="1"/>
  <c r="G10" i="1"/>
  <c r="J10" i="1"/>
  <c r="K10" i="1"/>
  <c r="L10" i="1"/>
  <c r="F11" i="1"/>
  <c r="G11" i="1"/>
  <c r="J11" i="1"/>
  <c r="K11" i="1"/>
  <c r="L11" i="1"/>
  <c r="B12" i="1"/>
  <c r="E12" i="1"/>
  <c r="F12" i="1"/>
  <c r="G12" i="1"/>
  <c r="J12" i="1"/>
  <c r="K12" i="1"/>
  <c r="L12" i="1"/>
  <c r="F14" i="1"/>
  <c r="G14" i="1"/>
  <c r="J14" i="1"/>
  <c r="K14" i="1"/>
  <c r="L14" i="1"/>
  <c r="F15" i="1"/>
  <c r="G15" i="1"/>
  <c r="J15" i="1"/>
  <c r="K15" i="1"/>
  <c r="L15" i="1"/>
  <c r="F16" i="1"/>
  <c r="G16" i="1"/>
  <c r="J16" i="1"/>
  <c r="K16" i="1"/>
  <c r="L16" i="1"/>
  <c r="F17" i="1"/>
  <c r="G17" i="1"/>
  <c r="J17" i="1"/>
  <c r="K17" i="1"/>
  <c r="L17" i="1"/>
  <c r="B18" i="1"/>
  <c r="E18" i="1"/>
  <c r="F18" i="1"/>
  <c r="G18" i="1"/>
  <c r="J18" i="1"/>
  <c r="K18" i="1"/>
  <c r="L18" i="1"/>
  <c r="B20" i="1"/>
  <c r="F20" i="1"/>
  <c r="G20" i="1"/>
  <c r="J20" i="1"/>
  <c r="K20" i="1"/>
  <c r="L20" i="1"/>
  <c r="O20" i="1"/>
  <c r="O21" i="1"/>
  <c r="F22" i="1"/>
  <c r="G22" i="1"/>
  <c r="J22" i="1"/>
  <c r="K22" i="1"/>
  <c r="L22" i="1"/>
  <c r="F23" i="1"/>
  <c r="G23" i="1"/>
  <c r="J23" i="1"/>
  <c r="K23" i="1"/>
  <c r="L23" i="1"/>
  <c r="B24" i="1"/>
  <c r="E24" i="1"/>
  <c r="F24" i="1"/>
  <c r="G24" i="1"/>
  <c r="J24" i="1"/>
  <c r="K24" i="1"/>
  <c r="L24" i="1"/>
  <c r="B26" i="1"/>
  <c r="F26" i="1"/>
  <c r="G26" i="1"/>
  <c r="J26" i="1"/>
  <c r="K26" i="1"/>
  <c r="L26" i="1"/>
  <c r="B28" i="1"/>
  <c r="F28" i="1"/>
  <c r="G28" i="1"/>
  <c r="J28" i="1"/>
  <c r="K28" i="1"/>
  <c r="L28" i="1"/>
  <c r="F31" i="1"/>
  <c r="G31" i="1"/>
  <c r="J31" i="1"/>
  <c r="K31" i="1"/>
  <c r="L31" i="1"/>
  <c r="F32" i="1"/>
  <c r="G32" i="1"/>
  <c r="J32" i="1"/>
  <c r="K32" i="1"/>
  <c r="L32" i="1"/>
  <c r="F33" i="1"/>
  <c r="G33" i="1"/>
  <c r="J33" i="1"/>
  <c r="K33" i="1"/>
  <c r="L33" i="1"/>
  <c r="B34" i="1"/>
  <c r="E34" i="1"/>
  <c r="F34" i="1"/>
  <c r="G34" i="1"/>
  <c r="J34" i="1"/>
  <c r="K34" i="1"/>
  <c r="L34" i="1"/>
  <c r="F38" i="1"/>
  <c r="G38" i="1"/>
  <c r="J38" i="1"/>
  <c r="K38" i="1"/>
  <c r="L38" i="1"/>
  <c r="F39" i="1"/>
  <c r="G39" i="1"/>
  <c r="F41" i="1"/>
  <c r="G41" i="1"/>
  <c r="J41" i="1"/>
  <c r="K41" i="1"/>
  <c r="L41" i="1"/>
  <c r="F42" i="1"/>
  <c r="G42" i="1"/>
  <c r="J42" i="1"/>
  <c r="K42" i="1"/>
  <c r="L42" i="1"/>
  <c r="B43" i="1"/>
  <c r="E43" i="1"/>
  <c r="F43" i="1"/>
  <c r="G43" i="1"/>
  <c r="J43" i="1"/>
  <c r="K43" i="1"/>
  <c r="L43" i="1"/>
  <c r="F45" i="1"/>
  <c r="G45" i="1"/>
  <c r="J45" i="1"/>
  <c r="K45" i="1"/>
  <c r="L45" i="1"/>
  <c r="F46" i="1"/>
  <c r="G46" i="1"/>
  <c r="J46" i="1"/>
  <c r="K46" i="1"/>
  <c r="L46" i="1"/>
  <c r="B47" i="1"/>
  <c r="F47" i="1"/>
  <c r="G47" i="1"/>
  <c r="J47" i="1"/>
  <c r="K47" i="1"/>
  <c r="L47" i="1"/>
  <c r="F48" i="1"/>
  <c r="G48" i="1"/>
  <c r="K48" i="1"/>
  <c r="L48" i="1"/>
  <c r="B51" i="1"/>
  <c r="F51" i="1"/>
  <c r="G51" i="1"/>
  <c r="J51" i="1"/>
  <c r="K51" i="1"/>
  <c r="L51" i="1"/>
  <c r="G52" i="1"/>
  <c r="G53" i="1"/>
</calcChain>
</file>

<file path=xl/sharedStrings.xml><?xml version="1.0" encoding="utf-8"?>
<sst xmlns="http://schemas.openxmlformats.org/spreadsheetml/2006/main" count="60" uniqueCount="54">
  <si>
    <t>Independent</t>
  </si>
  <si>
    <t>Nomination</t>
  </si>
  <si>
    <t>Wellhead</t>
  </si>
  <si>
    <t>MTG</t>
  </si>
  <si>
    <t xml:space="preserve">Less fuel </t>
  </si>
  <si>
    <t>to Glennrock</t>
  </si>
  <si>
    <t>Confirmation</t>
  </si>
  <si>
    <t>MMBtu</t>
  </si>
  <si>
    <t>Firm Capacity</t>
  </si>
  <si>
    <t>IT</t>
  </si>
  <si>
    <t>Mcf</t>
  </si>
  <si>
    <t>Mmbtu</t>
  </si>
  <si>
    <t>Quantum</t>
  </si>
  <si>
    <t>Clydesdale</t>
  </si>
  <si>
    <t>Btu Factor</t>
  </si>
  <si>
    <t>Caballo</t>
  </si>
  <si>
    <t>Caballo Total</t>
  </si>
  <si>
    <t>Box Draw/So. Kitty/Maverick</t>
  </si>
  <si>
    <t>North Finn</t>
  </si>
  <si>
    <t>TOTAL ENA</t>
  </si>
  <si>
    <t>Fixed Volume at Glennrock</t>
  </si>
  <si>
    <t xml:space="preserve">Allocated </t>
  </si>
  <si>
    <t>mmBtu  at</t>
  </si>
  <si>
    <t>Glennrock</t>
  </si>
  <si>
    <t>mmcf  at</t>
  </si>
  <si>
    <t>Gas Avails. - Powder River</t>
  </si>
  <si>
    <t>Kennedy #1</t>
  </si>
  <si>
    <t>Kennedy #3</t>
  </si>
  <si>
    <t>Kennedy #2</t>
  </si>
  <si>
    <t>Kennedy #4</t>
  </si>
  <si>
    <t>S. Kitty #1</t>
  </si>
  <si>
    <t>S. Kitty #2</t>
  </si>
  <si>
    <t>S. Kitty #4</t>
  </si>
  <si>
    <t>S. Kitty #5</t>
  </si>
  <si>
    <t>Wellstar #1</t>
  </si>
  <si>
    <t>Wellstar #2</t>
  </si>
  <si>
    <t>Clydesdale #1</t>
  </si>
  <si>
    <t>Clydesdale #2</t>
  </si>
  <si>
    <t>Clydesdale #3</t>
  </si>
  <si>
    <t>Palomino #1</t>
  </si>
  <si>
    <t>Palomino #2</t>
  </si>
  <si>
    <t>Kennedy Box Draw Total</t>
  </si>
  <si>
    <t>Kennedy S. Kitty Total</t>
  </si>
  <si>
    <t>Wellstar Box Draw Total</t>
  </si>
  <si>
    <t>Maverick Total</t>
  </si>
  <si>
    <t>Box Draw Total</t>
  </si>
  <si>
    <t>Kennedy Total</t>
  </si>
  <si>
    <t>Phillips Palomino Total</t>
  </si>
  <si>
    <t>Phillips Clydesdale Total</t>
  </si>
  <si>
    <t>Phillips Total Production</t>
  </si>
  <si>
    <t>Kennedy</t>
  </si>
  <si>
    <t>Wellstar</t>
  </si>
  <si>
    <t>Preliminary</t>
  </si>
  <si>
    <t>Independent Actual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</si>
</sst>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6" formatCode="_(* #,##0_);_(* \(#,##0\);_(* &quot;-&quot;??_);_(@_)"/>
    <numFmt numFmtId="170" formatCode="0.000"/>
    <numFmt numFmtId="171" formatCode="mmmm\-yy"/>
    <numFmt numFmtId="174" formatCode="_(* #,##0_);_(* \(#,##0\);_(* &quot;-&quot;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3" xfId="0" applyBorder="1"/>
    <xf numFmtId="0" fontId="0" fillId="0" borderId="0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0" xfId="0" applyFont="1" applyBorder="1"/>
    <xf numFmtId="0" fontId="2" fillId="0" borderId="7" xfId="0" applyFont="1" applyBorder="1"/>
    <xf numFmtId="0" fontId="5" fillId="0" borderId="0" xfId="0" applyFont="1" applyBorder="1"/>
    <xf numFmtId="0" fontId="2" fillId="0" borderId="5" xfId="0" applyFont="1" applyBorder="1"/>
    <xf numFmtId="166" fontId="3" fillId="0" borderId="5" xfId="1" applyNumberFormat="1" applyFont="1" applyBorder="1"/>
    <xf numFmtId="166" fontId="3" fillId="0" borderId="7" xfId="1" applyNumberFormat="1" applyFont="1" applyBorder="1"/>
    <xf numFmtId="0" fontId="3" fillId="0" borderId="0" xfId="0" applyFont="1" applyBorder="1"/>
    <xf numFmtId="166" fontId="3" fillId="0" borderId="0" xfId="1" applyNumberFormat="1" applyFont="1" applyBorder="1"/>
    <xf numFmtId="0" fontId="9" fillId="0" borderId="0" xfId="0" applyFont="1" applyBorder="1"/>
    <xf numFmtId="170" fontId="9" fillId="0" borderId="5" xfId="0" applyNumberFormat="1" applyFont="1" applyBorder="1"/>
    <xf numFmtId="170" fontId="9" fillId="0" borderId="0" xfId="0" applyNumberFormat="1" applyFont="1" applyBorder="1"/>
    <xf numFmtId="170" fontId="9" fillId="0" borderId="7" xfId="0" applyNumberFormat="1" applyFont="1" applyBorder="1"/>
    <xf numFmtId="171" fontId="8" fillId="0" borderId="0" xfId="0" applyNumberFormat="1" applyFont="1" applyAlignment="1">
      <alignment horizontal="left"/>
    </xf>
    <xf numFmtId="166" fontId="0" fillId="0" borderId="0" xfId="0" applyNumberFormat="1"/>
    <xf numFmtId="0" fontId="3" fillId="0" borderId="0" xfId="0" applyFont="1" applyFill="1" applyBorder="1" applyAlignment="1">
      <alignment horizontal="right"/>
    </xf>
    <xf numFmtId="166" fontId="11" fillId="0" borderId="0" xfId="0" applyNumberFormat="1" applyFont="1" applyBorder="1"/>
    <xf numFmtId="166" fontId="3" fillId="0" borderId="0" xfId="0" applyNumberFormat="1" applyFont="1" applyBorder="1"/>
    <xf numFmtId="0" fontId="0" fillId="0" borderId="3" xfId="0" applyFill="1" applyBorder="1"/>
    <xf numFmtId="1" fontId="3" fillId="0" borderId="3" xfId="0" applyNumberFormat="1" applyFont="1" applyFill="1" applyBorder="1"/>
    <xf numFmtId="1" fontId="3" fillId="0" borderId="0" xfId="0" applyNumberFormat="1" applyFont="1" applyFill="1" applyBorder="1"/>
    <xf numFmtId="166" fontId="3" fillId="0" borderId="0" xfId="1" applyNumberFormat="1" applyFont="1" applyFill="1" applyBorder="1"/>
    <xf numFmtId="166" fontId="3" fillId="0" borderId="7" xfId="1" applyNumberFormat="1" applyFont="1" applyFill="1" applyBorder="1"/>
    <xf numFmtId="1" fontId="5" fillId="0" borderId="0" xfId="0" applyNumberFormat="1" applyFont="1" applyFill="1" applyBorder="1"/>
    <xf numFmtId="0" fontId="0" fillId="0" borderId="0" xfId="0" applyFill="1" applyBorder="1"/>
    <xf numFmtId="1" fontId="3" fillId="0" borderId="0" xfId="0" applyNumberFormat="1" applyFont="1" applyBorder="1"/>
    <xf numFmtId="1" fontId="4" fillId="0" borderId="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3" fillId="0" borderId="12" xfId="1" applyNumberFormat="1" applyFont="1" applyBorder="1"/>
    <xf numFmtId="166" fontId="3" fillId="0" borderId="13" xfId="1" applyNumberFormat="1" applyFont="1" applyBorder="1"/>
    <xf numFmtId="166" fontId="3" fillId="0" borderId="14" xfId="1" applyNumberFormat="1" applyFont="1" applyBorder="1"/>
    <xf numFmtId="166" fontId="11" fillId="0" borderId="13" xfId="0" applyNumberFormat="1" applyFont="1" applyBorder="1"/>
    <xf numFmtId="0" fontId="5" fillId="0" borderId="13" xfId="0" applyFont="1" applyBorder="1"/>
    <xf numFmtId="1" fontId="3" fillId="0" borderId="12" xfId="0" applyNumberFormat="1" applyFont="1" applyBorder="1"/>
    <xf numFmtId="1" fontId="3" fillId="0" borderId="13" xfId="0" applyNumberFormat="1" applyFont="1" applyBorder="1"/>
    <xf numFmtId="166" fontId="0" fillId="0" borderId="0" xfId="1" applyNumberFormat="1" applyFont="1"/>
    <xf numFmtId="1" fontId="6" fillId="0" borderId="0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66" fontId="5" fillId="0" borderId="0" xfId="1" applyNumberFormat="1" applyFont="1"/>
    <xf numFmtId="166" fontId="0" fillId="0" borderId="0" xfId="1" applyNumberFormat="1" applyFont="1" applyFill="1" applyBorder="1"/>
    <xf numFmtId="166" fontId="0" fillId="0" borderId="0" xfId="0" applyNumberFormat="1" applyBorder="1"/>
    <xf numFmtId="1" fontId="0" fillId="0" borderId="0" xfId="0" applyNumberFormat="1" applyBorder="1"/>
    <xf numFmtId="166" fontId="0" fillId="0" borderId="0" xfId="1" applyNumberFormat="1" applyFont="1" applyBorder="1"/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/>
    <xf numFmtId="166" fontId="3" fillId="0" borderId="3" xfId="1" applyNumberFormat="1" applyFont="1" applyFill="1" applyBorder="1"/>
    <xf numFmtId="166" fontId="11" fillId="0" borderId="13" xfId="1" applyNumberFormat="1" applyFont="1" applyBorder="1"/>
    <xf numFmtId="166" fontId="3" fillId="0" borderId="17" xfId="1" applyNumberFormat="1" applyFont="1" applyFill="1" applyBorder="1"/>
    <xf numFmtId="166" fontId="11" fillId="0" borderId="14" xfId="1" applyNumberFormat="1" applyFont="1" applyBorder="1"/>
    <xf numFmtId="166" fontId="11" fillId="0" borderId="3" xfId="1" applyNumberFormat="1" applyFont="1" applyFill="1" applyBorder="1"/>
    <xf numFmtId="1" fontId="5" fillId="0" borderId="3" xfId="0" applyNumberFormat="1" applyFont="1" applyFill="1" applyBorder="1"/>
    <xf numFmtId="0" fontId="11" fillId="0" borderId="13" xfId="0" applyFont="1" applyBorder="1"/>
    <xf numFmtId="174" fontId="3" fillId="0" borderId="14" xfId="0" applyNumberFormat="1" applyFont="1" applyBorder="1"/>
    <xf numFmtId="166" fontId="0" fillId="0" borderId="3" xfId="1" applyNumberFormat="1" applyFont="1" applyFill="1" applyBorder="1"/>
    <xf numFmtId="166" fontId="4" fillId="0" borderId="2" xfId="1" applyNumberFormat="1" applyFont="1" applyFill="1" applyBorder="1"/>
    <xf numFmtId="0" fontId="3" fillId="0" borderId="8" xfId="0" applyFont="1" applyFill="1" applyBorder="1"/>
    <xf numFmtId="166" fontId="2" fillId="0" borderId="0" xfId="1" applyNumberFormat="1" applyFont="1" applyBorder="1"/>
    <xf numFmtId="166" fontId="2" fillId="0" borderId="13" xfId="1" applyNumberFormat="1" applyFont="1" applyBorder="1"/>
    <xf numFmtId="166" fontId="10" fillId="0" borderId="0" xfId="0" applyNumberFormat="1" applyFont="1" applyBorder="1"/>
    <xf numFmtId="166" fontId="10" fillId="0" borderId="13" xfId="0" applyNumberFormat="1" applyFont="1" applyBorder="1"/>
    <xf numFmtId="0" fontId="3" fillId="0" borderId="8" xfId="0" applyFont="1" applyBorder="1" applyAlignment="1">
      <alignment horizontal="right"/>
    </xf>
    <xf numFmtId="166" fontId="2" fillId="0" borderId="3" xfId="1" applyNumberFormat="1" applyFont="1" applyFill="1" applyBorder="1"/>
    <xf numFmtId="166" fontId="10" fillId="0" borderId="3" xfId="1" applyNumberFormat="1" applyFont="1" applyFill="1" applyBorder="1"/>
    <xf numFmtId="166" fontId="2" fillId="0" borderId="0" xfId="1" applyNumberFormat="1" applyFont="1" applyFill="1" applyBorder="1"/>
    <xf numFmtId="166" fontId="10" fillId="0" borderId="13" xfId="1" applyNumberFormat="1" applyFont="1" applyBorder="1"/>
    <xf numFmtId="166" fontId="4" fillId="0" borderId="18" xfId="1" applyNumberFormat="1" applyFont="1" applyBorder="1"/>
    <xf numFmtId="166" fontId="4" fillId="0" borderId="19" xfId="1" applyNumberFormat="1" applyFont="1" applyFill="1" applyBorder="1"/>
    <xf numFmtId="166" fontId="3" fillId="0" borderId="0" xfId="1" applyNumberFormat="1" applyFont="1"/>
    <xf numFmtId="166" fontId="9" fillId="0" borderId="5" xfId="1" applyNumberFormat="1" applyFont="1" applyBorder="1"/>
    <xf numFmtId="166" fontId="9" fillId="0" borderId="0" xfId="1" applyNumberFormat="1" applyFont="1" applyBorder="1"/>
    <xf numFmtId="166" fontId="9" fillId="0" borderId="7" xfId="1" applyNumberFormat="1" applyFont="1" applyBorder="1"/>
    <xf numFmtId="166" fontId="11" fillId="0" borderId="0" xfId="1" applyNumberFormat="1" applyFont="1" applyBorder="1"/>
    <xf numFmtId="166" fontId="10" fillId="0" borderId="0" xfId="1" applyNumberFormat="1" applyFont="1" applyBorder="1"/>
    <xf numFmtId="166" fontId="7" fillId="0" borderId="0" xfId="1" applyNumberFormat="1" applyFont="1" applyBorder="1"/>
    <xf numFmtId="166" fontId="8" fillId="0" borderId="7" xfId="1" applyNumberFormat="1" applyFont="1" applyBorder="1"/>
    <xf numFmtId="166" fontId="0" fillId="0" borderId="5" xfId="1" applyNumberFormat="1" applyFont="1" applyBorder="1"/>
    <xf numFmtId="166" fontId="6" fillId="0" borderId="0" xfId="1" applyNumberFormat="1" applyFont="1" applyBorder="1"/>
    <xf numFmtId="166" fontId="0" fillId="0" borderId="12" xfId="1" applyNumberFormat="1" applyFont="1" applyFill="1" applyBorder="1"/>
    <xf numFmtId="0" fontId="2" fillId="0" borderId="6" xfId="0" applyFont="1" applyBorder="1"/>
    <xf numFmtId="0" fontId="7" fillId="0" borderId="0" xfId="0" applyFont="1"/>
    <xf numFmtId="0" fontId="3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59"/>
  <sheetViews>
    <sheetView tabSelected="1" workbookViewId="0">
      <selection activeCell="F46" sqref="F46"/>
    </sheetView>
  </sheetViews>
  <sheetFormatPr defaultRowHeight="12.75" x14ac:dyDescent="0.2"/>
  <cols>
    <col min="1" max="1" width="31.28515625" bestFit="1" customWidth="1"/>
    <col min="2" max="2" width="10.28515625" bestFit="1" customWidth="1"/>
    <col min="3" max="3" width="12.5703125" bestFit="1" customWidth="1"/>
    <col min="4" max="5" width="10.85546875" customWidth="1"/>
    <col min="6" max="7" width="11.7109375" customWidth="1"/>
    <col min="9" max="9" width="15.7109375" customWidth="1"/>
    <col min="10" max="12" width="10.7109375" customWidth="1"/>
    <col min="13" max="13" width="10.28515625" bestFit="1" customWidth="1"/>
  </cols>
  <sheetData>
    <row r="1" spans="1:12" x14ac:dyDescent="0.2">
      <c r="A1" t="s">
        <v>25</v>
      </c>
    </row>
    <row r="2" spans="1:12" x14ac:dyDescent="0.2">
      <c r="A2" s="28">
        <v>37135</v>
      </c>
      <c r="B2" s="2"/>
      <c r="C2" s="2"/>
      <c r="D2" s="2"/>
      <c r="E2" s="2"/>
    </row>
    <row r="3" spans="1:12" x14ac:dyDescent="0.2">
      <c r="A3" s="100" t="s">
        <v>52</v>
      </c>
      <c r="B3" s="1"/>
      <c r="C3" s="1"/>
      <c r="D3" s="1"/>
      <c r="E3" s="1"/>
    </row>
    <row r="4" spans="1:12" x14ac:dyDescent="0.2">
      <c r="B4" t="s">
        <v>10</v>
      </c>
      <c r="F4" t="s">
        <v>11</v>
      </c>
      <c r="G4" t="s">
        <v>7</v>
      </c>
      <c r="H4" s="39"/>
      <c r="I4" s="39"/>
      <c r="J4" s="60" t="s">
        <v>21</v>
      </c>
      <c r="K4" s="61" t="s">
        <v>21</v>
      </c>
      <c r="L4" s="62" t="s">
        <v>21</v>
      </c>
    </row>
    <row r="5" spans="1:12" x14ac:dyDescent="0.2">
      <c r="B5" s="3" t="s">
        <v>2</v>
      </c>
      <c r="C5" s="3"/>
      <c r="D5" s="3"/>
      <c r="E5" s="3"/>
      <c r="F5" s="3" t="s">
        <v>2</v>
      </c>
      <c r="G5" s="42" t="s">
        <v>4</v>
      </c>
      <c r="H5" s="39"/>
      <c r="I5" s="39"/>
      <c r="J5" s="63" t="s">
        <v>22</v>
      </c>
      <c r="K5" s="54" t="s">
        <v>22</v>
      </c>
      <c r="L5" s="64" t="s">
        <v>24</v>
      </c>
    </row>
    <row r="6" spans="1:12" x14ac:dyDescent="0.2">
      <c r="B6" s="4" t="s">
        <v>1</v>
      </c>
      <c r="C6" s="4" t="s">
        <v>8</v>
      </c>
      <c r="D6" s="4" t="s">
        <v>9</v>
      </c>
      <c r="E6" s="4" t="s">
        <v>14</v>
      </c>
      <c r="F6" s="4" t="s">
        <v>6</v>
      </c>
      <c r="G6" s="43" t="s">
        <v>5</v>
      </c>
      <c r="H6" s="39"/>
      <c r="I6" s="39"/>
      <c r="J6" s="63" t="s">
        <v>23</v>
      </c>
      <c r="K6" s="54" t="s">
        <v>2</v>
      </c>
      <c r="L6" s="64" t="s">
        <v>2</v>
      </c>
    </row>
    <row r="7" spans="1:12" ht="13.5" thickBot="1" x14ac:dyDescent="0.25">
      <c r="A7" s="1" t="s">
        <v>17</v>
      </c>
      <c r="B7" s="10"/>
      <c r="C7" s="10"/>
      <c r="D7" s="10"/>
      <c r="E7" s="10"/>
      <c r="F7" s="9"/>
      <c r="G7" s="44"/>
      <c r="H7" s="39"/>
      <c r="I7" s="39"/>
      <c r="J7" s="33"/>
      <c r="K7" s="39"/>
      <c r="L7" s="65"/>
    </row>
    <row r="8" spans="1:12" s="8" customFormat="1" x14ac:dyDescent="0.2">
      <c r="A8" s="11" t="s">
        <v>26</v>
      </c>
      <c r="B8" s="89">
        <v>3100</v>
      </c>
      <c r="C8" s="12"/>
      <c r="D8" s="12"/>
      <c r="E8" s="25">
        <v>0.95599999999999996</v>
      </c>
      <c r="F8" s="20">
        <f>+B8*E8</f>
        <v>2963.6</v>
      </c>
      <c r="G8" s="45">
        <f>0.8877*F8</f>
        <v>2630.7877200000003</v>
      </c>
      <c r="H8" s="35"/>
      <c r="I8" s="35"/>
      <c r="J8" s="66">
        <f>G8/($G$48-$G$46-$G$38)*($J$48-$J$46-$J$38)</f>
        <v>1588.7256144802773</v>
      </c>
      <c r="K8" s="36">
        <f>J8/0.8877</f>
        <v>1789.7100534868505</v>
      </c>
      <c r="L8" s="67">
        <f>K8/E8</f>
        <v>1872.0816459067476</v>
      </c>
    </row>
    <row r="9" spans="1:12" s="8" customFormat="1" x14ac:dyDescent="0.2">
      <c r="A9" s="15" t="s">
        <v>28</v>
      </c>
      <c r="B9" s="90">
        <v>3500</v>
      </c>
      <c r="C9" s="22"/>
      <c r="D9" s="22"/>
      <c r="E9" s="26">
        <v>0.95399999999999996</v>
      </c>
      <c r="F9" s="23">
        <f>+B9*E9</f>
        <v>3339</v>
      </c>
      <c r="G9" s="46">
        <f>0.8877*F9</f>
        <v>2964.0303000000004</v>
      </c>
      <c r="H9" s="35"/>
      <c r="I9" s="35"/>
      <c r="J9" s="66">
        <f>G9/($G$48-$G$46-$G$38)*($J$48-$J$46-$J$38)</f>
        <v>1789.9699104972485</v>
      </c>
      <c r="K9" s="36">
        <f>J9/0.8877</f>
        <v>2016.4131018331063</v>
      </c>
      <c r="L9" s="67">
        <f>K9/E9</f>
        <v>2113.6405679592312</v>
      </c>
    </row>
    <row r="10" spans="1:12" s="8" customFormat="1" x14ac:dyDescent="0.2">
      <c r="A10" s="15" t="s">
        <v>27</v>
      </c>
      <c r="B10" s="90">
        <v>3500</v>
      </c>
      <c r="C10" s="22"/>
      <c r="D10" s="22"/>
      <c r="E10" s="26">
        <v>0.95799999999999996</v>
      </c>
      <c r="F10" s="23">
        <f>+B10*E10</f>
        <v>3353</v>
      </c>
      <c r="G10" s="46">
        <f>0.8877*F10</f>
        <v>2976.4581000000003</v>
      </c>
      <c r="H10" s="35"/>
      <c r="I10" s="35"/>
      <c r="J10" s="66">
        <f>G10/($G$48-$G$46-$G$38)*($J$48-$J$46-$J$38)</f>
        <v>1797.4750254259582</v>
      </c>
      <c r="K10" s="36">
        <f>J10/0.8877</f>
        <v>2024.8676641049433</v>
      </c>
      <c r="L10" s="67">
        <f>K10/E10</f>
        <v>2113.6405679592312</v>
      </c>
    </row>
    <row r="11" spans="1:12" s="8" customFormat="1" ht="13.5" thickBot="1" x14ac:dyDescent="0.25">
      <c r="A11" s="15" t="s">
        <v>29</v>
      </c>
      <c r="B11" s="91">
        <v>4100</v>
      </c>
      <c r="C11" s="22"/>
      <c r="D11" s="22"/>
      <c r="E11" s="27">
        <v>0.95699999999999996</v>
      </c>
      <c r="F11" s="21">
        <f>+B11*E11</f>
        <v>3923.7</v>
      </c>
      <c r="G11" s="47">
        <f>0.8877*F11</f>
        <v>3483.0684900000001</v>
      </c>
      <c r="H11" s="35"/>
      <c r="I11" s="35"/>
      <c r="J11" s="68">
        <f>G11/($G$48-$G$46-$G$38)*($J$48-$J$46-$J$38)</f>
        <v>2103.4156746984286</v>
      </c>
      <c r="K11" s="37">
        <f>J11/0.8877</f>
        <v>2369.5118561433237</v>
      </c>
      <c r="L11" s="69">
        <f>K11/E11</f>
        <v>2475.978951037956</v>
      </c>
    </row>
    <row r="12" spans="1:12" s="8" customFormat="1" x14ac:dyDescent="0.2">
      <c r="A12" s="15" t="s">
        <v>41</v>
      </c>
      <c r="B12" s="92">
        <f>SUM(B8:B11)</f>
        <v>14200</v>
      </c>
      <c r="C12" s="22"/>
      <c r="D12" s="22"/>
      <c r="E12" s="26">
        <f>AVERAGE(E8:E11)</f>
        <v>0.95624999999999993</v>
      </c>
      <c r="F12" s="23">
        <f>SUM(F8:F11)</f>
        <v>13579.3</v>
      </c>
      <c r="G12" s="46">
        <f>SUM(G8:G11)</f>
        <v>12054.34461</v>
      </c>
      <c r="H12" s="35"/>
      <c r="I12" s="35"/>
      <c r="J12" s="66">
        <f>G12/($G$48-$G$46-$G$38)*($J$48-$J$46-$J$38)</f>
        <v>7279.5862251019125</v>
      </c>
      <c r="K12" s="36">
        <f>J12/0.8877</f>
        <v>8200.5026755682229</v>
      </c>
      <c r="L12" s="67">
        <f>SUM(L8:L11)</f>
        <v>8575.3417328631658</v>
      </c>
    </row>
    <row r="13" spans="1:12" s="8" customFormat="1" x14ac:dyDescent="0.2">
      <c r="A13" s="15"/>
      <c r="B13" s="90"/>
      <c r="C13" s="22"/>
      <c r="D13" s="22"/>
      <c r="E13" s="26"/>
      <c r="F13" s="23"/>
      <c r="G13" s="46"/>
      <c r="H13" s="35"/>
      <c r="I13" s="35"/>
      <c r="J13" s="66"/>
      <c r="K13" s="36"/>
      <c r="L13" s="67"/>
    </row>
    <row r="14" spans="1:12" s="8" customFormat="1" x14ac:dyDescent="0.2">
      <c r="A14" s="15" t="s">
        <v>30</v>
      </c>
      <c r="B14" s="90">
        <v>4700</v>
      </c>
      <c r="C14" s="22"/>
      <c r="D14" s="22"/>
      <c r="E14" s="26">
        <v>0.95699999999999996</v>
      </c>
      <c r="F14" s="23">
        <f>+B14*E14</f>
        <v>4497.8999999999996</v>
      </c>
      <c r="G14" s="46">
        <f>0.9095*F14</f>
        <v>4090.8400499999993</v>
      </c>
      <c r="H14" s="35"/>
      <c r="I14" s="35"/>
      <c r="J14" s="66">
        <f>G14/($G$48-$G$46-$G$38)*($J$48-$J$46-$J$38)</f>
        <v>2470.4472819178191</v>
      </c>
      <c r="K14" s="36">
        <f>J14/0.9095</f>
        <v>2716.2696887496636</v>
      </c>
      <c r="L14" s="67">
        <f>K14/E14</f>
        <v>2838.3173341166812</v>
      </c>
    </row>
    <row r="15" spans="1:12" s="8" customFormat="1" x14ac:dyDescent="0.2">
      <c r="A15" s="15" t="s">
        <v>31</v>
      </c>
      <c r="B15" s="90">
        <v>10000</v>
      </c>
      <c r="C15" s="22"/>
      <c r="D15" s="22"/>
      <c r="E15" s="26">
        <v>0.95499999999999996</v>
      </c>
      <c r="F15" s="23">
        <f>+B15*E15</f>
        <v>9550</v>
      </c>
      <c r="G15" s="46">
        <f>0.9095*F15</f>
        <v>8685.7250000000004</v>
      </c>
      <c r="H15" s="35"/>
      <c r="I15" s="35"/>
      <c r="J15" s="66">
        <f>G15/($G$48-$G$46-$G$38)*($J$48-$J$46-$J$38)</f>
        <v>5245.2859206107687</v>
      </c>
      <c r="K15" s="36">
        <f>J15/0.9095</f>
        <v>5767.2192640030444</v>
      </c>
      <c r="L15" s="67">
        <f>K15/E15</f>
        <v>6038.9730513120885</v>
      </c>
    </row>
    <row r="16" spans="1:12" s="8" customFormat="1" x14ac:dyDescent="0.2">
      <c r="A16" s="15" t="s">
        <v>32</v>
      </c>
      <c r="B16" s="90">
        <v>9800</v>
      </c>
      <c r="C16" s="22"/>
      <c r="D16" s="22"/>
      <c r="E16" s="26">
        <v>0.94499999999999995</v>
      </c>
      <c r="F16" s="23">
        <f>+B16*E16</f>
        <v>9261</v>
      </c>
      <c r="G16" s="46">
        <f>0.9095*F16</f>
        <v>8422.8794999999991</v>
      </c>
      <c r="H16" s="35"/>
      <c r="I16" s="35"/>
      <c r="J16" s="66">
        <f>G16/($G$48-$G$46-$G$38)*($J$48-$J$46-$J$38)</f>
        <v>5086.5542314949025</v>
      </c>
      <c r="K16" s="36">
        <f>J16/0.9095</f>
        <v>5592.6929428201238</v>
      </c>
      <c r="L16" s="67">
        <f>K16/E16</f>
        <v>5918.1935902858459</v>
      </c>
    </row>
    <row r="17" spans="1:16" s="8" customFormat="1" ht="13.5" thickBot="1" x14ac:dyDescent="0.25">
      <c r="A17" s="15" t="s">
        <v>33</v>
      </c>
      <c r="B17" s="91">
        <v>3200</v>
      </c>
      <c r="C17" s="22"/>
      <c r="D17" s="22"/>
      <c r="E17" s="27">
        <v>0.95299999999999996</v>
      </c>
      <c r="F17" s="21">
        <f>+B17*E17</f>
        <v>3049.6</v>
      </c>
      <c r="G17" s="47">
        <f>0.9095*F17</f>
        <v>2773.6111999999998</v>
      </c>
      <c r="H17" s="35"/>
      <c r="I17" s="35"/>
      <c r="J17" s="68">
        <f>G17/($G$48-$G$46-$G$38)*($J$48-$J$46-$J$38)</f>
        <v>1674.976329161738</v>
      </c>
      <c r="K17" s="37">
        <f>J17/0.9095</f>
        <v>1841.6452217281342</v>
      </c>
      <c r="L17" s="69">
        <f>K17/E17</f>
        <v>1932.471376419868</v>
      </c>
    </row>
    <row r="18" spans="1:16" s="8" customFormat="1" x14ac:dyDescent="0.2">
      <c r="A18" s="15" t="s">
        <v>42</v>
      </c>
      <c r="B18" s="92">
        <f>SUM(B14:B17)</f>
        <v>27700</v>
      </c>
      <c r="C18" s="22"/>
      <c r="D18" s="22"/>
      <c r="E18" s="26">
        <f>AVERAGE(E14:E17)</f>
        <v>0.9524999999999999</v>
      </c>
      <c r="F18" s="23">
        <f>SUM(F14:F17)</f>
        <v>26358.5</v>
      </c>
      <c r="G18" s="46">
        <f>SUM(G14:G17)</f>
        <v>23973.05575</v>
      </c>
      <c r="H18" s="35"/>
      <c r="I18" s="35"/>
      <c r="J18" s="66">
        <f>G18/($G$48-$G$46-$G$38)*($J$48-$J$46-$J$38)</f>
        <v>14477.263763185229</v>
      </c>
      <c r="K18" s="36">
        <f>J18/0.9095</f>
        <v>15917.827117300967</v>
      </c>
      <c r="L18" s="67">
        <f>SUM(L14:L17)</f>
        <v>16727.955352134482</v>
      </c>
    </row>
    <row r="19" spans="1:16" s="8" customFormat="1" x14ac:dyDescent="0.2">
      <c r="A19" s="15"/>
      <c r="B19" s="92"/>
      <c r="C19" s="22"/>
      <c r="D19" s="22"/>
      <c r="E19" s="26"/>
      <c r="F19" s="23"/>
      <c r="G19" s="46"/>
      <c r="H19" s="35"/>
      <c r="I19" s="35"/>
      <c r="J19" s="66"/>
      <c r="K19" s="36"/>
      <c r="L19" s="67"/>
    </row>
    <row r="20" spans="1:16" s="8" customFormat="1" x14ac:dyDescent="0.2">
      <c r="A20" s="15" t="s">
        <v>46</v>
      </c>
      <c r="B20" s="93">
        <f>B18+B12</f>
        <v>41900</v>
      </c>
      <c r="C20" s="22"/>
      <c r="D20" s="22"/>
      <c r="E20" s="26"/>
      <c r="F20" s="77">
        <f>F18+F12</f>
        <v>39937.800000000003</v>
      </c>
      <c r="G20" s="78">
        <f>G18+G12</f>
        <v>36027.40036</v>
      </c>
      <c r="H20" s="35"/>
      <c r="I20" s="35"/>
      <c r="J20" s="82">
        <f>J18+J12</f>
        <v>21756.84998828714</v>
      </c>
      <c r="K20" s="84">
        <f>K18+K12</f>
        <v>24118.32979286919</v>
      </c>
      <c r="L20" s="85">
        <f>L18+L12</f>
        <v>25303.297084997648</v>
      </c>
      <c r="M20" s="55"/>
      <c r="O20" s="8">
        <f>+P20*L20/J20</f>
        <v>10467.033319969469</v>
      </c>
      <c r="P20" s="8">
        <v>9000</v>
      </c>
    </row>
    <row r="21" spans="1:16" s="8" customFormat="1" x14ac:dyDescent="0.2">
      <c r="A21" s="15"/>
      <c r="B21" s="90"/>
      <c r="C21" s="22"/>
      <c r="D21" s="22"/>
      <c r="E21" s="26"/>
      <c r="F21" s="23"/>
      <c r="G21" s="46"/>
      <c r="H21" s="35"/>
      <c r="I21" s="35"/>
      <c r="J21" s="66"/>
      <c r="K21" s="36"/>
      <c r="L21" s="67"/>
      <c r="O21" s="8">
        <f>+P21*L20/J20</f>
        <v>2326.0074044376593</v>
      </c>
      <c r="P21" s="8">
        <v>2000</v>
      </c>
    </row>
    <row r="22" spans="1:16" s="8" customFormat="1" x14ac:dyDescent="0.2">
      <c r="A22" s="15" t="s">
        <v>34</v>
      </c>
      <c r="B22" s="90">
        <v>1100</v>
      </c>
      <c r="C22" s="22"/>
      <c r="D22" s="22"/>
      <c r="E22" s="26">
        <v>0.93899999999999995</v>
      </c>
      <c r="F22" s="23">
        <f>+B22*E22</f>
        <v>1032.8999999999999</v>
      </c>
      <c r="G22" s="46">
        <f>0.8917*F22</f>
        <v>921.03692999999998</v>
      </c>
      <c r="H22" s="35"/>
      <c r="I22" s="35"/>
      <c r="J22" s="66">
        <f>G22/($G$48-$G$46-$G$38)*($J$48-$J$46-$J$38)</f>
        <v>556.21171995332179</v>
      </c>
      <c r="K22" s="36">
        <f>J22/0.8917</f>
        <v>623.76552647002552</v>
      </c>
      <c r="L22" s="67">
        <f>K22/E22</f>
        <v>664.28703564432965</v>
      </c>
    </row>
    <row r="23" spans="1:16" s="8" customFormat="1" ht="13.5" thickBot="1" x14ac:dyDescent="0.25">
      <c r="A23" s="15" t="s">
        <v>35</v>
      </c>
      <c r="B23" s="91">
        <v>1500</v>
      </c>
      <c r="C23" s="22"/>
      <c r="D23" s="22"/>
      <c r="E23" s="27">
        <v>0.93</v>
      </c>
      <c r="F23" s="21">
        <f>+B23*E23</f>
        <v>1395</v>
      </c>
      <c r="G23" s="47">
        <f>0.8917*F23</f>
        <v>1243.9215000000002</v>
      </c>
      <c r="H23" s="35"/>
      <c r="I23" s="35"/>
      <c r="J23" s="68">
        <f>G23/($G$48-$G$46-$G$38)*($J$48-$J$46-$J$38)</f>
        <v>751.200841644771</v>
      </c>
      <c r="K23" s="37">
        <f>J23/0.8917</f>
        <v>842.43674065803634</v>
      </c>
      <c r="L23" s="69">
        <f>K23/E23</f>
        <v>905.84595769681323</v>
      </c>
    </row>
    <row r="24" spans="1:16" s="8" customFormat="1" x14ac:dyDescent="0.2">
      <c r="A24" s="76" t="s">
        <v>43</v>
      </c>
      <c r="B24" s="92">
        <f>SUM(B22:B23)</f>
        <v>2600</v>
      </c>
      <c r="C24" s="22"/>
      <c r="D24" s="22"/>
      <c r="E24" s="26">
        <f>AVERAGE(E20:E23)</f>
        <v>0.9345</v>
      </c>
      <c r="F24" s="23">
        <f>SUM(F22:F23)</f>
        <v>2427.8999999999996</v>
      </c>
      <c r="G24" s="46">
        <f>SUM(G22:G23)</f>
        <v>2164.9584300000001</v>
      </c>
      <c r="H24" s="35"/>
      <c r="I24" s="35"/>
      <c r="J24" s="66">
        <f>SUM(J22:J23)</f>
        <v>1307.4125615980929</v>
      </c>
      <c r="K24" s="36">
        <f>SUM(K22:K23)</f>
        <v>1466.202267128062</v>
      </c>
      <c r="L24" s="67">
        <f>SUM(L22:L23)</f>
        <v>1570.132993341143</v>
      </c>
      <c r="M24" s="55"/>
    </row>
    <row r="25" spans="1:16" s="8" customFormat="1" x14ac:dyDescent="0.2">
      <c r="A25" s="15"/>
      <c r="B25" s="90"/>
      <c r="C25" s="22"/>
      <c r="D25" s="22"/>
      <c r="E25" s="26"/>
      <c r="F25" s="23"/>
      <c r="G25" s="46"/>
      <c r="H25" s="35"/>
      <c r="I25" s="35"/>
      <c r="J25" s="66"/>
      <c r="K25" s="36"/>
      <c r="L25" s="67"/>
    </row>
    <row r="26" spans="1:16" s="8" customFormat="1" x14ac:dyDescent="0.2">
      <c r="A26" s="81" t="s">
        <v>45</v>
      </c>
      <c r="B26" s="93">
        <f>B12+B24</f>
        <v>16800</v>
      </c>
      <c r="C26" s="6"/>
      <c r="D26" s="6"/>
      <c r="E26" s="6"/>
      <c r="F26" s="79">
        <f>F24+F12</f>
        <v>16007.199999999999</v>
      </c>
      <c r="G26" s="80">
        <f>G24+G12</f>
        <v>14219.303040000001</v>
      </c>
      <c r="H26" s="38"/>
      <c r="I26" s="38"/>
      <c r="J26" s="83">
        <f>J24+J12</f>
        <v>8586.9987867000054</v>
      </c>
      <c r="K26" s="84">
        <f>K24+K12</f>
        <v>9666.704942696284</v>
      </c>
      <c r="L26" s="85">
        <f>L24+L12</f>
        <v>10145.474726204309</v>
      </c>
    </row>
    <row r="27" spans="1:16" s="8" customFormat="1" x14ac:dyDescent="0.2">
      <c r="A27" s="81"/>
      <c r="B27" s="93"/>
      <c r="C27" s="6"/>
      <c r="D27" s="6"/>
      <c r="E27" s="6"/>
      <c r="F27" s="31"/>
      <c r="G27" s="48"/>
      <c r="H27" s="38"/>
      <c r="I27" s="38"/>
      <c r="J27" s="70"/>
      <c r="K27" s="36"/>
      <c r="L27" s="67"/>
    </row>
    <row r="28" spans="1:16" s="8" customFormat="1" x14ac:dyDescent="0.2">
      <c r="A28" s="81" t="s">
        <v>44</v>
      </c>
      <c r="B28" s="93">
        <f>B24+B18+B12</f>
        <v>44500</v>
      </c>
      <c r="C28" s="6"/>
      <c r="D28" s="6"/>
      <c r="E28" s="6"/>
      <c r="F28" s="79">
        <f>F24+F18+F12</f>
        <v>42365.7</v>
      </c>
      <c r="G28" s="80">
        <f>G24+G18+G12</f>
        <v>38192.358789999998</v>
      </c>
      <c r="H28" s="38"/>
      <c r="I28" s="38"/>
      <c r="J28" s="83">
        <f>J12+J18+J24</f>
        <v>23064.262549885232</v>
      </c>
      <c r="K28" s="84">
        <f>K24+K18+K12</f>
        <v>25584.532059997251</v>
      </c>
      <c r="L28" s="85">
        <f>L18+L24+L12</f>
        <v>26873.430078338792</v>
      </c>
    </row>
    <row r="29" spans="1:16" s="8" customFormat="1" x14ac:dyDescent="0.2">
      <c r="A29" s="15"/>
      <c r="B29" s="93"/>
      <c r="C29" s="22"/>
      <c r="D29" s="22"/>
      <c r="E29" s="22"/>
      <c r="F29" s="22"/>
      <c r="G29" s="46"/>
      <c r="H29" s="35"/>
      <c r="I29" s="35"/>
      <c r="J29" s="34"/>
      <c r="K29" s="36"/>
      <c r="L29" s="67"/>
    </row>
    <row r="30" spans="1:16" s="8" customFormat="1" ht="13.5" thickBot="1" x14ac:dyDescent="0.25">
      <c r="A30" s="99" t="s">
        <v>13</v>
      </c>
      <c r="B30" s="77"/>
      <c r="C30" s="22"/>
      <c r="D30" s="22"/>
      <c r="E30" s="22"/>
      <c r="F30" s="22"/>
      <c r="G30" s="46"/>
      <c r="H30" s="35"/>
      <c r="I30" s="35"/>
      <c r="J30" s="34"/>
      <c r="K30" s="36"/>
      <c r="L30" s="67"/>
    </row>
    <row r="31" spans="1:16" s="8" customFormat="1" x14ac:dyDescent="0.2">
      <c r="A31" s="11" t="s">
        <v>36</v>
      </c>
      <c r="B31" s="89">
        <v>5800</v>
      </c>
      <c r="C31" s="12"/>
      <c r="D31" s="12"/>
      <c r="E31" s="25">
        <v>0.94399999999999995</v>
      </c>
      <c r="F31" s="20">
        <f>+B31*E31</f>
        <v>5475.2</v>
      </c>
      <c r="G31" s="45">
        <f>0.9243*F31</f>
        <v>5060.7273599999999</v>
      </c>
      <c r="H31" s="35"/>
      <c r="I31" s="35"/>
      <c r="J31" s="66">
        <f>G31/($G$48-$G$46-$G$38)*($J$48-$J$46-$J$38)</f>
        <v>3056.1596147077767</v>
      </c>
      <c r="K31" s="36">
        <f>J31/0.93</f>
        <v>3286.1931340943834</v>
      </c>
      <c r="L31" s="67">
        <f>K31/E31</f>
        <v>3481.1367945915081</v>
      </c>
    </row>
    <row r="32" spans="1:16" s="8" customFormat="1" x14ac:dyDescent="0.2">
      <c r="A32" s="15" t="s">
        <v>37</v>
      </c>
      <c r="B32" s="90">
        <v>2400</v>
      </c>
      <c r="C32" s="22"/>
      <c r="D32" s="22"/>
      <c r="E32" s="26">
        <v>0.95199999999999996</v>
      </c>
      <c r="F32" s="23">
        <f>+B32*E32</f>
        <v>2284.7999999999997</v>
      </c>
      <c r="G32" s="46">
        <f>0.9243*F32</f>
        <v>2111.8406399999999</v>
      </c>
      <c r="H32" s="35"/>
      <c r="I32" s="35"/>
      <c r="J32" s="66">
        <f>G32/($G$48-$G$46-$G$38)*($J$48-$J$46-$J$38)</f>
        <v>1275.3348713625671</v>
      </c>
      <c r="K32" s="36">
        <f>J32/0.93</f>
        <v>1371.327818669427</v>
      </c>
      <c r="L32" s="67">
        <f>K32/E32</f>
        <v>1440.4703977620031</v>
      </c>
    </row>
    <row r="33" spans="1:13" s="8" customFormat="1" ht="13.5" thickBot="1" x14ac:dyDescent="0.25">
      <c r="A33" s="13" t="s">
        <v>38</v>
      </c>
      <c r="B33" s="91">
        <v>3200</v>
      </c>
      <c r="C33" s="14"/>
      <c r="D33" s="14"/>
      <c r="E33" s="27">
        <v>0.94599999999999995</v>
      </c>
      <c r="F33" s="21">
        <f>+B33*E33</f>
        <v>3027.2</v>
      </c>
      <c r="G33" s="47">
        <f>0.9243*F33</f>
        <v>2798.0409599999998</v>
      </c>
      <c r="H33" s="35"/>
      <c r="I33" s="35"/>
      <c r="J33" s="68">
        <f>G33/($G$48-$G$46-$G$38)*($J$48-$J$46-$J$38)</f>
        <v>1689.7293953907404</v>
      </c>
      <c r="K33" s="37">
        <f>J33/0.93</f>
        <v>1816.91332837714</v>
      </c>
      <c r="L33" s="69">
        <f>K33/E33</f>
        <v>1920.6271970160044</v>
      </c>
    </row>
    <row r="34" spans="1:13" s="8" customFormat="1" x14ac:dyDescent="0.2">
      <c r="A34" s="30" t="s">
        <v>48</v>
      </c>
      <c r="B34" s="77">
        <f>SUM(B31:B33)</f>
        <v>11400</v>
      </c>
      <c r="C34" s="22"/>
      <c r="D34" s="22"/>
      <c r="E34" s="26">
        <f>AVERAGE(E31:E33)</f>
        <v>0.94733333333333325</v>
      </c>
      <c r="F34" s="32">
        <f>SUM(F31:F33)</f>
        <v>10787.2</v>
      </c>
      <c r="G34" s="46">
        <f>SUM(G31:G33)</f>
        <v>9970.6089599999996</v>
      </c>
      <c r="H34" s="35"/>
      <c r="I34" s="35"/>
      <c r="J34" s="66">
        <f>SUM(J31:J33)</f>
        <v>6021.2238814610837</v>
      </c>
      <c r="K34" s="36">
        <f>SUM(K31:K33)</f>
        <v>6474.4342811409506</v>
      </c>
      <c r="L34" s="67">
        <f>SUM(L31:L33)</f>
        <v>6842.2343893695152</v>
      </c>
    </row>
    <row r="35" spans="1:13" s="8" customFormat="1" x14ac:dyDescent="0.2">
      <c r="A35" s="22"/>
      <c r="B35" s="77"/>
      <c r="C35" s="22"/>
      <c r="D35" s="22"/>
      <c r="E35" s="22"/>
      <c r="F35" s="22"/>
      <c r="G35" s="46"/>
      <c r="H35" s="35"/>
      <c r="I35" s="35"/>
      <c r="J35" s="34"/>
      <c r="K35" s="36"/>
      <c r="L35" s="67"/>
    </row>
    <row r="36" spans="1:13" s="8" customFormat="1" x14ac:dyDescent="0.2">
      <c r="A36" s="18"/>
      <c r="B36" s="94"/>
      <c r="C36" s="18"/>
      <c r="D36" s="18"/>
      <c r="E36" s="18"/>
      <c r="F36" s="18"/>
      <c r="G36" s="49"/>
      <c r="H36" s="38"/>
      <c r="I36" s="38"/>
      <c r="J36" s="71"/>
      <c r="K36" s="36"/>
      <c r="L36" s="67"/>
    </row>
    <row r="37" spans="1:13" s="8" customFormat="1" ht="13.5" thickBot="1" x14ac:dyDescent="0.25">
      <c r="A37" s="16" t="s">
        <v>15</v>
      </c>
      <c r="B37" s="94"/>
      <c r="C37" s="18"/>
      <c r="D37" s="18"/>
      <c r="E37" s="18"/>
      <c r="F37" s="18"/>
      <c r="G37" s="49"/>
      <c r="H37" s="38"/>
      <c r="I37" s="38"/>
      <c r="J37" s="71"/>
      <c r="K37" s="36"/>
      <c r="L37" s="67"/>
    </row>
    <row r="38" spans="1:13" s="8" customFormat="1" x14ac:dyDescent="0.2">
      <c r="A38" s="11" t="s">
        <v>3</v>
      </c>
      <c r="B38" s="89">
        <v>800</v>
      </c>
      <c r="C38" s="19"/>
      <c r="D38" s="19"/>
      <c r="E38" s="25">
        <v>0.94499999999999995</v>
      </c>
      <c r="F38" s="20">
        <f>+B38*E38</f>
        <v>756</v>
      </c>
      <c r="G38" s="50">
        <f>0.9971*F38</f>
        <v>753.80759999999998</v>
      </c>
      <c r="H38" s="35"/>
      <c r="I38" s="35"/>
      <c r="J38" s="34">
        <f>G38</f>
        <v>753.80759999999998</v>
      </c>
      <c r="K38" s="35">
        <f>J38/0.9971</f>
        <v>756</v>
      </c>
      <c r="L38" s="72">
        <f>K38/E38</f>
        <v>800</v>
      </c>
    </row>
    <row r="39" spans="1:13" s="8" customFormat="1" x14ac:dyDescent="0.2">
      <c r="A39" s="15" t="s">
        <v>18</v>
      </c>
      <c r="B39" s="90">
        <v>1060</v>
      </c>
      <c r="C39" s="10"/>
      <c r="D39" s="10"/>
      <c r="E39" s="26">
        <v>0.95199999999999996</v>
      </c>
      <c r="F39" s="23">
        <f>+B39*E39</f>
        <v>1009.12</v>
      </c>
      <c r="G39" s="51">
        <f>0.937*F39</f>
        <v>945.5454400000001</v>
      </c>
      <c r="H39" s="35"/>
      <c r="I39" s="35"/>
      <c r="J39" s="66">
        <v>0</v>
      </c>
      <c r="K39" s="36">
        <v>0</v>
      </c>
      <c r="L39" s="67">
        <v>0</v>
      </c>
    </row>
    <row r="40" spans="1:13" s="8" customFormat="1" x14ac:dyDescent="0.2">
      <c r="A40" s="15"/>
      <c r="B40" s="90"/>
      <c r="C40" s="10"/>
      <c r="D40" s="10"/>
      <c r="E40" s="26"/>
      <c r="F40" s="23"/>
      <c r="G40" s="51"/>
      <c r="H40" s="35"/>
      <c r="I40" s="35"/>
      <c r="J40" s="66"/>
      <c r="K40" s="36"/>
      <c r="L40" s="67"/>
    </row>
    <row r="41" spans="1:13" s="8" customFormat="1" x14ac:dyDescent="0.2">
      <c r="A41" s="15" t="s">
        <v>39</v>
      </c>
      <c r="B41" s="90">
        <v>1500</v>
      </c>
      <c r="C41" s="16"/>
      <c r="D41" s="16"/>
      <c r="E41" s="26">
        <v>0.93700000000000006</v>
      </c>
      <c r="F41" s="23">
        <f>+B41*E41</f>
        <v>1405.5</v>
      </c>
      <c r="G41" s="46">
        <f>0.9008*F41</f>
        <v>1266.0744</v>
      </c>
      <c r="H41" s="35"/>
      <c r="I41" s="35"/>
      <c r="J41" s="66">
        <f>G41/($G$48-$G$46-$G$38)*($J$48-$J$46-$J$38)</f>
        <v>764.57891825561205</v>
      </c>
      <c r="K41" s="36">
        <f>J41/0.9008</f>
        <v>848.77766236191383</v>
      </c>
      <c r="L41" s="67">
        <f>K41/E41</f>
        <v>905.845957696813</v>
      </c>
    </row>
    <row r="42" spans="1:13" s="8" customFormat="1" ht="13.5" thickBot="1" x14ac:dyDescent="0.25">
      <c r="A42" s="15" t="s">
        <v>40</v>
      </c>
      <c r="B42" s="91">
        <v>2500</v>
      </c>
      <c r="C42" s="16"/>
      <c r="D42" s="16"/>
      <c r="E42" s="26">
        <v>0.94499999999999995</v>
      </c>
      <c r="F42" s="21">
        <f>+B42*E42</f>
        <v>2362.5</v>
      </c>
      <c r="G42" s="47">
        <f>0.9008*F42</f>
        <v>2128.1400000000003</v>
      </c>
      <c r="H42" s="35"/>
      <c r="I42" s="35"/>
      <c r="J42" s="68">
        <f>G42/($G$48-$G$46-$G$38)*($J$48-$J$46-$J$38)</f>
        <v>1285.1780109419308</v>
      </c>
      <c r="K42" s="37">
        <f>J42/0.9008</f>
        <v>1426.7073833724808</v>
      </c>
      <c r="L42" s="69">
        <f>K42/E42</f>
        <v>1509.7432628280221</v>
      </c>
    </row>
    <row r="43" spans="1:13" s="8" customFormat="1" x14ac:dyDescent="0.2">
      <c r="A43" s="81" t="s">
        <v>47</v>
      </c>
      <c r="B43" s="90">
        <f>SUM(B41:B42)</f>
        <v>4000</v>
      </c>
      <c r="C43" s="16"/>
      <c r="D43" s="16"/>
      <c r="E43" s="26">
        <f>AVERAGE(E41:E42)</f>
        <v>0.94100000000000006</v>
      </c>
      <c r="F43" s="23">
        <f>SUM(F41:F42)</f>
        <v>3768</v>
      </c>
      <c r="G43" s="46">
        <f>SUM(G41:G42)</f>
        <v>3394.2144000000003</v>
      </c>
      <c r="H43" s="35"/>
      <c r="I43" s="35"/>
      <c r="J43" s="66">
        <f>SUM(J41:J42)</f>
        <v>2049.7569291975428</v>
      </c>
      <c r="K43" s="36">
        <f>SUM(K41:K42)</f>
        <v>2275.4850457343946</v>
      </c>
      <c r="L43" s="67">
        <f>SUM(L41:L42)</f>
        <v>2415.5892205248351</v>
      </c>
    </row>
    <row r="44" spans="1:13" s="8" customFormat="1" x14ac:dyDescent="0.2">
      <c r="A44" s="15"/>
      <c r="B44" s="90"/>
      <c r="C44" s="16"/>
      <c r="D44" s="16"/>
      <c r="E44" s="26"/>
      <c r="F44" s="23"/>
      <c r="G44" s="46"/>
      <c r="H44" s="35"/>
      <c r="I44" s="35"/>
      <c r="J44" s="66"/>
      <c r="K44" s="36"/>
      <c r="L44" s="67"/>
    </row>
    <row r="45" spans="1:13" s="8" customFormat="1" x14ac:dyDescent="0.2">
      <c r="A45" s="15" t="s">
        <v>12</v>
      </c>
      <c r="B45" s="90">
        <v>980</v>
      </c>
      <c r="C45" s="16"/>
      <c r="D45" s="16"/>
      <c r="E45" s="26">
        <v>0.97099999999999997</v>
      </c>
      <c r="F45" s="23">
        <f>+B45*E45</f>
        <v>951.57999999999993</v>
      </c>
      <c r="G45" s="46">
        <f>0.8975*F45</f>
        <v>854.04304999999988</v>
      </c>
      <c r="H45" s="35"/>
      <c r="I45" s="35"/>
      <c r="J45" s="66">
        <f>G45/($G$48-$G$46-$G$38)*($J$48-$J$46-$J$38)</f>
        <v>515.75429636103809</v>
      </c>
      <c r="K45" s="36">
        <f>J45/0.8975</f>
        <v>574.65659761675556</v>
      </c>
      <c r="L45" s="67">
        <f>K45/E45</f>
        <v>591.81935902858447</v>
      </c>
      <c r="M45" s="55"/>
    </row>
    <row r="46" spans="1:13" s="8" customFormat="1" ht="13.5" thickBot="1" x14ac:dyDescent="0.25">
      <c r="A46" s="13" t="s">
        <v>0</v>
      </c>
      <c r="B46" s="95">
        <v>18000</v>
      </c>
      <c r="C46" s="17"/>
      <c r="D46" s="17"/>
      <c r="E46" s="27">
        <v>0.93899999999999995</v>
      </c>
      <c r="F46" s="21">
        <f>+B46*E46</f>
        <v>16902</v>
      </c>
      <c r="G46" s="47">
        <f>0.9512*F46</f>
        <v>16077.182400000002</v>
      </c>
      <c r="H46" s="35"/>
      <c r="I46" s="35"/>
      <c r="J46" s="68">
        <f>G46</f>
        <v>16077.182400000002</v>
      </c>
      <c r="K46" s="37">
        <f>J46/0.9512</f>
        <v>16902</v>
      </c>
      <c r="L46" s="73">
        <f>K46/E46</f>
        <v>18000</v>
      </c>
      <c r="M46" s="55"/>
    </row>
    <row r="47" spans="1:13" x14ac:dyDescent="0.2">
      <c r="A47" s="7" t="s">
        <v>16</v>
      </c>
      <c r="B47" s="52">
        <f>SUM(B38:B46)</f>
        <v>28840</v>
      </c>
      <c r="F47" s="29">
        <f>F46+F45+F42+F41+F39+F38</f>
        <v>23386.7</v>
      </c>
      <c r="G47" s="96">
        <f>G46+G45+G42+G41+G39+G38</f>
        <v>22024.792890000004</v>
      </c>
      <c r="H47" s="39"/>
      <c r="I47" s="39"/>
      <c r="J47" s="74">
        <f>J46+J45+J42+J41+J38</f>
        <v>19396.501225558583</v>
      </c>
      <c r="K47" s="56">
        <f>K46+K45+K42+K41+K38</f>
        <v>20508.141643351148</v>
      </c>
      <c r="L47" s="98">
        <f>L46+L45+L42+L41+L38</f>
        <v>21807.408579553419</v>
      </c>
    </row>
    <row r="48" spans="1:13" ht="30.75" x14ac:dyDescent="0.25">
      <c r="A48" s="1" t="s">
        <v>19</v>
      </c>
      <c r="B48" s="6"/>
      <c r="C48" s="6"/>
      <c r="D48" s="6"/>
      <c r="E48" s="6"/>
      <c r="F48" s="88">
        <f>F47+F34+F28</f>
        <v>76539.600000000006</v>
      </c>
      <c r="G48" s="97">
        <f>G47+G34+G28</f>
        <v>70187.760639999993</v>
      </c>
      <c r="H48" s="41"/>
      <c r="I48" s="53" t="s">
        <v>20</v>
      </c>
      <c r="J48" s="75">
        <v>49053</v>
      </c>
      <c r="K48" s="87">
        <f>K47+K34+K28</f>
        <v>52567.107984489354</v>
      </c>
      <c r="L48" s="86">
        <f>L47+L34+L28</f>
        <v>55523.073047261729</v>
      </c>
    </row>
    <row r="49" spans="1:13" x14ac:dyDescent="0.2">
      <c r="A49" s="7"/>
    </row>
    <row r="51" spans="1:13" x14ac:dyDescent="0.2">
      <c r="A51" s="16" t="s">
        <v>49</v>
      </c>
      <c r="B51" s="59">
        <f>B43+B34</f>
        <v>15400</v>
      </c>
      <c r="C51" s="10"/>
      <c r="D51" s="10"/>
      <c r="E51" s="10"/>
      <c r="F51" s="57">
        <f>F43+F34</f>
        <v>14555.2</v>
      </c>
      <c r="G51" s="57">
        <f>G43+G34</f>
        <v>13364.82336</v>
      </c>
      <c r="J51" s="29">
        <f>J43+J34</f>
        <v>8070.9808106586261</v>
      </c>
      <c r="K51" s="29">
        <f>K43+K34</f>
        <v>8749.9193268753443</v>
      </c>
      <c r="L51" s="29">
        <f>L43+L34</f>
        <v>9257.8236098943507</v>
      </c>
      <c r="M51" s="55"/>
    </row>
    <row r="52" spans="1:13" x14ac:dyDescent="0.2">
      <c r="A52" s="22" t="s">
        <v>50</v>
      </c>
      <c r="B52" s="24"/>
      <c r="C52" s="10"/>
      <c r="D52" s="10"/>
      <c r="E52" s="26"/>
      <c r="F52" s="23"/>
      <c r="G52" s="23">
        <f>+G12+G18</f>
        <v>36027.40036</v>
      </c>
    </row>
    <row r="53" spans="1:13" x14ac:dyDescent="0.2">
      <c r="A53" s="22" t="s">
        <v>51</v>
      </c>
      <c r="B53" s="24"/>
      <c r="C53" s="16"/>
      <c r="D53" s="16"/>
      <c r="E53" s="26"/>
      <c r="F53" s="23"/>
      <c r="G53" s="23">
        <f>+G24</f>
        <v>2164.9584300000001</v>
      </c>
      <c r="H53" s="5"/>
      <c r="I53" s="5"/>
    </row>
    <row r="54" spans="1:13" x14ac:dyDescent="0.2">
      <c r="A54" s="101" t="s">
        <v>53</v>
      </c>
      <c r="B54" s="90">
        <v>14275</v>
      </c>
      <c r="C54" s="16"/>
      <c r="D54" s="16"/>
      <c r="E54" s="26"/>
      <c r="F54" s="23"/>
      <c r="G54" s="40"/>
      <c r="M54" s="29"/>
    </row>
    <row r="55" spans="1:13" x14ac:dyDescent="0.2">
      <c r="A55" s="10"/>
      <c r="B55" s="10"/>
      <c r="C55" s="10"/>
      <c r="D55" s="10"/>
      <c r="E55" s="10"/>
      <c r="F55" s="10"/>
      <c r="G55" s="10"/>
      <c r="M55" s="29"/>
    </row>
    <row r="56" spans="1:13" x14ac:dyDescent="0.2">
      <c r="A56" s="16"/>
      <c r="B56" s="10"/>
      <c r="C56" s="10"/>
      <c r="D56" s="10"/>
      <c r="E56" s="10"/>
      <c r="F56" s="57"/>
      <c r="G56" s="58"/>
    </row>
    <row r="57" spans="1:13" x14ac:dyDescent="0.2">
      <c r="A57" s="10"/>
      <c r="B57" s="10"/>
      <c r="C57" s="10"/>
      <c r="D57" s="10"/>
      <c r="E57" s="10"/>
      <c r="F57" s="10"/>
      <c r="G57" s="10"/>
    </row>
    <row r="58" spans="1:13" x14ac:dyDescent="0.2">
      <c r="A58" s="10"/>
      <c r="B58" s="10"/>
      <c r="C58" s="10"/>
      <c r="D58" s="10"/>
      <c r="E58" s="10"/>
      <c r="F58" s="10"/>
      <c r="G58" s="10"/>
    </row>
    <row r="59" spans="1:13" x14ac:dyDescent="0.2">
      <c r="A59" s="16"/>
      <c r="B59" s="10"/>
      <c r="C59" s="10"/>
      <c r="D59" s="10"/>
      <c r="E59" s="10"/>
      <c r="F59" s="10"/>
      <c r="G59" s="59"/>
    </row>
  </sheetData>
  <phoneticPr fontId="0" type="noConversion"/>
  <pageMargins left="0.5" right="0.5" top="0.75" bottom="0.75" header="0" footer="0"/>
  <pageSetup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Jan Havlíček</cp:lastModifiedBy>
  <cp:lastPrinted>2001-07-25T20:50:41Z</cp:lastPrinted>
  <dcterms:created xsi:type="dcterms:W3CDTF">2000-01-25T16:35:05Z</dcterms:created>
  <dcterms:modified xsi:type="dcterms:W3CDTF">2023-09-17T11:27:24Z</dcterms:modified>
</cp:coreProperties>
</file>