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155360-0502-4AB9-8C52-6789C22976D1}" xr6:coauthVersionLast="47" xr6:coauthVersionMax="47" xr10:uidLastSave="{00000000-0000-0000-0000-000000000000}"/>
  <bookViews>
    <workbookView xWindow="-120" yWindow="-120" windowWidth="38640" windowHeight="15720" tabRatio="570"/>
  </bookViews>
  <sheets>
    <sheet name="Proforma" sheetId="7" r:id="rId1"/>
    <sheet name="UCost Final" sheetId="9" r:id="rId2"/>
    <sheet name="Comps" sheetId="8" r:id="rId3"/>
    <sheet name="Project Schedule" sheetId="10" r:id="rId4"/>
    <sheet name="Initial Mix" sheetId="6" state="hidden" r:id="rId5"/>
  </sheets>
  <definedNames>
    <definedName name="_Cap10">Proforma!#REF!</definedName>
    <definedName name="_Cap11">Proforma!#REF!</definedName>
    <definedName name="CapRate">Proforma!$C$41</definedName>
    <definedName name="CMF" localSheetId="1">'UCost Final'!$S$1</definedName>
    <definedName name="CMF">'Initial Mix'!$P$1</definedName>
    <definedName name="Const_Profit">'UCost Final'!$U$2</definedName>
    <definedName name="CTime">#REF!</definedName>
    <definedName name="Four_Bedroom_Rate">Proforma!$C$4</definedName>
    <definedName name="LandscapeArea">'UCost Final'!$Y$2</definedName>
    <definedName name="LTC">'UCost Final'!$O$142</definedName>
    <definedName name="LTV">'UCost Final'!$O$143</definedName>
    <definedName name="MgrOffFirstFlr">'UCost Final'!$AB$3</definedName>
    <definedName name="NOI">Proforma!$E$35:$X$35</definedName>
    <definedName name="One_Bedroom_Rate">Proforma!$C$1</definedName>
    <definedName name="Pool">'UCost Final'!$X$3</definedName>
    <definedName name="_xlnm.Print_Area" localSheetId="2">Comps!$A$5:$AL$13</definedName>
    <definedName name="_xlnm.Print_Area" localSheetId="4">'Initial Mix'!$P$9:$AD$88</definedName>
    <definedName name="_xlnm.Print_Area" localSheetId="0">Proforma!$I$5:$X$41</definedName>
    <definedName name="_xlnm.Print_Area" localSheetId="1">'UCost Final'!$W$156:$AL$169</definedName>
    <definedName name="_xlnm.Print_Titles" localSheetId="4">'Initial Mix'!$B:$B,'Initial Mix'!$5:$8</definedName>
    <definedName name="_xlnm.Print_Titles" localSheetId="0">Proforma!$B:$B</definedName>
    <definedName name="_xlnm.Print_Titles" localSheetId="3">'Project Schedule'!$A:$B,'Project Schedule'!$5:$6</definedName>
    <definedName name="_xlnm.Print_Titles" localSheetId="1">'UCost Final'!$B:$B,'UCost Final'!$5:$9</definedName>
    <definedName name="SM134Units" localSheetId="1">'UCost Final'!$AI$7</definedName>
    <definedName name="SM134Units">'Initial Mix'!$AB$7</definedName>
    <definedName name="Three_Bedroom_Rate">Proforma!$C$3</definedName>
    <definedName name="ThreeBdrm_First_Flr">'UCost Final'!$AB$2</definedName>
    <definedName name="TotalCost">'UCost Final'!$AI$136</definedName>
    <definedName name="TRUnits" localSheetId="1">'UCost Final'!$S$2</definedName>
    <definedName name="TRUnits">'Initial Mix'!$L$2</definedName>
    <definedName name="Two_Bedroom_Rate">Proforma!$C$2</definedName>
    <definedName name="TwoBdrm_First_Flr">'UCost Final'!$AB$1</definedName>
    <definedName name="Vollyball___Basketball">'UCost Final'!$X$4</definedName>
    <definedName name="Vollybasketball">'UCost Final'!$X$4</definedName>
  </definedNames>
  <calcPr calcId="0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AF12" i="8"/>
  <c r="AG12" i="8"/>
  <c r="V13" i="8"/>
  <c r="W13" i="8"/>
  <c r="T14" i="8"/>
  <c r="U14" i="8"/>
  <c r="V14" i="8"/>
  <c r="U15" i="8"/>
  <c r="W15" i="8"/>
  <c r="L7" i="6"/>
  <c r="AB7" i="6"/>
  <c r="AK7" i="6"/>
  <c r="AL7" i="6"/>
  <c r="R8" i="6"/>
  <c r="V8" i="6"/>
  <c r="Z8" i="6"/>
  <c r="AC8" i="6"/>
  <c r="AD8" i="6"/>
  <c r="D9" i="6"/>
  <c r="L9" i="6"/>
  <c r="M9" i="6"/>
  <c r="N9" i="6"/>
  <c r="P9" i="6"/>
  <c r="Q9" i="6"/>
  <c r="R9" i="6"/>
  <c r="T9" i="6"/>
  <c r="U9" i="6"/>
  <c r="V9" i="6"/>
  <c r="X9" i="6"/>
  <c r="Y9" i="6"/>
  <c r="Z9" i="6"/>
  <c r="AB9" i="6"/>
  <c r="AC9" i="6"/>
  <c r="AD9" i="6"/>
  <c r="AI9" i="6"/>
  <c r="AJ9" i="6"/>
  <c r="AK9" i="6"/>
  <c r="AL9" i="6"/>
  <c r="P10" i="6"/>
  <c r="Q10" i="6"/>
  <c r="R10" i="6"/>
  <c r="T10" i="6"/>
  <c r="U10" i="6"/>
  <c r="V10" i="6"/>
  <c r="X10" i="6"/>
  <c r="Y10" i="6"/>
  <c r="Z10" i="6"/>
  <c r="AB10" i="6"/>
  <c r="AC10" i="6"/>
  <c r="AD10" i="6"/>
  <c r="AI10" i="6"/>
  <c r="AJ10" i="6"/>
  <c r="AK10" i="6"/>
  <c r="AL10" i="6"/>
  <c r="D11" i="6"/>
  <c r="L11" i="6"/>
  <c r="M11" i="6"/>
  <c r="N11" i="6"/>
  <c r="P11" i="6"/>
  <c r="Q11" i="6"/>
  <c r="R11" i="6"/>
  <c r="T11" i="6"/>
  <c r="U11" i="6"/>
  <c r="V11" i="6"/>
  <c r="X11" i="6"/>
  <c r="Y11" i="6"/>
  <c r="Z11" i="6"/>
  <c r="AB11" i="6"/>
  <c r="AC11" i="6"/>
  <c r="AD11" i="6"/>
  <c r="AI11" i="6"/>
  <c r="AK11" i="6"/>
  <c r="AL11" i="6"/>
  <c r="D12" i="6"/>
  <c r="L12" i="6"/>
  <c r="M12" i="6"/>
  <c r="N12" i="6"/>
  <c r="P12" i="6"/>
  <c r="Q12" i="6"/>
  <c r="R12" i="6"/>
  <c r="T12" i="6"/>
  <c r="U12" i="6"/>
  <c r="V12" i="6"/>
  <c r="X12" i="6"/>
  <c r="Y12" i="6"/>
  <c r="Z12" i="6"/>
  <c r="AB12" i="6"/>
  <c r="AC12" i="6"/>
  <c r="AD12" i="6"/>
  <c r="AI12" i="6"/>
  <c r="AJ12" i="6"/>
  <c r="AK12" i="6"/>
  <c r="AL12" i="6"/>
  <c r="D13" i="6"/>
  <c r="L13" i="6"/>
  <c r="M13" i="6"/>
  <c r="N13" i="6"/>
  <c r="P13" i="6"/>
  <c r="Q13" i="6"/>
  <c r="R13" i="6"/>
  <c r="T13" i="6"/>
  <c r="U13" i="6"/>
  <c r="V13" i="6"/>
  <c r="X13" i="6"/>
  <c r="Y13" i="6"/>
  <c r="Z13" i="6"/>
  <c r="AB13" i="6"/>
  <c r="AC13" i="6"/>
  <c r="AD13" i="6"/>
  <c r="AI13" i="6"/>
  <c r="AJ13" i="6"/>
  <c r="AK13" i="6"/>
  <c r="AL13" i="6"/>
  <c r="AI14" i="6"/>
  <c r="AJ14" i="6"/>
  <c r="AK14" i="6"/>
  <c r="AL14" i="6"/>
  <c r="D15" i="6"/>
  <c r="L15" i="6"/>
  <c r="M15" i="6"/>
  <c r="N15" i="6"/>
  <c r="P15" i="6"/>
  <c r="Q15" i="6"/>
  <c r="R15" i="6"/>
  <c r="T15" i="6"/>
  <c r="U15" i="6"/>
  <c r="V15" i="6"/>
  <c r="X15" i="6"/>
  <c r="Y15" i="6"/>
  <c r="Z15" i="6"/>
  <c r="AB15" i="6"/>
  <c r="AC15" i="6"/>
  <c r="AD15" i="6"/>
  <c r="AI15" i="6"/>
  <c r="AJ15" i="6"/>
  <c r="AK15" i="6"/>
  <c r="AL15" i="6"/>
  <c r="D16" i="6"/>
  <c r="L16" i="6"/>
  <c r="M16" i="6"/>
  <c r="N16" i="6"/>
  <c r="R16" i="6"/>
  <c r="V16" i="6"/>
  <c r="Z16" i="6"/>
  <c r="AB16" i="6"/>
  <c r="AC16" i="6"/>
  <c r="AD16" i="6"/>
  <c r="AI16" i="6"/>
  <c r="AJ16" i="6"/>
  <c r="AK16" i="6"/>
  <c r="AL16" i="6"/>
  <c r="D17" i="6"/>
  <c r="L17" i="6"/>
  <c r="M17" i="6"/>
  <c r="N17" i="6"/>
  <c r="R17" i="6"/>
  <c r="V17" i="6"/>
  <c r="Z17" i="6"/>
  <c r="AB17" i="6"/>
  <c r="AC17" i="6"/>
  <c r="AD17" i="6"/>
  <c r="AI17" i="6"/>
  <c r="AJ17" i="6"/>
  <c r="AK17" i="6"/>
  <c r="AL17" i="6"/>
  <c r="L18" i="6"/>
  <c r="N18" i="6"/>
  <c r="AI18" i="6"/>
  <c r="AJ18" i="6"/>
  <c r="AK18" i="6"/>
  <c r="AL18" i="6"/>
  <c r="D19" i="6"/>
  <c r="L19" i="6"/>
  <c r="M19" i="6"/>
  <c r="N19" i="6"/>
  <c r="P19" i="6"/>
  <c r="Q19" i="6"/>
  <c r="R19" i="6"/>
  <c r="T19" i="6"/>
  <c r="U19" i="6"/>
  <c r="V19" i="6"/>
  <c r="X19" i="6"/>
  <c r="Y19" i="6"/>
  <c r="Z19" i="6"/>
  <c r="AB19" i="6"/>
  <c r="AC19" i="6"/>
  <c r="AD19" i="6"/>
  <c r="AI19" i="6"/>
  <c r="AJ19" i="6"/>
  <c r="AK19" i="6"/>
  <c r="AL19" i="6"/>
  <c r="D20" i="6"/>
  <c r="L20" i="6"/>
  <c r="M20" i="6"/>
  <c r="N20" i="6"/>
  <c r="P20" i="6"/>
  <c r="Q20" i="6"/>
  <c r="R20" i="6"/>
  <c r="T20" i="6"/>
  <c r="U20" i="6"/>
  <c r="V20" i="6"/>
  <c r="X20" i="6"/>
  <c r="Y20" i="6"/>
  <c r="Z20" i="6"/>
  <c r="AB20" i="6"/>
  <c r="AC20" i="6"/>
  <c r="AD20" i="6"/>
  <c r="AI20" i="6"/>
  <c r="AJ20" i="6"/>
  <c r="AK20" i="6"/>
  <c r="AL20" i="6"/>
  <c r="D21" i="6"/>
  <c r="L21" i="6"/>
  <c r="M21" i="6"/>
  <c r="N21" i="6"/>
  <c r="P21" i="6"/>
  <c r="Q21" i="6"/>
  <c r="R21" i="6"/>
  <c r="T21" i="6"/>
  <c r="U21" i="6"/>
  <c r="V21" i="6"/>
  <c r="X21" i="6"/>
  <c r="Y21" i="6"/>
  <c r="Z21" i="6"/>
  <c r="AB21" i="6"/>
  <c r="AC21" i="6"/>
  <c r="AD21" i="6"/>
  <c r="AI21" i="6"/>
  <c r="AJ21" i="6"/>
  <c r="AK21" i="6"/>
  <c r="AL21" i="6"/>
  <c r="N22" i="6"/>
  <c r="AI22" i="6"/>
  <c r="AJ22" i="6"/>
  <c r="AK22" i="6"/>
  <c r="AL22" i="6"/>
  <c r="D23" i="6"/>
  <c r="L23" i="6"/>
  <c r="M23" i="6"/>
  <c r="N23" i="6"/>
  <c r="P23" i="6"/>
  <c r="Q23" i="6"/>
  <c r="R23" i="6"/>
  <c r="T23" i="6"/>
  <c r="U23" i="6"/>
  <c r="V23" i="6"/>
  <c r="X23" i="6"/>
  <c r="Y23" i="6"/>
  <c r="Z23" i="6"/>
  <c r="AB23" i="6"/>
  <c r="AC23" i="6"/>
  <c r="AD23" i="6"/>
  <c r="AI23" i="6"/>
  <c r="AJ23" i="6"/>
  <c r="AK23" i="6"/>
  <c r="AL23" i="6"/>
  <c r="D24" i="6"/>
  <c r="L24" i="6"/>
  <c r="M24" i="6"/>
  <c r="N24" i="6"/>
  <c r="P24" i="6"/>
  <c r="Q24" i="6"/>
  <c r="R24" i="6"/>
  <c r="T24" i="6"/>
  <c r="U24" i="6"/>
  <c r="V24" i="6"/>
  <c r="X24" i="6"/>
  <c r="Y24" i="6"/>
  <c r="Z24" i="6"/>
  <c r="AB24" i="6"/>
  <c r="AC24" i="6"/>
  <c r="AD24" i="6"/>
  <c r="AK24" i="6"/>
  <c r="AL24" i="6"/>
  <c r="D25" i="6"/>
  <c r="L25" i="6"/>
  <c r="M25" i="6"/>
  <c r="N25" i="6"/>
  <c r="P25" i="6"/>
  <c r="Q25" i="6"/>
  <c r="R25" i="6"/>
  <c r="T25" i="6"/>
  <c r="U25" i="6"/>
  <c r="V25" i="6"/>
  <c r="X25" i="6"/>
  <c r="Y25" i="6"/>
  <c r="Z25" i="6"/>
  <c r="AB25" i="6"/>
  <c r="AC25" i="6"/>
  <c r="AD25" i="6"/>
  <c r="AI25" i="6"/>
  <c r="AJ25" i="6"/>
  <c r="AK25" i="6"/>
  <c r="AL25" i="6"/>
  <c r="D26" i="6"/>
  <c r="L26" i="6"/>
  <c r="M26" i="6"/>
  <c r="N26" i="6"/>
  <c r="P26" i="6"/>
  <c r="Q26" i="6"/>
  <c r="R26" i="6"/>
  <c r="T26" i="6"/>
  <c r="U26" i="6"/>
  <c r="V26" i="6"/>
  <c r="X26" i="6"/>
  <c r="Y26" i="6"/>
  <c r="Z26" i="6"/>
  <c r="AB26" i="6"/>
  <c r="AC26" i="6"/>
  <c r="AD26" i="6"/>
  <c r="AI26" i="6"/>
  <c r="AJ26" i="6"/>
  <c r="AK26" i="6"/>
  <c r="AL26" i="6"/>
  <c r="AI27" i="6"/>
  <c r="AK27" i="6"/>
  <c r="AL27" i="6"/>
  <c r="D28" i="6"/>
  <c r="L28" i="6"/>
  <c r="M28" i="6"/>
  <c r="N28" i="6"/>
  <c r="P28" i="6"/>
  <c r="Q28" i="6"/>
  <c r="R28" i="6"/>
  <c r="T28" i="6"/>
  <c r="U28" i="6"/>
  <c r="V28" i="6"/>
  <c r="X28" i="6"/>
  <c r="Y28" i="6"/>
  <c r="Z28" i="6"/>
  <c r="AB28" i="6"/>
  <c r="AC28" i="6"/>
  <c r="AD28" i="6"/>
  <c r="AI28" i="6"/>
  <c r="AJ28" i="6"/>
  <c r="AK28" i="6"/>
  <c r="AL28" i="6"/>
  <c r="D29" i="6"/>
  <c r="L29" i="6"/>
  <c r="M29" i="6"/>
  <c r="N29" i="6"/>
  <c r="P29" i="6"/>
  <c r="Q29" i="6"/>
  <c r="R29" i="6"/>
  <c r="T29" i="6"/>
  <c r="U29" i="6"/>
  <c r="V29" i="6"/>
  <c r="X29" i="6"/>
  <c r="Y29" i="6"/>
  <c r="Z29" i="6"/>
  <c r="AB29" i="6"/>
  <c r="AC29" i="6"/>
  <c r="AD29" i="6"/>
  <c r="AI29" i="6"/>
  <c r="AJ29" i="6"/>
  <c r="AK29" i="6"/>
  <c r="AL29" i="6"/>
  <c r="D30" i="6"/>
  <c r="L30" i="6"/>
  <c r="M30" i="6"/>
  <c r="N30" i="6"/>
  <c r="P30" i="6"/>
  <c r="Q30" i="6"/>
  <c r="R30" i="6"/>
  <c r="T30" i="6"/>
  <c r="U30" i="6"/>
  <c r="V30" i="6"/>
  <c r="X30" i="6"/>
  <c r="Y30" i="6"/>
  <c r="Z30" i="6"/>
  <c r="AB30" i="6"/>
  <c r="AC30" i="6"/>
  <c r="AD30" i="6"/>
  <c r="AI30" i="6"/>
  <c r="AJ30" i="6"/>
  <c r="AK30" i="6"/>
  <c r="AL30" i="6"/>
  <c r="D31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AD31" i="6"/>
  <c r="AI31" i="6"/>
  <c r="AK31" i="6"/>
  <c r="AL31" i="6"/>
  <c r="D32" i="6"/>
  <c r="L32" i="6"/>
  <c r="N32" i="6"/>
  <c r="P32" i="6"/>
  <c r="Q32" i="6"/>
  <c r="R32" i="6"/>
  <c r="T32" i="6"/>
  <c r="U32" i="6"/>
  <c r="V32" i="6"/>
  <c r="X32" i="6"/>
  <c r="Y32" i="6"/>
  <c r="Z32" i="6"/>
  <c r="AB32" i="6"/>
  <c r="AC32" i="6"/>
  <c r="AD32" i="6"/>
  <c r="AI32" i="6"/>
  <c r="AJ32" i="6"/>
  <c r="AK32" i="6"/>
  <c r="AL32" i="6"/>
  <c r="D33" i="6"/>
  <c r="L33" i="6"/>
  <c r="N33" i="6"/>
  <c r="P33" i="6"/>
  <c r="Q33" i="6"/>
  <c r="R33" i="6"/>
  <c r="T33" i="6"/>
  <c r="U33" i="6"/>
  <c r="V33" i="6"/>
  <c r="X33" i="6"/>
  <c r="Y33" i="6"/>
  <c r="Z33" i="6"/>
  <c r="AB33" i="6"/>
  <c r="AC33" i="6"/>
  <c r="AD33" i="6"/>
  <c r="AI33" i="6"/>
  <c r="AK33" i="6"/>
  <c r="AL33" i="6"/>
  <c r="D34" i="6"/>
  <c r="L34" i="6"/>
  <c r="M34" i="6"/>
  <c r="N34" i="6"/>
  <c r="P34" i="6"/>
  <c r="Q34" i="6"/>
  <c r="R34" i="6"/>
  <c r="T34" i="6"/>
  <c r="U34" i="6"/>
  <c r="V34" i="6"/>
  <c r="X34" i="6"/>
  <c r="Y34" i="6"/>
  <c r="Z34" i="6"/>
  <c r="AB34" i="6"/>
  <c r="AC34" i="6"/>
  <c r="AD34" i="6"/>
  <c r="AI34" i="6"/>
  <c r="AJ34" i="6"/>
  <c r="AK34" i="6"/>
  <c r="AL34" i="6"/>
  <c r="D35" i="6"/>
  <c r="L35" i="6"/>
  <c r="M35" i="6"/>
  <c r="N35" i="6"/>
  <c r="P35" i="6"/>
  <c r="Q35" i="6"/>
  <c r="R35" i="6"/>
  <c r="T35" i="6"/>
  <c r="U35" i="6"/>
  <c r="V35" i="6"/>
  <c r="X35" i="6"/>
  <c r="Y35" i="6"/>
  <c r="Z35" i="6"/>
  <c r="AB35" i="6"/>
  <c r="AC35" i="6"/>
  <c r="AD35" i="6"/>
  <c r="AI35" i="6"/>
  <c r="AJ35" i="6"/>
  <c r="AK35" i="6"/>
  <c r="AL35" i="6"/>
  <c r="AI36" i="6"/>
  <c r="AJ36" i="6"/>
  <c r="AK36" i="6"/>
  <c r="AL36" i="6"/>
  <c r="P37" i="6"/>
  <c r="Q37" i="6"/>
  <c r="R37" i="6"/>
  <c r="T37" i="6"/>
  <c r="U37" i="6"/>
  <c r="V37" i="6"/>
  <c r="X37" i="6"/>
  <c r="Y37" i="6"/>
  <c r="Z37" i="6"/>
  <c r="AB37" i="6"/>
  <c r="AC37" i="6"/>
  <c r="AD37" i="6"/>
  <c r="AI37" i="6"/>
  <c r="AJ37" i="6"/>
  <c r="AK37" i="6"/>
  <c r="AL37" i="6"/>
  <c r="P38" i="6"/>
  <c r="Q38" i="6"/>
  <c r="R38" i="6"/>
  <c r="T38" i="6"/>
  <c r="U38" i="6"/>
  <c r="V38" i="6"/>
  <c r="X38" i="6"/>
  <c r="Y38" i="6"/>
  <c r="Z38" i="6"/>
  <c r="AB38" i="6"/>
  <c r="AC38" i="6"/>
  <c r="AD38" i="6"/>
  <c r="AI38" i="6"/>
  <c r="AJ38" i="6"/>
  <c r="AK38" i="6"/>
  <c r="AL38" i="6"/>
  <c r="AI39" i="6"/>
  <c r="AJ39" i="6"/>
  <c r="AK39" i="6"/>
  <c r="AL39" i="6"/>
  <c r="D40" i="6"/>
  <c r="L40" i="6"/>
  <c r="M40" i="6"/>
  <c r="N40" i="6"/>
  <c r="P40" i="6"/>
  <c r="Q40" i="6"/>
  <c r="R40" i="6"/>
  <c r="T40" i="6"/>
  <c r="U40" i="6"/>
  <c r="V40" i="6"/>
  <c r="X40" i="6"/>
  <c r="Y40" i="6"/>
  <c r="Z40" i="6"/>
  <c r="AB40" i="6"/>
  <c r="AC40" i="6"/>
  <c r="AD40" i="6"/>
  <c r="AI40" i="6"/>
  <c r="AK40" i="6"/>
  <c r="AL40" i="6"/>
  <c r="D41" i="6"/>
  <c r="L41" i="6"/>
  <c r="M41" i="6"/>
  <c r="N41" i="6"/>
  <c r="P41" i="6"/>
  <c r="Q41" i="6"/>
  <c r="R41" i="6"/>
  <c r="T41" i="6"/>
  <c r="U41" i="6"/>
  <c r="V41" i="6"/>
  <c r="X41" i="6"/>
  <c r="Y41" i="6"/>
  <c r="Z41" i="6"/>
  <c r="AB41" i="6"/>
  <c r="AC41" i="6"/>
  <c r="AD41" i="6"/>
  <c r="AI41" i="6"/>
  <c r="AJ41" i="6"/>
  <c r="AK41" i="6"/>
  <c r="AL41" i="6"/>
  <c r="AI42" i="6"/>
  <c r="AJ42" i="6"/>
  <c r="AK42" i="6"/>
  <c r="AL42" i="6"/>
  <c r="D43" i="6"/>
  <c r="L43" i="6"/>
  <c r="M43" i="6"/>
  <c r="N43" i="6"/>
  <c r="P43" i="6"/>
  <c r="Q43" i="6"/>
  <c r="R43" i="6"/>
  <c r="T43" i="6"/>
  <c r="U43" i="6"/>
  <c r="V43" i="6"/>
  <c r="X43" i="6"/>
  <c r="Y43" i="6"/>
  <c r="Z43" i="6"/>
  <c r="AB43" i="6"/>
  <c r="AC43" i="6"/>
  <c r="AD43" i="6"/>
  <c r="AI43" i="6"/>
  <c r="AJ43" i="6"/>
  <c r="AK43" i="6"/>
  <c r="AL43" i="6"/>
  <c r="D44" i="6"/>
  <c r="L44" i="6"/>
  <c r="M44" i="6"/>
  <c r="N44" i="6"/>
  <c r="P44" i="6"/>
  <c r="Q44" i="6"/>
  <c r="R44" i="6"/>
  <c r="T44" i="6"/>
  <c r="U44" i="6"/>
  <c r="V44" i="6"/>
  <c r="X44" i="6"/>
  <c r="Y44" i="6"/>
  <c r="Z44" i="6"/>
  <c r="AB44" i="6"/>
  <c r="AC44" i="6"/>
  <c r="AD44" i="6"/>
  <c r="AI44" i="6"/>
  <c r="AJ44" i="6"/>
  <c r="AK44" i="6"/>
  <c r="AL44" i="6"/>
  <c r="D45" i="6"/>
  <c r="L45" i="6"/>
  <c r="M45" i="6"/>
  <c r="N45" i="6"/>
  <c r="P45" i="6"/>
  <c r="Q45" i="6"/>
  <c r="R45" i="6"/>
  <c r="T45" i="6"/>
  <c r="U45" i="6"/>
  <c r="V45" i="6"/>
  <c r="X45" i="6"/>
  <c r="Y45" i="6"/>
  <c r="Z45" i="6"/>
  <c r="AB45" i="6"/>
  <c r="AC45" i="6"/>
  <c r="AD45" i="6"/>
  <c r="AI45" i="6"/>
  <c r="AJ45" i="6"/>
  <c r="AK45" i="6"/>
  <c r="AL45" i="6"/>
  <c r="AI46" i="6"/>
  <c r="AJ46" i="6"/>
  <c r="AK46" i="6"/>
  <c r="AL46" i="6"/>
  <c r="D47" i="6"/>
  <c r="L47" i="6"/>
  <c r="N47" i="6"/>
  <c r="P47" i="6"/>
  <c r="Q47" i="6"/>
  <c r="R47" i="6"/>
  <c r="T47" i="6"/>
  <c r="U47" i="6"/>
  <c r="V47" i="6"/>
  <c r="X47" i="6"/>
  <c r="Y47" i="6"/>
  <c r="Z47" i="6"/>
  <c r="AB47" i="6"/>
  <c r="AC47" i="6"/>
  <c r="AD47" i="6"/>
  <c r="AI47" i="6"/>
  <c r="AJ47" i="6"/>
  <c r="AK47" i="6"/>
  <c r="AL47" i="6"/>
  <c r="D48" i="6"/>
  <c r="L48" i="6"/>
  <c r="M48" i="6"/>
  <c r="N48" i="6"/>
  <c r="P48" i="6"/>
  <c r="Q48" i="6"/>
  <c r="R48" i="6"/>
  <c r="T48" i="6"/>
  <c r="U48" i="6"/>
  <c r="V48" i="6"/>
  <c r="X48" i="6"/>
  <c r="Y48" i="6"/>
  <c r="Z48" i="6"/>
  <c r="AB48" i="6"/>
  <c r="AC48" i="6"/>
  <c r="AD48" i="6"/>
  <c r="AI48" i="6"/>
  <c r="AJ48" i="6"/>
  <c r="AK48" i="6"/>
  <c r="AL48" i="6"/>
  <c r="L49" i="6"/>
  <c r="D50" i="6"/>
  <c r="L50" i="6"/>
  <c r="M50" i="6"/>
  <c r="N50" i="6"/>
  <c r="P50" i="6"/>
  <c r="Q50" i="6"/>
  <c r="R50" i="6"/>
  <c r="T50" i="6"/>
  <c r="U50" i="6"/>
  <c r="V50" i="6"/>
  <c r="X50" i="6"/>
  <c r="Y50" i="6"/>
  <c r="Z50" i="6"/>
  <c r="AB50" i="6"/>
  <c r="AC50" i="6"/>
  <c r="AD50" i="6"/>
  <c r="AI50" i="6"/>
  <c r="AJ50" i="6"/>
  <c r="AK50" i="6"/>
  <c r="AL50" i="6"/>
  <c r="D51" i="6"/>
  <c r="L51" i="6"/>
  <c r="M51" i="6"/>
  <c r="N51" i="6"/>
  <c r="P51" i="6"/>
  <c r="Q51" i="6"/>
  <c r="R51" i="6"/>
  <c r="T51" i="6"/>
  <c r="U51" i="6"/>
  <c r="V51" i="6"/>
  <c r="X51" i="6"/>
  <c r="Y51" i="6"/>
  <c r="Z51" i="6"/>
  <c r="AB51" i="6"/>
  <c r="AC51" i="6"/>
  <c r="AD51" i="6"/>
  <c r="AI51" i="6"/>
  <c r="AJ51" i="6"/>
  <c r="AK51" i="6"/>
  <c r="AL51" i="6"/>
  <c r="D52" i="6"/>
  <c r="L52" i="6"/>
  <c r="M52" i="6"/>
  <c r="N52" i="6"/>
  <c r="P52" i="6"/>
  <c r="Q52" i="6"/>
  <c r="R52" i="6"/>
  <c r="T52" i="6"/>
  <c r="U52" i="6"/>
  <c r="V52" i="6"/>
  <c r="X52" i="6"/>
  <c r="Y52" i="6"/>
  <c r="Z52" i="6"/>
  <c r="AB52" i="6"/>
  <c r="AC52" i="6"/>
  <c r="AD52" i="6"/>
  <c r="AI52" i="6"/>
  <c r="AJ52" i="6"/>
  <c r="AK52" i="6"/>
  <c r="AL52" i="6"/>
  <c r="AI53" i="6"/>
  <c r="AJ53" i="6"/>
  <c r="AK53" i="6"/>
  <c r="AL53" i="6"/>
  <c r="D54" i="6"/>
  <c r="L54" i="6"/>
  <c r="M54" i="6"/>
  <c r="N54" i="6"/>
  <c r="P54" i="6"/>
  <c r="Q54" i="6"/>
  <c r="R54" i="6"/>
  <c r="T54" i="6"/>
  <c r="U54" i="6"/>
  <c r="V54" i="6"/>
  <c r="X54" i="6"/>
  <c r="Y54" i="6"/>
  <c r="Z54" i="6"/>
  <c r="AB54" i="6"/>
  <c r="AC54" i="6"/>
  <c r="AD54" i="6"/>
  <c r="AI54" i="6"/>
  <c r="AJ54" i="6"/>
  <c r="AK54" i="6"/>
  <c r="AL54" i="6"/>
  <c r="D55" i="6"/>
  <c r="L55" i="6"/>
  <c r="M55" i="6"/>
  <c r="N55" i="6"/>
  <c r="P55" i="6"/>
  <c r="Q55" i="6"/>
  <c r="R55" i="6"/>
  <c r="T55" i="6"/>
  <c r="U55" i="6"/>
  <c r="V55" i="6"/>
  <c r="X55" i="6"/>
  <c r="Y55" i="6"/>
  <c r="Z55" i="6"/>
  <c r="AB55" i="6"/>
  <c r="AC55" i="6"/>
  <c r="AD55" i="6"/>
  <c r="D56" i="6"/>
  <c r="L56" i="6"/>
  <c r="M56" i="6"/>
  <c r="N56" i="6"/>
  <c r="P56" i="6"/>
  <c r="Q56" i="6"/>
  <c r="R56" i="6"/>
  <c r="T56" i="6"/>
  <c r="V56" i="6"/>
  <c r="X56" i="6"/>
  <c r="Y56" i="6"/>
  <c r="Z56" i="6"/>
  <c r="AB56" i="6"/>
  <c r="AC56" i="6"/>
  <c r="AD56" i="6"/>
  <c r="AJ56" i="6"/>
  <c r="AJ57" i="6"/>
  <c r="D58" i="6"/>
  <c r="L58" i="6"/>
  <c r="M58" i="6"/>
  <c r="N58" i="6"/>
  <c r="P58" i="6"/>
  <c r="Q58" i="6"/>
  <c r="R58" i="6"/>
  <c r="T58" i="6"/>
  <c r="U58" i="6"/>
  <c r="V58" i="6"/>
  <c r="X58" i="6"/>
  <c r="Y58" i="6"/>
  <c r="Z58" i="6"/>
  <c r="AB58" i="6"/>
  <c r="AC58" i="6"/>
  <c r="AD58" i="6"/>
  <c r="AJ58" i="6"/>
  <c r="D59" i="6"/>
  <c r="L59" i="6"/>
  <c r="M59" i="6"/>
  <c r="N59" i="6"/>
  <c r="P59" i="6"/>
  <c r="Q59" i="6"/>
  <c r="R59" i="6"/>
  <c r="T59" i="6"/>
  <c r="U59" i="6"/>
  <c r="V59" i="6"/>
  <c r="X59" i="6"/>
  <c r="Y59" i="6"/>
  <c r="Z59" i="6"/>
  <c r="AB59" i="6"/>
  <c r="AC59" i="6"/>
  <c r="AD59" i="6"/>
  <c r="D60" i="6"/>
  <c r="L60" i="6"/>
  <c r="M60" i="6"/>
  <c r="N60" i="6"/>
  <c r="P60" i="6"/>
  <c r="Q60" i="6"/>
  <c r="R60" i="6"/>
  <c r="T60" i="6"/>
  <c r="U60" i="6"/>
  <c r="V60" i="6"/>
  <c r="X60" i="6"/>
  <c r="Y60" i="6"/>
  <c r="Z60" i="6"/>
  <c r="AB60" i="6"/>
  <c r="AC60" i="6"/>
  <c r="AD60" i="6"/>
  <c r="AJ60" i="6"/>
  <c r="AK60" i="6"/>
  <c r="AL60" i="6"/>
  <c r="AN60" i="6"/>
  <c r="D61" i="6"/>
  <c r="AJ61" i="6"/>
  <c r="AL61" i="6"/>
  <c r="AN61" i="6"/>
  <c r="D62" i="6"/>
  <c r="L62" i="6"/>
  <c r="M62" i="6"/>
  <c r="N62" i="6"/>
  <c r="P62" i="6"/>
  <c r="Q62" i="6"/>
  <c r="R62" i="6"/>
  <c r="T62" i="6"/>
  <c r="U62" i="6"/>
  <c r="V62" i="6"/>
  <c r="X62" i="6"/>
  <c r="Y62" i="6"/>
  <c r="Z62" i="6"/>
  <c r="AB62" i="6"/>
  <c r="AC62" i="6"/>
  <c r="AD62" i="6"/>
  <c r="AJ62" i="6"/>
  <c r="AL62" i="6"/>
  <c r="AM62" i="6"/>
  <c r="AN62" i="6"/>
  <c r="D63" i="6"/>
  <c r="L63" i="6"/>
  <c r="M63" i="6"/>
  <c r="N63" i="6"/>
  <c r="P63" i="6"/>
  <c r="Q63" i="6"/>
  <c r="R63" i="6"/>
  <c r="T63" i="6"/>
  <c r="U63" i="6"/>
  <c r="V63" i="6"/>
  <c r="X63" i="6"/>
  <c r="Y63" i="6"/>
  <c r="Z63" i="6"/>
  <c r="AB63" i="6"/>
  <c r="AC63" i="6"/>
  <c r="AD63" i="6"/>
  <c r="AJ63" i="6"/>
  <c r="AK63" i="6"/>
  <c r="D64" i="6"/>
  <c r="L64" i="6"/>
  <c r="M64" i="6"/>
  <c r="N64" i="6"/>
  <c r="P64" i="6"/>
  <c r="Q64" i="6"/>
  <c r="R64" i="6"/>
  <c r="T64" i="6"/>
  <c r="U64" i="6"/>
  <c r="V64" i="6"/>
  <c r="X64" i="6"/>
  <c r="Y64" i="6"/>
  <c r="Z64" i="6"/>
  <c r="AB64" i="6"/>
  <c r="AC64" i="6"/>
  <c r="AD64" i="6"/>
  <c r="AJ64" i="6"/>
  <c r="AK64" i="6"/>
  <c r="N65" i="6"/>
  <c r="D66" i="6"/>
  <c r="L66" i="6"/>
  <c r="M66" i="6"/>
  <c r="N66" i="6"/>
  <c r="P66" i="6"/>
  <c r="Q66" i="6"/>
  <c r="R66" i="6"/>
  <c r="T66" i="6"/>
  <c r="U66" i="6"/>
  <c r="V66" i="6"/>
  <c r="X66" i="6"/>
  <c r="Y66" i="6"/>
  <c r="Z66" i="6"/>
  <c r="AB66" i="6"/>
  <c r="AC66" i="6"/>
  <c r="AD66" i="6"/>
  <c r="AJ66" i="6"/>
  <c r="D67" i="6"/>
  <c r="L67" i="6"/>
  <c r="M67" i="6"/>
  <c r="N67" i="6"/>
  <c r="P67" i="6"/>
  <c r="Q67" i="6"/>
  <c r="R67" i="6"/>
  <c r="T67" i="6"/>
  <c r="U67" i="6"/>
  <c r="V67" i="6"/>
  <c r="X67" i="6"/>
  <c r="Y67" i="6"/>
  <c r="Z67" i="6"/>
  <c r="AB67" i="6"/>
  <c r="AC67" i="6"/>
  <c r="AD67" i="6"/>
  <c r="D68" i="6"/>
  <c r="L68" i="6"/>
  <c r="M68" i="6"/>
  <c r="N68" i="6"/>
  <c r="P68" i="6"/>
  <c r="Q68" i="6"/>
  <c r="R68" i="6"/>
  <c r="T68" i="6"/>
  <c r="U68" i="6"/>
  <c r="V68" i="6"/>
  <c r="X68" i="6"/>
  <c r="Y68" i="6"/>
  <c r="Z68" i="6"/>
  <c r="AB68" i="6"/>
  <c r="AC68" i="6"/>
  <c r="AD68" i="6"/>
  <c r="AJ68" i="6"/>
  <c r="D69" i="6"/>
  <c r="L69" i="6"/>
  <c r="M69" i="6"/>
  <c r="N69" i="6"/>
  <c r="P69" i="6"/>
  <c r="Q69" i="6"/>
  <c r="R69" i="6"/>
  <c r="T69" i="6"/>
  <c r="U69" i="6"/>
  <c r="V69" i="6"/>
  <c r="X69" i="6"/>
  <c r="Y69" i="6"/>
  <c r="Z69" i="6"/>
  <c r="AB69" i="6"/>
  <c r="AC69" i="6"/>
  <c r="AD69" i="6"/>
  <c r="AJ69" i="6"/>
  <c r="AL69" i="6"/>
  <c r="D70" i="6"/>
  <c r="L70" i="6"/>
  <c r="M70" i="6"/>
  <c r="N70" i="6"/>
  <c r="P70" i="6"/>
  <c r="Q70" i="6"/>
  <c r="R70" i="6"/>
  <c r="T70" i="6"/>
  <c r="U70" i="6"/>
  <c r="V70" i="6"/>
  <c r="X70" i="6"/>
  <c r="Y70" i="6"/>
  <c r="Z70" i="6"/>
  <c r="AB70" i="6"/>
  <c r="AC70" i="6"/>
  <c r="AD70" i="6"/>
  <c r="AJ70" i="6"/>
  <c r="AL70" i="6"/>
  <c r="D71" i="6"/>
  <c r="L71" i="6"/>
  <c r="M71" i="6"/>
  <c r="N71" i="6"/>
  <c r="P71" i="6"/>
  <c r="Q71" i="6"/>
  <c r="R71" i="6"/>
  <c r="T71" i="6"/>
  <c r="U71" i="6"/>
  <c r="V71" i="6"/>
  <c r="X71" i="6"/>
  <c r="Y71" i="6"/>
  <c r="Z71" i="6"/>
  <c r="AB71" i="6"/>
  <c r="AC71" i="6"/>
  <c r="AD71" i="6"/>
  <c r="AJ71" i="6"/>
  <c r="D72" i="6"/>
  <c r="L72" i="6"/>
  <c r="M72" i="6"/>
  <c r="N72" i="6"/>
  <c r="P72" i="6"/>
  <c r="Q72" i="6"/>
  <c r="R72" i="6"/>
  <c r="T72" i="6"/>
  <c r="U72" i="6"/>
  <c r="V72" i="6"/>
  <c r="X72" i="6"/>
  <c r="Y72" i="6"/>
  <c r="Z72" i="6"/>
  <c r="AB72" i="6"/>
  <c r="AC72" i="6"/>
  <c r="AD72" i="6"/>
  <c r="AJ72" i="6"/>
  <c r="D73" i="6"/>
  <c r="L73" i="6"/>
  <c r="M73" i="6"/>
  <c r="N73" i="6"/>
  <c r="P73" i="6"/>
  <c r="Q73" i="6"/>
  <c r="R73" i="6"/>
  <c r="T73" i="6"/>
  <c r="U73" i="6"/>
  <c r="V73" i="6"/>
  <c r="X73" i="6"/>
  <c r="Y73" i="6"/>
  <c r="Z73" i="6"/>
  <c r="AB73" i="6"/>
  <c r="AC73" i="6"/>
  <c r="AD73" i="6"/>
  <c r="AJ73" i="6"/>
  <c r="D74" i="6"/>
  <c r="L74" i="6"/>
  <c r="N74" i="6"/>
  <c r="P74" i="6"/>
  <c r="Q74" i="6"/>
  <c r="R74" i="6"/>
  <c r="T74" i="6"/>
  <c r="U74" i="6"/>
  <c r="V74" i="6"/>
  <c r="X74" i="6"/>
  <c r="Y74" i="6"/>
  <c r="Z74" i="6"/>
  <c r="AB74" i="6"/>
  <c r="AC74" i="6"/>
  <c r="AD74" i="6"/>
  <c r="D75" i="6"/>
  <c r="L75" i="6"/>
  <c r="N75" i="6"/>
  <c r="P75" i="6"/>
  <c r="Q75" i="6"/>
  <c r="R75" i="6"/>
  <c r="T75" i="6"/>
  <c r="U75" i="6"/>
  <c r="V75" i="6"/>
  <c r="X75" i="6"/>
  <c r="Y75" i="6"/>
  <c r="Z75" i="6"/>
  <c r="AB75" i="6"/>
  <c r="AC75" i="6"/>
  <c r="AD75" i="6"/>
  <c r="AJ75" i="6"/>
  <c r="AL75" i="6"/>
  <c r="AO75" i="6"/>
  <c r="D76" i="6"/>
  <c r="L76" i="6"/>
  <c r="N76" i="6"/>
  <c r="P76" i="6"/>
  <c r="Q76" i="6"/>
  <c r="R76" i="6"/>
  <c r="T76" i="6"/>
  <c r="U76" i="6"/>
  <c r="V76" i="6"/>
  <c r="X76" i="6"/>
  <c r="Y76" i="6"/>
  <c r="Z76" i="6"/>
  <c r="AB76" i="6"/>
  <c r="AC76" i="6"/>
  <c r="AD76" i="6"/>
  <c r="AJ76" i="6"/>
  <c r="AL76" i="6"/>
  <c r="D77" i="6"/>
  <c r="L77" i="6"/>
  <c r="M77" i="6"/>
  <c r="N77" i="6"/>
  <c r="P77" i="6"/>
  <c r="Q77" i="6"/>
  <c r="R77" i="6"/>
  <c r="T77" i="6"/>
  <c r="U77" i="6"/>
  <c r="V77" i="6"/>
  <c r="X77" i="6"/>
  <c r="Y77" i="6"/>
  <c r="Z77" i="6"/>
  <c r="AB77" i="6"/>
  <c r="AC77" i="6"/>
  <c r="AD77" i="6"/>
  <c r="AJ77" i="6"/>
  <c r="D78" i="6"/>
  <c r="L78" i="6"/>
  <c r="M78" i="6"/>
  <c r="N78" i="6"/>
  <c r="P78" i="6"/>
  <c r="R78" i="6"/>
  <c r="T78" i="6"/>
  <c r="U78" i="6"/>
  <c r="V78" i="6"/>
  <c r="X78" i="6"/>
  <c r="Y78" i="6"/>
  <c r="Z78" i="6"/>
  <c r="AB78" i="6"/>
  <c r="AC78" i="6"/>
  <c r="AD78" i="6"/>
  <c r="AJ78" i="6"/>
  <c r="D79" i="6"/>
  <c r="L79" i="6"/>
  <c r="M79" i="6"/>
  <c r="N79" i="6"/>
  <c r="P79" i="6"/>
  <c r="R79" i="6"/>
  <c r="T79" i="6"/>
  <c r="V79" i="6"/>
  <c r="X79" i="6"/>
  <c r="Z79" i="6"/>
  <c r="AB79" i="6"/>
  <c r="AC79" i="6"/>
  <c r="AD79" i="6"/>
  <c r="AJ79" i="6"/>
  <c r="N80" i="6"/>
  <c r="D81" i="6"/>
  <c r="L81" i="6"/>
  <c r="M81" i="6"/>
  <c r="N81" i="6"/>
  <c r="P81" i="6"/>
  <c r="Q81" i="6"/>
  <c r="R81" i="6"/>
  <c r="T81" i="6"/>
  <c r="U81" i="6"/>
  <c r="V81" i="6"/>
  <c r="X81" i="6"/>
  <c r="Y81" i="6"/>
  <c r="Z81" i="6"/>
  <c r="AB81" i="6"/>
  <c r="AC81" i="6"/>
  <c r="AD81" i="6"/>
  <c r="D82" i="6"/>
  <c r="L82" i="6"/>
  <c r="M82" i="6"/>
  <c r="N82" i="6"/>
  <c r="P82" i="6"/>
  <c r="Q82" i="6"/>
  <c r="R82" i="6"/>
  <c r="T82" i="6"/>
  <c r="U82" i="6"/>
  <c r="V82" i="6"/>
  <c r="X82" i="6"/>
  <c r="Y82" i="6"/>
  <c r="Z82" i="6"/>
  <c r="AB82" i="6"/>
  <c r="AC82" i="6"/>
  <c r="AD82" i="6"/>
  <c r="AJ82" i="6"/>
  <c r="D83" i="6"/>
  <c r="L83" i="6"/>
  <c r="M83" i="6"/>
  <c r="N83" i="6"/>
  <c r="P83" i="6"/>
  <c r="Q83" i="6"/>
  <c r="R83" i="6"/>
  <c r="T83" i="6"/>
  <c r="U83" i="6"/>
  <c r="V83" i="6"/>
  <c r="X83" i="6"/>
  <c r="Y83" i="6"/>
  <c r="Z83" i="6"/>
  <c r="AB83" i="6"/>
  <c r="AC83" i="6"/>
  <c r="AD83" i="6"/>
  <c r="AJ83" i="6"/>
  <c r="D84" i="6"/>
  <c r="L84" i="6"/>
  <c r="M84" i="6"/>
  <c r="N84" i="6"/>
  <c r="P84" i="6"/>
  <c r="Q84" i="6"/>
  <c r="R84" i="6"/>
  <c r="T84" i="6"/>
  <c r="U84" i="6"/>
  <c r="V84" i="6"/>
  <c r="X84" i="6"/>
  <c r="Y84" i="6"/>
  <c r="Z84" i="6"/>
  <c r="AB84" i="6"/>
  <c r="AC84" i="6"/>
  <c r="AD84" i="6"/>
  <c r="AJ84" i="6"/>
  <c r="D85" i="6"/>
  <c r="L85" i="6"/>
  <c r="M85" i="6"/>
  <c r="N85" i="6"/>
  <c r="P85" i="6"/>
  <c r="Q85" i="6"/>
  <c r="R85" i="6"/>
  <c r="T85" i="6"/>
  <c r="U85" i="6"/>
  <c r="V85" i="6"/>
  <c r="X85" i="6"/>
  <c r="Y85" i="6"/>
  <c r="Z85" i="6"/>
  <c r="AB85" i="6"/>
  <c r="AC85" i="6"/>
  <c r="AD85" i="6"/>
  <c r="AJ85" i="6"/>
  <c r="D86" i="6"/>
  <c r="L86" i="6"/>
  <c r="M86" i="6"/>
  <c r="N86" i="6"/>
  <c r="P86" i="6"/>
  <c r="Q86" i="6"/>
  <c r="R86" i="6"/>
  <c r="T86" i="6"/>
  <c r="U86" i="6"/>
  <c r="V86" i="6"/>
  <c r="X86" i="6"/>
  <c r="Y86" i="6"/>
  <c r="Z86" i="6"/>
  <c r="AB86" i="6"/>
  <c r="AC86" i="6"/>
  <c r="AD86" i="6"/>
  <c r="AJ86" i="6"/>
  <c r="D87" i="6"/>
  <c r="L87" i="6"/>
  <c r="M87" i="6"/>
  <c r="N87" i="6"/>
  <c r="P87" i="6"/>
  <c r="Q87" i="6"/>
  <c r="R87" i="6"/>
  <c r="T87" i="6"/>
  <c r="U87" i="6"/>
  <c r="V87" i="6"/>
  <c r="X87" i="6"/>
  <c r="Y87" i="6"/>
  <c r="Z87" i="6"/>
  <c r="AB87" i="6"/>
  <c r="AC87" i="6"/>
  <c r="AD87" i="6"/>
  <c r="AJ87" i="6"/>
  <c r="D88" i="6"/>
  <c r="L88" i="6"/>
  <c r="M88" i="6"/>
  <c r="N88" i="6"/>
  <c r="P88" i="6"/>
  <c r="Q88" i="6"/>
  <c r="R88" i="6"/>
  <c r="T88" i="6"/>
  <c r="U88" i="6"/>
  <c r="V88" i="6"/>
  <c r="X88" i="6"/>
  <c r="Y88" i="6"/>
  <c r="Z88" i="6"/>
  <c r="AB88" i="6"/>
  <c r="AC88" i="6"/>
  <c r="AD88" i="6"/>
  <c r="AJ88" i="6"/>
  <c r="L91" i="6"/>
  <c r="M91" i="6"/>
  <c r="P91" i="6"/>
  <c r="Q91" i="6"/>
  <c r="R91" i="6"/>
  <c r="T91" i="6"/>
  <c r="U91" i="6"/>
  <c r="V91" i="6"/>
  <c r="X91" i="6"/>
  <c r="Y91" i="6"/>
  <c r="Z91" i="6"/>
  <c r="AB91" i="6"/>
  <c r="AC91" i="6"/>
  <c r="AD91" i="6"/>
  <c r="L93" i="6"/>
  <c r="M93" i="6"/>
  <c r="P93" i="6"/>
  <c r="Q93" i="6"/>
  <c r="R93" i="6"/>
  <c r="T93" i="6"/>
  <c r="U93" i="6"/>
  <c r="V93" i="6"/>
  <c r="X93" i="6"/>
  <c r="Y93" i="6"/>
  <c r="Z93" i="6"/>
  <c r="AB93" i="6"/>
  <c r="AC93" i="6"/>
  <c r="AD93" i="6"/>
  <c r="L94" i="6"/>
  <c r="M94" i="6"/>
  <c r="P94" i="6"/>
  <c r="Q94" i="6"/>
  <c r="R94" i="6"/>
  <c r="T94" i="6"/>
  <c r="U94" i="6"/>
  <c r="V94" i="6"/>
  <c r="X94" i="6"/>
  <c r="Y94" i="6"/>
  <c r="Z94" i="6"/>
  <c r="AB94" i="6"/>
  <c r="AC94" i="6"/>
  <c r="AD94" i="6"/>
  <c r="L95" i="6"/>
  <c r="M95" i="6"/>
  <c r="P95" i="6"/>
  <c r="Q95" i="6"/>
  <c r="R95" i="6"/>
  <c r="T95" i="6"/>
  <c r="U95" i="6"/>
  <c r="V95" i="6"/>
  <c r="X95" i="6"/>
  <c r="Y95" i="6"/>
  <c r="Z95" i="6"/>
  <c r="AB95" i="6"/>
  <c r="AC95" i="6"/>
  <c r="AD95" i="6"/>
  <c r="L96" i="6"/>
  <c r="M96" i="6"/>
  <c r="P96" i="6"/>
  <c r="Q96" i="6"/>
  <c r="R96" i="6"/>
  <c r="T96" i="6"/>
  <c r="U96" i="6"/>
  <c r="V96" i="6"/>
  <c r="X96" i="6"/>
  <c r="Y96" i="6"/>
  <c r="Z96" i="6"/>
  <c r="AB96" i="6"/>
  <c r="AC96" i="6"/>
  <c r="AD96" i="6"/>
  <c r="L97" i="6"/>
  <c r="M97" i="6"/>
  <c r="P97" i="6"/>
  <c r="Q97" i="6"/>
  <c r="R97" i="6"/>
  <c r="T97" i="6"/>
  <c r="U97" i="6"/>
  <c r="V97" i="6"/>
  <c r="X97" i="6"/>
  <c r="Y97" i="6"/>
  <c r="Z97" i="6"/>
  <c r="AB97" i="6"/>
  <c r="AC97" i="6"/>
  <c r="AD97" i="6"/>
  <c r="L98" i="6"/>
  <c r="M98" i="6"/>
  <c r="P98" i="6"/>
  <c r="Q98" i="6"/>
  <c r="R98" i="6"/>
  <c r="T98" i="6"/>
  <c r="U98" i="6"/>
  <c r="V98" i="6"/>
  <c r="X98" i="6"/>
  <c r="Y98" i="6"/>
  <c r="Z98" i="6"/>
  <c r="AB98" i="6"/>
  <c r="AC98" i="6"/>
  <c r="AD98" i="6"/>
  <c r="L99" i="6"/>
  <c r="M99" i="6"/>
  <c r="P99" i="6"/>
  <c r="Q99" i="6"/>
  <c r="R99" i="6"/>
  <c r="T99" i="6"/>
  <c r="U99" i="6"/>
  <c r="V99" i="6"/>
  <c r="X99" i="6"/>
  <c r="Y99" i="6"/>
  <c r="Z99" i="6"/>
  <c r="AB99" i="6"/>
  <c r="AC99" i="6"/>
  <c r="AD99" i="6"/>
  <c r="L100" i="6"/>
  <c r="M100" i="6"/>
  <c r="P100" i="6"/>
  <c r="Q100" i="6"/>
  <c r="R100" i="6"/>
  <c r="T100" i="6"/>
  <c r="U100" i="6"/>
  <c r="V100" i="6"/>
  <c r="X100" i="6"/>
  <c r="Y100" i="6"/>
  <c r="Z100" i="6"/>
  <c r="AB100" i="6"/>
  <c r="AC100" i="6"/>
  <c r="AD100" i="6"/>
  <c r="L101" i="6"/>
  <c r="M101" i="6"/>
  <c r="P101" i="6"/>
  <c r="Q101" i="6"/>
  <c r="R101" i="6"/>
  <c r="T101" i="6"/>
  <c r="U101" i="6"/>
  <c r="V101" i="6"/>
  <c r="X101" i="6"/>
  <c r="Y101" i="6"/>
  <c r="Z101" i="6"/>
  <c r="AB101" i="6"/>
  <c r="AC101" i="6"/>
  <c r="AD101" i="6"/>
  <c r="L102" i="6"/>
  <c r="M102" i="6"/>
  <c r="P102" i="6"/>
  <c r="Q102" i="6"/>
  <c r="R102" i="6"/>
  <c r="T102" i="6"/>
  <c r="U102" i="6"/>
  <c r="V102" i="6"/>
  <c r="X102" i="6"/>
  <c r="Y102" i="6"/>
  <c r="Z102" i="6"/>
  <c r="AB102" i="6"/>
  <c r="AC102" i="6"/>
  <c r="AD102" i="6"/>
  <c r="L103" i="6"/>
  <c r="M103" i="6"/>
  <c r="P103" i="6"/>
  <c r="Q103" i="6"/>
  <c r="R103" i="6"/>
  <c r="T103" i="6"/>
  <c r="U103" i="6"/>
  <c r="V103" i="6"/>
  <c r="X103" i="6"/>
  <c r="Y103" i="6"/>
  <c r="Z103" i="6"/>
  <c r="AB103" i="6"/>
  <c r="AC103" i="6"/>
  <c r="AD103" i="6"/>
  <c r="U104" i="6"/>
  <c r="Y104" i="6"/>
  <c r="U105" i="6"/>
  <c r="Y105" i="6"/>
  <c r="L106" i="6"/>
  <c r="M106" i="6"/>
  <c r="P106" i="6"/>
  <c r="Q106" i="6"/>
  <c r="R106" i="6"/>
  <c r="T106" i="6"/>
  <c r="U106" i="6"/>
  <c r="V106" i="6"/>
  <c r="X106" i="6"/>
  <c r="Y106" i="6"/>
  <c r="Z106" i="6"/>
  <c r="AB106" i="6"/>
  <c r="AC106" i="6"/>
  <c r="AD106" i="6"/>
  <c r="L107" i="6"/>
  <c r="M107" i="6"/>
  <c r="P107" i="6"/>
  <c r="Q107" i="6"/>
  <c r="R107" i="6"/>
  <c r="T107" i="6"/>
  <c r="U107" i="6"/>
  <c r="V107" i="6"/>
  <c r="X107" i="6"/>
  <c r="Y107" i="6"/>
  <c r="Z107" i="6"/>
  <c r="AB107" i="6"/>
  <c r="AC107" i="6"/>
  <c r="AD107" i="6"/>
  <c r="L108" i="6"/>
  <c r="M108" i="6"/>
  <c r="P108" i="6"/>
  <c r="Q108" i="6"/>
  <c r="R108" i="6"/>
  <c r="T108" i="6"/>
  <c r="U108" i="6"/>
  <c r="V108" i="6"/>
  <c r="X108" i="6"/>
  <c r="Y108" i="6"/>
  <c r="Z108" i="6"/>
  <c r="AB108" i="6"/>
  <c r="AC108" i="6"/>
  <c r="AD108" i="6"/>
  <c r="R109" i="6"/>
  <c r="T109" i="6"/>
  <c r="U109" i="6"/>
  <c r="V109" i="6"/>
  <c r="X109" i="6"/>
  <c r="Y109" i="6"/>
  <c r="Z109" i="6"/>
  <c r="AB109" i="6"/>
  <c r="AC109" i="6"/>
  <c r="AD109" i="6"/>
  <c r="L110" i="6"/>
  <c r="M110" i="6"/>
  <c r="P110" i="6"/>
  <c r="Q110" i="6"/>
  <c r="R110" i="6"/>
  <c r="T110" i="6"/>
  <c r="U110" i="6"/>
  <c r="V110" i="6"/>
  <c r="X110" i="6"/>
  <c r="Y110" i="6"/>
  <c r="Z110" i="6"/>
  <c r="AB110" i="6"/>
  <c r="AC110" i="6"/>
  <c r="AD110" i="6"/>
  <c r="L111" i="6"/>
  <c r="M111" i="6"/>
  <c r="P111" i="6"/>
  <c r="Q111" i="6"/>
  <c r="R111" i="6"/>
  <c r="T111" i="6"/>
  <c r="U111" i="6"/>
  <c r="V111" i="6"/>
  <c r="X111" i="6"/>
  <c r="Y111" i="6"/>
  <c r="Z111" i="6"/>
  <c r="AB111" i="6"/>
  <c r="AC111" i="6"/>
  <c r="AD111" i="6"/>
  <c r="L112" i="6"/>
  <c r="M112" i="6"/>
  <c r="P112" i="6"/>
  <c r="Q112" i="6"/>
  <c r="R112" i="6"/>
  <c r="T112" i="6"/>
  <c r="U112" i="6"/>
  <c r="V112" i="6"/>
  <c r="X112" i="6"/>
  <c r="Y112" i="6"/>
  <c r="Z112" i="6"/>
  <c r="AB112" i="6"/>
  <c r="AC112" i="6"/>
  <c r="AD112" i="6"/>
  <c r="L113" i="6"/>
  <c r="P113" i="6"/>
  <c r="Q113" i="6"/>
  <c r="R113" i="6"/>
  <c r="T113" i="6"/>
  <c r="U113" i="6"/>
  <c r="V113" i="6"/>
  <c r="X113" i="6"/>
  <c r="Y113" i="6"/>
  <c r="Z113" i="6"/>
  <c r="AB113" i="6"/>
  <c r="AC113" i="6"/>
  <c r="AD113" i="6"/>
  <c r="L114" i="6"/>
  <c r="P114" i="6"/>
  <c r="Q114" i="6"/>
  <c r="R114" i="6"/>
  <c r="T114" i="6"/>
  <c r="U114" i="6"/>
  <c r="V114" i="6"/>
  <c r="X114" i="6"/>
  <c r="Y114" i="6"/>
  <c r="Z114" i="6"/>
  <c r="AB114" i="6"/>
  <c r="AC114" i="6"/>
  <c r="AD114" i="6"/>
  <c r="P117" i="6"/>
  <c r="Q117" i="6"/>
  <c r="R117" i="6"/>
  <c r="T117" i="6"/>
  <c r="U117" i="6"/>
  <c r="V117" i="6"/>
  <c r="X117" i="6"/>
  <c r="Y117" i="6"/>
  <c r="Z117" i="6"/>
  <c r="AB117" i="6"/>
  <c r="AC117" i="6"/>
  <c r="AD117" i="6"/>
  <c r="L118" i="6"/>
  <c r="P118" i="6"/>
  <c r="Q118" i="6"/>
  <c r="R118" i="6"/>
  <c r="T118" i="6"/>
  <c r="U118" i="6"/>
  <c r="V118" i="6"/>
  <c r="X118" i="6"/>
  <c r="Y118" i="6"/>
  <c r="Z118" i="6"/>
  <c r="AB118" i="6"/>
  <c r="AC118" i="6"/>
  <c r="AD118" i="6"/>
  <c r="L119" i="6"/>
  <c r="P119" i="6"/>
  <c r="Q119" i="6"/>
  <c r="R119" i="6"/>
  <c r="T119" i="6"/>
  <c r="U119" i="6"/>
  <c r="V119" i="6"/>
  <c r="X119" i="6"/>
  <c r="Y119" i="6"/>
  <c r="Z119" i="6"/>
  <c r="AB119" i="6"/>
  <c r="AC119" i="6"/>
  <c r="AD119" i="6"/>
  <c r="L120" i="6"/>
  <c r="P120" i="6"/>
  <c r="Q120" i="6"/>
  <c r="R120" i="6"/>
  <c r="T120" i="6"/>
  <c r="U120" i="6"/>
  <c r="V120" i="6"/>
  <c r="X120" i="6"/>
  <c r="Y120" i="6"/>
  <c r="Z120" i="6"/>
  <c r="AB120" i="6"/>
  <c r="AC120" i="6"/>
  <c r="AD120" i="6"/>
  <c r="L121" i="6"/>
  <c r="P121" i="6"/>
  <c r="Q121" i="6"/>
  <c r="R121" i="6"/>
  <c r="T121" i="6"/>
  <c r="U121" i="6"/>
  <c r="V121" i="6"/>
  <c r="X121" i="6"/>
  <c r="Y121" i="6"/>
  <c r="Z121" i="6"/>
  <c r="AB121" i="6"/>
  <c r="AC121" i="6"/>
  <c r="AD121" i="6"/>
  <c r="L123" i="6"/>
  <c r="P123" i="6"/>
  <c r="Q123" i="6"/>
  <c r="R123" i="6"/>
  <c r="T123" i="6"/>
  <c r="U123" i="6"/>
  <c r="V123" i="6"/>
  <c r="X123" i="6"/>
  <c r="Y123" i="6"/>
  <c r="Z123" i="6"/>
  <c r="AB123" i="6"/>
  <c r="AC123" i="6"/>
  <c r="AD123" i="6"/>
  <c r="T125" i="6"/>
  <c r="U125" i="6"/>
  <c r="V125" i="6"/>
  <c r="X125" i="6"/>
  <c r="Y125" i="6"/>
  <c r="Z125" i="6"/>
  <c r="AB125" i="6"/>
  <c r="AC125" i="6"/>
  <c r="AD125" i="6"/>
  <c r="T127" i="6"/>
  <c r="X127" i="6"/>
  <c r="AB127" i="6"/>
  <c r="T128" i="6"/>
  <c r="X128" i="6"/>
  <c r="AB128" i="6"/>
  <c r="T129" i="6"/>
  <c r="X129" i="6"/>
  <c r="AB129" i="6"/>
  <c r="L135" i="6"/>
  <c r="P135" i="6"/>
  <c r="T135" i="6"/>
  <c r="X135" i="6"/>
  <c r="L136" i="6"/>
  <c r="M136" i="6"/>
  <c r="N136" i="6"/>
  <c r="P136" i="6"/>
  <c r="T136" i="6"/>
  <c r="X136" i="6"/>
  <c r="L137" i="6"/>
  <c r="N137" i="6"/>
  <c r="P137" i="6"/>
  <c r="T137" i="6"/>
  <c r="X137" i="6"/>
  <c r="L138" i="6"/>
  <c r="N138" i="6"/>
  <c r="N139" i="6"/>
  <c r="N140" i="6"/>
  <c r="N141" i="6"/>
  <c r="N142" i="6"/>
  <c r="N143" i="6"/>
  <c r="L144" i="6"/>
  <c r="L147" i="6"/>
  <c r="L148" i="6"/>
  <c r="L149" i="6"/>
  <c r="L150" i="6"/>
  <c r="L151" i="6"/>
  <c r="M151" i="6"/>
  <c r="N151" i="6"/>
  <c r="L152" i="6"/>
  <c r="L153" i="6"/>
  <c r="L158" i="6"/>
  <c r="L161" i="6"/>
  <c r="M161" i="6"/>
  <c r="N161" i="6"/>
  <c r="M164" i="6"/>
  <c r="N164" i="6"/>
  <c r="V7" i="7"/>
  <c r="N8" i="7"/>
  <c r="R8" i="7"/>
  <c r="V8" i="7"/>
  <c r="N11" i="7"/>
  <c r="V11" i="7"/>
  <c r="F12" i="7"/>
  <c r="J12" i="7"/>
  <c r="N12" i="7"/>
  <c r="R12" i="7"/>
  <c r="V12" i="7"/>
  <c r="F15" i="7"/>
  <c r="G15" i="7"/>
  <c r="H15" i="7"/>
  <c r="J15" i="7"/>
  <c r="K15" i="7"/>
  <c r="L15" i="7"/>
  <c r="N15" i="7"/>
  <c r="O15" i="7"/>
  <c r="P15" i="7"/>
  <c r="R15" i="7"/>
  <c r="S15" i="7"/>
  <c r="T15" i="7"/>
  <c r="V15" i="7"/>
  <c r="W15" i="7"/>
  <c r="X15" i="7"/>
  <c r="F16" i="7"/>
  <c r="H16" i="7"/>
  <c r="J16" i="7"/>
  <c r="K16" i="7"/>
  <c r="L16" i="7"/>
  <c r="N16" i="7"/>
  <c r="O16" i="7"/>
  <c r="P16" i="7"/>
  <c r="R16" i="7"/>
  <c r="T16" i="7"/>
  <c r="V16" i="7"/>
  <c r="W16" i="7"/>
  <c r="X16" i="7"/>
  <c r="C17" i="7"/>
  <c r="F17" i="7"/>
  <c r="G17" i="7"/>
  <c r="H17" i="7"/>
  <c r="J17" i="7"/>
  <c r="K17" i="7"/>
  <c r="L17" i="7"/>
  <c r="N17" i="7"/>
  <c r="O17" i="7"/>
  <c r="P17" i="7"/>
  <c r="R17" i="7"/>
  <c r="S17" i="7"/>
  <c r="T17" i="7"/>
  <c r="V17" i="7"/>
  <c r="W17" i="7"/>
  <c r="X17" i="7"/>
  <c r="F18" i="7"/>
  <c r="G18" i="7"/>
  <c r="H18" i="7"/>
  <c r="J18" i="7"/>
  <c r="K18" i="7"/>
  <c r="L18" i="7"/>
  <c r="N18" i="7"/>
  <c r="O18" i="7"/>
  <c r="P18" i="7"/>
  <c r="R18" i="7"/>
  <c r="S18" i="7"/>
  <c r="T18" i="7"/>
  <c r="V18" i="7"/>
  <c r="W18" i="7"/>
  <c r="X18" i="7"/>
  <c r="F19" i="7"/>
  <c r="H19" i="7"/>
  <c r="J19" i="7"/>
  <c r="K19" i="7"/>
  <c r="L19" i="7"/>
  <c r="N19" i="7"/>
  <c r="O19" i="7"/>
  <c r="P19" i="7"/>
  <c r="R19" i="7"/>
  <c r="T19" i="7"/>
  <c r="V19" i="7"/>
  <c r="W19" i="7"/>
  <c r="X19" i="7"/>
  <c r="F20" i="7"/>
  <c r="G20" i="7"/>
  <c r="H20" i="7"/>
  <c r="J20" i="7"/>
  <c r="K20" i="7"/>
  <c r="L20" i="7"/>
  <c r="N20" i="7"/>
  <c r="O20" i="7"/>
  <c r="P20" i="7"/>
  <c r="R20" i="7"/>
  <c r="S20" i="7"/>
  <c r="T20" i="7"/>
  <c r="V20" i="7"/>
  <c r="W20" i="7"/>
  <c r="X20" i="7"/>
  <c r="J23" i="7"/>
  <c r="K23" i="7"/>
  <c r="L23" i="7"/>
  <c r="N23" i="7"/>
  <c r="O23" i="7"/>
  <c r="P23" i="7"/>
  <c r="V23" i="7"/>
  <c r="W23" i="7"/>
  <c r="X23" i="7"/>
  <c r="J24" i="7"/>
  <c r="K24" i="7"/>
  <c r="L24" i="7"/>
  <c r="N24" i="7"/>
  <c r="O24" i="7"/>
  <c r="P24" i="7"/>
  <c r="V24" i="7"/>
  <c r="W24" i="7"/>
  <c r="X24" i="7"/>
  <c r="J25" i="7"/>
  <c r="K25" i="7"/>
  <c r="L25" i="7"/>
  <c r="N25" i="7"/>
  <c r="O25" i="7"/>
  <c r="P25" i="7"/>
  <c r="V25" i="7"/>
  <c r="W25" i="7"/>
  <c r="X25" i="7"/>
  <c r="J26" i="7"/>
  <c r="K26" i="7"/>
  <c r="L26" i="7"/>
  <c r="N26" i="7"/>
  <c r="O26" i="7"/>
  <c r="P26" i="7"/>
  <c r="V26" i="7"/>
  <c r="W26" i="7"/>
  <c r="X26" i="7"/>
  <c r="J27" i="7"/>
  <c r="K27" i="7"/>
  <c r="L27" i="7"/>
  <c r="N27" i="7"/>
  <c r="O27" i="7"/>
  <c r="P27" i="7"/>
  <c r="V27" i="7"/>
  <c r="W27" i="7"/>
  <c r="X27" i="7"/>
  <c r="C28" i="7"/>
  <c r="J28" i="7"/>
  <c r="K28" i="7"/>
  <c r="L28" i="7"/>
  <c r="N28" i="7"/>
  <c r="O28" i="7"/>
  <c r="P28" i="7"/>
  <c r="V28" i="7"/>
  <c r="W28" i="7"/>
  <c r="X28" i="7"/>
  <c r="J29" i="7"/>
  <c r="K29" i="7"/>
  <c r="L29" i="7"/>
  <c r="N29" i="7"/>
  <c r="O29" i="7"/>
  <c r="P29" i="7"/>
  <c r="V29" i="7"/>
  <c r="W29" i="7"/>
  <c r="X29" i="7"/>
  <c r="J30" i="7"/>
  <c r="K30" i="7"/>
  <c r="L30" i="7"/>
  <c r="N30" i="7"/>
  <c r="O30" i="7"/>
  <c r="P30" i="7"/>
  <c r="V30" i="7"/>
  <c r="W30" i="7"/>
  <c r="X30" i="7"/>
  <c r="J31" i="7"/>
  <c r="K31" i="7"/>
  <c r="L31" i="7"/>
  <c r="N31" i="7"/>
  <c r="O31" i="7"/>
  <c r="P31" i="7"/>
  <c r="V31" i="7"/>
  <c r="W31" i="7"/>
  <c r="X31" i="7"/>
  <c r="J32" i="7"/>
  <c r="K32" i="7"/>
  <c r="L32" i="7"/>
  <c r="N32" i="7"/>
  <c r="O32" i="7"/>
  <c r="P32" i="7"/>
  <c r="V32" i="7"/>
  <c r="W32" i="7"/>
  <c r="X32" i="7"/>
  <c r="J33" i="7"/>
  <c r="K33" i="7"/>
  <c r="L33" i="7"/>
  <c r="N33" i="7"/>
  <c r="O33" i="7"/>
  <c r="P33" i="7"/>
  <c r="V33" i="7"/>
  <c r="W33" i="7"/>
  <c r="X33" i="7"/>
  <c r="J34" i="7"/>
  <c r="K34" i="7"/>
  <c r="L34" i="7"/>
  <c r="N34" i="7"/>
  <c r="O34" i="7"/>
  <c r="P34" i="7"/>
  <c r="V34" i="7"/>
  <c r="W34" i="7"/>
  <c r="X34" i="7"/>
  <c r="J35" i="7"/>
  <c r="K35" i="7"/>
  <c r="L35" i="7"/>
  <c r="N35" i="7"/>
  <c r="O35" i="7"/>
  <c r="P35" i="7"/>
  <c r="V35" i="7"/>
  <c r="W35" i="7"/>
  <c r="X35" i="7"/>
  <c r="J36" i="7"/>
  <c r="K36" i="7"/>
  <c r="L36" i="7"/>
  <c r="N36" i="7"/>
  <c r="O36" i="7"/>
  <c r="P36" i="7"/>
  <c r="V36" i="7"/>
  <c r="W36" i="7"/>
  <c r="X36" i="7"/>
  <c r="J37" i="7"/>
  <c r="K37" i="7"/>
  <c r="L37" i="7"/>
  <c r="N37" i="7"/>
  <c r="O37" i="7"/>
  <c r="P37" i="7"/>
  <c r="V37" i="7"/>
  <c r="W37" i="7"/>
  <c r="X37" i="7"/>
  <c r="J38" i="7"/>
  <c r="K38" i="7"/>
  <c r="L38" i="7"/>
  <c r="N38" i="7"/>
  <c r="O38" i="7"/>
  <c r="P38" i="7"/>
  <c r="V38" i="7"/>
  <c r="W38" i="7"/>
  <c r="X38" i="7"/>
  <c r="J39" i="7"/>
  <c r="K39" i="7"/>
  <c r="L39" i="7"/>
  <c r="N39" i="7"/>
  <c r="O39" i="7"/>
  <c r="P39" i="7"/>
  <c r="V39" i="7"/>
  <c r="W39" i="7"/>
  <c r="X39" i="7"/>
  <c r="J41" i="7"/>
  <c r="K41" i="7"/>
  <c r="L41" i="7"/>
  <c r="N41" i="7"/>
  <c r="O41" i="7"/>
  <c r="P41" i="7"/>
  <c r="V41" i="7"/>
  <c r="W41" i="7"/>
  <c r="X41" i="7"/>
  <c r="J44" i="7"/>
  <c r="K44" i="7"/>
  <c r="L44" i="7"/>
  <c r="N44" i="7"/>
  <c r="O44" i="7"/>
  <c r="P44" i="7"/>
  <c r="V44" i="7"/>
  <c r="W44" i="7"/>
  <c r="X44" i="7"/>
  <c r="J46" i="7"/>
  <c r="K46" i="7"/>
  <c r="L46" i="7"/>
  <c r="N46" i="7"/>
  <c r="O46" i="7"/>
  <c r="P46" i="7"/>
  <c r="V46" i="7"/>
  <c r="W46" i="7"/>
  <c r="X46" i="7"/>
  <c r="J48" i="7"/>
  <c r="K48" i="7"/>
  <c r="L48" i="7"/>
  <c r="N48" i="7"/>
  <c r="O48" i="7"/>
  <c r="P48" i="7"/>
  <c r="V48" i="7"/>
  <c r="W48" i="7"/>
  <c r="X48" i="7"/>
  <c r="Y54" i="7"/>
  <c r="Y55" i="7"/>
  <c r="Y56" i="7"/>
  <c r="Y57" i="7"/>
  <c r="Y59" i="7"/>
  <c r="Y60" i="7"/>
  <c r="Y61" i="7"/>
  <c r="Y62" i="7"/>
  <c r="B18" i="10"/>
  <c r="H18" i="10"/>
  <c r="I18" i="10"/>
  <c r="J18" i="10"/>
  <c r="K18" i="10"/>
  <c r="L18" i="10"/>
  <c r="M18" i="10"/>
  <c r="N18" i="10"/>
  <c r="B19" i="10"/>
  <c r="I19" i="10"/>
  <c r="J19" i="10"/>
  <c r="K19" i="10"/>
  <c r="L19" i="10"/>
  <c r="M19" i="10"/>
  <c r="N19" i="10"/>
  <c r="O19" i="10"/>
  <c r="B20" i="10"/>
  <c r="J20" i="10"/>
  <c r="K20" i="10"/>
  <c r="L20" i="10"/>
  <c r="M20" i="10"/>
  <c r="N20" i="10"/>
  <c r="O20" i="10"/>
  <c r="P20" i="10"/>
  <c r="B21" i="10"/>
  <c r="K21" i="10"/>
  <c r="L21" i="10"/>
  <c r="M21" i="10"/>
  <c r="N21" i="10"/>
  <c r="O21" i="10"/>
  <c r="P21" i="10"/>
  <c r="Q21" i="10"/>
  <c r="B22" i="10"/>
  <c r="K22" i="10"/>
  <c r="L22" i="10"/>
  <c r="M22" i="10"/>
  <c r="N22" i="10"/>
  <c r="O22" i="10"/>
  <c r="P22" i="10"/>
  <c r="Q22" i="10"/>
  <c r="B23" i="10"/>
  <c r="L23" i="10"/>
  <c r="M23" i="10"/>
  <c r="N23" i="10"/>
  <c r="O23" i="10"/>
  <c r="P23" i="10"/>
  <c r="Q23" i="10"/>
  <c r="R23" i="10"/>
  <c r="B24" i="10"/>
  <c r="M24" i="10"/>
  <c r="N24" i="10"/>
  <c r="O24" i="10"/>
  <c r="P24" i="10"/>
  <c r="Q24" i="10"/>
  <c r="R24" i="10"/>
  <c r="B25" i="10"/>
  <c r="N25" i="10"/>
  <c r="O25" i="10"/>
  <c r="P25" i="10"/>
  <c r="Q25" i="10"/>
  <c r="R25" i="10"/>
  <c r="B36" i="10"/>
  <c r="X1" i="9"/>
  <c r="AF1" i="9"/>
  <c r="X2" i="9"/>
  <c r="Y2" i="9"/>
  <c r="AB2" i="9"/>
  <c r="AF2" i="9"/>
  <c r="X3" i="9"/>
  <c r="AB3" i="9"/>
  <c r="AF3" i="9"/>
  <c r="X4" i="9"/>
  <c r="L7" i="9"/>
  <c r="AA7" i="9"/>
  <c r="AI7" i="9"/>
  <c r="AQ7" i="9"/>
  <c r="AR7" i="9"/>
  <c r="S8" i="9"/>
  <c r="W8" i="9"/>
  <c r="AA8" i="9"/>
  <c r="AE8" i="9"/>
  <c r="AI8" i="9"/>
  <c r="Q9" i="9"/>
  <c r="T9" i="9"/>
  <c r="U9" i="9"/>
  <c r="Y9" i="9"/>
  <c r="AC9" i="9"/>
  <c r="AG9" i="9"/>
  <c r="AJ9" i="9"/>
  <c r="AK9" i="9"/>
  <c r="D10" i="9"/>
  <c r="L10" i="9"/>
  <c r="O10" i="9"/>
  <c r="P10" i="9"/>
  <c r="Q10" i="9"/>
  <c r="S10" i="9"/>
  <c r="T10" i="9"/>
  <c r="U10" i="9"/>
  <c r="W10" i="9"/>
  <c r="X10" i="9"/>
  <c r="Y10" i="9"/>
  <c r="AA10" i="9"/>
  <c r="AB10" i="9"/>
  <c r="AC10" i="9"/>
  <c r="AE10" i="9"/>
  <c r="AF10" i="9"/>
  <c r="AG10" i="9"/>
  <c r="AI10" i="9"/>
  <c r="AJ10" i="9"/>
  <c r="AK10" i="9"/>
  <c r="AO10" i="9"/>
  <c r="AP10" i="9"/>
  <c r="AQ10" i="9"/>
  <c r="AR10" i="9"/>
  <c r="P11" i="9"/>
  <c r="Q11" i="9"/>
  <c r="S11" i="9"/>
  <c r="T11" i="9"/>
  <c r="U11" i="9"/>
  <c r="W11" i="9"/>
  <c r="X11" i="9"/>
  <c r="Y11" i="9"/>
  <c r="AA11" i="9"/>
  <c r="AB11" i="9"/>
  <c r="AC11" i="9"/>
  <c r="AE11" i="9"/>
  <c r="AF11" i="9"/>
  <c r="AG11" i="9"/>
  <c r="AI11" i="9"/>
  <c r="AJ11" i="9"/>
  <c r="AK11" i="9"/>
  <c r="AO11" i="9"/>
  <c r="AP11" i="9"/>
  <c r="AQ11" i="9"/>
  <c r="AR11" i="9"/>
  <c r="D12" i="9"/>
  <c r="L12" i="9"/>
  <c r="O12" i="9"/>
  <c r="P12" i="9"/>
  <c r="Q12" i="9"/>
  <c r="S12" i="9"/>
  <c r="T12" i="9"/>
  <c r="U12" i="9"/>
  <c r="W12" i="9"/>
  <c r="X12" i="9"/>
  <c r="Y12" i="9"/>
  <c r="AA12" i="9"/>
  <c r="AB12" i="9"/>
  <c r="AC12" i="9"/>
  <c r="AE12" i="9"/>
  <c r="AF12" i="9"/>
  <c r="AG12" i="9"/>
  <c r="AI12" i="9"/>
  <c r="AJ12" i="9"/>
  <c r="AK12" i="9"/>
  <c r="AO12" i="9"/>
  <c r="AQ12" i="9"/>
  <c r="AR12" i="9"/>
  <c r="D13" i="9"/>
  <c r="L13" i="9"/>
  <c r="O13" i="9"/>
  <c r="P13" i="9"/>
  <c r="Q13" i="9"/>
  <c r="S13" i="9"/>
  <c r="U13" i="9"/>
  <c r="W13" i="9"/>
  <c r="Y13" i="9"/>
  <c r="AA13" i="9"/>
  <c r="AC13" i="9"/>
  <c r="AE13" i="9"/>
  <c r="AG13" i="9"/>
  <c r="AI13" i="9"/>
  <c r="AJ13" i="9"/>
  <c r="AK13" i="9"/>
  <c r="AO13" i="9"/>
  <c r="AP13" i="9"/>
  <c r="AQ13" i="9"/>
  <c r="AR13" i="9"/>
  <c r="D14" i="9"/>
  <c r="L14" i="9"/>
  <c r="O14" i="9"/>
  <c r="P14" i="9"/>
  <c r="Q14" i="9"/>
  <c r="S14" i="9"/>
  <c r="T14" i="9"/>
  <c r="U14" i="9"/>
  <c r="W14" i="9"/>
  <c r="X14" i="9"/>
  <c r="Y14" i="9"/>
  <c r="AA14" i="9"/>
  <c r="AB14" i="9"/>
  <c r="AC14" i="9"/>
  <c r="AE14" i="9"/>
  <c r="AF14" i="9"/>
  <c r="AG14" i="9"/>
  <c r="AI14" i="9"/>
  <c r="AJ14" i="9"/>
  <c r="AK14" i="9"/>
  <c r="AO14" i="9"/>
  <c r="AP14" i="9"/>
  <c r="AQ14" i="9"/>
  <c r="AR14" i="9"/>
  <c r="AO15" i="9"/>
  <c r="AP15" i="9"/>
  <c r="AQ15" i="9"/>
  <c r="AR15" i="9"/>
  <c r="D16" i="9"/>
  <c r="L16" i="9"/>
  <c r="O16" i="9"/>
  <c r="P16" i="9"/>
  <c r="Q16" i="9"/>
  <c r="S16" i="9"/>
  <c r="T16" i="9"/>
  <c r="U16" i="9"/>
  <c r="W16" i="9"/>
  <c r="X16" i="9"/>
  <c r="Y16" i="9"/>
  <c r="AA16" i="9"/>
  <c r="AB16" i="9"/>
  <c r="AC16" i="9"/>
  <c r="AE16" i="9"/>
  <c r="AF16" i="9"/>
  <c r="AG16" i="9"/>
  <c r="AI16" i="9"/>
  <c r="AJ16" i="9"/>
  <c r="AK16" i="9"/>
  <c r="AO16" i="9"/>
  <c r="AP16" i="9"/>
  <c r="AQ16" i="9"/>
  <c r="AR16" i="9"/>
  <c r="D17" i="9"/>
  <c r="L17" i="9"/>
  <c r="O17" i="9"/>
  <c r="P17" i="9"/>
  <c r="Q17" i="9"/>
  <c r="U17" i="9"/>
  <c r="Y17" i="9"/>
  <c r="AC17" i="9"/>
  <c r="AG17" i="9"/>
  <c r="AI17" i="9"/>
  <c r="AJ17" i="9"/>
  <c r="AK17" i="9"/>
  <c r="AO17" i="9"/>
  <c r="AP17" i="9"/>
  <c r="AQ17" i="9"/>
  <c r="AR17" i="9"/>
  <c r="D18" i="9"/>
  <c r="L18" i="9"/>
  <c r="O18" i="9"/>
  <c r="P18" i="9"/>
  <c r="Q18" i="9"/>
  <c r="U18" i="9"/>
  <c r="Y18" i="9"/>
  <c r="AC18" i="9"/>
  <c r="AG18" i="9"/>
  <c r="AI18" i="9"/>
  <c r="AJ18" i="9"/>
  <c r="AK18" i="9"/>
  <c r="AO18" i="9"/>
  <c r="AP18" i="9"/>
  <c r="AQ18" i="9"/>
  <c r="AR18" i="9"/>
  <c r="L19" i="9"/>
  <c r="P19" i="9"/>
  <c r="AO19" i="9"/>
  <c r="AP19" i="9"/>
  <c r="AQ19" i="9"/>
  <c r="AR19" i="9"/>
  <c r="D20" i="9"/>
  <c r="L20" i="9"/>
  <c r="O20" i="9"/>
  <c r="P20" i="9"/>
  <c r="Q20" i="9"/>
  <c r="S20" i="9"/>
  <c r="T20" i="9"/>
  <c r="U20" i="9"/>
  <c r="W20" i="9"/>
  <c r="X20" i="9"/>
  <c r="Y20" i="9"/>
  <c r="AA20" i="9"/>
  <c r="AB20" i="9"/>
  <c r="AC20" i="9"/>
  <c r="AE20" i="9"/>
  <c r="AF20" i="9"/>
  <c r="AG20" i="9"/>
  <c r="AI20" i="9"/>
  <c r="AJ20" i="9"/>
  <c r="AK20" i="9"/>
  <c r="AO20" i="9"/>
  <c r="AP20" i="9"/>
  <c r="AQ20" i="9"/>
  <c r="AR20" i="9"/>
  <c r="D21" i="9"/>
  <c r="L21" i="9"/>
  <c r="O21" i="9"/>
  <c r="P21" i="9"/>
  <c r="Q21" i="9"/>
  <c r="S21" i="9"/>
  <c r="T21" i="9"/>
  <c r="U21" i="9"/>
  <c r="W21" i="9"/>
  <c r="X21" i="9"/>
  <c r="Y21" i="9"/>
  <c r="AA21" i="9"/>
  <c r="AB21" i="9"/>
  <c r="AC21" i="9"/>
  <c r="AE21" i="9"/>
  <c r="AF21" i="9"/>
  <c r="AG21" i="9"/>
  <c r="AI21" i="9"/>
  <c r="AJ21" i="9"/>
  <c r="AK21" i="9"/>
  <c r="AO21" i="9"/>
  <c r="AP21" i="9"/>
  <c r="AQ21" i="9"/>
  <c r="AR21" i="9"/>
  <c r="D22" i="9"/>
  <c r="L22" i="9"/>
  <c r="O22" i="9"/>
  <c r="P22" i="9"/>
  <c r="Q22" i="9"/>
  <c r="S22" i="9"/>
  <c r="T22" i="9"/>
  <c r="U22" i="9"/>
  <c r="W22" i="9"/>
  <c r="X22" i="9"/>
  <c r="Y22" i="9"/>
  <c r="AA22" i="9"/>
  <c r="AB22" i="9"/>
  <c r="AC22" i="9"/>
  <c r="AE22" i="9"/>
  <c r="AF22" i="9"/>
  <c r="AG22" i="9"/>
  <c r="AI22" i="9"/>
  <c r="AJ22" i="9"/>
  <c r="AK22" i="9"/>
  <c r="AO22" i="9"/>
  <c r="AP22" i="9"/>
  <c r="AQ22" i="9"/>
  <c r="AR22" i="9"/>
  <c r="P23" i="9"/>
  <c r="AO23" i="9"/>
  <c r="AP23" i="9"/>
  <c r="AQ23" i="9"/>
  <c r="AR23" i="9"/>
  <c r="D24" i="9"/>
  <c r="L24" i="9"/>
  <c r="O24" i="9"/>
  <c r="P24" i="9"/>
  <c r="Q24" i="9"/>
  <c r="S24" i="9"/>
  <c r="T24" i="9"/>
  <c r="U24" i="9"/>
  <c r="W24" i="9"/>
  <c r="X24" i="9"/>
  <c r="Y24" i="9"/>
  <c r="AA24" i="9"/>
  <c r="AB24" i="9"/>
  <c r="AC24" i="9"/>
  <c r="AE24" i="9"/>
  <c r="AF24" i="9"/>
  <c r="AG24" i="9"/>
  <c r="AI24" i="9"/>
  <c r="AJ24" i="9"/>
  <c r="AK24" i="9"/>
  <c r="AO24" i="9"/>
  <c r="AP24" i="9"/>
  <c r="AQ24" i="9"/>
  <c r="AR24" i="9"/>
  <c r="D25" i="9"/>
  <c r="L25" i="9"/>
  <c r="O25" i="9"/>
  <c r="P25" i="9"/>
  <c r="Q25" i="9"/>
  <c r="S25" i="9"/>
  <c r="T25" i="9"/>
  <c r="U25" i="9"/>
  <c r="W25" i="9"/>
  <c r="X25" i="9"/>
  <c r="Y25" i="9"/>
  <c r="AA25" i="9"/>
  <c r="AB25" i="9"/>
  <c r="AC25" i="9"/>
  <c r="AE25" i="9"/>
  <c r="AF25" i="9"/>
  <c r="AG25" i="9"/>
  <c r="AI25" i="9"/>
  <c r="AJ25" i="9"/>
  <c r="AK25" i="9"/>
  <c r="AQ25" i="9"/>
  <c r="AR25" i="9"/>
  <c r="D26" i="9"/>
  <c r="L26" i="9"/>
  <c r="O26" i="9"/>
  <c r="P26" i="9"/>
  <c r="Q26" i="9"/>
  <c r="S26" i="9"/>
  <c r="T26" i="9"/>
  <c r="U26" i="9"/>
  <c r="W26" i="9"/>
  <c r="X26" i="9"/>
  <c r="Y26" i="9"/>
  <c r="AA26" i="9"/>
  <c r="AB26" i="9"/>
  <c r="AC26" i="9"/>
  <c r="AE26" i="9"/>
  <c r="AF26" i="9"/>
  <c r="AG26" i="9"/>
  <c r="AI26" i="9"/>
  <c r="AJ26" i="9"/>
  <c r="AK26" i="9"/>
  <c r="AO26" i="9"/>
  <c r="AP26" i="9"/>
  <c r="AQ26" i="9"/>
  <c r="AR26" i="9"/>
  <c r="D27" i="9"/>
  <c r="L27" i="9"/>
  <c r="O27" i="9"/>
  <c r="P27" i="9"/>
  <c r="Q27" i="9"/>
  <c r="S27" i="9"/>
  <c r="T27" i="9"/>
  <c r="U27" i="9"/>
  <c r="W27" i="9"/>
  <c r="X27" i="9"/>
  <c r="Y27" i="9"/>
  <c r="AA27" i="9"/>
  <c r="AB27" i="9"/>
  <c r="AC27" i="9"/>
  <c r="AE27" i="9"/>
  <c r="AF27" i="9"/>
  <c r="AG27" i="9"/>
  <c r="AI27" i="9"/>
  <c r="AJ27" i="9"/>
  <c r="AK27" i="9"/>
  <c r="AO27" i="9"/>
  <c r="AP27" i="9"/>
  <c r="AQ27" i="9"/>
  <c r="AR27" i="9"/>
  <c r="AO28" i="9"/>
  <c r="AQ28" i="9"/>
  <c r="AR28" i="9"/>
  <c r="D29" i="9"/>
  <c r="L29" i="9"/>
  <c r="O29" i="9"/>
  <c r="P29" i="9"/>
  <c r="Q29" i="9"/>
  <c r="S29" i="9"/>
  <c r="T29" i="9"/>
  <c r="U29" i="9"/>
  <c r="W29" i="9"/>
  <c r="X29" i="9"/>
  <c r="Y29" i="9"/>
  <c r="AA29" i="9"/>
  <c r="AB29" i="9"/>
  <c r="AC29" i="9"/>
  <c r="AE29" i="9"/>
  <c r="AF29" i="9"/>
  <c r="AG29" i="9"/>
  <c r="AI29" i="9"/>
  <c r="AJ29" i="9"/>
  <c r="AK29" i="9"/>
  <c r="AO29" i="9"/>
  <c r="AP29" i="9"/>
  <c r="AQ29" i="9"/>
  <c r="AR29" i="9"/>
  <c r="D30" i="9"/>
  <c r="L30" i="9"/>
  <c r="O30" i="9"/>
  <c r="P30" i="9"/>
  <c r="Q30" i="9"/>
  <c r="S30" i="9"/>
  <c r="T30" i="9"/>
  <c r="U30" i="9"/>
  <c r="W30" i="9"/>
  <c r="X30" i="9"/>
  <c r="Y30" i="9"/>
  <c r="AA30" i="9"/>
  <c r="AB30" i="9"/>
  <c r="AC30" i="9"/>
  <c r="AE30" i="9"/>
  <c r="AF30" i="9"/>
  <c r="AG30" i="9"/>
  <c r="AI30" i="9"/>
  <c r="AJ30" i="9"/>
  <c r="AK30" i="9"/>
  <c r="AO30" i="9"/>
  <c r="AP30" i="9"/>
  <c r="AQ30" i="9"/>
  <c r="AR30" i="9"/>
  <c r="D31" i="9"/>
  <c r="L31" i="9"/>
  <c r="O31" i="9"/>
  <c r="P31" i="9"/>
  <c r="Q31" i="9"/>
  <c r="S31" i="9"/>
  <c r="T31" i="9"/>
  <c r="U31" i="9"/>
  <c r="W31" i="9"/>
  <c r="X31" i="9"/>
  <c r="Y31" i="9"/>
  <c r="AA31" i="9"/>
  <c r="AB31" i="9"/>
  <c r="AC31" i="9"/>
  <c r="AE31" i="9"/>
  <c r="AF31" i="9"/>
  <c r="AG31" i="9"/>
  <c r="AI31" i="9"/>
  <c r="AJ31" i="9"/>
  <c r="AK31" i="9"/>
  <c r="AO31" i="9"/>
  <c r="AP31" i="9"/>
  <c r="AQ31" i="9"/>
  <c r="AR31" i="9"/>
  <c r="D32" i="9"/>
  <c r="L32" i="9"/>
  <c r="Q32" i="9"/>
  <c r="S32" i="9"/>
  <c r="T32" i="9"/>
  <c r="U32" i="9"/>
  <c r="W32" i="9"/>
  <c r="X32" i="9"/>
  <c r="Y32" i="9"/>
  <c r="AA32" i="9"/>
  <c r="AB32" i="9"/>
  <c r="AC32" i="9"/>
  <c r="AE32" i="9"/>
  <c r="AF32" i="9"/>
  <c r="AG32" i="9"/>
  <c r="AI32" i="9"/>
  <c r="AJ32" i="9"/>
  <c r="AK32" i="9"/>
  <c r="AO32" i="9"/>
  <c r="AQ32" i="9"/>
  <c r="AR32" i="9"/>
  <c r="D33" i="9"/>
  <c r="L33" i="9"/>
  <c r="Q33" i="9"/>
  <c r="S33" i="9"/>
  <c r="T33" i="9"/>
  <c r="U33" i="9"/>
  <c r="W33" i="9"/>
  <c r="X33" i="9"/>
  <c r="Y33" i="9"/>
  <c r="AA33" i="9"/>
  <c r="AB33" i="9"/>
  <c r="AC33" i="9"/>
  <c r="AE33" i="9"/>
  <c r="AF33" i="9"/>
  <c r="AG33" i="9"/>
  <c r="AI33" i="9"/>
  <c r="AJ33" i="9"/>
  <c r="AK33" i="9"/>
  <c r="AO33" i="9"/>
  <c r="AP33" i="9"/>
  <c r="AQ33" i="9"/>
  <c r="AR33" i="9"/>
  <c r="D34" i="9"/>
  <c r="L34" i="9"/>
  <c r="P34" i="9"/>
  <c r="Q34" i="9"/>
  <c r="S34" i="9"/>
  <c r="T34" i="9"/>
  <c r="U34" i="9"/>
  <c r="W34" i="9"/>
  <c r="X34" i="9"/>
  <c r="Y34" i="9"/>
  <c r="AA34" i="9"/>
  <c r="AB34" i="9"/>
  <c r="AC34" i="9"/>
  <c r="AE34" i="9"/>
  <c r="AF34" i="9"/>
  <c r="AG34" i="9"/>
  <c r="AI34" i="9"/>
  <c r="AJ34" i="9"/>
  <c r="AK34" i="9"/>
  <c r="AO34" i="9"/>
  <c r="AQ34" i="9"/>
  <c r="AR34" i="9"/>
  <c r="D35" i="9"/>
  <c r="L35" i="9"/>
  <c r="O35" i="9"/>
  <c r="P35" i="9"/>
  <c r="Q35" i="9"/>
  <c r="S35" i="9"/>
  <c r="T35" i="9"/>
  <c r="U35" i="9"/>
  <c r="W35" i="9"/>
  <c r="X35" i="9"/>
  <c r="Y35" i="9"/>
  <c r="AA35" i="9"/>
  <c r="AB35" i="9"/>
  <c r="AC35" i="9"/>
  <c r="AE35" i="9"/>
  <c r="AF35" i="9"/>
  <c r="AG35" i="9"/>
  <c r="AI35" i="9"/>
  <c r="AJ35" i="9"/>
  <c r="AK35" i="9"/>
  <c r="AO35" i="9"/>
  <c r="AP35" i="9"/>
  <c r="AQ35" i="9"/>
  <c r="AR35" i="9"/>
  <c r="D36" i="9"/>
  <c r="L36" i="9"/>
  <c r="O36" i="9"/>
  <c r="P36" i="9"/>
  <c r="Q36" i="9"/>
  <c r="S36" i="9"/>
  <c r="T36" i="9"/>
  <c r="U36" i="9"/>
  <c r="W36" i="9"/>
  <c r="X36" i="9"/>
  <c r="Y36" i="9"/>
  <c r="AA36" i="9"/>
  <c r="AB36" i="9"/>
  <c r="AC36" i="9"/>
  <c r="AE36" i="9"/>
  <c r="AF36" i="9"/>
  <c r="AG36" i="9"/>
  <c r="AI36" i="9"/>
  <c r="AJ36" i="9"/>
  <c r="AK36" i="9"/>
  <c r="AO36" i="9"/>
  <c r="AP36" i="9"/>
  <c r="AQ36" i="9"/>
  <c r="AR36" i="9"/>
  <c r="AO37" i="9"/>
  <c r="AP37" i="9"/>
  <c r="AQ37" i="9"/>
  <c r="AR37" i="9"/>
  <c r="P38" i="9"/>
  <c r="Q38" i="9"/>
  <c r="S38" i="9"/>
  <c r="U38" i="9"/>
  <c r="W38" i="9"/>
  <c r="Y38" i="9"/>
  <c r="AA38" i="9"/>
  <c r="AC38" i="9"/>
  <c r="AE38" i="9"/>
  <c r="AG38" i="9"/>
  <c r="AI38" i="9"/>
  <c r="AJ38" i="9"/>
  <c r="AK38" i="9"/>
  <c r="AO38" i="9"/>
  <c r="AP38" i="9"/>
  <c r="AQ38" i="9"/>
  <c r="AR38" i="9"/>
  <c r="P39" i="9"/>
  <c r="Q39" i="9"/>
  <c r="S39" i="9"/>
  <c r="U39" i="9"/>
  <c r="W39" i="9"/>
  <c r="Y39" i="9"/>
  <c r="AA39" i="9"/>
  <c r="AC39" i="9"/>
  <c r="AE39" i="9"/>
  <c r="AG39" i="9"/>
  <c r="AI39" i="9"/>
  <c r="AJ39" i="9"/>
  <c r="AK39" i="9"/>
  <c r="AO39" i="9"/>
  <c r="AP39" i="9"/>
  <c r="AQ39" i="9"/>
  <c r="AR39" i="9"/>
  <c r="AO40" i="9"/>
  <c r="AP40" i="9"/>
  <c r="AQ40" i="9"/>
  <c r="AR40" i="9"/>
  <c r="D41" i="9"/>
  <c r="L41" i="9"/>
  <c r="O41" i="9"/>
  <c r="P41" i="9"/>
  <c r="Q41" i="9"/>
  <c r="S41" i="9"/>
  <c r="T41" i="9"/>
  <c r="U41" i="9"/>
  <c r="W41" i="9"/>
  <c r="X41" i="9"/>
  <c r="Y41" i="9"/>
  <c r="AA41" i="9"/>
  <c r="AB41" i="9"/>
  <c r="AC41" i="9"/>
  <c r="AE41" i="9"/>
  <c r="AF41" i="9"/>
  <c r="AG41" i="9"/>
  <c r="AI41" i="9"/>
  <c r="AJ41" i="9"/>
  <c r="AK41" i="9"/>
  <c r="AO41" i="9"/>
  <c r="AQ41" i="9"/>
  <c r="AR41" i="9"/>
  <c r="D42" i="9"/>
  <c r="L42" i="9"/>
  <c r="O42" i="9"/>
  <c r="P42" i="9"/>
  <c r="Q42" i="9"/>
  <c r="S42" i="9"/>
  <c r="T42" i="9"/>
  <c r="U42" i="9"/>
  <c r="W42" i="9"/>
  <c r="X42" i="9"/>
  <c r="Y42" i="9"/>
  <c r="AA42" i="9"/>
  <c r="AB42" i="9"/>
  <c r="AC42" i="9"/>
  <c r="AE42" i="9"/>
  <c r="AF42" i="9"/>
  <c r="AG42" i="9"/>
  <c r="AI42" i="9"/>
  <c r="AJ42" i="9"/>
  <c r="AK42" i="9"/>
  <c r="AO42" i="9"/>
  <c r="AP42" i="9"/>
  <c r="AQ42" i="9"/>
  <c r="AR42" i="9"/>
  <c r="AO43" i="9"/>
  <c r="AP43" i="9"/>
  <c r="AQ43" i="9"/>
  <c r="AR43" i="9"/>
  <c r="D44" i="9"/>
  <c r="L44" i="9"/>
  <c r="O44" i="9"/>
  <c r="P44" i="9"/>
  <c r="Q44" i="9"/>
  <c r="S44" i="9"/>
  <c r="T44" i="9"/>
  <c r="U44" i="9"/>
  <c r="W44" i="9"/>
  <c r="X44" i="9"/>
  <c r="Y44" i="9"/>
  <c r="AA44" i="9"/>
  <c r="AB44" i="9"/>
  <c r="AC44" i="9"/>
  <c r="AE44" i="9"/>
  <c r="AF44" i="9"/>
  <c r="AG44" i="9"/>
  <c r="AI44" i="9"/>
  <c r="AJ44" i="9"/>
  <c r="AK44" i="9"/>
  <c r="AO44" i="9"/>
  <c r="AP44" i="9"/>
  <c r="AQ44" i="9"/>
  <c r="AR44" i="9"/>
  <c r="D45" i="9"/>
  <c r="L45" i="9"/>
  <c r="O45" i="9"/>
  <c r="P45" i="9"/>
  <c r="Q45" i="9"/>
  <c r="S45" i="9"/>
  <c r="T45" i="9"/>
  <c r="U45" i="9"/>
  <c r="W45" i="9"/>
  <c r="X45" i="9"/>
  <c r="Y45" i="9"/>
  <c r="AA45" i="9"/>
  <c r="AB45" i="9"/>
  <c r="AC45" i="9"/>
  <c r="AE45" i="9"/>
  <c r="AF45" i="9"/>
  <c r="AG45" i="9"/>
  <c r="AI45" i="9"/>
  <c r="AJ45" i="9"/>
  <c r="AK45" i="9"/>
  <c r="AO45" i="9"/>
  <c r="AP45" i="9"/>
  <c r="AQ45" i="9"/>
  <c r="AR45" i="9"/>
  <c r="D46" i="9"/>
  <c r="L46" i="9"/>
  <c r="O46" i="9"/>
  <c r="P46" i="9"/>
  <c r="Q46" i="9"/>
  <c r="S46" i="9"/>
  <c r="T46" i="9"/>
  <c r="U46" i="9"/>
  <c r="W46" i="9"/>
  <c r="X46" i="9"/>
  <c r="Y46" i="9"/>
  <c r="AA46" i="9"/>
  <c r="AB46" i="9"/>
  <c r="AC46" i="9"/>
  <c r="AE46" i="9"/>
  <c r="AF46" i="9"/>
  <c r="AG46" i="9"/>
  <c r="AI46" i="9"/>
  <c r="AJ46" i="9"/>
  <c r="AK46" i="9"/>
  <c r="AO46" i="9"/>
  <c r="AP46" i="9"/>
  <c r="AQ46" i="9"/>
  <c r="AR46" i="9"/>
  <c r="AO47" i="9"/>
  <c r="AP47" i="9"/>
  <c r="AQ47" i="9"/>
  <c r="AR47" i="9"/>
  <c r="D48" i="9"/>
  <c r="L48" i="9"/>
  <c r="P48" i="9"/>
  <c r="Q48" i="9"/>
  <c r="S48" i="9"/>
  <c r="T48" i="9"/>
  <c r="U48" i="9"/>
  <c r="W48" i="9"/>
  <c r="X48" i="9"/>
  <c r="Y48" i="9"/>
  <c r="AA48" i="9"/>
  <c r="AB48" i="9"/>
  <c r="AC48" i="9"/>
  <c r="AE48" i="9"/>
  <c r="AF48" i="9"/>
  <c r="AG48" i="9"/>
  <c r="AI48" i="9"/>
  <c r="AJ48" i="9"/>
  <c r="AK48" i="9"/>
  <c r="AO48" i="9"/>
  <c r="AP48" i="9"/>
  <c r="AQ48" i="9"/>
  <c r="AR48" i="9"/>
  <c r="D49" i="9"/>
  <c r="L49" i="9"/>
  <c r="O49" i="9"/>
  <c r="P49" i="9"/>
  <c r="Q49" i="9"/>
  <c r="S49" i="9"/>
  <c r="T49" i="9"/>
  <c r="U49" i="9"/>
  <c r="W49" i="9"/>
  <c r="X49" i="9"/>
  <c r="Y49" i="9"/>
  <c r="AA49" i="9"/>
  <c r="AB49" i="9"/>
  <c r="AC49" i="9"/>
  <c r="AE49" i="9"/>
  <c r="AF49" i="9"/>
  <c r="AG49" i="9"/>
  <c r="AI49" i="9"/>
  <c r="AJ49" i="9"/>
  <c r="AK49" i="9"/>
  <c r="AO49" i="9"/>
  <c r="AP49" i="9"/>
  <c r="AQ49" i="9"/>
  <c r="AR49" i="9"/>
  <c r="L50" i="9"/>
  <c r="D51" i="9"/>
  <c r="L51" i="9"/>
  <c r="O51" i="9"/>
  <c r="P51" i="9"/>
  <c r="Q51" i="9"/>
  <c r="S51" i="9"/>
  <c r="T51" i="9"/>
  <c r="U51" i="9"/>
  <c r="W51" i="9"/>
  <c r="X51" i="9"/>
  <c r="Y51" i="9"/>
  <c r="AA51" i="9"/>
  <c r="AB51" i="9"/>
  <c r="AC51" i="9"/>
  <c r="AE51" i="9"/>
  <c r="AF51" i="9"/>
  <c r="AG51" i="9"/>
  <c r="AI51" i="9"/>
  <c r="AJ51" i="9"/>
  <c r="AK51" i="9"/>
  <c r="AO51" i="9"/>
  <c r="AP51" i="9"/>
  <c r="AQ51" i="9"/>
  <c r="AR51" i="9"/>
  <c r="D52" i="9"/>
  <c r="L52" i="9"/>
  <c r="O52" i="9"/>
  <c r="P52" i="9"/>
  <c r="Q52" i="9"/>
  <c r="S52" i="9"/>
  <c r="T52" i="9"/>
  <c r="U52" i="9"/>
  <c r="W52" i="9"/>
  <c r="X52" i="9"/>
  <c r="Y52" i="9"/>
  <c r="AA52" i="9"/>
  <c r="AB52" i="9"/>
  <c r="AC52" i="9"/>
  <c r="AE52" i="9"/>
  <c r="AF52" i="9"/>
  <c r="AG52" i="9"/>
  <c r="AI52" i="9"/>
  <c r="AJ52" i="9"/>
  <c r="AK52" i="9"/>
  <c r="AO52" i="9"/>
  <c r="AP52" i="9"/>
  <c r="AQ52" i="9"/>
  <c r="AR52" i="9"/>
  <c r="D53" i="9"/>
  <c r="L53" i="9"/>
  <c r="O53" i="9"/>
  <c r="P53" i="9"/>
  <c r="Q53" i="9"/>
  <c r="S53" i="9"/>
  <c r="T53" i="9"/>
  <c r="U53" i="9"/>
  <c r="W53" i="9"/>
  <c r="X53" i="9"/>
  <c r="Y53" i="9"/>
  <c r="AA53" i="9"/>
  <c r="AB53" i="9"/>
  <c r="AC53" i="9"/>
  <c r="AE53" i="9"/>
  <c r="AF53" i="9"/>
  <c r="AG53" i="9"/>
  <c r="AI53" i="9"/>
  <c r="AJ53" i="9"/>
  <c r="AK53" i="9"/>
  <c r="AO53" i="9"/>
  <c r="AP53" i="9"/>
  <c r="AQ53" i="9"/>
  <c r="AR53" i="9"/>
  <c r="AO54" i="9"/>
  <c r="AP54" i="9"/>
  <c r="AQ54" i="9"/>
  <c r="AR54" i="9"/>
  <c r="D55" i="9"/>
  <c r="L55" i="9"/>
  <c r="O55" i="9"/>
  <c r="P55" i="9"/>
  <c r="Q55" i="9"/>
  <c r="S55" i="9"/>
  <c r="T55" i="9"/>
  <c r="U55" i="9"/>
  <c r="W55" i="9"/>
  <c r="X55" i="9"/>
  <c r="Y55" i="9"/>
  <c r="AA55" i="9"/>
  <c r="AB55" i="9"/>
  <c r="AC55" i="9"/>
  <c r="AE55" i="9"/>
  <c r="AF55" i="9"/>
  <c r="AG55" i="9"/>
  <c r="AI55" i="9"/>
  <c r="AJ55" i="9"/>
  <c r="AK55" i="9"/>
  <c r="AO55" i="9"/>
  <c r="AP55" i="9"/>
  <c r="AQ55" i="9"/>
  <c r="AR55" i="9"/>
  <c r="D56" i="9"/>
  <c r="L56" i="9"/>
  <c r="O56" i="9"/>
  <c r="P56" i="9"/>
  <c r="Q56" i="9"/>
  <c r="S56" i="9"/>
  <c r="T56" i="9"/>
  <c r="U56" i="9"/>
  <c r="W56" i="9"/>
  <c r="X56" i="9"/>
  <c r="Y56" i="9"/>
  <c r="AA56" i="9"/>
  <c r="AB56" i="9"/>
  <c r="AC56" i="9"/>
  <c r="AE56" i="9"/>
  <c r="AF56" i="9"/>
  <c r="AG56" i="9"/>
  <c r="AI56" i="9"/>
  <c r="AJ56" i="9"/>
  <c r="AK56" i="9"/>
  <c r="D57" i="9"/>
  <c r="L57" i="9"/>
  <c r="O57" i="9"/>
  <c r="P57" i="9"/>
  <c r="Q57" i="9"/>
  <c r="S57" i="9"/>
  <c r="T57" i="9"/>
  <c r="U57" i="9"/>
  <c r="W57" i="9"/>
  <c r="Y57" i="9"/>
  <c r="AA57" i="9"/>
  <c r="AB57" i="9"/>
  <c r="AC57" i="9"/>
  <c r="AE57" i="9"/>
  <c r="AG57" i="9"/>
  <c r="AI57" i="9"/>
  <c r="AJ57" i="9"/>
  <c r="AK57" i="9"/>
  <c r="AP57" i="9"/>
  <c r="S58" i="9"/>
  <c r="U58" i="9"/>
  <c r="W58" i="9"/>
  <c r="Y58" i="9"/>
  <c r="AA58" i="9"/>
  <c r="AC58" i="9"/>
  <c r="AE58" i="9"/>
  <c r="AG58" i="9"/>
  <c r="AI58" i="9"/>
  <c r="AJ58" i="9"/>
  <c r="AK58" i="9"/>
  <c r="AP59" i="9"/>
  <c r="D60" i="9"/>
  <c r="L60" i="9"/>
  <c r="O60" i="9"/>
  <c r="P60" i="9"/>
  <c r="Q60" i="9"/>
  <c r="S60" i="9"/>
  <c r="T60" i="9"/>
  <c r="U60" i="9"/>
  <c r="W60" i="9"/>
  <c r="X60" i="9"/>
  <c r="Y60" i="9"/>
  <c r="AA60" i="9"/>
  <c r="AB60" i="9"/>
  <c r="AC60" i="9"/>
  <c r="AE60" i="9"/>
  <c r="AF60" i="9"/>
  <c r="AG60" i="9"/>
  <c r="AI60" i="9"/>
  <c r="AJ60" i="9"/>
  <c r="AK60" i="9"/>
  <c r="AP60" i="9"/>
  <c r="D61" i="9"/>
  <c r="L61" i="9"/>
  <c r="O61" i="9"/>
  <c r="P61" i="9"/>
  <c r="Q61" i="9"/>
  <c r="S61" i="9"/>
  <c r="T61" i="9"/>
  <c r="U61" i="9"/>
  <c r="W61" i="9"/>
  <c r="X61" i="9"/>
  <c r="Y61" i="9"/>
  <c r="AA61" i="9"/>
  <c r="AB61" i="9"/>
  <c r="AC61" i="9"/>
  <c r="AE61" i="9"/>
  <c r="AF61" i="9"/>
  <c r="AG61" i="9"/>
  <c r="AI61" i="9"/>
  <c r="AJ61" i="9"/>
  <c r="AK61" i="9"/>
  <c r="D62" i="9"/>
  <c r="L62" i="9"/>
  <c r="O62" i="9"/>
  <c r="P62" i="9"/>
  <c r="Q62" i="9"/>
  <c r="S62" i="9"/>
  <c r="T62" i="9"/>
  <c r="U62" i="9"/>
  <c r="W62" i="9"/>
  <c r="X62" i="9"/>
  <c r="Y62" i="9"/>
  <c r="AA62" i="9"/>
  <c r="AB62" i="9"/>
  <c r="AC62" i="9"/>
  <c r="AE62" i="9"/>
  <c r="AF62" i="9"/>
  <c r="AG62" i="9"/>
  <c r="AI62" i="9"/>
  <c r="AJ62" i="9"/>
  <c r="AK62" i="9"/>
  <c r="AP62" i="9"/>
  <c r="AQ62" i="9"/>
  <c r="AR62" i="9"/>
  <c r="D63" i="9"/>
  <c r="AP63" i="9"/>
  <c r="AR63" i="9"/>
  <c r="D64" i="9"/>
  <c r="L64" i="9"/>
  <c r="O64" i="9"/>
  <c r="P64" i="9"/>
  <c r="Q64" i="9"/>
  <c r="S64" i="9"/>
  <c r="T64" i="9"/>
  <c r="U64" i="9"/>
  <c r="W64" i="9"/>
  <c r="X64" i="9"/>
  <c r="Y64" i="9"/>
  <c r="AA64" i="9"/>
  <c r="AB64" i="9"/>
  <c r="AC64" i="9"/>
  <c r="AE64" i="9"/>
  <c r="AF64" i="9"/>
  <c r="AG64" i="9"/>
  <c r="AI64" i="9"/>
  <c r="AJ64" i="9"/>
  <c r="AK64" i="9"/>
  <c r="AP64" i="9"/>
  <c r="AR64" i="9"/>
  <c r="D65" i="9"/>
  <c r="L65" i="9"/>
  <c r="O65" i="9"/>
  <c r="P65" i="9"/>
  <c r="Q65" i="9"/>
  <c r="S65" i="9"/>
  <c r="T65" i="9"/>
  <c r="U65" i="9"/>
  <c r="W65" i="9"/>
  <c r="X65" i="9"/>
  <c r="Y65" i="9"/>
  <c r="AA65" i="9"/>
  <c r="AB65" i="9"/>
  <c r="AC65" i="9"/>
  <c r="AE65" i="9"/>
  <c r="AF65" i="9"/>
  <c r="AG65" i="9"/>
  <c r="AI65" i="9"/>
  <c r="AJ65" i="9"/>
  <c r="AK65" i="9"/>
  <c r="AP65" i="9"/>
  <c r="AQ65" i="9"/>
  <c r="D66" i="9"/>
  <c r="L66" i="9"/>
  <c r="O66" i="9"/>
  <c r="P66" i="9"/>
  <c r="Q66" i="9"/>
  <c r="S66" i="9"/>
  <c r="T66" i="9"/>
  <c r="U66" i="9"/>
  <c r="W66" i="9"/>
  <c r="X66" i="9"/>
  <c r="Y66" i="9"/>
  <c r="AA66" i="9"/>
  <c r="AB66" i="9"/>
  <c r="AC66" i="9"/>
  <c r="AE66" i="9"/>
  <c r="AF66" i="9"/>
  <c r="AG66" i="9"/>
  <c r="AI66" i="9"/>
  <c r="AJ66" i="9"/>
  <c r="AK66" i="9"/>
  <c r="AP66" i="9"/>
  <c r="AQ66" i="9"/>
  <c r="D68" i="9"/>
  <c r="L68" i="9"/>
  <c r="O68" i="9"/>
  <c r="P68" i="9"/>
  <c r="Q68" i="9"/>
  <c r="S68" i="9"/>
  <c r="T68" i="9"/>
  <c r="U68" i="9"/>
  <c r="W68" i="9"/>
  <c r="X68" i="9"/>
  <c r="Y68" i="9"/>
  <c r="AA68" i="9"/>
  <c r="AB68" i="9"/>
  <c r="AC68" i="9"/>
  <c r="AE68" i="9"/>
  <c r="AF68" i="9"/>
  <c r="AG68" i="9"/>
  <c r="AI68" i="9"/>
  <c r="AJ68" i="9"/>
  <c r="AK68" i="9"/>
  <c r="AP68" i="9"/>
  <c r="D69" i="9"/>
  <c r="L69" i="9"/>
  <c r="O69" i="9"/>
  <c r="P69" i="9"/>
  <c r="Q69" i="9"/>
  <c r="S69" i="9"/>
  <c r="T69" i="9"/>
  <c r="U69" i="9"/>
  <c r="W69" i="9"/>
  <c r="X69" i="9"/>
  <c r="Y69" i="9"/>
  <c r="AA69" i="9"/>
  <c r="AB69" i="9"/>
  <c r="AC69" i="9"/>
  <c r="AE69" i="9"/>
  <c r="AF69" i="9"/>
  <c r="AG69" i="9"/>
  <c r="AI69" i="9"/>
  <c r="AJ69" i="9"/>
  <c r="AK69" i="9"/>
  <c r="D70" i="9"/>
  <c r="L70" i="9"/>
  <c r="O70" i="9"/>
  <c r="P70" i="9"/>
  <c r="Q70" i="9"/>
  <c r="S70" i="9"/>
  <c r="T70" i="9"/>
  <c r="U70" i="9"/>
  <c r="W70" i="9"/>
  <c r="X70" i="9"/>
  <c r="Y70" i="9"/>
  <c r="AA70" i="9"/>
  <c r="AB70" i="9"/>
  <c r="AC70" i="9"/>
  <c r="AE70" i="9"/>
  <c r="AF70" i="9"/>
  <c r="AG70" i="9"/>
  <c r="AI70" i="9"/>
  <c r="AJ70" i="9"/>
  <c r="AK70" i="9"/>
  <c r="AP70" i="9"/>
  <c r="D71" i="9"/>
  <c r="L71" i="9"/>
  <c r="O71" i="9"/>
  <c r="P71" i="9"/>
  <c r="Q71" i="9"/>
  <c r="S71" i="9"/>
  <c r="T71" i="9"/>
  <c r="U71" i="9"/>
  <c r="W71" i="9"/>
  <c r="X71" i="9"/>
  <c r="Y71" i="9"/>
  <c r="AA71" i="9"/>
  <c r="AB71" i="9"/>
  <c r="AC71" i="9"/>
  <c r="AE71" i="9"/>
  <c r="AF71" i="9"/>
  <c r="AG71" i="9"/>
  <c r="AI71" i="9"/>
  <c r="AJ71" i="9"/>
  <c r="AK71" i="9"/>
  <c r="AP71" i="9"/>
  <c r="AR71" i="9"/>
  <c r="D72" i="9"/>
  <c r="L72" i="9"/>
  <c r="O72" i="9"/>
  <c r="P72" i="9"/>
  <c r="Q72" i="9"/>
  <c r="S72" i="9"/>
  <c r="T72" i="9"/>
  <c r="U72" i="9"/>
  <c r="W72" i="9"/>
  <c r="X72" i="9"/>
  <c r="Y72" i="9"/>
  <c r="AA72" i="9"/>
  <c r="AB72" i="9"/>
  <c r="AC72" i="9"/>
  <c r="AE72" i="9"/>
  <c r="AF72" i="9"/>
  <c r="AG72" i="9"/>
  <c r="AI72" i="9"/>
  <c r="AJ72" i="9"/>
  <c r="AK72" i="9"/>
  <c r="AP72" i="9"/>
  <c r="AR72" i="9"/>
  <c r="D73" i="9"/>
  <c r="L73" i="9"/>
  <c r="O73" i="9"/>
  <c r="P73" i="9"/>
  <c r="Q73" i="9"/>
  <c r="S73" i="9"/>
  <c r="T73" i="9"/>
  <c r="U73" i="9"/>
  <c r="W73" i="9"/>
  <c r="X73" i="9"/>
  <c r="Y73" i="9"/>
  <c r="AA73" i="9"/>
  <c r="AB73" i="9"/>
  <c r="AC73" i="9"/>
  <c r="AE73" i="9"/>
  <c r="AF73" i="9"/>
  <c r="AG73" i="9"/>
  <c r="AI73" i="9"/>
  <c r="AJ73" i="9"/>
  <c r="AK73" i="9"/>
  <c r="AP73" i="9"/>
  <c r="D74" i="9"/>
  <c r="L74" i="9"/>
  <c r="O74" i="9"/>
  <c r="P74" i="9"/>
  <c r="Q74" i="9"/>
  <c r="S74" i="9"/>
  <c r="T74" i="9"/>
  <c r="U74" i="9"/>
  <c r="W74" i="9"/>
  <c r="X74" i="9"/>
  <c r="Y74" i="9"/>
  <c r="AA74" i="9"/>
  <c r="AB74" i="9"/>
  <c r="AC74" i="9"/>
  <c r="AE74" i="9"/>
  <c r="AF74" i="9"/>
  <c r="AG74" i="9"/>
  <c r="AI74" i="9"/>
  <c r="AJ74" i="9"/>
  <c r="AK74" i="9"/>
  <c r="AP74" i="9"/>
  <c r="D75" i="9"/>
  <c r="L75" i="9"/>
  <c r="O75" i="9"/>
  <c r="P75" i="9"/>
  <c r="Q75" i="9"/>
  <c r="S75" i="9"/>
  <c r="T75" i="9"/>
  <c r="U75" i="9"/>
  <c r="W75" i="9"/>
  <c r="X75" i="9"/>
  <c r="Y75" i="9"/>
  <c r="AA75" i="9"/>
  <c r="AB75" i="9"/>
  <c r="AC75" i="9"/>
  <c r="AE75" i="9"/>
  <c r="AF75" i="9"/>
  <c r="AG75" i="9"/>
  <c r="AI75" i="9"/>
  <c r="AJ75" i="9"/>
  <c r="AK75" i="9"/>
  <c r="AP75" i="9"/>
  <c r="D76" i="9"/>
  <c r="L76" i="9"/>
  <c r="P76" i="9"/>
  <c r="Q76" i="9"/>
  <c r="S76" i="9"/>
  <c r="T76" i="9"/>
  <c r="U76" i="9"/>
  <c r="W76" i="9"/>
  <c r="X76" i="9"/>
  <c r="Y76" i="9"/>
  <c r="AA76" i="9"/>
  <c r="AB76" i="9"/>
  <c r="AC76" i="9"/>
  <c r="AE76" i="9"/>
  <c r="AF76" i="9"/>
  <c r="AG76" i="9"/>
  <c r="AI76" i="9"/>
  <c r="AJ76" i="9"/>
  <c r="AK76" i="9"/>
  <c r="D77" i="9"/>
  <c r="L77" i="9"/>
  <c r="P77" i="9"/>
  <c r="Q77" i="9"/>
  <c r="S77" i="9"/>
  <c r="T77" i="9"/>
  <c r="U77" i="9"/>
  <c r="W77" i="9"/>
  <c r="X77" i="9"/>
  <c r="Y77" i="9"/>
  <c r="AA77" i="9"/>
  <c r="AB77" i="9"/>
  <c r="AC77" i="9"/>
  <c r="AE77" i="9"/>
  <c r="AF77" i="9"/>
  <c r="AG77" i="9"/>
  <c r="AI77" i="9"/>
  <c r="AJ77" i="9"/>
  <c r="AK77" i="9"/>
  <c r="AP77" i="9"/>
  <c r="AR77" i="9"/>
  <c r="D78" i="9"/>
  <c r="L78" i="9"/>
  <c r="P78" i="9"/>
  <c r="Q78" i="9"/>
  <c r="S78" i="9"/>
  <c r="T78" i="9"/>
  <c r="U78" i="9"/>
  <c r="W78" i="9"/>
  <c r="X78" i="9"/>
  <c r="Y78" i="9"/>
  <c r="AA78" i="9"/>
  <c r="AB78" i="9"/>
  <c r="AC78" i="9"/>
  <c r="AE78" i="9"/>
  <c r="AF78" i="9"/>
  <c r="AG78" i="9"/>
  <c r="AI78" i="9"/>
  <c r="AJ78" i="9"/>
  <c r="AK78" i="9"/>
  <c r="AP78" i="9"/>
  <c r="AR78" i="9"/>
  <c r="D79" i="9"/>
  <c r="L79" i="9"/>
  <c r="O79" i="9"/>
  <c r="P79" i="9"/>
  <c r="Q79" i="9"/>
  <c r="S79" i="9"/>
  <c r="U79" i="9"/>
  <c r="W79" i="9"/>
  <c r="Y79" i="9"/>
  <c r="AA79" i="9"/>
  <c r="AC79" i="9"/>
  <c r="AE79" i="9"/>
  <c r="AF79" i="9"/>
  <c r="AG79" i="9"/>
  <c r="AI79" i="9"/>
  <c r="AJ79" i="9"/>
  <c r="AK79" i="9"/>
  <c r="AP79" i="9"/>
  <c r="D80" i="9"/>
  <c r="L80" i="9"/>
  <c r="O80" i="9"/>
  <c r="P80" i="9"/>
  <c r="Q80" i="9"/>
  <c r="S80" i="9"/>
  <c r="U80" i="9"/>
  <c r="W80" i="9"/>
  <c r="Y80" i="9"/>
  <c r="AA80" i="9"/>
  <c r="AC80" i="9"/>
  <c r="AE80" i="9"/>
  <c r="AG80" i="9"/>
  <c r="AI80" i="9"/>
  <c r="AJ80" i="9"/>
  <c r="AK80" i="9"/>
  <c r="AP80" i="9"/>
  <c r="D81" i="9"/>
  <c r="L81" i="9"/>
  <c r="O81" i="9"/>
  <c r="P81" i="9"/>
  <c r="Q81" i="9"/>
  <c r="S81" i="9"/>
  <c r="U81" i="9"/>
  <c r="W81" i="9"/>
  <c r="Y81" i="9"/>
  <c r="AA81" i="9"/>
  <c r="AC81" i="9"/>
  <c r="AE81" i="9"/>
  <c r="AG81" i="9"/>
  <c r="AI81" i="9"/>
  <c r="AJ81" i="9"/>
  <c r="AK81" i="9"/>
  <c r="AP81" i="9"/>
  <c r="D83" i="9"/>
  <c r="L83" i="9"/>
  <c r="O83" i="9"/>
  <c r="P83" i="9"/>
  <c r="Q83" i="9"/>
  <c r="S83" i="9"/>
  <c r="T83" i="9"/>
  <c r="U83" i="9"/>
  <c r="W83" i="9"/>
  <c r="X83" i="9"/>
  <c r="Y83" i="9"/>
  <c r="AA83" i="9"/>
  <c r="AB83" i="9"/>
  <c r="AC83" i="9"/>
  <c r="AE83" i="9"/>
  <c r="AF83" i="9"/>
  <c r="AG83" i="9"/>
  <c r="AI83" i="9"/>
  <c r="AJ83" i="9"/>
  <c r="AK83" i="9"/>
  <c r="D84" i="9"/>
  <c r="L84" i="9"/>
  <c r="O84" i="9"/>
  <c r="P84" i="9"/>
  <c r="Q84" i="9"/>
  <c r="S84" i="9"/>
  <c r="T84" i="9"/>
  <c r="U84" i="9"/>
  <c r="W84" i="9"/>
  <c r="X84" i="9"/>
  <c r="Y84" i="9"/>
  <c r="AA84" i="9"/>
  <c r="AB84" i="9"/>
  <c r="AC84" i="9"/>
  <c r="AE84" i="9"/>
  <c r="AF84" i="9"/>
  <c r="AG84" i="9"/>
  <c r="AI84" i="9"/>
  <c r="AJ84" i="9"/>
  <c r="AK84" i="9"/>
  <c r="AP84" i="9"/>
  <c r="D85" i="9"/>
  <c r="L85" i="9"/>
  <c r="O85" i="9"/>
  <c r="P85" i="9"/>
  <c r="Q85" i="9"/>
  <c r="S85" i="9"/>
  <c r="T85" i="9"/>
  <c r="U85" i="9"/>
  <c r="W85" i="9"/>
  <c r="X85" i="9"/>
  <c r="Y85" i="9"/>
  <c r="AA85" i="9"/>
  <c r="AB85" i="9"/>
  <c r="AC85" i="9"/>
  <c r="AE85" i="9"/>
  <c r="AF85" i="9"/>
  <c r="AG85" i="9"/>
  <c r="AI85" i="9"/>
  <c r="AJ85" i="9"/>
  <c r="AK85" i="9"/>
  <c r="AP85" i="9"/>
  <c r="D86" i="9"/>
  <c r="L86" i="9"/>
  <c r="O86" i="9"/>
  <c r="P86" i="9"/>
  <c r="Q86" i="9"/>
  <c r="S86" i="9"/>
  <c r="T86" i="9"/>
  <c r="U86" i="9"/>
  <c r="W86" i="9"/>
  <c r="X86" i="9"/>
  <c r="Y86" i="9"/>
  <c r="AA86" i="9"/>
  <c r="AB86" i="9"/>
  <c r="AC86" i="9"/>
  <c r="AE86" i="9"/>
  <c r="AF86" i="9"/>
  <c r="AG86" i="9"/>
  <c r="AI86" i="9"/>
  <c r="AJ86" i="9"/>
  <c r="AK86" i="9"/>
  <c r="AP86" i="9"/>
  <c r="D87" i="9"/>
  <c r="L87" i="9"/>
  <c r="O87" i="9"/>
  <c r="P87" i="9"/>
  <c r="Q87" i="9"/>
  <c r="S87" i="9"/>
  <c r="T87" i="9"/>
  <c r="U87" i="9"/>
  <c r="W87" i="9"/>
  <c r="X87" i="9"/>
  <c r="Y87" i="9"/>
  <c r="AA87" i="9"/>
  <c r="AB87" i="9"/>
  <c r="AC87" i="9"/>
  <c r="AE87" i="9"/>
  <c r="AF87" i="9"/>
  <c r="AG87" i="9"/>
  <c r="AI87" i="9"/>
  <c r="AJ87" i="9"/>
  <c r="AK87" i="9"/>
  <c r="AP87" i="9"/>
  <c r="D88" i="9"/>
  <c r="L88" i="9"/>
  <c r="O88" i="9"/>
  <c r="P88" i="9"/>
  <c r="Q88" i="9"/>
  <c r="S88" i="9"/>
  <c r="T88" i="9"/>
  <c r="U88" i="9"/>
  <c r="W88" i="9"/>
  <c r="X88" i="9"/>
  <c r="Y88" i="9"/>
  <c r="AA88" i="9"/>
  <c r="AB88" i="9"/>
  <c r="AC88" i="9"/>
  <c r="AE88" i="9"/>
  <c r="AF88" i="9"/>
  <c r="AG88" i="9"/>
  <c r="AI88" i="9"/>
  <c r="AJ88" i="9"/>
  <c r="AK88" i="9"/>
  <c r="AP88" i="9"/>
  <c r="D89" i="9"/>
  <c r="L89" i="9"/>
  <c r="O89" i="9"/>
  <c r="P89" i="9"/>
  <c r="Q89" i="9"/>
  <c r="S89" i="9"/>
  <c r="T89" i="9"/>
  <c r="U89" i="9"/>
  <c r="W89" i="9"/>
  <c r="X89" i="9"/>
  <c r="Y89" i="9"/>
  <c r="AA89" i="9"/>
  <c r="AB89" i="9"/>
  <c r="AC89" i="9"/>
  <c r="AE89" i="9"/>
  <c r="AF89" i="9"/>
  <c r="AG89" i="9"/>
  <c r="AI89" i="9"/>
  <c r="AJ89" i="9"/>
  <c r="AK89" i="9"/>
  <c r="AP89" i="9"/>
  <c r="D90" i="9"/>
  <c r="L90" i="9"/>
  <c r="O90" i="9"/>
  <c r="P90" i="9"/>
  <c r="Q90" i="9"/>
  <c r="S90" i="9"/>
  <c r="T90" i="9"/>
  <c r="U90" i="9"/>
  <c r="W90" i="9"/>
  <c r="X90" i="9"/>
  <c r="Y90" i="9"/>
  <c r="AA90" i="9"/>
  <c r="AB90" i="9"/>
  <c r="AC90" i="9"/>
  <c r="AE90" i="9"/>
  <c r="AF90" i="9"/>
  <c r="AG90" i="9"/>
  <c r="AI90" i="9"/>
  <c r="AJ90" i="9"/>
  <c r="AK90" i="9"/>
  <c r="AP90" i="9"/>
  <c r="O92" i="9"/>
  <c r="P92" i="9"/>
  <c r="W92" i="9"/>
  <c r="X92" i="9"/>
  <c r="Y92" i="9"/>
  <c r="AA92" i="9"/>
  <c r="AB92" i="9"/>
  <c r="AC92" i="9"/>
  <c r="AE92" i="9"/>
  <c r="AF92" i="9"/>
  <c r="AG92" i="9"/>
  <c r="AI92" i="9"/>
  <c r="AJ92" i="9"/>
  <c r="AK92" i="9"/>
  <c r="O94" i="9"/>
  <c r="P94" i="9"/>
  <c r="W94" i="9"/>
  <c r="X94" i="9"/>
  <c r="Y94" i="9"/>
  <c r="AA94" i="9"/>
  <c r="AB94" i="9"/>
  <c r="AC94" i="9"/>
  <c r="AI94" i="9"/>
  <c r="AJ94" i="9"/>
  <c r="AK94" i="9"/>
  <c r="O95" i="9"/>
  <c r="P95" i="9"/>
  <c r="W95" i="9"/>
  <c r="X95" i="9"/>
  <c r="Y95" i="9"/>
  <c r="AA95" i="9"/>
  <c r="AB95" i="9"/>
  <c r="AC95" i="9"/>
  <c r="AI95" i="9"/>
  <c r="AJ95" i="9"/>
  <c r="AK95" i="9"/>
  <c r="O96" i="9"/>
  <c r="P96" i="9"/>
  <c r="W96" i="9"/>
  <c r="X96" i="9"/>
  <c r="Y96" i="9"/>
  <c r="AA96" i="9"/>
  <c r="AB96" i="9"/>
  <c r="AC96" i="9"/>
  <c r="AI96" i="9"/>
  <c r="AJ96" i="9"/>
  <c r="AK96" i="9"/>
  <c r="O97" i="9"/>
  <c r="P97" i="9"/>
  <c r="W97" i="9"/>
  <c r="X97" i="9"/>
  <c r="Y97" i="9"/>
  <c r="AA97" i="9"/>
  <c r="AB97" i="9"/>
  <c r="AC97" i="9"/>
  <c r="AI97" i="9"/>
  <c r="AJ97" i="9"/>
  <c r="AK97" i="9"/>
  <c r="O98" i="9"/>
  <c r="P98" i="9"/>
  <c r="W98" i="9"/>
  <c r="X98" i="9"/>
  <c r="Y98" i="9"/>
  <c r="AA98" i="9"/>
  <c r="AB98" i="9"/>
  <c r="AC98" i="9"/>
  <c r="AI98" i="9"/>
  <c r="AJ98" i="9"/>
  <c r="AK98" i="9"/>
  <c r="O99" i="9"/>
  <c r="P99" i="9"/>
  <c r="W99" i="9"/>
  <c r="X99" i="9"/>
  <c r="Y99" i="9"/>
  <c r="AA99" i="9"/>
  <c r="AB99" i="9"/>
  <c r="AC99" i="9"/>
  <c r="AI99" i="9"/>
  <c r="AJ99" i="9"/>
  <c r="AK99" i="9"/>
  <c r="O100" i="9"/>
  <c r="P100" i="9"/>
  <c r="W100" i="9"/>
  <c r="X100" i="9"/>
  <c r="Y100" i="9"/>
  <c r="AA100" i="9"/>
  <c r="AB100" i="9"/>
  <c r="AC100" i="9"/>
  <c r="AI100" i="9"/>
  <c r="AJ100" i="9"/>
  <c r="AK100" i="9"/>
  <c r="O101" i="9"/>
  <c r="P101" i="9"/>
  <c r="W101" i="9"/>
  <c r="X101" i="9"/>
  <c r="Y101" i="9"/>
  <c r="AA101" i="9"/>
  <c r="AB101" i="9"/>
  <c r="AC101" i="9"/>
  <c r="AI101" i="9"/>
  <c r="AJ101" i="9"/>
  <c r="AK101" i="9"/>
  <c r="O102" i="9"/>
  <c r="P102" i="9"/>
  <c r="W102" i="9"/>
  <c r="X102" i="9"/>
  <c r="Y102" i="9"/>
  <c r="AA102" i="9"/>
  <c r="AB102" i="9"/>
  <c r="AC102" i="9"/>
  <c r="AI102" i="9"/>
  <c r="AJ102" i="9"/>
  <c r="AK102" i="9"/>
  <c r="O103" i="9"/>
  <c r="P103" i="9"/>
  <c r="W103" i="9"/>
  <c r="X103" i="9"/>
  <c r="Y103" i="9"/>
  <c r="AA103" i="9"/>
  <c r="AB103" i="9"/>
  <c r="AC103" i="9"/>
  <c r="AI103" i="9"/>
  <c r="AJ103" i="9"/>
  <c r="AK103" i="9"/>
  <c r="O104" i="9"/>
  <c r="P104" i="9"/>
  <c r="W104" i="9"/>
  <c r="X104" i="9"/>
  <c r="Y104" i="9"/>
  <c r="AA104" i="9"/>
  <c r="AB104" i="9"/>
  <c r="AC104" i="9"/>
  <c r="AI104" i="9"/>
  <c r="AJ104" i="9"/>
  <c r="AK104" i="9"/>
  <c r="O105" i="9"/>
  <c r="P105" i="9"/>
  <c r="W105" i="9"/>
  <c r="X105" i="9"/>
  <c r="Y105" i="9"/>
  <c r="AA105" i="9"/>
  <c r="AB105" i="9"/>
  <c r="AC105" i="9"/>
  <c r="AI105" i="9"/>
  <c r="AJ105" i="9"/>
  <c r="AK105" i="9"/>
  <c r="O106" i="9"/>
  <c r="P106" i="9"/>
  <c r="W106" i="9"/>
  <c r="X106" i="9"/>
  <c r="Y106" i="9"/>
  <c r="AA106" i="9"/>
  <c r="AB106" i="9"/>
  <c r="AC106" i="9"/>
  <c r="AI106" i="9"/>
  <c r="AJ106" i="9"/>
  <c r="AK106" i="9"/>
  <c r="O107" i="9"/>
  <c r="P107" i="9"/>
  <c r="W107" i="9"/>
  <c r="X107" i="9"/>
  <c r="Y107" i="9"/>
  <c r="AA107" i="9"/>
  <c r="AB107" i="9"/>
  <c r="AC107" i="9"/>
  <c r="AE107" i="9"/>
  <c r="AF107" i="9"/>
  <c r="AG107" i="9"/>
  <c r="AI107" i="9"/>
  <c r="AJ107" i="9"/>
  <c r="AK107" i="9"/>
  <c r="O108" i="9"/>
  <c r="P108" i="9"/>
  <c r="W108" i="9"/>
  <c r="X108" i="9"/>
  <c r="Y108" i="9"/>
  <c r="AA108" i="9"/>
  <c r="AB108" i="9"/>
  <c r="AC108" i="9"/>
  <c r="AE108" i="9"/>
  <c r="AF108" i="9"/>
  <c r="AG108" i="9"/>
  <c r="AI108" i="9"/>
  <c r="AJ108" i="9"/>
  <c r="AK108" i="9"/>
  <c r="O109" i="9"/>
  <c r="P109" i="9"/>
  <c r="W109" i="9"/>
  <c r="X109" i="9"/>
  <c r="Y109" i="9"/>
  <c r="AA109" i="9"/>
  <c r="AB109" i="9"/>
  <c r="AC109" i="9"/>
  <c r="AI109" i="9"/>
  <c r="AJ109" i="9"/>
  <c r="AK109" i="9"/>
  <c r="O110" i="9"/>
  <c r="P110" i="9"/>
  <c r="W110" i="9"/>
  <c r="X110" i="9"/>
  <c r="Y110" i="9"/>
  <c r="AA110" i="9"/>
  <c r="AB110" i="9"/>
  <c r="AC110" i="9"/>
  <c r="AE110" i="9"/>
  <c r="AF110" i="9"/>
  <c r="AG110" i="9"/>
  <c r="AI110" i="9"/>
  <c r="AJ110" i="9"/>
  <c r="AK110" i="9"/>
  <c r="O112" i="9"/>
  <c r="P112" i="9"/>
  <c r="W112" i="9"/>
  <c r="X112" i="9"/>
  <c r="Y112" i="9"/>
  <c r="AA112" i="9"/>
  <c r="AB112" i="9"/>
  <c r="AC112" i="9"/>
  <c r="AE112" i="9"/>
  <c r="AF112" i="9"/>
  <c r="AG112" i="9"/>
  <c r="AI112" i="9"/>
  <c r="AJ112" i="9"/>
  <c r="AK112" i="9"/>
  <c r="M113" i="9"/>
  <c r="O113" i="9"/>
  <c r="P113" i="9"/>
  <c r="W113" i="9"/>
  <c r="X113" i="9"/>
  <c r="Y113" i="9"/>
  <c r="AA113" i="9"/>
  <c r="AB113" i="9"/>
  <c r="AC113" i="9"/>
  <c r="AI113" i="9"/>
  <c r="AJ113" i="9"/>
  <c r="AK113" i="9"/>
  <c r="M114" i="9"/>
  <c r="O114" i="9"/>
  <c r="P114" i="9"/>
  <c r="W114" i="9"/>
  <c r="X114" i="9"/>
  <c r="Y114" i="9"/>
  <c r="AA114" i="9"/>
  <c r="AB114" i="9"/>
  <c r="AC114" i="9"/>
  <c r="AE114" i="9"/>
  <c r="AF114" i="9"/>
  <c r="AG114" i="9"/>
  <c r="AI114" i="9"/>
  <c r="AJ114" i="9"/>
  <c r="AK114" i="9"/>
  <c r="O115" i="9"/>
  <c r="P115" i="9"/>
  <c r="W115" i="9"/>
  <c r="X115" i="9"/>
  <c r="Y115" i="9"/>
  <c r="AA115" i="9"/>
  <c r="AB115" i="9"/>
  <c r="AC115" i="9"/>
  <c r="AE115" i="9"/>
  <c r="AF115" i="9"/>
  <c r="AG115" i="9"/>
  <c r="AI115" i="9"/>
  <c r="AJ115" i="9"/>
  <c r="AK115" i="9"/>
  <c r="N116" i="9"/>
  <c r="O116" i="9"/>
  <c r="P116" i="9"/>
  <c r="W116" i="9"/>
  <c r="X116" i="9"/>
  <c r="Y116" i="9"/>
  <c r="AA116" i="9"/>
  <c r="AB116" i="9"/>
  <c r="AC116" i="9"/>
  <c r="AE116" i="9"/>
  <c r="AF116" i="9"/>
  <c r="AG116" i="9"/>
  <c r="AI116" i="9"/>
  <c r="AJ116" i="9"/>
  <c r="AK116" i="9"/>
  <c r="O117" i="9"/>
  <c r="P117" i="9"/>
  <c r="W117" i="9"/>
  <c r="X117" i="9"/>
  <c r="Y117" i="9"/>
  <c r="AA117" i="9"/>
  <c r="AB117" i="9"/>
  <c r="AC117" i="9"/>
  <c r="AE117" i="9"/>
  <c r="AF117" i="9"/>
  <c r="AG117" i="9"/>
  <c r="AI117" i="9"/>
  <c r="AJ117" i="9"/>
  <c r="AK117" i="9"/>
  <c r="O118" i="9"/>
  <c r="P118" i="9"/>
  <c r="W118" i="9"/>
  <c r="X118" i="9"/>
  <c r="Y118" i="9"/>
  <c r="AA118" i="9"/>
  <c r="AB118" i="9"/>
  <c r="AC118" i="9"/>
  <c r="AE118" i="9"/>
  <c r="AF118" i="9"/>
  <c r="AG118" i="9"/>
  <c r="AI118" i="9"/>
  <c r="AJ118" i="9"/>
  <c r="AK118" i="9"/>
  <c r="O119" i="9"/>
  <c r="P119" i="9"/>
  <c r="W119" i="9"/>
  <c r="X119" i="9"/>
  <c r="Y119" i="9"/>
  <c r="AA119" i="9"/>
  <c r="AB119" i="9"/>
  <c r="AC119" i="9"/>
  <c r="AE119" i="9"/>
  <c r="AF119" i="9"/>
  <c r="AG119" i="9"/>
  <c r="AI119" i="9"/>
  <c r="AJ119" i="9"/>
  <c r="AK119" i="9"/>
  <c r="O120" i="9"/>
  <c r="P120" i="9"/>
  <c r="W120" i="9"/>
  <c r="X120" i="9"/>
  <c r="Y120" i="9"/>
  <c r="AA120" i="9"/>
  <c r="AB120" i="9"/>
  <c r="AC120" i="9"/>
  <c r="AE120" i="9"/>
  <c r="AF120" i="9"/>
  <c r="AG120" i="9"/>
  <c r="AI120" i="9"/>
  <c r="AJ120" i="9"/>
  <c r="AK120" i="9"/>
  <c r="O121" i="9"/>
  <c r="P121" i="9"/>
  <c r="W121" i="9"/>
  <c r="X121" i="9"/>
  <c r="Y121" i="9"/>
  <c r="AA121" i="9"/>
  <c r="AB121" i="9"/>
  <c r="AC121" i="9"/>
  <c r="AE121" i="9"/>
  <c r="AF121" i="9"/>
  <c r="AG121" i="9"/>
  <c r="AI121" i="9"/>
  <c r="AJ121" i="9"/>
  <c r="AK121" i="9"/>
  <c r="O122" i="9"/>
  <c r="P122" i="9"/>
  <c r="W122" i="9"/>
  <c r="X122" i="9"/>
  <c r="Y122" i="9"/>
  <c r="AA122" i="9"/>
  <c r="AB122" i="9"/>
  <c r="AC122" i="9"/>
  <c r="AE122" i="9"/>
  <c r="AF122" i="9"/>
  <c r="AG122" i="9"/>
  <c r="AI122" i="9"/>
  <c r="AJ122" i="9"/>
  <c r="AK122" i="9"/>
  <c r="O123" i="9"/>
  <c r="P123" i="9"/>
  <c r="W123" i="9"/>
  <c r="X123" i="9"/>
  <c r="Y123" i="9"/>
  <c r="AA123" i="9"/>
  <c r="AB123" i="9"/>
  <c r="AC123" i="9"/>
  <c r="AE123" i="9"/>
  <c r="AF123" i="9"/>
  <c r="AG123" i="9"/>
  <c r="AI123" i="9"/>
  <c r="AJ123" i="9"/>
  <c r="AK123" i="9"/>
  <c r="O124" i="9"/>
  <c r="P124" i="9"/>
  <c r="W124" i="9"/>
  <c r="X124" i="9"/>
  <c r="Y124" i="9"/>
  <c r="AA124" i="9"/>
  <c r="AB124" i="9"/>
  <c r="AC124" i="9"/>
  <c r="AE124" i="9"/>
  <c r="AF124" i="9"/>
  <c r="AG124" i="9"/>
  <c r="AI124" i="9"/>
  <c r="AJ124" i="9"/>
  <c r="AK124" i="9"/>
  <c r="O125" i="9"/>
  <c r="P125" i="9"/>
  <c r="W125" i="9"/>
  <c r="X125" i="9"/>
  <c r="Y125" i="9"/>
  <c r="AA125" i="9"/>
  <c r="AB125" i="9"/>
  <c r="AC125" i="9"/>
  <c r="AE125" i="9"/>
  <c r="AF125" i="9"/>
  <c r="AG125" i="9"/>
  <c r="AI125" i="9"/>
  <c r="AJ125" i="9"/>
  <c r="AK125" i="9"/>
  <c r="W126" i="9"/>
  <c r="X126" i="9"/>
  <c r="Y126" i="9"/>
  <c r="AA126" i="9"/>
  <c r="AB126" i="9"/>
  <c r="AC126" i="9"/>
  <c r="AE126" i="9"/>
  <c r="AF126" i="9"/>
  <c r="AG126" i="9"/>
  <c r="AI126" i="9"/>
  <c r="AJ126" i="9"/>
  <c r="AK126" i="9"/>
  <c r="W127" i="9"/>
  <c r="X127" i="9"/>
  <c r="Y127" i="9"/>
  <c r="AA127" i="9"/>
  <c r="AB127" i="9"/>
  <c r="AC127" i="9"/>
  <c r="AE127" i="9"/>
  <c r="AF127" i="9"/>
  <c r="AG127" i="9"/>
  <c r="AI127" i="9"/>
  <c r="AJ127" i="9"/>
  <c r="AK127" i="9"/>
  <c r="W130" i="9"/>
  <c r="X130" i="9"/>
  <c r="Y130" i="9"/>
  <c r="AA130" i="9"/>
  <c r="AB130" i="9"/>
  <c r="AC130" i="9"/>
  <c r="AE130" i="9"/>
  <c r="AF130" i="9"/>
  <c r="AG130" i="9"/>
  <c r="AI130" i="9"/>
  <c r="AJ130" i="9"/>
  <c r="AK130" i="9"/>
  <c r="O131" i="9"/>
  <c r="W131" i="9"/>
  <c r="X131" i="9"/>
  <c r="Y131" i="9"/>
  <c r="AA131" i="9"/>
  <c r="AB131" i="9"/>
  <c r="AC131" i="9"/>
  <c r="AE131" i="9"/>
  <c r="AF131" i="9"/>
  <c r="AG131" i="9"/>
  <c r="AI131" i="9"/>
  <c r="AJ131" i="9"/>
  <c r="AK131" i="9"/>
  <c r="O132" i="9"/>
  <c r="W132" i="9"/>
  <c r="X132" i="9"/>
  <c r="Y132" i="9"/>
  <c r="AA132" i="9"/>
  <c r="AB132" i="9"/>
  <c r="AC132" i="9"/>
  <c r="AE132" i="9"/>
  <c r="AF132" i="9"/>
  <c r="AG132" i="9"/>
  <c r="AI132" i="9"/>
  <c r="AJ132" i="9"/>
  <c r="AK132" i="9"/>
  <c r="O133" i="9"/>
  <c r="W133" i="9"/>
  <c r="X133" i="9"/>
  <c r="Y133" i="9"/>
  <c r="AA133" i="9"/>
  <c r="AB133" i="9"/>
  <c r="AC133" i="9"/>
  <c r="AE133" i="9"/>
  <c r="AF133" i="9"/>
  <c r="AG133" i="9"/>
  <c r="AI133" i="9"/>
  <c r="AJ133" i="9"/>
  <c r="AK133" i="9"/>
  <c r="O134" i="9"/>
  <c r="W134" i="9"/>
  <c r="X134" i="9"/>
  <c r="Y134" i="9"/>
  <c r="AA134" i="9"/>
  <c r="AB134" i="9"/>
  <c r="AC134" i="9"/>
  <c r="AE134" i="9"/>
  <c r="AF134" i="9"/>
  <c r="AG134" i="9"/>
  <c r="AI134" i="9"/>
  <c r="AJ134" i="9"/>
  <c r="AK134" i="9"/>
  <c r="O136" i="9"/>
  <c r="W136" i="9"/>
  <c r="X136" i="9"/>
  <c r="Y136" i="9"/>
  <c r="AA136" i="9"/>
  <c r="AB136" i="9"/>
  <c r="AC136" i="9"/>
  <c r="AE136" i="9"/>
  <c r="AF136" i="9"/>
  <c r="AG136" i="9"/>
  <c r="AI136" i="9"/>
  <c r="AJ136" i="9"/>
  <c r="AK136" i="9"/>
  <c r="X137" i="9"/>
  <c r="AB137" i="9"/>
  <c r="AI137" i="9"/>
  <c r="X138" i="9"/>
  <c r="AB138" i="9"/>
  <c r="AF138" i="9"/>
  <c r="AG138" i="9"/>
  <c r="AI138" i="9"/>
  <c r="X139" i="9"/>
  <c r="AB139" i="9"/>
  <c r="AF139" i="9"/>
  <c r="AI139" i="9"/>
  <c r="X140" i="9"/>
  <c r="AB140" i="9"/>
  <c r="AF140" i="9"/>
  <c r="AI140" i="9"/>
  <c r="W142" i="9"/>
  <c r="X142" i="9"/>
  <c r="Y142" i="9"/>
  <c r="AA142" i="9"/>
  <c r="AB142" i="9"/>
  <c r="AC142" i="9"/>
  <c r="AE142" i="9"/>
  <c r="AF142" i="9"/>
  <c r="AG142" i="9"/>
  <c r="AI142" i="9"/>
  <c r="AJ142" i="9"/>
  <c r="AK142" i="9"/>
  <c r="W143" i="9"/>
  <c r="X143" i="9"/>
  <c r="Y143" i="9"/>
  <c r="AA143" i="9"/>
  <c r="AB143" i="9"/>
  <c r="AC143" i="9"/>
  <c r="AE143" i="9"/>
  <c r="AF143" i="9"/>
  <c r="AG143" i="9"/>
  <c r="AI143" i="9"/>
  <c r="AJ143" i="9"/>
  <c r="AK143" i="9"/>
  <c r="W146" i="9"/>
  <c r="X146" i="9"/>
  <c r="Y146" i="9"/>
  <c r="AA146" i="9"/>
  <c r="AB146" i="9"/>
  <c r="AC146" i="9"/>
  <c r="AE146" i="9"/>
  <c r="AF146" i="9"/>
  <c r="AG146" i="9"/>
  <c r="AI146" i="9"/>
  <c r="AJ146" i="9"/>
  <c r="AK146" i="9"/>
  <c r="W147" i="9"/>
  <c r="X147" i="9"/>
  <c r="Y147" i="9"/>
  <c r="AA147" i="9"/>
  <c r="AB147" i="9"/>
  <c r="AC147" i="9"/>
  <c r="AE147" i="9"/>
  <c r="AF147" i="9"/>
  <c r="AG147" i="9"/>
  <c r="AI147" i="9"/>
  <c r="AJ147" i="9"/>
  <c r="AK147" i="9"/>
  <c r="W148" i="9"/>
  <c r="X148" i="9"/>
  <c r="Y148" i="9"/>
  <c r="AA148" i="9"/>
  <c r="AB148" i="9"/>
  <c r="AC148" i="9"/>
  <c r="AE148" i="9"/>
  <c r="AF148" i="9"/>
  <c r="AG148" i="9"/>
  <c r="AI148" i="9"/>
  <c r="AJ148" i="9"/>
  <c r="AK148" i="9"/>
  <c r="S152" i="9"/>
  <c r="T152" i="9"/>
  <c r="U152" i="9"/>
  <c r="W152" i="9"/>
  <c r="X152" i="9"/>
  <c r="Y152" i="9"/>
  <c r="AA152" i="9"/>
  <c r="AB152" i="9"/>
  <c r="AC152" i="9"/>
  <c r="AE152" i="9"/>
  <c r="AF152" i="9"/>
  <c r="AG152" i="9"/>
  <c r="AI152" i="9"/>
  <c r="AJ152" i="9"/>
  <c r="AK152" i="9"/>
  <c r="S153" i="9"/>
  <c r="T153" i="9"/>
  <c r="U153" i="9"/>
  <c r="W153" i="9"/>
  <c r="X153" i="9"/>
  <c r="Y153" i="9"/>
  <c r="AA153" i="9"/>
  <c r="AB153" i="9"/>
  <c r="AC153" i="9"/>
  <c r="AE153" i="9"/>
  <c r="AF153" i="9"/>
  <c r="AG153" i="9"/>
  <c r="AI153" i="9"/>
  <c r="AJ153" i="9"/>
  <c r="AK153" i="9"/>
  <c r="S154" i="9"/>
  <c r="T154" i="9"/>
  <c r="U154" i="9"/>
  <c r="W154" i="9"/>
  <c r="X154" i="9"/>
  <c r="Y154" i="9"/>
  <c r="AA154" i="9"/>
  <c r="AB154" i="9"/>
  <c r="AC154" i="9"/>
  <c r="AE154" i="9"/>
  <c r="AF154" i="9"/>
  <c r="AG154" i="9"/>
  <c r="AI154" i="9"/>
  <c r="AJ154" i="9"/>
  <c r="AK154" i="9"/>
  <c r="S155" i="9"/>
  <c r="T155" i="9"/>
  <c r="U155" i="9"/>
  <c r="W155" i="9"/>
  <c r="X155" i="9"/>
  <c r="Y155" i="9"/>
  <c r="AA155" i="9"/>
  <c r="AB155" i="9"/>
  <c r="AC155" i="9"/>
  <c r="AE155" i="9"/>
  <c r="AF155" i="9"/>
  <c r="AG155" i="9"/>
  <c r="AI155" i="9"/>
  <c r="AJ155" i="9"/>
  <c r="AK155" i="9"/>
  <c r="W156" i="9"/>
  <c r="X156" i="9"/>
  <c r="Y156" i="9"/>
  <c r="AA156" i="9"/>
  <c r="AB156" i="9"/>
  <c r="AC156" i="9"/>
  <c r="AI156" i="9"/>
  <c r="AJ156" i="9"/>
  <c r="AK156" i="9"/>
  <c r="AL156" i="9"/>
  <c r="W157" i="9"/>
  <c r="X157" i="9"/>
  <c r="Y157" i="9"/>
  <c r="AA157" i="9"/>
  <c r="AB157" i="9"/>
  <c r="AC157" i="9"/>
  <c r="AI157" i="9"/>
  <c r="AJ157" i="9"/>
  <c r="AK157" i="9"/>
  <c r="AL157" i="9"/>
  <c r="W159" i="9"/>
  <c r="X159" i="9"/>
  <c r="Y159" i="9"/>
  <c r="AA159" i="9"/>
  <c r="AB159" i="9"/>
  <c r="AC159" i="9"/>
  <c r="AI159" i="9"/>
  <c r="AJ159" i="9"/>
  <c r="AK159" i="9"/>
  <c r="AL159" i="9"/>
  <c r="W161" i="9"/>
  <c r="X161" i="9"/>
  <c r="Y161" i="9"/>
  <c r="AA161" i="9"/>
  <c r="AB161" i="9"/>
  <c r="AC161" i="9"/>
  <c r="AI161" i="9"/>
  <c r="AJ161" i="9"/>
  <c r="AK161" i="9"/>
  <c r="AL161" i="9"/>
  <c r="W162" i="9"/>
  <c r="X162" i="9"/>
  <c r="Y162" i="9"/>
  <c r="AA162" i="9"/>
  <c r="AB162" i="9"/>
  <c r="AC162" i="9"/>
  <c r="AI162" i="9"/>
  <c r="AJ162" i="9"/>
  <c r="AK162" i="9"/>
  <c r="AL162" i="9"/>
  <c r="W163" i="9"/>
  <c r="X163" i="9"/>
  <c r="Y163" i="9"/>
  <c r="AA163" i="9"/>
  <c r="AB163" i="9"/>
  <c r="AC163" i="9"/>
  <c r="AI163" i="9"/>
  <c r="AJ163" i="9"/>
  <c r="AK163" i="9"/>
  <c r="AL163" i="9"/>
  <c r="W165" i="9"/>
  <c r="X165" i="9"/>
  <c r="Y165" i="9"/>
  <c r="AA165" i="9"/>
  <c r="AB165" i="9"/>
  <c r="AC165" i="9"/>
  <c r="AI165" i="9"/>
  <c r="AJ165" i="9"/>
  <c r="AK165" i="9"/>
  <c r="AL165" i="9"/>
  <c r="W167" i="9"/>
  <c r="X167" i="9"/>
  <c r="Y167" i="9"/>
  <c r="AA167" i="9"/>
  <c r="AB167" i="9"/>
  <c r="AC167" i="9"/>
  <c r="AI167" i="9"/>
  <c r="AJ167" i="9"/>
  <c r="AK167" i="9"/>
  <c r="AL167" i="9"/>
  <c r="W169" i="9"/>
  <c r="X169" i="9"/>
  <c r="Y169" i="9"/>
  <c r="AA169" i="9"/>
  <c r="AB169" i="9"/>
  <c r="AC169" i="9"/>
  <c r="AI169" i="9"/>
  <c r="AJ169" i="9"/>
  <c r="AK169" i="9"/>
  <c r="AL169" i="9"/>
</calcChain>
</file>

<file path=xl/comments1.xml><?xml version="1.0" encoding="utf-8"?>
<comments xmlns="http://schemas.openxmlformats.org/spreadsheetml/2006/main">
  <authors>
    <author>George W. Richards</author>
  </authors>
  <commentList>
    <comment ref="T9" authorId="0" shapeId="0">
      <text>
        <r>
          <rPr>
            <b/>
            <sz val="8"/>
            <color indexed="81"/>
            <rFont val="Tahoma"/>
          </rPr>
          <t xml:space="preserve">Office is 598sf &amp; Computer Center is additional 598 sf
</t>
        </r>
      </text>
    </comment>
  </commentList>
</comments>
</file>

<file path=xl/sharedStrings.xml><?xml version="1.0" encoding="utf-8"?>
<sst xmlns="http://schemas.openxmlformats.org/spreadsheetml/2006/main" count="1715" uniqueCount="461">
  <si>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</si>
  <si>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</si>
  <si>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</si>
  <si>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</si>
  <si>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</si>
  <si>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</si>
  <si>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</si>
  <si>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</si>
  <si>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</si>
  <si>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</si>
  <si>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</si>
  <si>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</si>
  <si>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</si>
  <si>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</si>
  <si>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</si>
  <si>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</si>
  <si>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</si>
  <si>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</si>
  <si>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</si>
  <si>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</si>
  <si>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</si>
  <si>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</si>
  <si>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</si>
  <si>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</si>
  <si>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</si>
  <si>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</si>
  <si>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</si>
  <si>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</si>
  <si>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</si>
  <si>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</si>
  <si>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</si>
  <si>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</si>
  <si>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</si>
  <si>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</si>
  <si>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</si>
  <si>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</si>
  <si>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</si>
  <si>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</si>
  <si>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</si>
  <si>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</si>
  <si>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</si>
  <si>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</si>
  <si>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</si>
  <si>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</si>
  <si>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</si>
  <si>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</si>
  <si>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</si>
  <si>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</si>
  <si>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</si>
  <si>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</si>
  <si>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</si>
  <si>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</si>
  <si>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</si>
  <si>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</si>
  <si>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</si>
  <si>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</si>
  <si>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</si>
  <si>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</si>
  <si>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</si>
  <si>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</si>
  <si>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</si>
  <si>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</si>
  <si>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</si>
  <si>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</si>
  <si>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</si>
  <si>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</si>
  <si>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</si>
  <si>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</si>
  <si>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</si>
  <si>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</si>
  <si>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</si>
  <si>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</si>
  <si>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</si>
  <si>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</si>
  <si>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</si>
  <si>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</si>
  <si>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</si>
  <si>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</si>
  <si>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</si>
  <si>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</si>
  <si>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</si>
  <si>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</si>
  <si>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</si>
  <si>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</si>
  <si>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</si>
  <si>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</si>
  <si>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</si>
  <si>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</si>
  <si>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</si>
  <si>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</si>
  <si>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</si>
  <si>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</si>
  <si>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</si>
  <si>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</si>
  <si>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</si>
  <si>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</si>
  <si>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</si>
  <si>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</si>
  <si>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</si>
  <si>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</si>
  <si>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</si>
  <si>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</si>
  <si>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</si>
  <si>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</si>
  <si>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</si>
  <si>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</si>
  <si>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</si>
  <si>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</si>
  <si>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</si>
  <si>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</si>
  <si>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</si>
  <si>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</si>
  <si>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</si>
  <si>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</si>
  <si>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</si>
  <si>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</si>
  <si>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</si>
  <si>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</si>
  <si>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</si>
  <si>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</si>
  <si>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</si>
  <si>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</si>
  <si>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</si>
  <si>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</si>
  <si>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</si>
  <si>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</si>
  <si>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</si>
  <si>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</si>
  <si>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</si>
  <si>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</si>
  <si>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</si>
  <si>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</si>
  <si>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</si>
  <si>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</si>
  <si>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</si>
  <si>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</si>
  <si>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</si>
  <si>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</si>
  <si>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</si>
  <si>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</si>
  <si>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</si>
  <si>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</si>
  <si>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</si>
  <si>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</si>
  <si>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</si>
  <si>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</si>
  <si>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</si>
  <si>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</si>
  <si>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</si>
  <si>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</si>
  <si>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</si>
  <si>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</si>
  <si>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</si>
  <si>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</si>
  <si>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</si>
  <si>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</si>
  <si>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</si>
  <si>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</si>
  <si>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</si>
  <si>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</si>
  <si>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</si>
  <si>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</si>
  <si>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</si>
  <si>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</si>
  <si>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</si>
  <si>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</si>
  <si>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</si>
  <si>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</si>
  <si>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</si>
  <si>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</si>
  <si>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</si>
  <si>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</si>
  <si>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</si>
  <si>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</si>
  <si>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</si>
  <si>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</si>
  <si>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</si>
  <si>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</si>
  <si>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</si>
  <si>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</si>
  <si>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</si>
  <si>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</si>
  <si>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</si>
  <si>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</si>
  <si>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</si>
  <si>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</si>
  <si>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</si>
  <si>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</si>
  <si>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</si>
  <si>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</si>
  <si>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</si>
  <si>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</si>
  <si>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</si>
  <si>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</si>
  <si>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</si>
  <si>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</si>
  <si>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</si>
  <si>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</si>
  <si>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</si>
  <si>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</si>
  <si>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</si>
  <si>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</si>
  <si>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</si>
  <si>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</si>
  <si>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</si>
  <si>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</si>
  <si>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</si>
  <si>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</si>
  <si>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</si>
  <si>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</si>
  <si>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</si>
  <si>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</si>
  <si>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</si>
  <si>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</si>
  <si>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</si>
  <si>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</si>
  <si>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</si>
  <si>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</si>
  <si>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</si>
  <si>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</si>
  <si>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</si>
  <si>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</si>
  <si>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</si>
  <si>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</si>
  <si>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</si>
  <si>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</si>
  <si>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</si>
  <si>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</si>
  <si>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</si>
  <si>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</si>
  <si>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</si>
  <si>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</si>
  <si>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</si>
  <si>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</si>
  <si>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</si>
  <si>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</si>
  <si>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</si>
  <si>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</si>
  <si>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</si>
  <si>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</si>
  <si>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</si>
  <si>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</si>
  <si>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</si>
  <si>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</si>
  <si>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</si>
  <si>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</si>
  <si>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</si>
  <si>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</si>
  <si>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</si>
  <si>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</si>
  <si>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</si>
  <si>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</si>
  <si>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</si>
  <si>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</si>
  <si>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</si>
  <si>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</si>
  <si>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</si>
  <si>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</si>
  <si>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</si>
  <si>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</si>
  <si>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</si>
  <si>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</si>
  <si>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</si>
  <si>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</si>
  <si>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</si>
  <si>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</si>
  <si>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</si>
  <si>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</si>
  <si>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</si>
  <si>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</si>
  <si>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</si>
  <si>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Bedrooms/Baths</t>
  </si>
  <si>
    <t>Stories</t>
  </si>
  <si>
    <t>Two Story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</si>
  <si>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</si>
  <si>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</si>
  <si>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</si>
  <si>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</si>
  <si>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</si>
  <si>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</si>
  <si>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</si>
  <si>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</si>
  <si>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</si>
  <si>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</si>
  <si>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</si>
  <si>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</si>
  <si>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</si>
  <si>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</si>
  <si>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</si>
  <si>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</si>
  <si>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</si>
  <si>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</si>
  <si>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</si>
  <si>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</si>
  <si>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</si>
  <si>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</si>
  <si>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</si>
  <si>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</si>
  <si>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PLAN D - 4+2+2</t>
  </si>
  <si>
    <t>PLAN C - 3+3.5+2</t>
  </si>
  <si>
    <t>Per ACSF</t>
  </si>
  <si>
    <t>Per Cvrd SF</t>
  </si>
  <si>
    <t>$2.50/SF</t>
  </si>
  <si>
    <t>Landscaping &amp; Sprinklers</t>
  </si>
  <si>
    <t>Civil Engineering</t>
  </si>
  <si>
    <t>MIX - Units</t>
  </si>
  <si>
    <t>MIX - %</t>
  </si>
  <si>
    <t>Investor Equity</t>
  </si>
  <si>
    <t>Total Bdrm Rent/Month</t>
  </si>
  <si>
    <t>Rent/Bedroom/Month</t>
  </si>
  <si>
    <t>Annual Return on Total Cost</t>
  </si>
  <si>
    <t>Const Profit</t>
  </si>
  <si>
    <t>Less Excess CMFee</t>
  </si>
  <si>
    <t>Mix - %</t>
  </si>
  <si>
    <t>Mix - Units</t>
  </si>
  <si>
    <t>TWO BEDROOM</t>
  </si>
  <si>
    <t>THREE BEDROOM</t>
  </si>
  <si>
    <t>FOUR BEDROOM</t>
  </si>
  <si>
    <t>One Bedroom Rate</t>
  </si>
  <si>
    <t>Two Bedroom Rate</t>
  </si>
  <si>
    <t>Three Bedroom Rate</t>
  </si>
  <si>
    <t>Four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</si>
  <si>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</si>
  <si>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</si>
  <si>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</si>
  <si>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</si>
  <si>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</si>
  <si>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</si>
  <si>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</si>
  <si>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Equity Based on LTC @ 80%</t>
  </si>
  <si>
    <t>Total Cost Less Loan</t>
  </si>
  <si>
    <t>Less Defferred Const. Profit</t>
  </si>
  <si>
    <t>Architecture &amp; Structural Eng.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</si>
  <si>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</si>
  <si>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</si>
  <si>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</si>
  <si>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</si>
  <si>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</si>
  <si>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</si>
  <si>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</si>
  <si>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</si>
  <si>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</si>
  <si>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</si>
  <si>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</si>
  <si>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</si>
  <si>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</si>
  <si>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</si>
  <si>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</si>
  <si>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</si>
  <si>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</si>
  <si>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</si>
  <si>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</si>
  <si>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</si>
  <si>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</si>
  <si>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</si>
  <si>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</si>
  <si>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</si>
  <si>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</si>
  <si>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</si>
  <si>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</si>
  <si>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</si>
  <si>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</si>
  <si>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Manager's Unit, Office &amp; Computer Center</t>
  </si>
  <si>
    <t>Vacancy Allowance-5%</t>
  </si>
  <si>
    <t>Cable TV &amp; T-1</t>
  </si>
  <si>
    <t>1200/YR</t>
  </si>
  <si>
    <t>250/YR/Unit</t>
  </si>
  <si>
    <t>$0.02/sf</t>
  </si>
  <si>
    <t>CATV $13+$20 T-1</t>
  </si>
  <si>
    <t>Rental Commissions</t>
  </si>
  <si>
    <t>Legal</t>
  </si>
  <si>
    <t>VALUE @ 10.5% CAP RATE</t>
  </si>
  <si>
    <t>VALUE @ 10% CAP RATE</t>
  </si>
  <si>
    <t>VALUE @ 11% CAP RATE</t>
  </si>
  <si>
    <t>MONTHLY NOI:</t>
  </si>
  <si>
    <t>MONTHLY NET CASH INCOME:</t>
  </si>
  <si>
    <t>LOAN AMOUNTS @ 80%LTV</t>
  </si>
  <si>
    <t>HighSpeed T-1 Line</t>
  </si>
  <si>
    <t>Depreciation 30 yrs @ cost</t>
  </si>
  <si>
    <t>Taxable Income</t>
  </si>
  <si>
    <t>Taxable</t>
  </si>
  <si>
    <t>Cash</t>
  </si>
  <si>
    <t>Tax @ 40%</t>
  </si>
  <si>
    <t>Net Income @ 95% Occupancy</t>
  </si>
  <si>
    <t>TOTAL UNIT COST</t>
  </si>
  <si>
    <t>Fitness Center</t>
  </si>
  <si>
    <t>COVERED PARKING</t>
  </si>
  <si>
    <t>Replacement Reserve $350/u/y</t>
  </si>
  <si>
    <t>Management Fee - 5% Total Income</t>
  </si>
  <si>
    <t>Grounds Maint.</t>
  </si>
  <si>
    <t>Security Deposit Forfeit</t>
  </si>
  <si>
    <t>Vending Commissions</t>
  </si>
  <si>
    <t>Rental Income</t>
  </si>
  <si>
    <t>Manager's Unit &amp; Office</t>
  </si>
  <si>
    <t>Project Office, Mgr &amp; Comp Off</t>
  </si>
  <si>
    <t>Rental Sq. Ft</t>
  </si>
  <si>
    <t>Mortgage: 30Y, 7.5%, 80% Value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</si>
  <si>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</si>
  <si>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</si>
  <si>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</si>
  <si>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</si>
  <si>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</si>
  <si>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</si>
  <si>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</si>
  <si>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</si>
  <si>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Internet Use Fees</t>
  </si>
  <si>
    <t>Closing Loan/Land</t>
  </si>
  <si>
    <t>Survey</t>
  </si>
  <si>
    <t>Re-Plat 2nd Parcel</t>
  </si>
  <si>
    <t>Utility Design</t>
  </si>
  <si>
    <t>City Submission</t>
  </si>
  <si>
    <t>City Approval</t>
  </si>
  <si>
    <t>Work Days</t>
  </si>
  <si>
    <t>Loan Approval</t>
  </si>
  <si>
    <t>Document Prep</t>
  </si>
  <si>
    <t>Lot Improvements</t>
  </si>
  <si>
    <t>Foundations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</si>
  <si>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</si>
  <si>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</si>
  <si>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</si>
  <si>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</si>
  <si>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</si>
  <si>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</si>
  <si>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</si>
  <si>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</si>
  <si>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</si>
  <si>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</si>
  <si>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</si>
  <si>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</si>
  <si>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</si>
  <si>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</si>
  <si>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</si>
  <si>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</si>
  <si>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</si>
  <si>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Phase 1/2</t>
  </si>
  <si>
    <t>Phase 2/3</t>
  </si>
  <si>
    <t>Phase 3/4</t>
  </si>
  <si>
    <t>Phase 5/6</t>
  </si>
  <si>
    <t>Phase 6/7</t>
  </si>
  <si>
    <t>Phase 7/8</t>
  </si>
  <si>
    <t>Pre-Leasing</t>
  </si>
  <si>
    <t>3 wks/Phase, 4 Bldgs/Phase</t>
  </si>
  <si>
    <t>Rent Stabilization</t>
  </si>
  <si>
    <t>Close On Permanent</t>
  </si>
  <si>
    <t>Appraisal for Permanent</t>
  </si>
  <si>
    <t>Units</t>
  </si>
  <si>
    <t>CATEGORIES</t>
  </si>
  <si>
    <t>PROJECT TOTAL</t>
  </si>
  <si>
    <t>Interim Loan - LTV</t>
  </si>
  <si>
    <t>Interim Loan - LTC</t>
  </si>
  <si>
    <t>LAND</t>
  </si>
  <si>
    <t>UTILITY IMPROVEMENTS</t>
  </si>
  <si>
    <t>IMPROVED LOT COST</t>
  </si>
  <si>
    <t>COMMON AMENITIES</t>
  </si>
  <si>
    <t>UNIT COST</t>
  </si>
  <si>
    <t>FINANCE COST</t>
  </si>
  <si>
    <t>CONSTRUCTION PROFIT</t>
  </si>
  <si>
    <t>% TOTAL</t>
  </si>
  <si>
    <t>CONSTRUCTION COST SUMMARY</t>
  </si>
  <si>
    <t>% of Value</t>
  </si>
  <si>
    <t>Man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</si>
</sst>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75" formatCode="_(* #,##0.0000_);_(* \(#,##0.0000\);_(* &quot;-&quot;??_);_(@_)"/>
    <numFmt numFmtId="189" formatCode="#,##0.0_);[Red]\(#,##0.0\)"/>
    <numFmt numFmtId="197" formatCode="#,##0.000_);[Red]\(#,##0.000\)"/>
    <numFmt numFmtId="203" formatCode="_(* #,##0.00_);_(* \(#,##0.00\);_(* &quot;-&quot;_);_(@_)"/>
  </numFmts>
  <fonts count="28">
    <font>
      <sz val="9"/>
      <name val="Arial"/>
    </font>
    <font>
      <sz val="10"/>
      <name val="Arial"/>
    </font>
    <font>
      <b/>
      <sz val="10"/>
      <name val="AmeriGarmnd BT"/>
      <family val="1"/>
    </font>
    <font>
      <b/>
      <sz val="10"/>
      <name val="Goudy"/>
      <family val="1"/>
    </font>
    <font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sz val="10"/>
      <name val="Arial"/>
      <family val="2"/>
    </font>
    <font>
      <b/>
      <sz val="9"/>
      <name val="Goudy"/>
      <family val="1"/>
    </font>
    <font>
      <b/>
      <sz val="12"/>
      <name val="Arial"/>
      <family val="2"/>
    </font>
    <font>
      <b/>
      <sz val="10"/>
      <name val="Arial"/>
    </font>
    <font>
      <sz val="9"/>
      <color indexed="10"/>
      <name val="Arial"/>
    </font>
    <font>
      <b/>
      <sz val="10"/>
      <name val="Arial"/>
      <family val="2"/>
    </font>
    <font>
      <sz val="9"/>
      <name val="Arial"/>
    </font>
    <font>
      <b/>
      <u/>
      <sz val="9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38" fontId="0" fillId="0" borderId="0" applyNumberFormat="0"/>
    <xf numFmtId="0" fontId="2" fillId="0" borderId="1" applyNumberFormat="0" applyFill="0" applyBorder="0" applyAlignment="0" applyProtection="0">
      <protection locked="0"/>
    </xf>
    <xf numFmtId="43" fontId="6" fillId="0" borderId="0" applyFill="0" applyBorder="0" applyAlignment="0" applyProtection="0"/>
    <xf numFmtId="41" fontId="6" fillId="0" borderId="0" applyFill="0" applyBorder="0" applyAlignment="0" applyProtection="0"/>
    <xf numFmtId="44" fontId="6" fillId="0" borderId="0" applyFill="0" applyBorder="0" applyAlignment="0" applyProtection="0"/>
    <xf numFmtId="42" fontId="6" fillId="0" borderId="0" applyFill="0" applyBorder="0" applyAlignment="0" applyProtection="0"/>
    <xf numFmtId="0" fontId="5" fillId="0" borderId="2" applyBorder="0">
      <alignment horizontal="center"/>
    </xf>
    <xf numFmtId="0" fontId="21" fillId="0" borderId="0" applyNumberFormat="0" applyFill="0" applyBorder="0" applyProtection="0">
      <alignment horizontal="center"/>
    </xf>
    <xf numFmtId="0" fontId="3" fillId="0" borderId="3"/>
    <xf numFmtId="168" fontId="4" fillId="0" borderId="0" applyFill="0" applyBorder="0" applyAlignment="0" applyProtection="0"/>
  </cellStyleXfs>
  <cellXfs count="328">
    <xf numFmtId="38" fontId="0" fillId="0" borderId="0" xfId="0"/>
    <xf numFmtId="165" fontId="6" fillId="0" borderId="0" xfId="4" applyNumberFormat="1"/>
    <xf numFmtId="168" fontId="4" fillId="0" borderId="0" xfId="9"/>
    <xf numFmtId="44" fontId="7" fillId="0" borderId="4" xfId="4" applyFont="1" applyBorder="1"/>
    <xf numFmtId="43" fontId="6" fillId="0" borderId="0" xfId="2"/>
    <xf numFmtId="165" fontId="7" fillId="0" borderId="4" xfId="4" applyNumberFormat="1" applyFont="1" applyBorder="1"/>
    <xf numFmtId="0" fontId="8" fillId="0" borderId="0" xfId="7" applyFont="1" applyFill="1" applyBorder="1" applyProtection="1">
      <alignment horizontal="center"/>
      <protection locked="0"/>
    </xf>
    <xf numFmtId="0" fontId="8" fillId="0" borderId="0" xfId="7" applyFont="1" applyFill="1" applyBorder="1" applyAlignment="1" applyProtection="1">
      <alignment horizontal="center" wrapText="1"/>
      <protection locked="0"/>
    </xf>
    <xf numFmtId="0" fontId="9" fillId="0" borderId="0" xfId="7" applyFont="1" applyFill="1" applyBorder="1" applyAlignment="1" applyProtection="1">
      <alignment horizontal="center" wrapText="1"/>
      <protection locked="0"/>
    </xf>
    <xf numFmtId="167" fontId="9" fillId="0" borderId="0" xfId="2" applyNumberFormat="1" applyFont="1" applyFill="1" applyBorder="1" applyAlignment="1" applyProtection="1">
      <alignment horizontal="center" wrapText="1"/>
      <protection locked="0"/>
    </xf>
    <xf numFmtId="38" fontId="9" fillId="0" borderId="0" xfId="0" applyFont="1"/>
    <xf numFmtId="10" fontId="9" fillId="0" borderId="0" xfId="9" applyNumberFormat="1" applyFont="1"/>
    <xf numFmtId="167" fontId="9" fillId="0" borderId="0" xfId="0" applyNumberFormat="1" applyFont="1"/>
    <xf numFmtId="44" fontId="9" fillId="0" borderId="0" xfId="4" applyFont="1"/>
    <xf numFmtId="43" fontId="9" fillId="0" borderId="0" xfId="2" applyFont="1"/>
    <xf numFmtId="0" fontId="9" fillId="0" borderId="0" xfId="7" applyFont="1" applyFill="1" applyBorder="1" applyProtection="1">
      <alignment horizontal="center"/>
      <protection locked="0"/>
    </xf>
    <xf numFmtId="38" fontId="7" fillId="0" borderId="4" xfId="0" applyFont="1" applyBorder="1"/>
    <xf numFmtId="10" fontId="7" fillId="0" borderId="4" xfId="9" applyNumberFormat="1" applyFont="1" applyBorder="1"/>
    <xf numFmtId="167" fontId="9" fillId="0" borderId="0" xfId="0" applyNumberFormat="1" applyFont="1" applyFill="1"/>
    <xf numFmtId="38" fontId="9" fillId="0" borderId="0" xfId="0" applyFont="1" applyFill="1"/>
    <xf numFmtId="40" fontId="9" fillId="0" borderId="0" xfId="0" applyNumberFormat="1" applyFont="1"/>
    <xf numFmtId="38" fontId="9" fillId="0" borderId="0" xfId="0" applyNumberFormat="1" applyFont="1"/>
    <xf numFmtId="38" fontId="6" fillId="0" borderId="0" xfId="0" applyFont="1"/>
    <xf numFmtId="44" fontId="7" fillId="0" borderId="5" xfId="4" applyFont="1" applyBorder="1"/>
    <xf numFmtId="165" fontId="7" fillId="0" borderId="5" xfId="4" applyNumberFormat="1" applyFont="1" applyBorder="1"/>
    <xf numFmtId="38" fontId="7" fillId="0" borderId="0" xfId="0" applyFont="1"/>
    <xf numFmtId="38" fontId="9" fillId="0" borderId="0" xfId="0" applyFont="1" applyFill="1" applyBorder="1"/>
    <xf numFmtId="38" fontId="7" fillId="0" borderId="0" xfId="0" applyFont="1" applyFill="1"/>
    <xf numFmtId="38" fontId="7" fillId="0" borderId="5" xfId="0" applyFont="1" applyBorder="1"/>
    <xf numFmtId="38" fontId="8" fillId="0" borderId="0" xfId="0" applyFont="1"/>
    <xf numFmtId="38" fontId="9" fillId="0" borderId="6" xfId="0" applyFont="1" applyBorder="1"/>
    <xf numFmtId="38" fontId="8" fillId="0" borderId="0" xfId="0" applyFont="1" applyAlignment="1">
      <alignment horizontal="center"/>
    </xf>
    <xf numFmtId="38" fontId="9" fillId="0" borderId="7" xfId="0" applyFont="1" applyBorder="1"/>
    <xf numFmtId="44" fontId="6" fillId="0" borderId="0" xfId="4" applyFont="1"/>
    <xf numFmtId="168" fontId="10" fillId="0" borderId="0" xfId="9" applyFont="1"/>
    <xf numFmtId="43" fontId="11" fillId="0" borderId="0" xfId="2" applyFont="1"/>
    <xf numFmtId="38" fontId="11" fillId="0" borderId="0" xfId="0" applyNumberFormat="1" applyFont="1"/>
    <xf numFmtId="167" fontId="11" fillId="0" borderId="0" xfId="2" applyNumberFormat="1" applyFont="1"/>
    <xf numFmtId="38" fontId="11" fillId="0" borderId="0" xfId="0" applyFont="1"/>
    <xf numFmtId="8" fontId="7" fillId="0" borderId="5" xfId="4" applyNumberFormat="1" applyFont="1" applyBorder="1"/>
    <xf numFmtId="8" fontId="7" fillId="0" borderId="8" xfId="4" applyNumberFormat="1" applyFont="1" applyBorder="1"/>
    <xf numFmtId="165" fontId="9" fillId="0" borderId="0" xfId="4" applyNumberFormat="1" applyFont="1"/>
    <xf numFmtId="41" fontId="9" fillId="0" borderId="0" xfId="3" applyFont="1"/>
    <xf numFmtId="167" fontId="9" fillId="0" borderId="0" xfId="2" applyNumberFormat="1" applyFont="1"/>
    <xf numFmtId="165" fontId="9" fillId="0" borderId="6" xfId="4" applyNumberFormat="1" applyFont="1" applyBorder="1"/>
    <xf numFmtId="44" fontId="9" fillId="0" borderId="6" xfId="4" applyNumberFormat="1" applyFont="1" applyBorder="1"/>
    <xf numFmtId="44" fontId="9" fillId="0" borderId="7" xfId="4" applyFont="1" applyBorder="1"/>
    <xf numFmtId="6" fontId="7" fillId="0" borderId="5" xfId="4" applyNumberFormat="1" applyFont="1" applyBorder="1"/>
    <xf numFmtId="38" fontId="7" fillId="0" borderId="6" xfId="0" applyFont="1" applyBorder="1"/>
    <xf numFmtId="165" fontId="7" fillId="0" borderId="6" xfId="4" applyNumberFormat="1" applyFont="1" applyBorder="1"/>
    <xf numFmtId="44" fontId="7" fillId="0" borderId="6" xfId="4" applyFont="1" applyBorder="1"/>
    <xf numFmtId="8" fontId="7" fillId="0" borderId="6" xfId="4" applyNumberFormat="1" applyFont="1" applyBorder="1"/>
    <xf numFmtId="6" fontId="7" fillId="0" borderId="6" xfId="4" applyNumberFormat="1" applyFont="1" applyBorder="1"/>
    <xf numFmtId="38" fontId="6" fillId="0" borderId="0" xfId="0" applyFont="1" applyFill="1"/>
    <xf numFmtId="38" fontId="11" fillId="0" borderId="0" xfId="0" applyFont="1" applyFill="1"/>
    <xf numFmtId="38" fontId="7" fillId="2" borderId="9" xfId="0" applyFont="1" applyFill="1" applyBorder="1"/>
    <xf numFmtId="38" fontId="9" fillId="2" borderId="10" xfId="0" applyFont="1" applyFill="1" applyBorder="1"/>
    <xf numFmtId="38" fontId="9" fillId="2" borderId="11" xfId="0" applyFont="1" applyFill="1" applyBorder="1"/>
    <xf numFmtId="49" fontId="9" fillId="0" borderId="0" xfId="0" applyNumberFormat="1" applyFont="1" applyAlignment="1">
      <alignment horizontal="center"/>
    </xf>
    <xf numFmtId="0" fontId="12" fillId="0" borderId="0" xfId="7" applyFont="1" applyFill="1" applyBorder="1" applyAlignment="1" applyProtection="1">
      <alignment horizontal="center" wrapText="1"/>
      <protection locked="0"/>
    </xf>
    <xf numFmtId="38" fontId="7" fillId="0" borderId="0" xfId="0" applyFont="1" applyAlignment="1">
      <alignment horizontal="center"/>
    </xf>
    <xf numFmtId="0" fontId="8" fillId="3" borderId="0" xfId="7" applyFont="1" applyFill="1" applyBorder="1" applyAlignment="1" applyProtection="1">
      <alignment horizontal="center" wrapText="1"/>
      <protection locked="0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2" applyNumberFormat="1" applyFont="1" applyAlignment="1">
      <alignment horizontal="center"/>
    </xf>
    <xf numFmtId="42" fontId="9" fillId="0" borderId="0" xfId="5" applyFont="1"/>
    <xf numFmtId="38" fontId="9" fillId="4" borderId="0" xfId="0" applyNumberFormat="1" applyFont="1" applyFill="1"/>
    <xf numFmtId="49" fontId="9" fillId="0" borderId="0" xfId="0" applyNumberFormat="1" applyFont="1"/>
    <xf numFmtId="167" fontId="9" fillId="5" borderId="12" xfId="2" applyNumberFormat="1" applyFont="1" applyFill="1" applyBorder="1" applyAlignment="1">
      <alignment horizontal="center"/>
    </xf>
    <xf numFmtId="167" fontId="7" fillId="6" borderId="0" xfId="2" applyNumberFormat="1" applyFont="1" applyFill="1" applyAlignment="1">
      <alignment horizontal="center"/>
    </xf>
    <xf numFmtId="38" fontId="9" fillId="0" borderId="0" xfId="0" applyFont="1" applyAlignment="1">
      <alignment horizontal="center"/>
    </xf>
    <xf numFmtId="38" fontId="9" fillId="7" borderId="0" xfId="0" applyNumberFormat="1" applyFont="1" applyFill="1"/>
    <xf numFmtId="38" fontId="9" fillId="8" borderId="0" xfId="0" applyNumberFormat="1" applyFont="1" applyFill="1"/>
    <xf numFmtId="38" fontId="11" fillId="4" borderId="0" xfId="0" applyNumberFormat="1" applyFont="1" applyFill="1"/>
    <xf numFmtId="49" fontId="11" fillId="0" borderId="0" xfId="0" applyNumberFormat="1" applyFont="1"/>
    <xf numFmtId="10" fontId="11" fillId="0" borderId="0" xfId="9" applyNumberFormat="1" applyFont="1"/>
    <xf numFmtId="167" fontId="11" fillId="0" borderId="0" xfId="0" applyNumberFormat="1" applyFont="1"/>
    <xf numFmtId="168" fontId="11" fillId="0" borderId="0" xfId="0" applyNumberFormat="1" applyFont="1" applyFill="1" applyBorder="1" applyAlignment="1" applyProtection="1">
      <alignment horizontal="center"/>
      <protection locked="0"/>
    </xf>
    <xf numFmtId="167" fontId="11" fillId="0" borderId="0" xfId="2" applyNumberFormat="1" applyFont="1" applyAlignment="1">
      <alignment horizontal="center"/>
    </xf>
    <xf numFmtId="38" fontId="9" fillId="0" borderId="0" xfId="0" applyNumberFormat="1" applyFont="1" applyFill="1"/>
    <xf numFmtId="175" fontId="9" fillId="0" borderId="0" xfId="2" applyNumberFormat="1" applyFont="1"/>
    <xf numFmtId="167" fontId="9" fillId="6" borderId="12" xfId="2" applyNumberFormat="1" applyFont="1" applyFill="1" applyBorder="1" applyAlignment="1">
      <alignment horizontal="center"/>
    </xf>
    <xf numFmtId="197" fontId="9" fillId="0" borderId="0" xfId="0" applyNumberFormat="1" applyFont="1"/>
    <xf numFmtId="38" fontId="9" fillId="0" borderId="4" xfId="0" applyFont="1" applyFill="1" applyBorder="1"/>
    <xf numFmtId="10" fontId="7" fillId="0" borderId="5" xfId="4" applyNumberFormat="1" applyFont="1" applyBorder="1"/>
    <xf numFmtId="10" fontId="9" fillId="0" borderId="5" xfId="4" applyNumberFormat="1" applyFont="1" applyBorder="1" applyAlignment="1">
      <alignment horizontal="center"/>
    </xf>
    <xf numFmtId="43" fontId="13" fillId="0" borderId="5" xfId="2" applyFont="1" applyFill="1" applyBorder="1"/>
    <xf numFmtId="8" fontId="7" fillId="0" borderId="0" xfId="4" applyNumberFormat="1" applyFont="1" applyBorder="1"/>
    <xf numFmtId="8" fontId="7" fillId="4" borderId="0" xfId="4" applyNumberFormat="1" applyFont="1" applyFill="1" applyBorder="1"/>
    <xf numFmtId="38" fontId="14" fillId="0" borderId="0" xfId="0" applyFont="1" applyAlignment="1">
      <alignment horizontal="center"/>
    </xf>
    <xf numFmtId="38" fontId="15" fillId="0" borderId="0" xfId="0" applyFont="1"/>
    <xf numFmtId="38" fontId="15" fillId="0" borderId="0" xfId="0" applyFont="1" applyFill="1"/>
    <xf numFmtId="10" fontId="7" fillId="0" borderId="6" xfId="4" applyNumberFormat="1" applyFont="1" applyBorder="1"/>
    <xf numFmtId="10" fontId="9" fillId="0" borderId="6" xfId="4" applyNumberFormat="1" applyFont="1" applyBorder="1" applyAlignment="1">
      <alignment horizontal="center"/>
    </xf>
    <xf numFmtId="43" fontId="13" fillId="0" borderId="6" xfId="2" applyFont="1" applyFill="1" applyBorder="1"/>
    <xf numFmtId="165" fontId="9" fillId="0" borderId="7" xfId="4" applyNumberFormat="1" applyFont="1" applyBorder="1"/>
    <xf numFmtId="44" fontId="9" fillId="0" borderId="6" xfId="4" applyFont="1" applyBorder="1"/>
    <xf numFmtId="38" fontId="14" fillId="0" borderId="0" xfId="0" applyFont="1"/>
    <xf numFmtId="167" fontId="6" fillId="0" borderId="0" xfId="2" applyNumberFormat="1" applyFont="1"/>
    <xf numFmtId="38" fontId="6" fillId="2" borderId="10" xfId="0" applyFont="1" applyFill="1" applyBorder="1"/>
    <xf numFmtId="38" fontId="6" fillId="2" borderId="11" xfId="0" applyFont="1" applyFill="1" applyBorder="1"/>
    <xf numFmtId="49" fontId="6" fillId="0" borderId="0" xfId="0" applyNumberFormat="1" applyFont="1" applyAlignment="1">
      <alignment horizontal="center"/>
    </xf>
    <xf numFmtId="0" fontId="6" fillId="0" borderId="0" xfId="7" applyFont="1" applyFill="1" applyBorder="1" applyAlignment="1" applyProtection="1">
      <alignment horizontal="center" wrapText="1"/>
      <protection locked="0"/>
    </xf>
    <xf numFmtId="167" fontId="6" fillId="0" borderId="0" xfId="2" applyNumberFormat="1" applyFont="1" applyFill="1" applyBorder="1" applyAlignment="1" applyProtection="1">
      <alignment horizontal="center" wrapText="1"/>
      <protection locked="0"/>
    </xf>
    <xf numFmtId="168" fontId="6" fillId="0" borderId="0" xfId="0" applyNumberFormat="1" applyFont="1" applyFill="1" applyBorder="1" applyAlignment="1" applyProtection="1">
      <alignment horizontal="center"/>
      <protection locked="0"/>
    </xf>
    <xf numFmtId="10" fontId="6" fillId="0" borderId="0" xfId="9" applyNumberFormat="1" applyFont="1"/>
    <xf numFmtId="167" fontId="6" fillId="0" borderId="0" xfId="2" applyNumberFormat="1" applyFont="1" applyAlignment="1">
      <alignment horizontal="center"/>
    </xf>
    <xf numFmtId="38" fontId="6" fillId="0" borderId="0" xfId="0" applyNumberFormat="1" applyFont="1"/>
    <xf numFmtId="43" fontId="6" fillId="0" borderId="0" xfId="2" applyFont="1"/>
    <xf numFmtId="42" fontId="6" fillId="0" borderId="0" xfId="5" applyFont="1"/>
    <xf numFmtId="49" fontId="6" fillId="0" borderId="0" xfId="0" applyNumberFormat="1" applyFont="1"/>
    <xf numFmtId="167" fontId="6" fillId="0" borderId="0" xfId="0" applyNumberFormat="1" applyFont="1"/>
    <xf numFmtId="41" fontId="6" fillId="0" borderId="0" xfId="3" applyFont="1"/>
    <xf numFmtId="0" fontId="6" fillId="0" borderId="0" xfId="7" applyFont="1" applyFill="1" applyBorder="1" applyProtection="1">
      <alignment horizontal="center"/>
      <protection locked="0"/>
    </xf>
    <xf numFmtId="167" fontId="6" fillId="5" borderId="12" xfId="2" applyNumberFormat="1" applyFont="1" applyFill="1" applyBorder="1" applyAlignment="1">
      <alignment horizontal="center"/>
    </xf>
    <xf numFmtId="167" fontId="6" fillId="0" borderId="0" xfId="0" applyNumberFormat="1" applyFont="1" applyFill="1"/>
    <xf numFmtId="38" fontId="6" fillId="0" borderId="0" xfId="0" applyFont="1" applyAlignment="1">
      <alignment horizontal="center"/>
    </xf>
    <xf numFmtId="203" fontId="6" fillId="0" borderId="0" xfId="3" applyNumberFormat="1" applyFont="1"/>
    <xf numFmtId="41" fontId="6" fillId="0" borderId="0" xfId="3" applyNumberFormat="1" applyFont="1"/>
    <xf numFmtId="38" fontId="6" fillId="0" borderId="0" xfId="0" applyFont="1" applyFill="1" applyBorder="1"/>
    <xf numFmtId="40" fontId="6" fillId="0" borderId="0" xfId="0" applyNumberFormat="1" applyFont="1"/>
    <xf numFmtId="38" fontId="6" fillId="0" borderId="0" xfId="0" applyNumberFormat="1" applyFont="1" applyFill="1"/>
    <xf numFmtId="175" fontId="6" fillId="0" borderId="0" xfId="2" applyNumberFormat="1" applyFont="1"/>
    <xf numFmtId="167" fontId="6" fillId="6" borderId="12" xfId="2" applyNumberFormat="1" applyFont="1" applyFill="1" applyBorder="1" applyAlignment="1">
      <alignment horizontal="center"/>
    </xf>
    <xf numFmtId="197" fontId="6" fillId="0" borderId="0" xfId="0" applyNumberFormat="1" applyFont="1"/>
    <xf numFmtId="38" fontId="6" fillId="0" borderId="4" xfId="0" applyFont="1" applyFill="1" applyBorder="1"/>
    <xf numFmtId="10" fontId="6" fillId="0" borderId="5" xfId="4" applyNumberFormat="1" applyFont="1" applyBorder="1" applyAlignment="1">
      <alignment horizontal="center"/>
    </xf>
    <xf numFmtId="165" fontId="6" fillId="0" borderId="0" xfId="4" applyNumberFormat="1" applyFont="1"/>
    <xf numFmtId="38" fontId="6" fillId="0" borderId="6" xfId="0" applyFont="1" applyBorder="1"/>
    <xf numFmtId="165" fontId="6" fillId="0" borderId="6" xfId="4" applyNumberFormat="1" applyFont="1" applyBorder="1"/>
    <xf numFmtId="44" fontId="6" fillId="0" borderId="6" xfId="4" applyNumberFormat="1" applyFont="1" applyBorder="1"/>
    <xf numFmtId="10" fontId="6" fillId="0" borderId="6" xfId="4" applyNumberFormat="1" applyFont="1" applyBorder="1" applyAlignment="1">
      <alignment horizontal="center"/>
    </xf>
    <xf numFmtId="38" fontId="6" fillId="0" borderId="7" xfId="0" applyFont="1" applyBorder="1"/>
    <xf numFmtId="165" fontId="6" fillId="0" borderId="7" xfId="4" applyNumberFormat="1" applyFont="1" applyBorder="1"/>
    <xf numFmtId="44" fontId="6" fillId="0" borderId="7" xfId="4" applyFont="1" applyBorder="1"/>
    <xf numFmtId="44" fontId="6" fillId="0" borderId="6" xfId="4" applyFont="1" applyBorder="1"/>
    <xf numFmtId="38" fontId="7" fillId="0" borderId="0" xfId="0" applyFont="1" applyBorder="1"/>
    <xf numFmtId="165" fontId="7" fillId="0" borderId="0" xfId="4" applyNumberFormat="1" applyFont="1" applyBorder="1"/>
    <xf numFmtId="44" fontId="7" fillId="0" borderId="0" xfId="4" applyFont="1" applyBorder="1"/>
    <xf numFmtId="44" fontId="6" fillId="0" borderId="13" xfId="4" applyBorder="1"/>
    <xf numFmtId="44" fontId="6" fillId="0" borderId="14" xfId="4" applyBorder="1"/>
    <xf numFmtId="38" fontId="16" fillId="0" borderId="0" xfId="0" applyFont="1"/>
    <xf numFmtId="38" fontId="16" fillId="0" borderId="0" xfId="0" applyFont="1" applyAlignment="1">
      <alignment horizontal="centerContinuous"/>
    </xf>
    <xf numFmtId="38" fontId="16" fillId="0" borderId="15" xfId="0" applyFont="1" applyBorder="1" applyAlignment="1">
      <alignment horizontal="left"/>
    </xf>
    <xf numFmtId="38" fontId="16" fillId="0" borderId="0" xfId="0" applyFont="1" applyBorder="1" applyAlignment="1">
      <alignment horizontal="center"/>
    </xf>
    <xf numFmtId="38" fontId="17" fillId="9" borderId="16" xfId="0" applyFont="1" applyFill="1" applyBorder="1"/>
    <xf numFmtId="38" fontId="17" fillId="9" borderId="17" xfId="0" applyFont="1" applyFill="1" applyBorder="1"/>
    <xf numFmtId="165" fontId="17" fillId="9" borderId="17" xfId="0" applyNumberFormat="1" applyFont="1" applyFill="1" applyBorder="1"/>
    <xf numFmtId="8" fontId="17" fillId="9" borderId="17" xfId="0" applyNumberFormat="1" applyFont="1" applyFill="1" applyBorder="1"/>
    <xf numFmtId="43" fontId="17" fillId="9" borderId="17" xfId="0" applyNumberFormat="1" applyFont="1" applyFill="1" applyBorder="1"/>
    <xf numFmtId="44" fontId="17" fillId="9" borderId="17" xfId="0" applyNumberFormat="1" applyFont="1" applyFill="1" applyBorder="1"/>
    <xf numFmtId="38" fontId="17" fillId="9" borderId="0" xfId="0" applyFont="1" applyFill="1"/>
    <xf numFmtId="38" fontId="17" fillId="9" borderId="18" xfId="0" applyFont="1" applyFill="1" applyBorder="1"/>
    <xf numFmtId="38" fontId="17" fillId="9" borderId="19" xfId="0" applyFont="1" applyFill="1" applyBorder="1"/>
    <xf numFmtId="38" fontId="17" fillId="9" borderId="0" xfId="0" applyFont="1" applyFill="1" applyBorder="1"/>
    <xf numFmtId="165" fontId="17" fillId="9" borderId="0" xfId="0" applyNumberFormat="1" applyFont="1" applyFill="1" applyBorder="1"/>
    <xf numFmtId="8" fontId="17" fillId="9" borderId="0" xfId="0" applyNumberFormat="1" applyFont="1" applyFill="1" applyBorder="1"/>
    <xf numFmtId="44" fontId="17" fillId="9" borderId="0" xfId="0" applyNumberFormat="1" applyFont="1" applyFill="1" applyBorder="1"/>
    <xf numFmtId="38" fontId="17" fillId="9" borderId="20" xfId="0" applyFont="1" applyFill="1" applyBorder="1"/>
    <xf numFmtId="38" fontId="16" fillId="9" borderId="21" xfId="0" applyFont="1" applyFill="1" applyBorder="1"/>
    <xf numFmtId="38" fontId="16" fillId="9" borderId="22" xfId="0" applyFont="1" applyFill="1" applyBorder="1"/>
    <xf numFmtId="165" fontId="16" fillId="9" borderId="22" xfId="0" applyNumberFormat="1" applyFont="1" applyFill="1" applyBorder="1"/>
    <xf numFmtId="44" fontId="16" fillId="9" borderId="22" xfId="0" applyNumberFormat="1" applyFont="1" applyFill="1" applyBorder="1"/>
    <xf numFmtId="43" fontId="16" fillId="9" borderId="22" xfId="0" applyNumberFormat="1" applyFont="1" applyFill="1" applyBorder="1"/>
    <xf numFmtId="8" fontId="16" fillId="9" borderId="22" xfId="0" applyNumberFormat="1" applyFont="1" applyFill="1" applyBorder="1"/>
    <xf numFmtId="167" fontId="16" fillId="9" borderId="22" xfId="0" applyNumberFormat="1" applyFont="1" applyFill="1" applyBorder="1"/>
    <xf numFmtId="38" fontId="16" fillId="9" borderId="23" xfId="0" applyFont="1" applyFill="1" applyBorder="1"/>
    <xf numFmtId="38" fontId="16" fillId="9" borderId="0" xfId="0" applyFont="1" applyFill="1"/>
    <xf numFmtId="165" fontId="17" fillId="0" borderId="0" xfId="4" applyNumberFormat="1" applyFont="1"/>
    <xf numFmtId="44" fontId="17" fillId="0" borderId="0" xfId="4" applyFont="1"/>
    <xf numFmtId="165" fontId="16" fillId="0" borderId="0" xfId="0" applyNumberFormat="1" applyFont="1"/>
    <xf numFmtId="38" fontId="18" fillId="0" borderId="16" xfId="0" applyFont="1" applyBorder="1"/>
    <xf numFmtId="38" fontId="18" fillId="0" borderId="17" xfId="0" applyFont="1" applyBorder="1"/>
    <xf numFmtId="165" fontId="18" fillId="0" borderId="17" xfId="4" applyNumberFormat="1" applyFont="1" applyBorder="1"/>
    <xf numFmtId="44" fontId="18" fillId="0" borderId="17" xfId="4" applyFont="1" applyBorder="1"/>
    <xf numFmtId="165" fontId="18" fillId="0" borderId="17" xfId="0" applyNumberFormat="1" applyFont="1" applyBorder="1"/>
    <xf numFmtId="165" fontId="18" fillId="0" borderId="18" xfId="0" applyNumberFormat="1" applyFont="1" applyBorder="1"/>
    <xf numFmtId="38" fontId="18" fillId="0" borderId="21" xfId="0" applyFont="1" applyBorder="1"/>
    <xf numFmtId="38" fontId="18" fillId="0" borderId="22" xfId="0" applyFont="1" applyBorder="1"/>
    <xf numFmtId="165" fontId="18" fillId="0" borderId="22" xfId="4" applyNumberFormat="1" applyFont="1" applyBorder="1"/>
    <xf numFmtId="44" fontId="18" fillId="0" borderId="22" xfId="4" applyFont="1" applyBorder="1"/>
    <xf numFmtId="165" fontId="18" fillId="0" borderId="22" xfId="0" applyNumberFormat="1" applyFont="1" applyBorder="1"/>
    <xf numFmtId="165" fontId="18" fillId="0" borderId="23" xfId="0" applyNumberFormat="1" applyFont="1" applyBorder="1"/>
    <xf numFmtId="40" fontId="16" fillId="0" borderId="0" xfId="0" applyNumberFormat="1" applyFont="1"/>
    <xf numFmtId="168" fontId="4" fillId="0" borderId="0" xfId="9" applyFill="1" applyBorder="1" applyAlignment="1" applyProtection="1">
      <alignment horizontal="center" wrapText="1"/>
      <protection locked="0"/>
    </xf>
    <xf numFmtId="168" fontId="4" fillId="0" borderId="0" xfId="9" applyNumberFormat="1" applyBorder="1"/>
    <xf numFmtId="165" fontId="6" fillId="0" borderId="24" xfId="4" applyNumberFormat="1" applyBorder="1"/>
    <xf numFmtId="165" fontId="6" fillId="0" borderId="0" xfId="4" applyNumberFormat="1" applyBorder="1"/>
    <xf numFmtId="38" fontId="20" fillId="0" borderId="0" xfId="0" applyFont="1"/>
    <xf numFmtId="43" fontId="6" fillId="0" borderId="24" xfId="2" applyBorder="1"/>
    <xf numFmtId="40" fontId="6" fillId="0" borderId="0" xfId="0" applyNumberFormat="1" applyFont="1" applyFill="1"/>
    <xf numFmtId="165" fontId="6" fillId="0" borderId="24" xfId="4" applyNumberFormat="1" applyFont="1" applyBorder="1"/>
    <xf numFmtId="44" fontId="6" fillId="0" borderId="0" xfId="4"/>
    <xf numFmtId="43" fontId="6" fillId="0" borderId="0" xfId="2" applyBorder="1"/>
    <xf numFmtId="38" fontId="6" fillId="0" borderId="0" xfId="0" applyFont="1" applyBorder="1"/>
    <xf numFmtId="38" fontId="6" fillId="0" borderId="24" xfId="0" applyFont="1" applyBorder="1"/>
    <xf numFmtId="165" fontId="6" fillId="0" borderId="0" xfId="4" applyNumberFormat="1" applyFont="1" applyBorder="1"/>
    <xf numFmtId="41" fontId="6" fillId="0" borderId="24" xfId="3" applyFont="1" applyBorder="1"/>
    <xf numFmtId="43" fontId="6" fillId="0" borderId="24" xfId="2" applyFont="1" applyBorder="1"/>
    <xf numFmtId="44" fontId="6" fillId="0" borderId="6" xfId="4" applyBorder="1"/>
    <xf numFmtId="167" fontId="6" fillId="0" borderId="24" xfId="2" applyNumberFormat="1" applyFont="1" applyBorder="1"/>
    <xf numFmtId="38" fontId="20" fillId="0" borderId="0" xfId="0" applyFont="1" applyBorder="1"/>
    <xf numFmtId="38" fontId="20" fillId="0" borderId="24" xfId="0" applyFont="1" applyFill="1" applyBorder="1"/>
    <xf numFmtId="38" fontId="21" fillId="0" borderId="24" xfId="7" applyNumberFormat="1" applyFill="1" applyBorder="1">
      <alignment horizontal="center"/>
    </xf>
    <xf numFmtId="38" fontId="0" fillId="0" borderId="0" xfId="0" applyFill="1"/>
    <xf numFmtId="0" fontId="22" fillId="0" borderId="7" xfId="0" applyNumberFormat="1" applyFont="1" applyFill="1" applyBorder="1"/>
    <xf numFmtId="44" fontId="6" fillId="0" borderId="25" xfId="4" applyFill="1" applyBorder="1"/>
    <xf numFmtId="38" fontId="6" fillId="0" borderId="0" xfId="2" applyNumberFormat="1" applyFill="1" applyBorder="1"/>
    <xf numFmtId="40" fontId="6" fillId="0" borderId="0" xfId="0" applyNumberFormat="1" applyFont="1" applyFill="1" applyBorder="1"/>
    <xf numFmtId="38" fontId="6" fillId="0" borderId="0" xfId="0" applyNumberFormat="1" applyFont="1" applyFill="1" applyBorder="1"/>
    <xf numFmtId="40" fontId="6" fillId="0" borderId="0" xfId="4" applyNumberFormat="1" applyFill="1" applyBorder="1"/>
    <xf numFmtId="40" fontId="0" fillId="0" borderId="0" xfId="0" applyNumberFormat="1" applyFill="1" applyBorder="1"/>
    <xf numFmtId="167" fontId="6" fillId="5" borderId="0" xfId="2" applyNumberFormat="1" applyFont="1" applyFill="1" applyBorder="1" applyAlignment="1">
      <alignment horizontal="center"/>
    </xf>
    <xf numFmtId="0" fontId="22" fillId="0" borderId="24" xfId="0" applyNumberFormat="1" applyFont="1" applyFill="1" applyBorder="1"/>
    <xf numFmtId="44" fontId="6" fillId="0" borderId="7" xfId="4" applyFill="1" applyBorder="1"/>
    <xf numFmtId="40" fontId="6" fillId="0" borderId="7" xfId="0" applyNumberFormat="1" applyFont="1" applyFill="1" applyBorder="1"/>
    <xf numFmtId="38" fontId="6" fillId="0" borderId="7" xfId="0" applyNumberFormat="1" applyFont="1" applyFill="1" applyBorder="1"/>
    <xf numFmtId="38" fontId="7" fillId="0" borderId="26" xfId="0" applyFont="1" applyFill="1" applyBorder="1"/>
    <xf numFmtId="38" fontId="0" fillId="0" borderId="0" xfId="0" applyFill="1" applyBorder="1"/>
    <xf numFmtId="38" fontId="9" fillId="0" borderId="0" xfId="2" applyNumberFormat="1" applyFont="1"/>
    <xf numFmtId="38" fontId="9" fillId="0" borderId="0" xfId="3" applyNumberFormat="1" applyFont="1"/>
    <xf numFmtId="38" fontId="10" fillId="0" borderId="0" xfId="9" applyNumberFormat="1" applyFont="1"/>
    <xf numFmtId="38" fontId="11" fillId="0" borderId="0" xfId="2" applyNumberFormat="1" applyFont="1"/>
    <xf numFmtId="38" fontId="11" fillId="0" borderId="0" xfId="3" applyNumberFormat="1" applyFont="1"/>
    <xf numFmtId="4" fontId="9" fillId="0" borderId="0" xfId="2" applyNumberFormat="1" applyFont="1"/>
    <xf numFmtId="4" fontId="11" fillId="0" borderId="0" xfId="2" applyNumberFormat="1" applyFont="1"/>
    <xf numFmtId="38" fontId="0" fillId="0" borderId="7" xfId="0" applyFill="1" applyBorder="1"/>
    <xf numFmtId="165" fontId="6" fillId="0" borderId="7" xfId="4" applyNumberFormat="1" applyFill="1" applyBorder="1"/>
    <xf numFmtId="44" fontId="0" fillId="0" borderId="7" xfId="0" applyNumberFormat="1" applyFill="1" applyBorder="1"/>
    <xf numFmtId="165" fontId="0" fillId="0" borderId="7" xfId="0" applyNumberFormat="1" applyFill="1" applyBorder="1"/>
    <xf numFmtId="38" fontId="6" fillId="0" borderId="0" xfId="0" applyFont="1" applyAlignment="1">
      <alignment wrapText="1"/>
    </xf>
    <xf numFmtId="38" fontId="7" fillId="0" borderId="27" xfId="0" applyFont="1" applyFill="1" applyBorder="1"/>
    <xf numFmtId="38" fontId="7" fillId="0" borderId="28" xfId="0" applyFont="1" applyFill="1" applyBorder="1"/>
    <xf numFmtId="38" fontId="7" fillId="0" borderId="0" xfId="0" applyFont="1" applyFill="1" applyBorder="1"/>
    <xf numFmtId="0" fontId="25" fillId="0" borderId="26" xfId="0" applyNumberFormat="1" applyFont="1" applyFill="1" applyBorder="1"/>
    <xf numFmtId="0" fontId="25" fillId="0" borderId="0" xfId="0" applyNumberFormat="1" applyFont="1" applyFill="1" applyBorder="1"/>
    <xf numFmtId="38" fontId="25" fillId="0" borderId="0" xfId="0" applyFont="1" applyFill="1" applyBorder="1"/>
    <xf numFmtId="0" fontId="25" fillId="0" borderId="25" xfId="0" applyNumberFormat="1" applyFont="1" applyFill="1" applyBorder="1"/>
    <xf numFmtId="0" fontId="25" fillId="0" borderId="29" xfId="0" applyNumberFormat="1" applyFont="1" applyFill="1" applyBorder="1"/>
    <xf numFmtId="0" fontId="25" fillId="0" borderId="30" xfId="0" applyNumberFormat="1" applyFont="1" applyFill="1" applyBorder="1"/>
    <xf numFmtId="38" fontId="25" fillId="0" borderId="30" xfId="0" applyFont="1" applyFill="1" applyBorder="1"/>
    <xf numFmtId="0" fontId="25" fillId="0" borderId="31" xfId="0" applyNumberFormat="1" applyFont="1" applyFill="1" applyBorder="1"/>
    <xf numFmtId="165" fontId="7" fillId="0" borderId="0" xfId="4" applyNumberFormat="1" applyFont="1" applyFill="1" applyBorder="1"/>
    <xf numFmtId="44" fontId="7" fillId="0" borderId="0" xfId="4" applyFont="1" applyFill="1" applyBorder="1"/>
    <xf numFmtId="38" fontId="25" fillId="9" borderId="32" xfId="0" applyFont="1" applyFill="1" applyBorder="1"/>
    <xf numFmtId="38" fontId="0" fillId="9" borderId="0" xfId="0" applyFill="1"/>
    <xf numFmtId="6" fontId="13" fillId="9" borderId="7" xfId="4" applyNumberFormat="1" applyFont="1" applyFill="1" applyBorder="1"/>
    <xf numFmtId="8" fontId="13" fillId="9" borderId="7" xfId="4" applyNumberFormat="1" applyFont="1" applyFill="1" applyBorder="1"/>
    <xf numFmtId="44" fontId="7" fillId="9" borderId="7" xfId="4" applyFont="1" applyFill="1" applyBorder="1"/>
    <xf numFmtId="197" fontId="13" fillId="9" borderId="7" xfId="0" applyNumberFormat="1" applyFont="1" applyFill="1" applyBorder="1"/>
    <xf numFmtId="38" fontId="13" fillId="9" borderId="7" xfId="0" applyFont="1" applyFill="1" applyBorder="1"/>
    <xf numFmtId="40" fontId="13" fillId="9" borderId="7" xfId="0" applyNumberFormat="1" applyFont="1" applyFill="1" applyBorder="1"/>
    <xf numFmtId="38" fontId="13" fillId="9" borderId="7" xfId="0" applyNumberFormat="1" applyFont="1" applyFill="1" applyBorder="1"/>
    <xf numFmtId="6" fontId="13" fillId="9" borderId="7" xfId="0" applyNumberFormat="1" applyFont="1" applyFill="1" applyBorder="1"/>
    <xf numFmtId="8" fontId="13" fillId="9" borderId="7" xfId="0" applyNumberFormat="1" applyFont="1" applyFill="1" applyBorder="1"/>
    <xf numFmtId="17" fontId="0" fillId="0" borderId="0" xfId="0" applyNumberFormat="1"/>
    <xf numFmtId="38" fontId="0" fillId="0" borderId="0" xfId="0" applyAlignment="1">
      <alignment horizontal="center"/>
    </xf>
    <xf numFmtId="167" fontId="6" fillId="0" borderId="0" xfId="2" applyNumberFormat="1"/>
    <xf numFmtId="17" fontId="0" fillId="10" borderId="0" xfId="0" applyNumberFormat="1" applyFill="1"/>
    <xf numFmtId="38" fontId="0" fillId="10" borderId="0" xfId="0" applyFill="1"/>
    <xf numFmtId="17" fontId="0" fillId="5" borderId="0" xfId="0" applyNumberFormat="1" applyFill="1"/>
    <xf numFmtId="38" fontId="0" fillId="5" borderId="0" xfId="0" applyFill="1"/>
    <xf numFmtId="38" fontId="0" fillId="11" borderId="0" xfId="0" applyFill="1"/>
    <xf numFmtId="38" fontId="0" fillId="12" borderId="0" xfId="0" applyFill="1"/>
    <xf numFmtId="38" fontId="0" fillId="13" borderId="0" xfId="0" applyFill="1"/>
    <xf numFmtId="38" fontId="21" fillId="0" borderId="33" xfId="7" applyNumberFormat="1" applyFill="1" applyBorder="1">
      <alignment horizontal="center"/>
    </xf>
    <xf numFmtId="38" fontId="21" fillId="0" borderId="34" xfId="7" applyNumberFormat="1" applyFill="1" applyBorder="1">
      <alignment horizontal="center"/>
    </xf>
    <xf numFmtId="38" fontId="21" fillId="0" borderId="35" xfId="7" applyNumberFormat="1" applyFill="1" applyBorder="1">
      <alignment horizontal="center"/>
    </xf>
    <xf numFmtId="38" fontId="0" fillId="0" borderId="24" xfId="0" applyFill="1" applyBorder="1"/>
    <xf numFmtId="40" fontId="13" fillId="9" borderId="0" xfId="0" applyNumberFormat="1" applyFont="1" applyFill="1" applyBorder="1"/>
    <xf numFmtId="38" fontId="21" fillId="0" borderId="36" xfId="7" applyNumberFormat="1" applyFill="1" applyBorder="1">
      <alignment horizontal="center"/>
    </xf>
    <xf numFmtId="38" fontId="21" fillId="0" borderId="8" xfId="7" applyNumberFormat="1" applyFont="1" applyFill="1" applyBorder="1" applyAlignment="1">
      <alignment horizontal="left"/>
    </xf>
    <xf numFmtId="38" fontId="21" fillId="0" borderId="0" xfId="7" applyNumberFormat="1" applyFont="1" applyFill="1" applyBorder="1" applyAlignment="1">
      <alignment horizontal="left"/>
    </xf>
    <xf numFmtId="38" fontId="21" fillId="0" borderId="8" xfId="7" applyNumberFormat="1" applyFont="1" applyFill="1" applyBorder="1">
      <alignment horizontal="center"/>
    </xf>
    <xf numFmtId="38" fontId="0" fillId="0" borderId="0" xfId="0" applyBorder="1"/>
    <xf numFmtId="38" fontId="21" fillId="0" borderId="0" xfId="7" applyNumberFormat="1" applyFont="1" applyFill="1" applyBorder="1">
      <alignment horizontal="center"/>
    </xf>
    <xf numFmtId="38" fontId="20" fillId="0" borderId="0" xfId="0" applyFont="1" applyFill="1" applyBorder="1"/>
    <xf numFmtId="189" fontId="0" fillId="0" borderId="0" xfId="0" applyNumberFormat="1" applyFill="1" applyBorder="1"/>
    <xf numFmtId="38" fontId="0" fillId="0" borderId="6" xfId="0" applyFill="1" applyBorder="1"/>
    <xf numFmtId="168" fontId="0" fillId="0" borderId="0" xfId="0" applyNumberFormat="1" applyFill="1" applyBorder="1"/>
    <xf numFmtId="0" fontId="23" fillId="9" borderId="0" xfId="0" applyNumberFormat="1" applyFont="1" applyFill="1" applyBorder="1"/>
    <xf numFmtId="38" fontId="0" fillId="9" borderId="0" xfId="0" applyFill="1" applyBorder="1"/>
    <xf numFmtId="44" fontId="0" fillId="9" borderId="0" xfId="0" applyNumberFormat="1" applyFill="1" applyBorder="1"/>
    <xf numFmtId="165" fontId="0" fillId="9" borderId="0" xfId="0" applyNumberFormat="1" applyFill="1" applyBorder="1"/>
    <xf numFmtId="165" fontId="6" fillId="9" borderId="0" xfId="4" applyNumberFormat="1" applyFill="1" applyBorder="1"/>
    <xf numFmtId="0" fontId="0" fillId="0" borderId="0" xfId="0" applyNumberFormat="1" applyFill="1" applyBorder="1" applyAlignment="1">
      <alignment horizontal="left" indent="1"/>
    </xf>
    <xf numFmtId="44" fontId="0" fillId="0" borderId="0" xfId="0" applyNumberFormat="1" applyFill="1" applyBorder="1"/>
    <xf numFmtId="165" fontId="0" fillId="0" borderId="0" xfId="0" applyNumberFormat="1" applyFill="1" applyBorder="1"/>
    <xf numFmtId="165" fontId="6" fillId="0" borderId="0" xfId="4" applyNumberFormat="1" applyFill="1" applyBorder="1"/>
    <xf numFmtId="43" fontId="0" fillId="0" borderId="0" xfId="0" applyNumberFormat="1" applyFill="1" applyBorder="1"/>
    <xf numFmtId="167" fontId="6" fillId="0" borderId="0" xfId="2" applyNumberFormat="1" applyFill="1" applyBorder="1"/>
    <xf numFmtId="38" fontId="0" fillId="0" borderId="0" xfId="0" applyNumberFormat="1" applyFill="1" applyBorder="1"/>
    <xf numFmtId="43" fontId="6" fillId="0" borderId="0" xfId="2" applyFill="1" applyBorder="1"/>
    <xf numFmtId="168" fontId="4" fillId="0" borderId="0" xfId="9" applyFill="1" applyBorder="1"/>
    <xf numFmtId="44" fontId="6" fillId="0" borderId="0" xfId="4" applyFill="1" applyBorder="1"/>
    <xf numFmtId="0" fontId="23" fillId="0" borderId="7" xfId="0" applyNumberFormat="1" applyFont="1" applyFill="1" applyBorder="1"/>
    <xf numFmtId="44" fontId="24" fillId="0" borderId="0" xfId="4" applyFont="1" applyFill="1" applyBorder="1"/>
    <xf numFmtId="44" fontId="6" fillId="0" borderId="0" xfId="4" applyFont="1" applyFill="1" applyBorder="1"/>
    <xf numFmtId="0" fontId="0" fillId="0" borderId="0" xfId="0" applyNumberFormat="1" applyFill="1" applyBorder="1"/>
    <xf numFmtId="0" fontId="23" fillId="9" borderId="7" xfId="0" applyNumberFormat="1" applyFont="1" applyFill="1" applyBorder="1"/>
    <xf numFmtId="38" fontId="13" fillId="9" borderId="0" xfId="0" applyNumberFormat="1" applyFont="1" applyFill="1" applyBorder="1"/>
    <xf numFmtId="44" fontId="13" fillId="9" borderId="7" xfId="4" applyFont="1" applyFill="1" applyBorder="1"/>
    <xf numFmtId="0" fontId="1" fillId="0" borderId="0" xfId="0" applyNumberFormat="1" applyFont="1" applyFill="1" applyBorder="1"/>
    <xf numFmtId="38" fontId="13" fillId="0" borderId="0" xfId="0" applyFont="1" applyFill="1" applyBorder="1"/>
    <xf numFmtId="40" fontId="13" fillId="0" borderId="0" xfId="0" applyNumberFormat="1" applyFont="1" applyFill="1" applyBorder="1"/>
    <xf numFmtId="38" fontId="13" fillId="0" borderId="0" xfId="0" applyNumberFormat="1" applyFont="1" applyFill="1" applyBorder="1"/>
    <xf numFmtId="38" fontId="20" fillId="0" borderId="0" xfId="0" applyFont="1" applyFill="1" applyBorder="1" applyAlignment="1">
      <alignment wrapText="1"/>
    </xf>
    <xf numFmtId="0" fontId="23" fillId="0" borderId="24" xfId="0" applyNumberFormat="1" applyFont="1" applyFill="1" applyBorder="1"/>
    <xf numFmtId="38" fontId="7" fillId="9" borderId="6" xfId="0" applyFont="1" applyFill="1" applyBorder="1"/>
    <xf numFmtId="197" fontId="7" fillId="9" borderId="6" xfId="0" applyNumberFormat="1" applyFont="1" applyFill="1" applyBorder="1"/>
    <xf numFmtId="40" fontId="7" fillId="9" borderId="6" xfId="0" applyNumberFormat="1" applyFont="1" applyFill="1" applyBorder="1"/>
    <xf numFmtId="38" fontId="7" fillId="9" borderId="6" xfId="0" applyNumberFormat="1" applyFont="1" applyFill="1" applyBorder="1"/>
    <xf numFmtId="6" fontId="7" fillId="9" borderId="6" xfId="4" applyNumberFormat="1" applyFont="1" applyFill="1" applyBorder="1"/>
    <xf numFmtId="44" fontId="7" fillId="9" borderId="6" xfId="4" applyFont="1" applyFill="1" applyBorder="1"/>
    <xf numFmtId="165" fontId="7" fillId="9" borderId="6" xfId="4" applyNumberFormat="1" applyFont="1" applyFill="1" applyBorder="1"/>
    <xf numFmtId="168" fontId="3" fillId="0" borderId="0" xfId="9" applyFont="1"/>
    <xf numFmtId="42" fontId="13" fillId="0" borderId="0" xfId="5" applyFont="1"/>
    <xf numFmtId="44" fontId="13" fillId="0" borderId="0" xfId="4" applyFont="1"/>
    <xf numFmtId="42" fontId="26" fillId="0" borderId="0" xfId="5" applyFont="1"/>
    <xf numFmtId="44" fontId="26" fillId="0" borderId="0" xfId="4" applyFont="1"/>
    <xf numFmtId="38" fontId="26" fillId="0" borderId="0" xfId="0" applyFont="1"/>
    <xf numFmtId="38" fontId="13" fillId="0" borderId="0" xfId="0" applyFont="1"/>
    <xf numFmtId="38" fontId="27" fillId="0" borderId="0" xfId="0" applyFont="1"/>
    <xf numFmtId="168" fontId="4" fillId="0" borderId="0" xfId="9" applyBorder="1"/>
    <xf numFmtId="8" fontId="7" fillId="0" borderId="0" xfId="4" applyNumberFormat="1" applyFont="1" applyFill="1" applyBorder="1"/>
    <xf numFmtId="38" fontId="0" fillId="0" borderId="0" xfId="0" applyFill="1" applyBorder="1"/>
    <xf numFmtId="38" fontId="21" fillId="0" borderId="8" xfId="7" applyNumberFormat="1" applyFont="1" applyFill="1" applyBorder="1">
      <alignment horizontal="center"/>
    </xf>
    <xf numFmtId="38" fontId="8" fillId="0" borderId="0" xfId="0" applyFont="1" applyAlignment="1">
      <alignment horizontal="center"/>
    </xf>
    <xf numFmtId="38" fontId="16" fillId="0" borderId="24" xfId="0" applyFont="1" applyBorder="1" applyAlignment="1">
      <alignment horizontal="center"/>
    </xf>
  </cellXfs>
  <cellStyles count="10">
    <cellStyle name="Column Headings" xfId="1"/>
    <cellStyle name="Comma" xfId="2" builtinId="3"/>
    <cellStyle name="Comma [0]" xfId="3" builtinId="6"/>
    <cellStyle name="Currency" xfId="4" builtinId="4"/>
    <cellStyle name="Currency [0]" xfId="5" builtinId="7"/>
    <cellStyle name="HEADING" xfId="6"/>
    <cellStyle name="Heading 2" xfId="7" builtinId="17" customBuiltin="1"/>
    <cellStyle name="HEADING2" xfId="8"/>
    <cellStyle name="Normal" xfId="0" builtinId="0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62"/>
  <sheetViews>
    <sheetView tabSelected="1" topLeftCell="A29" workbookViewId="0">
      <selection activeCell="L59" sqref="L59"/>
    </sheetView>
  </sheetViews>
  <sheetFormatPr defaultRowHeight="12.75"/>
  <cols>
    <col min="1" max="1" width="9.140625" style="187"/>
    <col min="2" max="2" width="30.28515625" style="187" customWidth="1"/>
    <col min="3" max="4" width="0" style="187" hidden="1" customWidth="1"/>
    <col min="5" max="5" width="0.85546875" style="187" hidden="1" customWidth="1"/>
    <col min="6" max="8" width="10.7109375" style="187" hidden="1" customWidth="1"/>
    <col min="9" max="9" width="0.85546875" style="187" customWidth="1"/>
    <col min="10" max="10" width="11" style="187" customWidth="1"/>
    <col min="11" max="11" width="9" style="187" customWidth="1"/>
    <col min="12" max="12" width="8.5703125" style="187" customWidth="1"/>
    <col min="13" max="13" width="0.85546875" style="187" customWidth="1"/>
    <col min="14" max="14" width="11.42578125" style="187" customWidth="1"/>
    <col min="15" max="15" width="9.5703125" style="187" customWidth="1"/>
    <col min="16" max="16" width="8.5703125" style="187" customWidth="1"/>
    <col min="17" max="17" width="0.85546875" style="187" customWidth="1"/>
    <col min="18" max="18" width="11" style="187" hidden="1" customWidth="1"/>
    <col min="19" max="19" width="8.5703125" style="187" hidden="1" customWidth="1"/>
    <col min="20" max="20" width="10.7109375" style="187" hidden="1" customWidth="1"/>
    <col min="21" max="21" width="0.85546875" style="187" hidden="1" customWidth="1"/>
    <col min="22" max="22" width="12" style="187" customWidth="1"/>
    <col min="23" max="23" width="9.5703125" style="187" customWidth="1"/>
    <col min="24" max="24" width="8.5703125" style="187" customWidth="1"/>
    <col min="25" max="25" width="13" style="187" customWidth="1"/>
    <col min="26" max="26" width="11" style="187" bestFit="1" customWidth="1"/>
    <col min="27" max="27" width="8.5703125" style="187" customWidth="1"/>
    <col min="28" max="16384" width="9.140625" style="187"/>
  </cols>
  <sheetData>
    <row r="1" spans="2:24">
      <c r="B1" s="187" t="s">
        <v>318</v>
      </c>
      <c r="C1" s="187">
        <v>625</v>
      </c>
    </row>
    <row r="2" spans="2:24">
      <c r="B2" s="187" t="s">
        <v>319</v>
      </c>
      <c r="C2" s="187">
        <v>575</v>
      </c>
    </row>
    <row r="3" spans="2:24">
      <c r="B3" s="187" t="s">
        <v>320</v>
      </c>
      <c r="C3" s="187">
        <v>500</v>
      </c>
    </row>
    <row r="4" spans="2:24">
      <c r="B4" s="187" t="s">
        <v>321</v>
      </c>
      <c r="C4" s="187">
        <v>425</v>
      </c>
    </row>
    <row r="5" spans="2:24" ht="13.5" thickBot="1">
      <c r="B5" s="270" t="s">
        <v>446</v>
      </c>
      <c r="C5" s="271"/>
      <c r="D5" s="271"/>
      <c r="E5" s="272"/>
      <c r="F5" s="325" t="s">
        <v>296</v>
      </c>
      <c r="G5" s="325"/>
      <c r="H5" s="325"/>
      <c r="I5" s="273"/>
      <c r="J5" s="325" t="s">
        <v>315</v>
      </c>
      <c r="K5" s="325"/>
      <c r="L5" s="325"/>
      <c r="M5" s="274"/>
      <c r="N5" s="325" t="s">
        <v>316</v>
      </c>
      <c r="O5" s="325"/>
      <c r="P5" s="325"/>
      <c r="Q5" s="274"/>
      <c r="R5" s="325" t="s">
        <v>317</v>
      </c>
      <c r="S5" s="325"/>
      <c r="T5" s="325"/>
      <c r="U5" s="272"/>
      <c r="V5" s="325" t="s">
        <v>447</v>
      </c>
      <c r="W5" s="325"/>
      <c r="X5" s="325"/>
    </row>
    <row r="6" spans="2:24">
      <c r="B6" s="275"/>
      <c r="C6" s="201"/>
      <c r="D6" s="201"/>
      <c r="E6" s="202"/>
      <c r="F6" s="202" t="s">
        <v>276</v>
      </c>
      <c r="G6" s="202" t="s">
        <v>73</v>
      </c>
      <c r="H6" s="202" t="s">
        <v>0</v>
      </c>
      <c r="I6" s="273"/>
      <c r="J6" s="264" t="s">
        <v>276</v>
      </c>
      <c r="K6" s="265" t="s">
        <v>73</v>
      </c>
      <c r="L6" s="266" t="s">
        <v>0</v>
      </c>
      <c r="M6" s="269"/>
      <c r="N6" s="202" t="s">
        <v>276</v>
      </c>
      <c r="O6" s="202" t="s">
        <v>73</v>
      </c>
      <c r="P6" s="202" t="s">
        <v>0</v>
      </c>
      <c r="Q6" s="202"/>
      <c r="R6" s="202" t="s">
        <v>276</v>
      </c>
      <c r="S6" s="202" t="s">
        <v>73</v>
      </c>
      <c r="T6" s="202" t="s">
        <v>0</v>
      </c>
      <c r="U6" s="202"/>
      <c r="V6" s="202" t="s">
        <v>276</v>
      </c>
      <c r="W6" s="202" t="s">
        <v>73</v>
      </c>
      <c r="X6" s="202" t="s">
        <v>0</v>
      </c>
    </row>
    <row r="7" spans="2:24">
      <c r="B7" s="217" t="s">
        <v>271</v>
      </c>
      <c r="C7" s="217"/>
      <c r="D7" s="217"/>
      <c r="E7" s="217"/>
      <c r="F7" s="217">
        <v>1</v>
      </c>
      <c r="G7" s="276">
        <v>2.5</v>
      </c>
      <c r="H7" s="276"/>
      <c r="I7" s="273"/>
      <c r="J7" s="217">
        <v>2</v>
      </c>
      <c r="K7" s="276">
        <v>2.5</v>
      </c>
      <c r="L7" s="276"/>
      <c r="M7" s="276"/>
      <c r="N7" s="217">
        <v>3</v>
      </c>
      <c r="O7" s="276">
        <v>3.5</v>
      </c>
      <c r="P7" s="217"/>
      <c r="Q7" s="217"/>
      <c r="R7" s="217">
        <v>4</v>
      </c>
      <c r="S7" s="276">
        <v>2.5</v>
      </c>
      <c r="T7" s="217"/>
      <c r="U7" s="217"/>
      <c r="V7" s="217">
        <f>F7*F11+J7*J11+N7*N11+R7*R11</f>
        <v>327</v>
      </c>
      <c r="W7" s="217"/>
      <c r="X7" s="277"/>
    </row>
    <row r="8" spans="2:24">
      <c r="B8" s="217" t="s">
        <v>395</v>
      </c>
      <c r="C8" s="217"/>
      <c r="D8" s="217"/>
      <c r="E8" s="217"/>
      <c r="F8" s="217">
        <v>500</v>
      </c>
      <c r="G8" s="217"/>
      <c r="H8" s="217"/>
      <c r="I8" s="273"/>
      <c r="J8" s="217">
        <v>1107</v>
      </c>
      <c r="K8" s="217"/>
      <c r="L8" s="217"/>
      <c r="M8" s="217"/>
      <c r="N8" s="217">
        <f>+'UCost Final'!AB9</f>
        <v>1287</v>
      </c>
      <c r="O8" s="217"/>
      <c r="P8" s="217"/>
      <c r="Q8" s="217"/>
      <c r="R8" s="217">
        <f>+'UCost Final'!AF9</f>
        <v>1550</v>
      </c>
      <c r="S8" s="217"/>
      <c r="T8" s="217"/>
      <c r="U8" s="217"/>
      <c r="V8" s="217">
        <f>+R8*R11+J8*J11+N8*N11</f>
        <v>158211</v>
      </c>
      <c r="W8" s="217"/>
      <c r="X8" s="217"/>
    </row>
    <row r="9" spans="2:24">
      <c r="B9" s="217" t="s">
        <v>272</v>
      </c>
      <c r="C9" s="217"/>
      <c r="D9" s="217"/>
      <c r="E9" s="217"/>
      <c r="F9" s="324" t="s">
        <v>273</v>
      </c>
      <c r="G9" s="324"/>
      <c r="H9" s="217"/>
      <c r="I9" s="273"/>
      <c r="J9" s="324" t="s">
        <v>273</v>
      </c>
      <c r="K9" s="324"/>
      <c r="L9" s="217"/>
      <c r="M9" s="217"/>
      <c r="N9" s="324" t="s">
        <v>273</v>
      </c>
      <c r="O9" s="324"/>
      <c r="P9" s="217"/>
      <c r="Q9" s="217"/>
      <c r="R9" s="324" t="s">
        <v>273</v>
      </c>
      <c r="S9" s="324"/>
      <c r="T9" s="217"/>
      <c r="U9" s="217"/>
      <c r="V9" s="217"/>
      <c r="W9" s="217"/>
      <c r="X9" s="217"/>
    </row>
    <row r="10" spans="2:24" hidden="1">
      <c r="B10" s="217" t="s">
        <v>274</v>
      </c>
      <c r="C10" s="217"/>
      <c r="D10" s="217"/>
      <c r="E10" s="217"/>
      <c r="F10" s="210">
        <v>15.83</v>
      </c>
      <c r="G10" s="217" t="s">
        <v>275</v>
      </c>
      <c r="H10" s="217"/>
      <c r="I10" s="273"/>
      <c r="J10" s="210">
        <v>15.83</v>
      </c>
      <c r="K10" s="217" t="s">
        <v>275</v>
      </c>
      <c r="L10" s="217"/>
      <c r="M10" s="217"/>
      <c r="N10" s="217">
        <v>26</v>
      </c>
      <c r="O10" s="217" t="s">
        <v>275</v>
      </c>
      <c r="P10" s="217"/>
      <c r="Q10" s="217"/>
      <c r="R10" s="217">
        <v>26</v>
      </c>
      <c r="S10" s="217" t="s">
        <v>275</v>
      </c>
      <c r="T10" s="217"/>
      <c r="U10" s="217"/>
      <c r="V10" s="217"/>
      <c r="W10" s="217"/>
      <c r="X10" s="217"/>
    </row>
    <row r="11" spans="2:24">
      <c r="B11" s="217" t="s">
        <v>314</v>
      </c>
      <c r="C11" s="217"/>
      <c r="D11" s="217"/>
      <c r="E11" s="217"/>
      <c r="F11" s="217">
        <v>0</v>
      </c>
      <c r="G11" s="217"/>
      <c r="H11" s="217"/>
      <c r="I11" s="273"/>
      <c r="J11" s="217">
        <v>72</v>
      </c>
      <c r="K11" s="217"/>
      <c r="L11" s="217"/>
      <c r="M11" s="217"/>
      <c r="N11" s="217">
        <f>58+3</f>
        <v>61</v>
      </c>
      <c r="O11" s="217"/>
      <c r="P11" s="217"/>
      <c r="Q11" s="273"/>
      <c r="R11" s="217">
        <v>0</v>
      </c>
      <c r="S11" s="217"/>
      <c r="T11" s="217"/>
      <c r="U11" s="217"/>
      <c r="V11" s="217">
        <f>+N11+J11</f>
        <v>133</v>
      </c>
      <c r="W11" s="217"/>
      <c r="X11" s="217"/>
    </row>
    <row r="12" spans="2:24">
      <c r="B12" s="267" t="s">
        <v>313</v>
      </c>
      <c r="C12" s="217"/>
      <c r="D12" s="217"/>
      <c r="E12" s="217"/>
      <c r="F12" s="278">
        <f>+F11/$V11</f>
        <v>0</v>
      </c>
      <c r="G12" s="217"/>
      <c r="H12" s="217"/>
      <c r="I12" s="273"/>
      <c r="J12" s="278">
        <f>+J11/$V11</f>
        <v>0.54135338345864659</v>
      </c>
      <c r="K12" s="217"/>
      <c r="L12" s="217"/>
      <c r="M12" s="217"/>
      <c r="N12" s="278">
        <f>+N11/$V11</f>
        <v>0.45864661654135336</v>
      </c>
      <c r="O12" s="217"/>
      <c r="P12" s="217"/>
      <c r="Q12" s="273"/>
      <c r="R12" s="278">
        <f>+R11/$V11</f>
        <v>0</v>
      </c>
      <c r="S12" s="217"/>
      <c r="T12" s="217"/>
      <c r="U12" s="217"/>
      <c r="V12" s="278">
        <f>+V11/$V11</f>
        <v>1</v>
      </c>
      <c r="W12" s="217"/>
      <c r="X12" s="217"/>
    </row>
    <row r="13" spans="2:24" ht="15.75">
      <c r="B13" s="204"/>
      <c r="C13" s="204"/>
      <c r="D13" s="204"/>
      <c r="E13" s="204"/>
      <c r="F13" s="204"/>
      <c r="G13" s="204"/>
      <c r="H13" s="204"/>
      <c r="I13" s="273"/>
      <c r="J13" s="204"/>
      <c r="K13" s="204"/>
      <c r="L13" s="204"/>
      <c r="M13" s="212"/>
      <c r="N13" s="204"/>
      <c r="O13" s="204"/>
      <c r="P13" s="204"/>
      <c r="Q13" s="273"/>
      <c r="R13" s="204"/>
      <c r="S13" s="204"/>
      <c r="T13" s="204"/>
      <c r="U13" s="204"/>
      <c r="V13" s="204"/>
      <c r="W13" s="204"/>
      <c r="X13" s="204"/>
    </row>
    <row r="14" spans="2:24">
      <c r="B14" s="279" t="s">
        <v>322</v>
      </c>
      <c r="C14" s="280"/>
      <c r="D14" s="280"/>
      <c r="E14" s="281"/>
      <c r="F14" s="282"/>
      <c r="G14" s="282"/>
      <c r="H14" s="281"/>
      <c r="I14" s="273"/>
      <c r="J14" s="282"/>
      <c r="K14" s="282"/>
      <c r="L14" s="281"/>
      <c r="M14" s="273"/>
      <c r="N14" s="282"/>
      <c r="O14" s="282"/>
      <c r="P14" s="281"/>
      <c r="Q14" s="273"/>
      <c r="R14" s="282"/>
      <c r="S14" s="282"/>
      <c r="T14" s="281"/>
      <c r="U14" s="281"/>
      <c r="V14" s="283"/>
      <c r="W14" s="282"/>
      <c r="X14" s="281"/>
    </row>
    <row r="15" spans="2:24">
      <c r="B15" s="284" t="s">
        <v>392</v>
      </c>
      <c r="C15" s="278"/>
      <c r="D15" s="278"/>
      <c r="E15" s="285"/>
      <c r="F15" s="286">
        <f>G15*F$11</f>
        <v>0</v>
      </c>
      <c r="G15" s="286">
        <f>F$7*One_Bedroom_Rate</f>
        <v>625</v>
      </c>
      <c r="H15" s="285">
        <f t="shared" ref="H15:H20" si="0">+G15/F$8</f>
        <v>1.25</v>
      </c>
      <c r="I15" s="273"/>
      <c r="J15" s="286">
        <f>K15*J$11</f>
        <v>82800</v>
      </c>
      <c r="K15" s="286">
        <f>J$7*Two_Bedroom_Rate</f>
        <v>1150</v>
      </c>
      <c r="L15" s="285">
        <f t="shared" ref="L15:L20" si="1">+K15/J$8</f>
        <v>1.0388437217705511</v>
      </c>
      <c r="M15" s="273"/>
      <c r="N15" s="286">
        <f>O15*N$11</f>
        <v>91500</v>
      </c>
      <c r="O15" s="286">
        <f>N$7*Three_Bedroom_Rate</f>
        <v>1500</v>
      </c>
      <c r="P15" s="285">
        <f t="shared" ref="P15:P20" si="2">+O15/N$8</f>
        <v>1.1655011655011656</v>
      </c>
      <c r="Q15" s="273"/>
      <c r="R15" s="286">
        <f>S15*R$11</f>
        <v>0</v>
      </c>
      <c r="S15" s="286">
        <f>R$7*Four_Bedroom_Rate</f>
        <v>1700</v>
      </c>
      <c r="T15" s="285">
        <f t="shared" ref="T15:T20" si="3">+S15/R$8</f>
        <v>1.096774193548387</v>
      </c>
      <c r="U15" s="285"/>
      <c r="V15" s="287">
        <f>+R15+N15+J15+F15</f>
        <v>174300</v>
      </c>
      <c r="W15" s="286">
        <f t="shared" ref="W15:W20" si="4">+V15/V$11</f>
        <v>1310.5263157894738</v>
      </c>
      <c r="X15" s="285">
        <f t="shared" ref="X15:X20" si="5">+V15/V$8</f>
        <v>1.1016933083034681</v>
      </c>
    </row>
    <row r="16" spans="2:24">
      <c r="B16" s="284" t="s">
        <v>363</v>
      </c>
      <c r="C16" s="278">
        <v>0.05</v>
      </c>
      <c r="D16" s="278"/>
      <c r="E16" s="288"/>
      <c r="F16" s="289">
        <f>G16*F$11</f>
        <v>0</v>
      </c>
      <c r="G16" s="290">
        <v>0</v>
      </c>
      <c r="H16" s="291">
        <f t="shared" si="0"/>
        <v>0</v>
      </c>
      <c r="I16" s="273"/>
      <c r="J16" s="289">
        <f>K16*J$11</f>
        <v>4140</v>
      </c>
      <c r="K16" s="217">
        <f>$C16*K$15</f>
        <v>57.5</v>
      </c>
      <c r="L16" s="291">
        <f t="shared" si="1"/>
        <v>5.1942186088527555E-2</v>
      </c>
      <c r="M16" s="273"/>
      <c r="N16" s="289">
        <f>O16*N$11</f>
        <v>4575</v>
      </c>
      <c r="O16" s="217">
        <f>$C16*O$15</f>
        <v>75</v>
      </c>
      <c r="P16" s="291">
        <f t="shared" si="2"/>
        <v>5.8275058275058272E-2</v>
      </c>
      <c r="Q16" s="273"/>
      <c r="R16" s="289">
        <f>S16*R$11</f>
        <v>0</v>
      </c>
      <c r="S16" s="276">
        <v>0</v>
      </c>
      <c r="T16" s="291">
        <f t="shared" si="3"/>
        <v>0</v>
      </c>
      <c r="U16" s="288"/>
      <c r="V16" s="289">
        <f>+R16+N16+J16+F16</f>
        <v>8715</v>
      </c>
      <c r="W16" s="289">
        <f t="shared" si="4"/>
        <v>65.526315789473685</v>
      </c>
      <c r="X16" s="291">
        <f t="shared" si="5"/>
        <v>5.5084665415173407E-2</v>
      </c>
    </row>
    <row r="17" spans="2:24">
      <c r="B17" s="284" t="s">
        <v>390</v>
      </c>
      <c r="C17" s="292">
        <f>1/6</f>
        <v>0.16666666666666666</v>
      </c>
      <c r="D17" s="217"/>
      <c r="E17" s="285"/>
      <c r="F17" s="289">
        <f>G17*F$11</f>
        <v>0</v>
      </c>
      <c r="G17" s="289">
        <f>(125*F7*F11*0.33)/12</f>
        <v>0</v>
      </c>
      <c r="H17" s="291">
        <f t="shared" si="0"/>
        <v>0</v>
      </c>
      <c r="I17" s="273"/>
      <c r="J17" s="289">
        <f>K17*J$11</f>
        <v>13800</v>
      </c>
      <c r="K17" s="217">
        <f>$C17*K$15</f>
        <v>191.66666666666666</v>
      </c>
      <c r="L17" s="291">
        <f t="shared" si="1"/>
        <v>0.17314062029509183</v>
      </c>
      <c r="M17" s="273"/>
      <c r="N17" s="289">
        <f>O17*N$11</f>
        <v>15250</v>
      </c>
      <c r="O17" s="217">
        <f>$C17*O$15</f>
        <v>250</v>
      </c>
      <c r="P17" s="291">
        <f t="shared" si="2"/>
        <v>0.19425019425019424</v>
      </c>
      <c r="Q17" s="273"/>
      <c r="R17" s="289">
        <f>S17*R$11</f>
        <v>0</v>
      </c>
      <c r="S17" s="289">
        <f>(125*R7*R11*0.33)/12</f>
        <v>0</v>
      </c>
      <c r="T17" s="291">
        <f t="shared" si="3"/>
        <v>0</v>
      </c>
      <c r="U17" s="285"/>
      <c r="V17" s="289">
        <f>+R17+N17+J17+F17</f>
        <v>29050</v>
      </c>
      <c r="W17" s="289">
        <f t="shared" si="4"/>
        <v>218.42105263157896</v>
      </c>
      <c r="X17" s="291">
        <f t="shared" si="5"/>
        <v>0.18361555138391136</v>
      </c>
    </row>
    <row r="18" spans="2:24">
      <c r="B18" s="284" t="s">
        <v>405</v>
      </c>
      <c r="C18" s="293">
        <v>30</v>
      </c>
      <c r="D18" s="217"/>
      <c r="E18" s="217"/>
      <c r="F18" s="289">
        <f>G18*F$11</f>
        <v>0</v>
      </c>
      <c r="G18" s="217">
        <f>0.1*G15</f>
        <v>62.5</v>
      </c>
      <c r="H18" s="291">
        <f t="shared" si="0"/>
        <v>0.125</v>
      </c>
      <c r="I18" s="273"/>
      <c r="J18" s="289">
        <f>K18*J$11</f>
        <v>2160</v>
      </c>
      <c r="K18" s="217">
        <f>$C18</f>
        <v>30</v>
      </c>
      <c r="L18" s="291">
        <f t="shared" si="1"/>
        <v>2.7100271002710029E-2</v>
      </c>
      <c r="M18" s="273"/>
      <c r="N18" s="289">
        <f>O18*N$11</f>
        <v>1830</v>
      </c>
      <c r="O18" s="217">
        <f>$C18</f>
        <v>30</v>
      </c>
      <c r="P18" s="291">
        <f t="shared" si="2"/>
        <v>2.3310023310023312E-2</v>
      </c>
      <c r="Q18" s="273"/>
      <c r="R18" s="289">
        <f>S18*R$11</f>
        <v>0</v>
      </c>
      <c r="S18" s="217">
        <f>0.1*S15</f>
        <v>170</v>
      </c>
      <c r="T18" s="291">
        <f t="shared" si="3"/>
        <v>0.10967741935483871</v>
      </c>
      <c r="U18" s="217"/>
      <c r="V18" s="289">
        <f>+R18+N18+J18+F18</f>
        <v>3990</v>
      </c>
      <c r="W18" s="289">
        <f t="shared" si="4"/>
        <v>30</v>
      </c>
      <c r="X18" s="291">
        <f t="shared" si="5"/>
        <v>2.5219485370802285E-2</v>
      </c>
    </row>
    <row r="19" spans="2:24">
      <c r="B19" s="284" t="s">
        <v>391</v>
      </c>
      <c r="C19" s="217">
        <v>1000</v>
      </c>
      <c r="D19" s="217"/>
      <c r="E19" s="217"/>
      <c r="F19" s="289">
        <f>G19*F$11</f>
        <v>0</v>
      </c>
      <c r="G19" s="217">
        <v>0</v>
      </c>
      <c r="H19" s="291">
        <f t="shared" si="0"/>
        <v>0</v>
      </c>
      <c r="I19" s="273"/>
      <c r="J19" s="289">
        <f>K19*J$11</f>
        <v>541.35338345864659</v>
      </c>
      <c r="K19" s="217">
        <f>$C19/SM134Units</f>
        <v>7.518796992481203</v>
      </c>
      <c r="L19" s="291">
        <f t="shared" si="1"/>
        <v>6.7920478703533899E-3</v>
      </c>
      <c r="M19" s="273"/>
      <c r="N19" s="289">
        <f>O19*N$11</f>
        <v>458.64661654135341</v>
      </c>
      <c r="O19" s="217">
        <f>$C19/SM134Units</f>
        <v>7.518796992481203</v>
      </c>
      <c r="P19" s="291">
        <f t="shared" si="2"/>
        <v>5.8421111052689998E-3</v>
      </c>
      <c r="Q19" s="273"/>
      <c r="R19" s="289">
        <f>S19*R$11</f>
        <v>0</v>
      </c>
      <c r="S19" s="217">
        <v>0</v>
      </c>
      <c r="T19" s="291">
        <f t="shared" si="3"/>
        <v>0</v>
      </c>
      <c r="U19" s="217"/>
      <c r="V19" s="289">
        <f>+R19+N19+J19+F19</f>
        <v>1000</v>
      </c>
      <c r="W19" s="289">
        <f t="shared" si="4"/>
        <v>7.518796992481203</v>
      </c>
      <c r="X19" s="291">
        <f t="shared" si="5"/>
        <v>6.3206730252637301E-3</v>
      </c>
    </row>
    <row r="20" spans="2:24">
      <c r="B20" s="294" t="s">
        <v>323</v>
      </c>
      <c r="C20" s="225"/>
      <c r="D20" s="225"/>
      <c r="E20" s="225"/>
      <c r="F20" s="226">
        <f>F$11*G20</f>
        <v>0</v>
      </c>
      <c r="G20" s="226">
        <f>SUM(G14:G19)</f>
        <v>687.5</v>
      </c>
      <c r="H20" s="227">
        <f t="shared" si="0"/>
        <v>1.375</v>
      </c>
      <c r="I20" s="273"/>
      <c r="J20" s="226">
        <f>SUM(J14:J19)</f>
        <v>103441.35338345864</v>
      </c>
      <c r="K20" s="226">
        <f>SUM(K14:K19)</f>
        <v>1436.6854636591479</v>
      </c>
      <c r="L20" s="227">
        <f t="shared" si="1"/>
        <v>1.2978188470272338</v>
      </c>
      <c r="M20" s="273"/>
      <c r="N20" s="226">
        <f>SUM(N14:N19)</f>
        <v>113613.64661654136</v>
      </c>
      <c r="O20" s="226">
        <f>SUM(O14:O19)</f>
        <v>1862.5187969924812</v>
      </c>
      <c r="P20" s="227">
        <f t="shared" si="2"/>
        <v>1.4471785524417102</v>
      </c>
      <c r="Q20" s="273"/>
      <c r="R20" s="226">
        <f>R$11*S20</f>
        <v>0</v>
      </c>
      <c r="S20" s="226">
        <f>SUM(S14:S19)</f>
        <v>1870</v>
      </c>
      <c r="T20" s="227">
        <f t="shared" si="3"/>
        <v>1.2064516129032259</v>
      </c>
      <c r="U20" s="225"/>
      <c r="V20" s="226">
        <f>SUM(V14:V19)</f>
        <v>217055</v>
      </c>
      <c r="W20" s="228">
        <f t="shared" si="4"/>
        <v>1631.9924812030076</v>
      </c>
      <c r="X20" s="227">
        <f t="shared" si="5"/>
        <v>1.3719336834986189</v>
      </c>
    </row>
    <row r="21" spans="2:24" ht="15.75">
      <c r="B21" s="294"/>
      <c r="C21" s="204"/>
      <c r="D21" s="204"/>
      <c r="E21" s="204"/>
      <c r="F21" s="204"/>
      <c r="G21" s="204"/>
      <c r="H21" s="204"/>
      <c r="I21" s="273"/>
      <c r="J21" s="204"/>
      <c r="K21" s="204"/>
      <c r="L21" s="204"/>
      <c r="M21" s="273"/>
      <c r="N21" s="204"/>
      <c r="O21" s="204"/>
      <c r="P21" s="204"/>
      <c r="Q21" s="273"/>
      <c r="R21" s="204"/>
      <c r="S21" s="204"/>
      <c r="T21" s="204"/>
      <c r="U21" s="204"/>
      <c r="V21" s="204"/>
      <c r="W21" s="204"/>
      <c r="X21" s="204"/>
    </row>
    <row r="22" spans="2:24">
      <c r="B22" s="279" t="s">
        <v>324</v>
      </c>
      <c r="C22" s="280"/>
      <c r="D22" s="280"/>
      <c r="E22" s="280"/>
      <c r="F22" s="280"/>
      <c r="G22" s="280"/>
      <c r="H22" s="280"/>
      <c r="I22" s="273"/>
      <c r="J22" s="280"/>
      <c r="K22" s="280"/>
      <c r="L22" s="280"/>
      <c r="M22" s="273"/>
      <c r="N22" s="280"/>
      <c r="O22" s="280"/>
      <c r="P22" s="280"/>
      <c r="Q22" s="273"/>
      <c r="R22" s="280"/>
      <c r="S22" s="280"/>
      <c r="T22" s="280"/>
      <c r="U22" s="280"/>
      <c r="V22" s="280"/>
      <c r="W22" s="280"/>
      <c r="X22" s="280"/>
    </row>
    <row r="23" spans="2:24">
      <c r="B23" s="284" t="s">
        <v>388</v>
      </c>
      <c r="C23" s="217">
        <v>0.05</v>
      </c>
      <c r="D23" s="217"/>
      <c r="E23" s="295"/>
      <c r="F23" s="295"/>
      <c r="G23" s="295"/>
      <c r="H23" s="295"/>
      <c r="I23" s="273"/>
      <c r="J23" s="286">
        <f t="shared" ref="J23:J34" si="6">J$11*K23</f>
        <v>4140</v>
      </c>
      <c r="K23" s="287">
        <f>$C23*K$15</f>
        <v>57.5</v>
      </c>
      <c r="L23" s="293">
        <f t="shared" ref="L23:L34" si="7">+K23/J$8</f>
        <v>5.1942186088527555E-2</v>
      </c>
      <c r="M23" s="273"/>
      <c r="N23" s="287">
        <f t="shared" ref="N23:N34" si="8">N$11*O23</f>
        <v>4575</v>
      </c>
      <c r="O23" s="287">
        <f>$C23*O$15</f>
        <v>75</v>
      </c>
      <c r="P23" s="293">
        <f t="shared" ref="P23:P39" si="9">+O23/N$8</f>
        <v>5.8275058275058272E-2</v>
      </c>
      <c r="Q23" s="273"/>
      <c r="R23" s="295"/>
      <c r="S23" s="295"/>
      <c r="T23" s="295"/>
      <c r="U23" s="295"/>
      <c r="V23" s="287">
        <f>+R23+N23+J23+F23</f>
        <v>8715</v>
      </c>
      <c r="W23" s="287">
        <f t="shared" ref="W23:W34" si="10">+V23/V$11</f>
        <v>65.526315789473685</v>
      </c>
      <c r="X23" s="285">
        <f>+V23/V$8</f>
        <v>5.5084665415173407E-2</v>
      </c>
    </row>
    <row r="24" spans="2:24">
      <c r="B24" s="284" t="s">
        <v>393</v>
      </c>
      <c r="C24" s="217"/>
      <c r="D24" s="217"/>
      <c r="E24" s="295"/>
      <c r="F24" s="295"/>
      <c r="G24" s="295"/>
      <c r="H24" s="295"/>
      <c r="I24" s="273"/>
      <c r="J24" s="290">
        <f t="shared" si="6"/>
        <v>406.01503759398497</v>
      </c>
      <c r="K24" s="217">
        <f>750/SM134Units</f>
        <v>5.6390977443609023</v>
      </c>
      <c r="L24" s="210">
        <f t="shared" si="7"/>
        <v>5.0940359027650426E-3</v>
      </c>
      <c r="M24" s="273"/>
      <c r="N24" s="290">
        <f t="shared" si="8"/>
        <v>343.98496240601503</v>
      </c>
      <c r="O24" s="217">
        <f>750/SM134Units</f>
        <v>5.6390977443609023</v>
      </c>
      <c r="P24" s="210">
        <f t="shared" si="9"/>
        <v>4.38158332895175E-3</v>
      </c>
      <c r="Q24" s="273"/>
      <c r="R24" s="295"/>
      <c r="S24" s="295"/>
      <c r="T24" s="295"/>
      <c r="U24" s="295"/>
      <c r="V24" s="289">
        <f>+R24+N24+J24+F24</f>
        <v>750</v>
      </c>
      <c r="W24" s="210">
        <f t="shared" si="10"/>
        <v>5.6390977443609023</v>
      </c>
      <c r="X24" s="291">
        <f>+V24/V$8</f>
        <v>4.7405047689477973E-3</v>
      </c>
    </row>
    <row r="25" spans="2:24">
      <c r="B25" s="284" t="s">
        <v>404</v>
      </c>
      <c r="C25" s="217" t="s">
        <v>366</v>
      </c>
      <c r="D25" s="217"/>
      <c r="E25" s="296"/>
      <c r="F25" s="296"/>
      <c r="G25" s="296"/>
      <c r="H25" s="296"/>
      <c r="I25" s="273"/>
      <c r="J25" s="290">
        <f t="shared" si="6"/>
        <v>1904.5714285714287</v>
      </c>
      <c r="K25" s="118">
        <f>2222/28/3</f>
        <v>26.452380952380953</v>
      </c>
      <c r="L25" s="210">
        <f t="shared" si="7"/>
        <v>2.3895556415881619E-2</v>
      </c>
      <c r="M25" s="273"/>
      <c r="N25" s="290">
        <f t="shared" si="8"/>
        <v>1613.5952380952381</v>
      </c>
      <c r="O25" s="118">
        <f>2222/28/3</f>
        <v>26.452380952380953</v>
      </c>
      <c r="P25" s="210">
        <f t="shared" si="9"/>
        <v>2.0553520553520555E-2</v>
      </c>
      <c r="Q25" s="273"/>
      <c r="R25" s="296"/>
      <c r="S25" s="296"/>
      <c r="T25" s="296"/>
      <c r="U25" s="296"/>
      <c r="V25" s="289">
        <f t="shared" ref="V25:V34" si="11">+R25+N25+J25+F25</f>
        <v>3518.166666666667</v>
      </c>
      <c r="W25" s="210">
        <f t="shared" si="10"/>
        <v>26.452380952380956</v>
      </c>
      <c r="X25" s="291">
        <f t="shared" ref="X25:X34" si="12">+V25/V$8</f>
        <v>2.2237181148382013E-2</v>
      </c>
    </row>
    <row r="26" spans="2:24">
      <c r="B26" s="284" t="s">
        <v>389</v>
      </c>
      <c r="C26" s="217" t="s">
        <v>367</v>
      </c>
      <c r="D26" s="217"/>
      <c r="E26" s="296"/>
      <c r="F26" s="296"/>
      <c r="G26" s="296"/>
      <c r="H26" s="296"/>
      <c r="I26" s="273"/>
      <c r="J26" s="290">
        <f t="shared" si="6"/>
        <v>1948.5331235686951</v>
      </c>
      <c r="K26" s="118">
        <f>LandscapeArea*0.02/$V$11</f>
        <v>27.062960049565209</v>
      </c>
      <c r="L26" s="210">
        <f t="shared" si="7"/>
        <v>2.4447118382624398E-2</v>
      </c>
      <c r="M26" s="273"/>
      <c r="N26" s="290">
        <f t="shared" si="8"/>
        <v>1650.8405630234777</v>
      </c>
      <c r="O26" s="118">
        <f>LandscapeArea*0.02/$V$11</f>
        <v>27.062960049565209</v>
      </c>
      <c r="P26" s="210">
        <f t="shared" si="9"/>
        <v>2.1027940986453154E-2</v>
      </c>
      <c r="Q26" s="273"/>
      <c r="R26" s="296"/>
      <c r="S26" s="296"/>
      <c r="T26" s="296"/>
      <c r="U26" s="296"/>
      <c r="V26" s="289">
        <f t="shared" si="11"/>
        <v>3599.3736865921728</v>
      </c>
      <c r="W26" s="210">
        <f t="shared" si="10"/>
        <v>27.062960049565209</v>
      </c>
      <c r="X26" s="291">
        <f t="shared" si="12"/>
        <v>2.2750464168687215E-2</v>
      </c>
    </row>
    <row r="27" spans="2:24">
      <c r="B27" s="284" t="s">
        <v>364</v>
      </c>
      <c r="C27" s="217" t="s">
        <v>368</v>
      </c>
      <c r="D27" s="217"/>
      <c r="E27" s="207"/>
      <c r="F27" s="208"/>
      <c r="G27" s="207"/>
      <c r="H27" s="207"/>
      <c r="I27" s="273"/>
      <c r="J27" s="290">
        <f t="shared" si="6"/>
        <v>2342.5714285714284</v>
      </c>
      <c r="K27" s="207">
        <f>351/28+20</f>
        <v>32.535714285714285</v>
      </c>
      <c r="L27" s="210">
        <f t="shared" si="7"/>
        <v>2.9390889146986707E-2</v>
      </c>
      <c r="M27" s="273"/>
      <c r="N27" s="290">
        <f t="shared" si="8"/>
        <v>1984.6785714285713</v>
      </c>
      <c r="O27" s="207">
        <f>351/28+20</f>
        <v>32.535714285714285</v>
      </c>
      <c r="P27" s="210">
        <f t="shared" si="9"/>
        <v>2.528027528027528E-2</v>
      </c>
      <c r="Q27" s="273"/>
      <c r="R27" s="208"/>
      <c r="S27" s="207"/>
      <c r="T27" s="207"/>
      <c r="U27" s="207"/>
      <c r="V27" s="289">
        <f t="shared" si="11"/>
        <v>4327.25</v>
      </c>
      <c r="W27" s="210">
        <f t="shared" si="10"/>
        <v>32.535714285714285</v>
      </c>
      <c r="X27" s="291">
        <f t="shared" si="12"/>
        <v>2.7351132348572477E-2</v>
      </c>
    </row>
    <row r="28" spans="2:24">
      <c r="B28" s="297" t="s">
        <v>325</v>
      </c>
      <c r="C28" s="217">
        <f>2007/3/28</f>
        <v>23.892857142857142</v>
      </c>
      <c r="D28" s="217"/>
      <c r="E28" s="207"/>
      <c r="F28" s="208"/>
      <c r="G28" s="207"/>
      <c r="H28" s="207"/>
      <c r="I28" s="273"/>
      <c r="J28" s="290">
        <f t="shared" si="6"/>
        <v>1720.2857142857142</v>
      </c>
      <c r="K28" s="217">
        <f>2007/3/28</f>
        <v>23.892857142857142</v>
      </c>
      <c r="L28" s="210">
        <f t="shared" si="7"/>
        <v>2.1583430120015484E-2</v>
      </c>
      <c r="M28" s="273"/>
      <c r="N28" s="290">
        <f t="shared" si="8"/>
        <v>1457.4642857142858</v>
      </c>
      <c r="O28" s="217">
        <f>2007/3/28</f>
        <v>23.892857142857142</v>
      </c>
      <c r="P28" s="210">
        <f t="shared" si="9"/>
        <v>1.8564768564768564E-2</v>
      </c>
      <c r="Q28" s="273"/>
      <c r="R28" s="208"/>
      <c r="S28" s="207"/>
      <c r="T28" s="207"/>
      <c r="U28" s="207"/>
      <c r="V28" s="289">
        <f t="shared" si="11"/>
        <v>3177.75</v>
      </c>
      <c r="W28" s="210">
        <f t="shared" si="10"/>
        <v>23.892857142857142</v>
      </c>
      <c r="X28" s="291">
        <f t="shared" si="12"/>
        <v>2.008551870603182E-2</v>
      </c>
    </row>
    <row r="29" spans="2:24">
      <c r="B29" s="297" t="s">
        <v>326</v>
      </c>
      <c r="C29" s="217" t="s">
        <v>365</v>
      </c>
      <c r="D29" s="217"/>
      <c r="E29" s="207"/>
      <c r="F29" s="208"/>
      <c r="G29" s="207"/>
      <c r="H29" s="207"/>
      <c r="I29" s="273"/>
      <c r="J29" s="290">
        <f t="shared" si="6"/>
        <v>54.13533834586466</v>
      </c>
      <c r="K29" s="207">
        <f>100/$V$11</f>
        <v>0.75187969924812026</v>
      </c>
      <c r="L29" s="210">
        <f t="shared" si="7"/>
        <v>6.7920478703533901E-4</v>
      </c>
      <c r="M29" s="273"/>
      <c r="N29" s="290">
        <f t="shared" si="8"/>
        <v>45.864661654135332</v>
      </c>
      <c r="O29" s="207">
        <f>100/$V$11</f>
        <v>0.75187969924812026</v>
      </c>
      <c r="P29" s="210">
        <f t="shared" si="9"/>
        <v>5.8421111052689998E-4</v>
      </c>
      <c r="Q29" s="273"/>
      <c r="R29" s="208"/>
      <c r="S29" s="207"/>
      <c r="T29" s="207"/>
      <c r="U29" s="207"/>
      <c r="V29" s="289">
        <f t="shared" si="11"/>
        <v>100</v>
      </c>
      <c r="W29" s="210">
        <f t="shared" si="10"/>
        <v>0.75187969924812026</v>
      </c>
      <c r="X29" s="291">
        <f t="shared" si="12"/>
        <v>6.3206730252637303E-4</v>
      </c>
    </row>
    <row r="30" spans="2:24">
      <c r="B30" s="284" t="s">
        <v>401</v>
      </c>
      <c r="C30" s="217"/>
      <c r="D30" s="217"/>
      <c r="E30" s="207"/>
      <c r="F30" s="208"/>
      <c r="G30" s="207"/>
      <c r="H30" s="207"/>
      <c r="I30" s="273"/>
      <c r="J30" s="290">
        <f>J$11*K30</f>
        <v>11457.449999999999</v>
      </c>
      <c r="K30" s="207">
        <f>(75*J$8*0.023)/12</f>
        <v>159.13124999999999</v>
      </c>
      <c r="L30" s="210">
        <f>+K30/J$8</f>
        <v>0.14374999999999999</v>
      </c>
      <c r="M30" s="273"/>
      <c r="N30" s="290">
        <f>N$11*O30</f>
        <v>11285.38125</v>
      </c>
      <c r="O30" s="207">
        <f>(75*N$8*0.023)/12</f>
        <v>185.00624999999999</v>
      </c>
      <c r="P30" s="210">
        <f>+O30/N$8</f>
        <v>0.14374999999999999</v>
      </c>
      <c r="Q30" s="273"/>
      <c r="R30" s="208"/>
      <c r="S30" s="207"/>
      <c r="T30" s="207"/>
      <c r="U30" s="207"/>
      <c r="V30" s="289">
        <f>+R30+N30+J30+F30</f>
        <v>22742.831249999999</v>
      </c>
      <c r="W30" s="210">
        <f t="shared" si="10"/>
        <v>170.99873120300751</v>
      </c>
      <c r="X30" s="291">
        <f>+V30/V$8</f>
        <v>0.14374999999999999</v>
      </c>
    </row>
    <row r="31" spans="2:24">
      <c r="B31" s="284" t="s">
        <v>402</v>
      </c>
      <c r="C31" s="217"/>
      <c r="D31" s="217"/>
      <c r="E31" s="207"/>
      <c r="F31" s="208"/>
      <c r="G31" s="207"/>
      <c r="H31" s="207"/>
      <c r="I31" s="273"/>
      <c r="J31" s="290">
        <f t="shared" si="6"/>
        <v>1494.45</v>
      </c>
      <c r="K31" s="207">
        <f>(75*J$8*0.003)/12</f>
        <v>20.756250000000001</v>
      </c>
      <c r="L31" s="210">
        <f t="shared" si="7"/>
        <v>1.8750000000000003E-2</v>
      </c>
      <c r="M31" s="273"/>
      <c r="N31" s="290">
        <f t="shared" si="8"/>
        <v>1472.0062499999999</v>
      </c>
      <c r="O31" s="207">
        <f>(75*N$8*0.003)/12</f>
        <v>24.131249999999998</v>
      </c>
      <c r="P31" s="210">
        <f t="shared" si="9"/>
        <v>1.8749999999999999E-2</v>
      </c>
      <c r="Q31" s="273"/>
      <c r="R31" s="208"/>
      <c r="S31" s="207"/>
      <c r="T31" s="207"/>
      <c r="U31" s="207"/>
      <c r="V31" s="289">
        <f t="shared" si="11"/>
        <v>2966.4562500000002</v>
      </c>
      <c r="W31" s="210">
        <f t="shared" si="10"/>
        <v>22.304182330827068</v>
      </c>
      <c r="X31" s="291">
        <f t="shared" si="12"/>
        <v>1.8750000000000003E-2</v>
      </c>
    </row>
    <row r="32" spans="2:24">
      <c r="B32" s="284" t="s">
        <v>403</v>
      </c>
      <c r="C32" s="217"/>
      <c r="D32" s="217"/>
      <c r="E32" s="207"/>
      <c r="F32" s="208"/>
      <c r="G32" s="207"/>
      <c r="H32" s="207"/>
      <c r="I32" s="273"/>
      <c r="J32" s="290">
        <f>J$11*K32</f>
        <v>300</v>
      </c>
      <c r="K32" s="207">
        <f>50/12</f>
        <v>4.166666666666667</v>
      </c>
      <c r="L32" s="210">
        <f>+K32/J$8</f>
        <v>3.7639265281541709E-3</v>
      </c>
      <c r="M32" s="273"/>
      <c r="N32" s="290">
        <f>N$11*O32</f>
        <v>254.16666666666669</v>
      </c>
      <c r="O32" s="207">
        <f>50/12</f>
        <v>4.166666666666667</v>
      </c>
      <c r="P32" s="210">
        <f>+O32/N$8</f>
        <v>3.2375032375032376E-3</v>
      </c>
      <c r="Q32" s="273"/>
      <c r="R32" s="208"/>
      <c r="S32" s="207"/>
      <c r="T32" s="207"/>
      <c r="U32" s="207"/>
      <c r="V32" s="289">
        <f>+R32+N32+J32+F32</f>
        <v>554.16666666666674</v>
      </c>
      <c r="W32" s="210">
        <f t="shared" si="10"/>
        <v>4.166666666666667</v>
      </c>
      <c r="X32" s="291">
        <f>+V32/V$8</f>
        <v>3.5027063015003177E-3</v>
      </c>
    </row>
    <row r="33" spans="2:24">
      <c r="B33" s="284" t="s">
        <v>370</v>
      </c>
      <c r="C33" s="217"/>
      <c r="D33" s="217"/>
      <c r="E33" s="207"/>
      <c r="F33" s="208"/>
      <c r="G33" s="207"/>
      <c r="H33" s="207"/>
      <c r="I33" s="273"/>
      <c r="J33" s="290">
        <f t="shared" si="6"/>
        <v>67.669172932330824</v>
      </c>
      <c r="K33" s="207">
        <f>1500/12/$V$11</f>
        <v>0.93984962406015038</v>
      </c>
      <c r="L33" s="210">
        <f>+K33/J$8</f>
        <v>8.4900598379417374E-4</v>
      </c>
      <c r="M33" s="273"/>
      <c r="N33" s="290">
        <f>N$11*O33</f>
        <v>57.330827067669176</v>
      </c>
      <c r="O33" s="207">
        <f>1500/12/$V$11</f>
        <v>0.93984962406015038</v>
      </c>
      <c r="P33" s="210">
        <f t="shared" si="9"/>
        <v>7.3026388815862497E-4</v>
      </c>
      <c r="Q33" s="273"/>
      <c r="R33" s="208"/>
      <c r="S33" s="207"/>
      <c r="T33" s="207"/>
      <c r="U33" s="207"/>
      <c r="V33" s="289">
        <f t="shared" si="11"/>
        <v>125</v>
      </c>
      <c r="W33" s="210">
        <f t="shared" si="10"/>
        <v>0.93984962406015038</v>
      </c>
      <c r="X33" s="291">
        <f t="shared" si="12"/>
        <v>7.9008412815796626E-4</v>
      </c>
    </row>
    <row r="34" spans="2:24">
      <c r="B34" s="284" t="s">
        <v>369</v>
      </c>
      <c r="C34" s="217"/>
      <c r="D34" s="217"/>
      <c r="E34" s="207"/>
      <c r="F34" s="208"/>
      <c r="G34" s="207"/>
      <c r="H34" s="207"/>
      <c r="I34" s="273"/>
      <c r="J34" s="290">
        <f t="shared" si="6"/>
        <v>714.00000000000011</v>
      </c>
      <c r="K34" s="207">
        <f>833/3/28</f>
        <v>9.9166666666666679</v>
      </c>
      <c r="L34" s="210">
        <f t="shared" si="7"/>
        <v>8.9581451370069273E-3</v>
      </c>
      <c r="M34" s="273"/>
      <c r="N34" s="290">
        <f t="shared" si="8"/>
        <v>604.91666666666674</v>
      </c>
      <c r="O34" s="207">
        <f>833/3/28</f>
        <v>9.9166666666666679</v>
      </c>
      <c r="P34" s="210">
        <f t="shared" si="9"/>
        <v>7.7052577052577065E-3</v>
      </c>
      <c r="Q34" s="273"/>
      <c r="R34" s="208"/>
      <c r="S34" s="207"/>
      <c r="T34" s="207"/>
      <c r="U34" s="207"/>
      <c r="V34" s="289">
        <f t="shared" si="11"/>
        <v>1318.916666666667</v>
      </c>
      <c r="W34" s="210">
        <f t="shared" si="10"/>
        <v>9.9166666666666696</v>
      </c>
      <c r="X34" s="291">
        <f t="shared" si="12"/>
        <v>8.3364409975707574E-3</v>
      </c>
    </row>
    <row r="35" spans="2:24">
      <c r="B35" s="294" t="s">
        <v>327</v>
      </c>
      <c r="C35" s="225"/>
      <c r="D35" s="225"/>
      <c r="E35" s="214"/>
      <c r="F35" s="215"/>
      <c r="G35" s="214"/>
      <c r="H35" s="214"/>
      <c r="I35" s="273"/>
      <c r="J35" s="226">
        <f>SUM(J23:J34)</f>
        <v>26549.681243869447</v>
      </c>
      <c r="K35" s="226">
        <f>SUM(K23:K34)</f>
        <v>368.74557283152018</v>
      </c>
      <c r="L35" s="213">
        <f>K35/J$8</f>
        <v>0.33310349849279147</v>
      </c>
      <c r="M35" s="273"/>
      <c r="N35" s="226">
        <f>SUM(N23:N34)</f>
        <v>25345.229942722726</v>
      </c>
      <c r="O35" s="226">
        <f>SUM(O23:O34)</f>
        <v>415.49557283152018</v>
      </c>
      <c r="P35" s="213">
        <f>O35/N$8</f>
        <v>0.32284038293047412</v>
      </c>
      <c r="Q35" s="273"/>
      <c r="R35" s="215"/>
      <c r="S35" s="214"/>
      <c r="T35" s="214"/>
      <c r="U35" s="214"/>
      <c r="V35" s="226">
        <f>SUM(V23:V34)</f>
        <v>51894.911186592173</v>
      </c>
      <c r="W35" s="226">
        <f>SUM(W23:W34)</f>
        <v>390.18730215482839</v>
      </c>
      <c r="X35" s="213">
        <f>V35/V$8</f>
        <v>0.32801076528555012</v>
      </c>
    </row>
    <row r="36" spans="2:24">
      <c r="B36" s="298" t="s">
        <v>374</v>
      </c>
      <c r="C36" s="245"/>
      <c r="D36" s="245"/>
      <c r="E36" s="268"/>
      <c r="F36" s="299"/>
      <c r="G36" s="268"/>
      <c r="H36" s="268"/>
      <c r="I36" s="273"/>
      <c r="J36" s="245">
        <f>+J20-J35</f>
        <v>76891.672139589195</v>
      </c>
      <c r="K36" s="245">
        <f>+K20-K35</f>
        <v>1067.9398908276278</v>
      </c>
      <c r="L36" s="246">
        <f>+L20-L35</f>
        <v>0.96471534853444241</v>
      </c>
      <c r="M36" s="273"/>
      <c r="N36" s="245">
        <f>+N20-N35</f>
        <v>88268.416673818632</v>
      </c>
      <c r="O36" s="245">
        <f>+O20-O35</f>
        <v>1447.023224160961</v>
      </c>
      <c r="P36" s="247">
        <f t="shared" si="9"/>
        <v>1.1243381695112362</v>
      </c>
      <c r="Q36" s="273"/>
      <c r="R36" s="299"/>
      <c r="S36" s="268"/>
      <c r="T36" s="268"/>
      <c r="U36" s="268"/>
      <c r="V36" s="245">
        <f>+V20-V35</f>
        <v>165160.08881340781</v>
      </c>
      <c r="W36" s="245">
        <f>+W20-W35</f>
        <v>1241.8051790481793</v>
      </c>
      <c r="X36" s="300">
        <f>V36/V$8</f>
        <v>1.0439229182130687</v>
      </c>
    </row>
    <row r="37" spans="2:24">
      <c r="B37" s="301" t="s">
        <v>387</v>
      </c>
      <c r="C37" s="302"/>
      <c r="D37" s="302"/>
      <c r="E37" s="303"/>
      <c r="F37" s="304"/>
      <c r="G37" s="303"/>
      <c r="H37" s="303"/>
      <c r="I37" s="273"/>
      <c r="J37" s="290">
        <f>J$11*K37</f>
        <v>-2100</v>
      </c>
      <c r="K37" s="207">
        <f>-350/12</f>
        <v>-29.166666666666668</v>
      </c>
      <c r="L37" s="210">
        <f>+K37/J$8</f>
        <v>-2.6347485697079193E-2</v>
      </c>
      <c r="M37" s="273"/>
      <c r="N37" s="290">
        <f>N$11*O37</f>
        <v>-1779.1666666666667</v>
      </c>
      <c r="O37" s="207">
        <f>-350/12</f>
        <v>-29.166666666666668</v>
      </c>
      <c r="P37" s="210">
        <f>+O37/N$8</f>
        <v>-2.2662522662522663E-2</v>
      </c>
      <c r="Q37" s="273"/>
      <c r="R37" s="208"/>
      <c r="S37" s="207"/>
      <c r="T37" s="207"/>
      <c r="U37" s="207"/>
      <c r="V37" s="206">
        <f>+R37+N37+J37+F37</f>
        <v>-3879.166666666667</v>
      </c>
      <c r="W37" s="210">
        <f>+V37/V$11</f>
        <v>-29.166666666666668</v>
      </c>
      <c r="X37" s="209">
        <f>+V37/V$8</f>
        <v>-2.4518944110502223E-2</v>
      </c>
    </row>
    <row r="38" spans="2:24">
      <c r="B38" s="305" t="s">
        <v>396</v>
      </c>
      <c r="C38" s="217"/>
      <c r="D38" s="217"/>
      <c r="E38" s="207"/>
      <c r="F38" s="208"/>
      <c r="G38" s="207"/>
      <c r="H38" s="207"/>
      <c r="I38" s="273"/>
      <c r="J38" s="206">
        <f>J$11*K38</f>
        <v>-49155.449368579801</v>
      </c>
      <c r="K38" s="206">
        <f>PMT(0.075/12,360,K41*0.8)</f>
        <v>-682.71457456360838</v>
      </c>
      <c r="L38" s="209">
        <f>+K38/J$8</f>
        <v>-0.61672499960578897</v>
      </c>
      <c r="M38" s="273"/>
      <c r="N38" s="290">
        <f>N$11*O38</f>
        <v>-56428.395506574539</v>
      </c>
      <c r="O38" s="206">
        <f>PMT(0.075/12,360,O41*0.8)</f>
        <v>-925.05566404220554</v>
      </c>
      <c r="P38" s="210">
        <f t="shared" si="9"/>
        <v>-0.71876896972976345</v>
      </c>
      <c r="Q38" s="273"/>
      <c r="R38" s="208"/>
      <c r="S38" s="207"/>
      <c r="T38" s="207"/>
      <c r="U38" s="207"/>
      <c r="V38" s="206">
        <f>N38+J38</f>
        <v>-105583.84487515435</v>
      </c>
      <c r="W38" s="210">
        <f>+V38/V$11</f>
        <v>-793.86349530191239</v>
      </c>
      <c r="X38" s="209">
        <f>+V38/V$8</f>
        <v>-0.66736096020601821</v>
      </c>
    </row>
    <row r="39" spans="2:24">
      <c r="B39" s="298" t="s">
        <v>375</v>
      </c>
      <c r="C39" s="248">
        <v>2.5000000000000001E-2</v>
      </c>
      <c r="D39" s="249"/>
      <c r="E39" s="250"/>
      <c r="F39" s="251"/>
      <c r="G39" s="250"/>
      <c r="H39" s="250"/>
      <c r="I39" s="273"/>
      <c r="J39" s="252">
        <f>+J38+J36</f>
        <v>27736.222771009394</v>
      </c>
      <c r="K39" s="252">
        <f>SUM(K36:K38)</f>
        <v>356.05864959735266</v>
      </c>
      <c r="L39" s="253">
        <f>+L38+L36</f>
        <v>0.34799034892865344</v>
      </c>
      <c r="M39" s="273"/>
      <c r="N39" s="252">
        <f>+N38+N36</f>
        <v>31840.021167244093</v>
      </c>
      <c r="O39" s="252">
        <f>SUM(O36:O38)</f>
        <v>492.80089345208876</v>
      </c>
      <c r="P39" s="253">
        <f t="shared" si="9"/>
        <v>0.3829066771189501</v>
      </c>
      <c r="Q39" s="273"/>
      <c r="R39" s="251"/>
      <c r="S39" s="250"/>
      <c r="T39" s="250"/>
      <c r="U39" s="250"/>
      <c r="V39" s="252">
        <f>+V38+V36</f>
        <v>59576.243938253465</v>
      </c>
      <c r="W39" s="252">
        <f>SUM(W36:W38)</f>
        <v>418.77501707960016</v>
      </c>
      <c r="X39" s="300">
        <f>V39/V$8</f>
        <v>0.3765619580070505</v>
      </c>
    </row>
    <row r="40" spans="2:24" ht="15.75">
      <c r="B40" s="306"/>
      <c r="C40" s="212"/>
      <c r="D40" s="212"/>
      <c r="E40" s="212"/>
      <c r="F40" s="212"/>
      <c r="G40" s="212"/>
      <c r="H40" s="212"/>
      <c r="I40" s="273"/>
      <c r="J40" s="212"/>
      <c r="K40" s="212"/>
      <c r="L40" s="212"/>
      <c r="M40" s="273"/>
      <c r="N40" s="212"/>
      <c r="O40" s="212"/>
      <c r="P40" s="212"/>
      <c r="Q40" s="273"/>
      <c r="R40" s="212"/>
      <c r="S40" s="212"/>
      <c r="T40" s="212"/>
      <c r="U40" s="212"/>
      <c r="V40" s="212"/>
      <c r="W40" s="212"/>
      <c r="X40" s="212"/>
    </row>
    <row r="41" spans="2:24">
      <c r="B41" s="307" t="s">
        <v>371</v>
      </c>
      <c r="C41" s="308">
        <v>0.105</v>
      </c>
      <c r="D41" s="307"/>
      <c r="E41" s="309"/>
      <c r="F41" s="310"/>
      <c r="G41" s="309"/>
      <c r="H41" s="309"/>
      <c r="I41" s="273"/>
      <c r="J41" s="311">
        <f>J$11*K41</f>
        <v>8787619.673095908</v>
      </c>
      <c r="K41" s="311">
        <f>(K$36*12)/CapRate</f>
        <v>122050.27323744317</v>
      </c>
      <c r="L41" s="312">
        <f>+K41/J$8</f>
        <v>110.25318268965056</v>
      </c>
      <c r="M41" s="273"/>
      <c r="N41" s="311">
        <f>N$11*O41</f>
        <v>10087819.048436414</v>
      </c>
      <c r="O41" s="311">
        <f>(O$36*12)/CapRate</f>
        <v>165374.08276125271</v>
      </c>
      <c r="P41" s="312">
        <f>+O41/N$8</f>
        <v>128.49579080128416</v>
      </c>
      <c r="Q41" s="273"/>
      <c r="R41" s="310"/>
      <c r="S41" s="309"/>
      <c r="T41" s="309"/>
      <c r="U41" s="309"/>
      <c r="V41" s="313">
        <f>+N41+J41</f>
        <v>18875438.721532322</v>
      </c>
      <c r="W41" s="311">
        <f>(W39*12)/CapRate</f>
        <v>47860.001951954298</v>
      </c>
      <c r="X41" s="312">
        <f>+V41/V$8</f>
        <v>119.30547636720786</v>
      </c>
    </row>
    <row r="42" spans="2:24" ht="13.5" thickBot="1">
      <c r="B42" s="217"/>
      <c r="C42" s="203"/>
      <c r="D42" s="203"/>
      <c r="E42" s="189"/>
      <c r="F42" s="120"/>
      <c r="G42" s="189"/>
      <c r="H42" s="189"/>
      <c r="I42" s="120"/>
      <c r="J42" s="120"/>
      <c r="K42" s="189"/>
      <c r="L42" s="189"/>
      <c r="M42" s="189"/>
      <c r="N42" s="120"/>
      <c r="O42" s="189"/>
      <c r="P42" s="189"/>
      <c r="Q42" s="189"/>
      <c r="R42" s="120"/>
      <c r="S42" s="189"/>
      <c r="T42" s="189"/>
      <c r="U42" s="189"/>
      <c r="V42" s="120"/>
      <c r="W42" s="120"/>
      <c r="X42" s="207"/>
    </row>
    <row r="43" spans="2:24" ht="14.25" thickTop="1" thickBot="1">
      <c r="B43" s="243" t="s">
        <v>376</v>
      </c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1"/>
    </row>
    <row r="44" spans="2:24">
      <c r="B44" s="216" t="s">
        <v>372</v>
      </c>
      <c r="C44" s="232"/>
      <c r="D44" s="232"/>
      <c r="E44" s="232"/>
      <c r="F44" s="232"/>
      <c r="G44" s="232"/>
      <c r="H44" s="232"/>
      <c r="I44" s="232"/>
      <c r="J44" s="241">
        <f>J$36/0.1*12*LTV</f>
        <v>6458900.4597254908</v>
      </c>
      <c r="K44" s="241">
        <f>K$36/0.1*12*LTV</f>
        <v>89706.950829520705</v>
      </c>
      <c r="L44" s="242">
        <f>+K44/J$8</f>
        <v>81.036089276893136</v>
      </c>
      <c r="M44" s="232"/>
      <c r="N44" s="241">
        <f>N$36/0.1*12*LTV</f>
        <v>7414547.0006007645</v>
      </c>
      <c r="O44" s="241">
        <f>O$36/0.1*12*LTV</f>
        <v>121549.95082952071</v>
      </c>
      <c r="P44" s="242">
        <f>+O44/N$8</f>
        <v>94.444406238943827</v>
      </c>
      <c r="Q44" s="232"/>
      <c r="R44" s="232"/>
      <c r="S44" s="232"/>
      <c r="T44" s="232"/>
      <c r="U44" s="232"/>
      <c r="V44" s="241">
        <f>+N44+J44</f>
        <v>13873447.460326254</v>
      </c>
      <c r="W44" s="241">
        <f>+V44/V$11</f>
        <v>104311.63504004703</v>
      </c>
      <c r="X44" s="205">
        <f>+V44/V$8</f>
        <v>87.68952512989776</v>
      </c>
    </row>
    <row r="45" spans="2:24">
      <c r="B45" s="233"/>
      <c r="C45" s="234"/>
      <c r="D45" s="234"/>
      <c r="E45" s="235"/>
      <c r="F45" s="235"/>
      <c r="G45" s="235"/>
      <c r="H45" s="235"/>
      <c r="I45" s="235"/>
      <c r="J45" s="241"/>
      <c r="K45" s="241"/>
      <c r="L45" s="234"/>
      <c r="M45" s="235"/>
      <c r="N45" s="241"/>
      <c r="O45" s="241"/>
      <c r="P45" s="234"/>
      <c r="Q45" s="235"/>
      <c r="R45" s="235"/>
      <c r="S45" s="235"/>
      <c r="T45" s="235"/>
      <c r="U45" s="235"/>
      <c r="V45" s="241"/>
      <c r="W45" s="241"/>
      <c r="X45" s="236"/>
    </row>
    <row r="46" spans="2:24">
      <c r="B46" s="216" t="s">
        <v>371</v>
      </c>
      <c r="C46" s="235"/>
      <c r="D46" s="235"/>
      <c r="E46" s="235"/>
      <c r="F46" s="235"/>
      <c r="G46" s="235"/>
      <c r="H46" s="235"/>
      <c r="I46" s="235"/>
      <c r="J46" s="241">
        <f>J$36/0.105*12*LTV</f>
        <v>6151333.7711671349</v>
      </c>
      <c r="K46" s="241">
        <f>K$36/0.105*12*LTV</f>
        <v>85435.191266210226</v>
      </c>
      <c r="L46" s="242">
        <f>+K46/J$8</f>
        <v>77.177227882755403</v>
      </c>
      <c r="M46" s="235"/>
      <c r="N46" s="241">
        <f>N$36/0.105*12*LTV</f>
        <v>7061473.3339054901</v>
      </c>
      <c r="O46" s="241">
        <f>O$36/0.105*12*LTV</f>
        <v>115761.85793287688</v>
      </c>
      <c r="P46" s="242">
        <f>+O46/N$8</f>
        <v>89.947053560898894</v>
      </c>
      <c r="Q46" s="235"/>
      <c r="R46" s="235"/>
      <c r="S46" s="235"/>
      <c r="T46" s="235"/>
      <c r="U46" s="235"/>
      <c r="V46" s="241">
        <f>+N46+J46</f>
        <v>13212807.105072625</v>
      </c>
      <c r="W46" s="241">
        <f>+V46/V$11</f>
        <v>99344.414323854318</v>
      </c>
      <c r="X46" s="205">
        <f>+V46/V$8</f>
        <v>83.513833457045493</v>
      </c>
    </row>
    <row r="47" spans="2:24">
      <c r="B47" s="233"/>
      <c r="C47" s="234"/>
      <c r="D47" s="234"/>
      <c r="E47" s="235"/>
      <c r="F47" s="235"/>
      <c r="G47" s="235"/>
      <c r="H47" s="235"/>
      <c r="I47" s="235"/>
      <c r="J47" s="241"/>
      <c r="K47" s="241"/>
      <c r="L47" s="234"/>
      <c r="M47" s="235"/>
      <c r="N47" s="241"/>
      <c r="O47" s="241"/>
      <c r="P47" s="234"/>
      <c r="Q47" s="235"/>
      <c r="R47" s="235"/>
      <c r="S47" s="235"/>
      <c r="T47" s="235"/>
      <c r="U47" s="235"/>
      <c r="V47" s="241"/>
      <c r="W47" s="241"/>
      <c r="X47" s="236"/>
    </row>
    <row r="48" spans="2:24">
      <c r="B48" s="216" t="s">
        <v>373</v>
      </c>
      <c r="C48" s="235"/>
      <c r="D48" s="235"/>
      <c r="E48" s="235"/>
      <c r="F48" s="235"/>
      <c r="G48" s="235"/>
      <c r="H48" s="235"/>
      <c r="I48" s="235"/>
      <c r="J48" s="241">
        <f>J$36/0.11*12*LTV</f>
        <v>5871727.6906595379</v>
      </c>
      <c r="K48" s="241">
        <f>K$36/0.11*12*LTV</f>
        <v>81551.773481382479</v>
      </c>
      <c r="L48" s="242">
        <f>+K48/J$8</f>
        <v>73.669172069902871</v>
      </c>
      <c r="M48" s="235"/>
      <c r="N48" s="241">
        <f>N$36/0.11*12*LTV</f>
        <v>6740497.2732734224</v>
      </c>
      <c r="O48" s="241">
        <f>O$36/0.11*12*LTV</f>
        <v>110499.95529956429</v>
      </c>
      <c r="P48" s="242">
        <f>+O48/N$8</f>
        <v>85.858551126312577</v>
      </c>
      <c r="Q48" s="235"/>
      <c r="R48" s="235"/>
      <c r="S48" s="235"/>
      <c r="T48" s="235"/>
      <c r="U48" s="235"/>
      <c r="V48" s="241">
        <f>+N48+J48</f>
        <v>12612224.963932961</v>
      </c>
      <c r="W48" s="241">
        <f>+V48/V$11</f>
        <v>94828.759127315498</v>
      </c>
      <c r="X48" s="205">
        <f>+V48/V$8</f>
        <v>79.717750118088887</v>
      </c>
    </row>
    <row r="49" spans="2:27" ht="13.5" thickBot="1">
      <c r="B49" s="237"/>
      <c r="C49" s="238"/>
      <c r="D49" s="238"/>
      <c r="E49" s="239"/>
      <c r="F49" s="239"/>
      <c r="G49" s="239"/>
      <c r="H49" s="239"/>
      <c r="I49" s="239"/>
      <c r="J49" s="238"/>
      <c r="K49" s="238"/>
      <c r="L49" s="238"/>
      <c r="M49" s="239"/>
      <c r="N49" s="238"/>
      <c r="O49" s="238"/>
      <c r="P49" s="238"/>
      <c r="Q49" s="239"/>
      <c r="R49" s="239"/>
      <c r="S49" s="239"/>
      <c r="T49" s="239"/>
      <c r="U49" s="239"/>
      <c r="V49" s="238"/>
      <c r="W49" s="238"/>
      <c r="X49" s="240"/>
    </row>
    <row r="50" spans="2:27" ht="13.5" thickTop="1">
      <c r="AA50" s="200"/>
    </row>
    <row r="51" spans="2:27">
      <c r="AA51" s="200"/>
    </row>
    <row r="52" spans="2:27">
      <c r="AA52" s="200"/>
    </row>
    <row r="53" spans="2:27">
      <c r="AA53" s="200"/>
    </row>
    <row r="54" spans="2:27">
      <c r="Y54" s="187">
        <f>12*V39</f>
        <v>714914.92725904158</v>
      </c>
      <c r="AA54" s="200"/>
    </row>
    <row r="55" spans="2:27">
      <c r="Y55" s="187">
        <f>PMT(0.075/12,360,V41*0.8)</f>
        <v>-105583.84487515432</v>
      </c>
      <c r="AA55" s="200"/>
    </row>
    <row r="56" spans="2:27">
      <c r="Q56" s="187" t="s">
        <v>378</v>
      </c>
      <c r="Y56" s="187">
        <f>TotalCost/30</f>
        <v>471844.48751379253</v>
      </c>
      <c r="AA56" s="200"/>
    </row>
    <row r="57" spans="2:27">
      <c r="Q57" s="187" t="s">
        <v>379</v>
      </c>
      <c r="Y57" s="187">
        <f>+Y54-Y56</f>
        <v>243070.43974524905</v>
      </c>
    </row>
    <row r="59" spans="2:27">
      <c r="Q59" s="187" t="s">
        <v>380</v>
      </c>
      <c r="Y59" s="187">
        <f>0.25*Y57</f>
        <v>60767.609936312263</v>
      </c>
    </row>
    <row r="60" spans="2:27">
      <c r="Q60" s="187" t="s">
        <v>381</v>
      </c>
      <c r="Y60" s="187">
        <f>0.25*Y54</f>
        <v>178728.73181476039</v>
      </c>
    </row>
    <row r="61" spans="2:27">
      <c r="Q61" s="187" t="s">
        <v>382</v>
      </c>
      <c r="Y61" s="187">
        <f>-0.4*Y59</f>
        <v>-24307.043974524906</v>
      </c>
    </row>
    <row r="62" spans="2:27">
      <c r="Q62" s="187" t="s">
        <v>383</v>
      </c>
      <c r="Y62" s="187">
        <f>+Y61+Y60</f>
        <v>154421.68784023548</v>
      </c>
    </row>
  </sheetData>
  <mergeCells count="9">
    <mergeCell ref="R9:S9"/>
    <mergeCell ref="V5:X5"/>
    <mergeCell ref="N9:O9"/>
    <mergeCell ref="N5:P5"/>
    <mergeCell ref="R5:T5"/>
    <mergeCell ref="F5:H5"/>
    <mergeCell ref="F9:G9"/>
    <mergeCell ref="J5:L5"/>
    <mergeCell ref="J9:K9"/>
  </mergeCells>
  <printOptions horizontalCentered="1"/>
  <pageMargins left="0.5" right="0.5" top="1" bottom="1" header="0.5" footer="0.5"/>
  <pageSetup paperSize="5" orientation="landscape" horizontalDpi="4294967292" verticalDpi="300" r:id="rId1"/>
  <headerFooter alignWithMargins="0">
    <oddHeader>&amp;C&amp;"Arial,Bold"&amp;10SAN MARCOS 134
TOWN HOME RENTAL COMPLEX</oddHeader>
    <oddFooter>&amp;L&amp;8 F:\My Documents\CREEKSIDE\SM134\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171"/>
  <sheetViews>
    <sheetView topLeftCell="B7" workbookViewId="0">
      <pane xSplit="2895" ySplit="930" topLeftCell="B9" activePane="bottomRight"/>
      <selection activeCell="AH14" sqref="AH14"/>
      <selection pane="topRight" activeCell="V8" sqref="V8"/>
      <selection pane="bottomLeft" activeCell="B161" sqref="B161"/>
      <selection pane="bottomRight" activeCell="B20" sqref="B20"/>
    </sheetView>
  </sheetViews>
  <sheetFormatPr defaultColWidth="7.5703125" defaultRowHeight="12"/>
  <cols>
    <col min="1" max="1" width="8.140625" style="53" hidden="1" customWidth="1"/>
    <col min="2" max="2" width="23.85546875" style="22" customWidth="1"/>
    <col min="3" max="3" width="5.85546875" style="22" hidden="1" customWidth="1"/>
    <col min="4" max="4" width="5.42578125" style="22" hidden="1" customWidth="1"/>
    <col min="5" max="11" width="7.5703125" style="22" hidden="1" customWidth="1"/>
    <col min="12" max="14" width="11.42578125" style="22" hidden="1" customWidth="1"/>
    <col min="15" max="15" width="11" style="22" hidden="1" customWidth="1"/>
    <col min="16" max="17" width="9.85546875" style="22" hidden="1" customWidth="1"/>
    <col min="18" max="18" width="1" style="22" hidden="1" customWidth="1"/>
    <col min="19" max="19" width="12" style="22" hidden="1" customWidth="1"/>
    <col min="20" max="20" width="11" style="22" hidden="1" customWidth="1"/>
    <col min="21" max="21" width="12.42578125" style="22" hidden="1" customWidth="1"/>
    <col min="22" max="22" width="1.7109375" style="22" customWidth="1"/>
    <col min="23" max="23" width="11" style="22" customWidth="1"/>
    <col min="24" max="24" width="9.5703125" style="22" customWidth="1"/>
    <col min="25" max="25" width="7.5703125" style="22" customWidth="1"/>
    <col min="26" max="26" width="1.7109375" style="22" customWidth="1"/>
    <col min="27" max="27" width="11" style="22" customWidth="1"/>
    <col min="28" max="28" width="9.5703125" style="22" customWidth="1"/>
    <col min="29" max="29" width="7.5703125" style="22" customWidth="1"/>
    <col min="30" max="30" width="1" style="22" hidden="1" customWidth="1"/>
    <col min="31" max="33" width="10.7109375" style="22" hidden="1" customWidth="1"/>
    <col min="34" max="34" width="1.7109375" style="22" customWidth="1"/>
    <col min="35" max="35" width="12" style="22" customWidth="1"/>
    <col min="36" max="36" width="9.5703125" style="22" bestFit="1" customWidth="1"/>
    <col min="37" max="37" width="7.5703125" style="22" customWidth="1"/>
    <col min="38" max="38" width="8.7109375" style="22" customWidth="1"/>
    <col min="39" max="39" width="3.5703125" style="22" hidden="1" customWidth="1"/>
    <col min="40" max="40" width="24" style="22" hidden="1" customWidth="1"/>
    <col min="41" max="41" width="7.7109375" style="22" hidden="1" customWidth="1"/>
    <col min="42" max="42" width="13.7109375" style="22" hidden="1" customWidth="1"/>
    <col min="43" max="43" width="9.5703125" style="22" hidden="1" customWidth="1"/>
    <col min="44" max="44" width="9.42578125" style="22" hidden="1" customWidth="1"/>
    <col min="45" max="45" width="7.5703125" style="22" customWidth="1"/>
    <col min="46" max="46" width="11.42578125" style="22" customWidth="1"/>
    <col min="47" max="47" width="19" style="22" customWidth="1"/>
    <col min="48" max="48" width="16.28515625" style="22" customWidth="1"/>
    <col min="49" max="49" width="20" style="22" customWidth="1"/>
    <col min="50" max="16384" width="7.5703125" style="22"/>
  </cols>
  <sheetData>
    <row r="1" spans="1:44" hidden="1">
      <c r="B1" s="22" t="s">
        <v>220</v>
      </c>
      <c r="S1" s="34">
        <v>1.1000000000000001</v>
      </c>
      <c r="T1" s="22" t="s">
        <v>202</v>
      </c>
      <c r="U1" s="22">
        <v>134</v>
      </c>
      <c r="W1" s="22" t="s">
        <v>334</v>
      </c>
      <c r="X1" s="22">
        <f>SQRT(10.3*43560)*25*4</f>
        <v>66982.684329608644</v>
      </c>
      <c r="AA1" s="22" t="s">
        <v>398</v>
      </c>
      <c r="AB1" s="22">
        <v>570</v>
      </c>
      <c r="AF1" s="123">
        <f>75/295</f>
        <v>0.25423728813559321</v>
      </c>
    </row>
    <row r="2" spans="1:44" ht="12.75" hidden="1">
      <c r="B2" s="22" t="s">
        <v>1</v>
      </c>
      <c r="S2" s="97">
        <v>14</v>
      </c>
      <c r="T2" s="22" t="s">
        <v>311</v>
      </c>
      <c r="U2" s="2">
        <v>0.25</v>
      </c>
      <c r="W2" s="22" t="s">
        <v>335</v>
      </c>
      <c r="X2" s="22">
        <f>(670-((25+38+18+20+18+38)*2))*(670-((25+38+18+20+18+38)*2))-Pool-Vollybasketball</f>
        <v>112986</v>
      </c>
      <c r="Y2" s="22">
        <f>+X2+X1</f>
        <v>179968.68432960863</v>
      </c>
      <c r="AA2" s="22" t="s">
        <v>399</v>
      </c>
      <c r="AB2" s="22">
        <f>295+13+529</f>
        <v>837</v>
      </c>
      <c r="AF2" s="22">
        <f>475*3</f>
        <v>1425</v>
      </c>
    </row>
    <row r="3" spans="1:44" ht="12.75" hidden="1" thickBot="1">
      <c r="A3" s="53" t="s">
        <v>175</v>
      </c>
      <c r="B3" s="22" t="s">
        <v>181</v>
      </c>
      <c r="S3" s="22" t="s">
        <v>177</v>
      </c>
      <c r="W3" s="22" t="s">
        <v>234</v>
      </c>
      <c r="X3" s="22">
        <f>(45+15*2)*(20+15*2)</f>
        <v>3750</v>
      </c>
      <c r="AA3" s="22" t="s">
        <v>400</v>
      </c>
      <c r="AB3" s="22">
        <f>(11/12+30)*((47+5.5/12))</f>
        <v>1467.2534722222224</v>
      </c>
      <c r="AF3" s="22">
        <f>75*12</f>
        <v>900</v>
      </c>
    </row>
    <row r="4" spans="1:44" ht="12.75" hidden="1" thickBot="1">
      <c r="B4" s="55" t="s">
        <v>221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9"/>
      <c r="Q4"/>
      <c r="W4" s="22" t="s">
        <v>336</v>
      </c>
      <c r="X4" s="22">
        <f>100*50+100*50</f>
        <v>10000</v>
      </c>
    </row>
    <row r="5" spans="1:44">
      <c r="E5" s="100" t="s">
        <v>182</v>
      </c>
      <c r="F5" s="100" t="s">
        <v>187</v>
      </c>
      <c r="G5" s="100" t="s">
        <v>68</v>
      </c>
      <c r="H5" s="100" t="s">
        <v>183</v>
      </c>
      <c r="I5" s="100" t="s">
        <v>184</v>
      </c>
      <c r="J5" s="100" t="s">
        <v>185</v>
      </c>
      <c r="K5" s="100" t="s">
        <v>186</v>
      </c>
      <c r="S5" s="326" t="s">
        <v>362</v>
      </c>
      <c r="T5" s="326"/>
      <c r="U5" s="326"/>
      <c r="W5" s="326" t="s">
        <v>222</v>
      </c>
      <c r="X5" s="326"/>
      <c r="Y5" s="326"/>
      <c r="Z5" s="31"/>
      <c r="AA5" s="326" t="s">
        <v>299</v>
      </c>
      <c r="AB5" s="326"/>
      <c r="AC5" s="326"/>
      <c r="AD5" s="31"/>
      <c r="AE5" s="326" t="s">
        <v>298</v>
      </c>
      <c r="AF5" s="326"/>
      <c r="AG5" s="326"/>
      <c r="AH5" s="31"/>
      <c r="AI5" s="326" t="s">
        <v>2</v>
      </c>
      <c r="AJ5" s="326"/>
      <c r="AK5" s="326"/>
      <c r="AL5" s="31"/>
    </row>
    <row r="6" spans="1:44" ht="22.9" customHeight="1">
      <c r="B6" s="25" t="s">
        <v>75</v>
      </c>
      <c r="C6" s="59" t="s">
        <v>66</v>
      </c>
      <c r="D6" s="60" t="s">
        <v>176</v>
      </c>
      <c r="E6" s="100" t="s">
        <v>180</v>
      </c>
      <c r="F6" s="100" t="s">
        <v>188</v>
      </c>
      <c r="G6" s="100" t="s">
        <v>189</v>
      </c>
      <c r="H6" s="100" t="s">
        <v>190</v>
      </c>
      <c r="I6" s="100" t="s">
        <v>191</v>
      </c>
      <c r="J6" s="100" t="s">
        <v>192</v>
      </c>
      <c r="K6" s="100" t="s">
        <v>193</v>
      </c>
      <c r="L6" s="7" t="s">
        <v>74</v>
      </c>
      <c r="M6" s="7"/>
      <c r="N6" s="7"/>
      <c r="O6" s="7" t="s">
        <v>73</v>
      </c>
      <c r="P6" s="7" t="s">
        <v>300</v>
      </c>
      <c r="Q6" s="7" t="s">
        <v>301</v>
      </c>
      <c r="R6" s="7"/>
      <c r="S6" s="7" t="s">
        <v>74</v>
      </c>
      <c r="T6" s="7" t="s">
        <v>73</v>
      </c>
      <c r="U6" s="7" t="s">
        <v>0</v>
      </c>
      <c r="W6" s="7" t="s">
        <v>74</v>
      </c>
      <c r="X6" s="7" t="s">
        <v>73</v>
      </c>
      <c r="Y6" s="7" t="s">
        <v>0</v>
      </c>
      <c r="Z6" s="7"/>
      <c r="AA6" s="7" t="s">
        <v>74</v>
      </c>
      <c r="AB6" s="7" t="s">
        <v>73</v>
      </c>
      <c r="AC6" s="7" t="s">
        <v>0</v>
      </c>
      <c r="AD6" s="7"/>
      <c r="AE6" s="7" t="s">
        <v>74</v>
      </c>
      <c r="AF6" s="7" t="s">
        <v>73</v>
      </c>
      <c r="AG6" s="7" t="s">
        <v>0</v>
      </c>
      <c r="AH6" s="7"/>
      <c r="AI6" s="7" t="s">
        <v>74</v>
      </c>
      <c r="AJ6" s="7" t="s">
        <v>73</v>
      </c>
      <c r="AK6" s="7" t="s">
        <v>0</v>
      </c>
      <c r="AL6" s="7" t="s">
        <v>457</v>
      </c>
      <c r="AN6" s="6" t="s">
        <v>75</v>
      </c>
      <c r="AO6" s="7" t="s">
        <v>178</v>
      </c>
      <c r="AP6" s="7" t="s">
        <v>179</v>
      </c>
      <c r="AQ6" s="7" t="s">
        <v>73</v>
      </c>
      <c r="AR6" s="7" t="s">
        <v>211</v>
      </c>
    </row>
    <row r="7" spans="1:44" ht="22.9" customHeight="1">
      <c r="B7" s="25" t="s">
        <v>305</v>
      </c>
      <c r="C7" s="59"/>
      <c r="D7" s="60"/>
      <c r="E7" s="100"/>
      <c r="F7" s="100"/>
      <c r="G7" s="100"/>
      <c r="H7" s="100"/>
      <c r="I7" s="100"/>
      <c r="J7" s="100"/>
      <c r="K7" s="100"/>
      <c r="L7" s="101">
        <f>TRUnits</f>
        <v>14</v>
      </c>
      <c r="M7" s="101"/>
      <c r="N7" s="101"/>
      <c r="O7" s="7"/>
      <c r="P7" s="7"/>
      <c r="Q7" s="7"/>
      <c r="R7" s="7"/>
      <c r="S7" s="101">
        <v>1</v>
      </c>
      <c r="T7" s="7"/>
      <c r="U7" s="7"/>
      <c r="W7" s="101">
        <v>72</v>
      </c>
      <c r="X7" s="7"/>
      <c r="Y7" s="7"/>
      <c r="Z7" s="7"/>
      <c r="AA7" s="101">
        <f>61</f>
        <v>61</v>
      </c>
      <c r="AB7" s="7"/>
      <c r="AC7" s="7"/>
      <c r="AD7" s="7"/>
      <c r="AE7" s="101">
        <v>0</v>
      </c>
      <c r="AF7" s="7"/>
      <c r="AG7" s="7"/>
      <c r="AH7" s="7"/>
      <c r="AI7" s="101">
        <f>ROUND(AA7+W7+AE7,0)</f>
        <v>133</v>
      </c>
      <c r="AJ7" s="7"/>
      <c r="AK7" s="7"/>
      <c r="AL7" s="7"/>
      <c r="AN7" s="6"/>
      <c r="AO7" s="7"/>
      <c r="AP7" s="7"/>
      <c r="AQ7" s="101">
        <f>+AI7</f>
        <v>133</v>
      </c>
      <c r="AR7" s="102">
        <f>AI7*AJ9</f>
        <v>160265</v>
      </c>
    </row>
    <row r="8" spans="1:44" ht="22.9" customHeight="1">
      <c r="B8" s="25" t="s">
        <v>306</v>
      </c>
      <c r="C8" s="59"/>
      <c r="D8" s="60"/>
      <c r="E8" s="100"/>
      <c r="F8" s="100"/>
      <c r="G8" s="100"/>
      <c r="H8" s="100"/>
      <c r="I8" s="100"/>
      <c r="J8" s="100"/>
      <c r="K8" s="100"/>
      <c r="L8" s="101"/>
      <c r="M8" s="101"/>
      <c r="N8" s="101"/>
      <c r="O8" s="7"/>
      <c r="P8" s="7"/>
      <c r="Q8" s="7"/>
      <c r="R8" s="7"/>
      <c r="S8" s="183">
        <f>S7/SM134Units</f>
        <v>7.5187969924812026E-3</v>
      </c>
      <c r="T8" s="7"/>
      <c r="U8" s="7"/>
      <c r="W8" s="183">
        <f>W7/SM134Units</f>
        <v>0.54135338345864659</v>
      </c>
      <c r="X8" s="7"/>
      <c r="Y8" s="7"/>
      <c r="Z8" s="7"/>
      <c r="AA8" s="183">
        <f>AA7/SM134Units</f>
        <v>0.45864661654135336</v>
      </c>
      <c r="AB8" s="7"/>
      <c r="AC8" s="7"/>
      <c r="AD8" s="7"/>
      <c r="AE8" s="183">
        <f>AE7/SM134Units</f>
        <v>0</v>
      </c>
      <c r="AF8" s="7"/>
      <c r="AG8" s="7"/>
      <c r="AH8" s="7"/>
      <c r="AI8" s="183">
        <f>+AA8+W8</f>
        <v>1</v>
      </c>
      <c r="AJ8" s="7"/>
      <c r="AK8" s="7"/>
      <c r="AL8" s="7"/>
      <c r="AN8" s="6"/>
      <c r="AO8" s="7"/>
      <c r="AP8" s="7"/>
      <c r="AQ8" s="101"/>
      <c r="AR8" s="102"/>
    </row>
    <row r="9" spans="1:44" ht="22.9" customHeight="1">
      <c r="B9" s="25" t="s">
        <v>203</v>
      </c>
      <c r="C9" s="59"/>
      <c r="D9" s="60"/>
      <c r="E9" s="100"/>
      <c r="F9" s="100"/>
      <c r="G9" s="100"/>
      <c r="H9" s="100"/>
      <c r="I9" s="100"/>
      <c r="J9" s="100"/>
      <c r="K9" s="100"/>
      <c r="L9" s="101"/>
      <c r="M9" s="101"/>
      <c r="N9" s="101"/>
      <c r="O9" s="7"/>
      <c r="P9" s="101">
        <v>1376</v>
      </c>
      <c r="Q9" s="101">
        <f>+P9+360</f>
        <v>1736</v>
      </c>
      <c r="R9" s="7"/>
      <c r="S9" s="101"/>
      <c r="T9" s="101">
        <f>(186+654)+598+598</f>
        <v>2036</v>
      </c>
      <c r="U9" s="101">
        <f>+T9+517+68</f>
        <v>2621</v>
      </c>
      <c r="W9" s="101"/>
      <c r="X9" s="101">
        <v>1107</v>
      </c>
      <c r="Y9" s="101">
        <f>X9</f>
        <v>1107</v>
      </c>
      <c r="Z9" s="7"/>
      <c r="AA9" s="101"/>
      <c r="AB9" s="101">
        <v>1287</v>
      </c>
      <c r="AC9" s="101">
        <f>+AB9+295+13</f>
        <v>1595</v>
      </c>
      <c r="AD9" s="7"/>
      <c r="AE9" s="101"/>
      <c r="AF9" s="101">
        <v>1550</v>
      </c>
      <c r="AG9" s="101">
        <f>AF9</f>
        <v>1550</v>
      </c>
      <c r="AH9" s="101"/>
      <c r="AI9" s="7"/>
      <c r="AJ9" s="101">
        <f>ROUND(($AF9*$AE7+AB9*$AA7+X9*$W7+T9*$S7)/$AI$7,0)</f>
        <v>1205</v>
      </c>
      <c r="AK9" s="101">
        <f>ROUND((AG9*AE$7+AC9*$AA7+Y9*$W7+U9*$S7)/$AI$7,0)</f>
        <v>1351</v>
      </c>
      <c r="AL9" s="7"/>
      <c r="AN9" s="6"/>
      <c r="AO9" s="7"/>
      <c r="AP9" s="7"/>
      <c r="AQ9" s="7"/>
      <c r="AR9" s="7"/>
    </row>
    <row r="10" spans="1:44">
      <c r="A10" s="53" t="s">
        <v>149</v>
      </c>
      <c r="B10" s="22" t="s">
        <v>3</v>
      </c>
      <c r="C10" s="103"/>
      <c r="D10" s="104">
        <f>L10/$L$90</f>
        <v>2.3491111071661741E-2</v>
      </c>
      <c r="E10" s="105" t="s">
        <v>194</v>
      </c>
      <c r="F10" s="105" t="s">
        <v>194</v>
      </c>
      <c r="G10" s="105" t="s">
        <v>194</v>
      </c>
      <c r="H10" s="105" t="s">
        <v>194</v>
      </c>
      <c r="I10" s="105" t="s">
        <v>194</v>
      </c>
      <c r="J10" s="105" t="s">
        <v>194</v>
      </c>
      <c r="K10" s="105" t="s">
        <v>194</v>
      </c>
      <c r="L10" s="106">
        <f>O10*TRUnits</f>
        <v>16673.3</v>
      </c>
      <c r="M10" s="106"/>
      <c r="N10" s="106"/>
      <c r="O10" s="106">
        <f>2381.9/2</f>
        <v>1190.95</v>
      </c>
      <c r="P10" s="107">
        <f>$O10/P$9</f>
        <v>0.86551598837209309</v>
      </c>
      <c r="Q10" s="107">
        <f>$O10/Q$9</f>
        <v>0.68603110599078343</v>
      </c>
      <c r="R10" s="107"/>
      <c r="S10" s="108">
        <f>T10*S$7</f>
        <v>1938.4096075581399</v>
      </c>
      <c r="T10" s="108">
        <f>T$9*$P10*CMF</f>
        <v>1938.4096075581399</v>
      </c>
      <c r="U10" s="33">
        <f>+T10/T$9</f>
        <v>0.95206758720930251</v>
      </c>
      <c r="V10" s="106"/>
      <c r="W10" s="108">
        <f>X10*W$7</f>
        <v>75883.594970930237</v>
      </c>
      <c r="X10" s="108">
        <f>X$9*$P10*CMF</f>
        <v>1053.9388190406978</v>
      </c>
      <c r="Y10" s="33">
        <f>+X10/X$9</f>
        <v>0.9520675872093024</v>
      </c>
      <c r="Z10" s="106"/>
      <c r="AA10" s="108">
        <f>AB10*AA$7</f>
        <v>74743.970069040719</v>
      </c>
      <c r="AB10" s="108">
        <f>AB$9*$P10*CMF</f>
        <v>1225.3109847383723</v>
      </c>
      <c r="AC10" s="33">
        <f>+AB10/AB$9</f>
        <v>0.95206758720930251</v>
      </c>
      <c r="AD10" s="106"/>
      <c r="AE10" s="108">
        <f>AF10*AE$7</f>
        <v>0</v>
      </c>
      <c r="AF10" s="108">
        <f>AF$9*$P10*CMF</f>
        <v>1475.7047601744189</v>
      </c>
      <c r="AG10" s="33">
        <f>+AF10/AF$9</f>
        <v>0.95206758720930251</v>
      </c>
      <c r="AH10" s="33"/>
      <c r="AI10" s="108">
        <f>+AA10+W10+S10+AE10</f>
        <v>152565.9746475291</v>
      </c>
      <c r="AJ10" s="108">
        <f>AI10/AI$7</f>
        <v>1147.1125913348053</v>
      </c>
      <c r="AK10" s="33">
        <f>+AJ10/AJ$9</f>
        <v>0.95196065670938201</v>
      </c>
      <c r="AL10" s="120"/>
      <c r="AM10" s="109" t="s">
        <v>76</v>
      </c>
      <c r="AN10" s="22" t="s">
        <v>80</v>
      </c>
      <c r="AO10" s="104">
        <f t="shared" ref="AO10:AO24" si="0">AP10/$AP$49</f>
        <v>1.2570658214320076E-2</v>
      </c>
      <c r="AP10" s="110">
        <f>+AI10</f>
        <v>152565.9746475291</v>
      </c>
      <c r="AQ10" s="110">
        <f t="shared" ref="AQ10:AQ49" si="1">+AP10/AQ$7</f>
        <v>1147.1125913348053</v>
      </c>
      <c r="AR10" s="33">
        <f t="shared" ref="AR10:AR49" si="2">+AP10/AR$7</f>
        <v>0.95196065670938201</v>
      </c>
    </row>
    <row r="11" spans="1:44">
      <c r="A11" s="53" t="s">
        <v>206</v>
      </c>
      <c r="B11" s="22" t="s">
        <v>332</v>
      </c>
      <c r="C11" s="103"/>
      <c r="D11" s="104"/>
      <c r="E11" s="105"/>
      <c r="F11" s="105"/>
      <c r="G11" s="105"/>
      <c r="H11" s="105"/>
      <c r="I11" s="105"/>
      <c r="J11" s="105"/>
      <c r="K11" s="105"/>
      <c r="L11" s="106">
        <v>0</v>
      </c>
      <c r="M11" s="106"/>
      <c r="N11" s="106"/>
      <c r="O11" s="106">
        <v>0</v>
      </c>
      <c r="P11" s="107">
        <f t="shared" ref="P11:Q26" si="3">$O11/P$9</f>
        <v>0</v>
      </c>
      <c r="Q11" s="107">
        <f t="shared" si="3"/>
        <v>0</v>
      </c>
      <c r="R11" s="107"/>
      <c r="S11" s="111">
        <f>T11*S$7</f>
        <v>1068.2485820895522</v>
      </c>
      <c r="T11" s="111">
        <f>(((68000+9450)/134)+0.15*U$9)*CMF</f>
        <v>1068.2485820895522</v>
      </c>
      <c r="U11" s="107">
        <f>+T11/T$9</f>
        <v>0.52468005014221619</v>
      </c>
      <c r="V11" s="106"/>
      <c r="W11" s="111">
        <f>X11*W$7</f>
        <v>58927.577910447762</v>
      </c>
      <c r="X11" s="111">
        <f>(((68000+9450)/134)+0.15*Y$9)*CMF</f>
        <v>818.43858208955226</v>
      </c>
      <c r="Y11" s="107">
        <f>+X11/X$9</f>
        <v>0.73933024579002016</v>
      </c>
      <c r="Z11" s="106"/>
      <c r="AA11" s="111">
        <f>AB11*AA$7</f>
        <v>54836.473507462688</v>
      </c>
      <c r="AB11" s="111">
        <f>(((68000+9450)/134)+0.15*AC$9)*CMF</f>
        <v>898.95858208955224</v>
      </c>
      <c r="AC11" s="107">
        <f>+AB11/AB$9</f>
        <v>0.69849151677509891</v>
      </c>
      <c r="AD11" s="106"/>
      <c r="AE11" s="111">
        <f>AF11*AE$7</f>
        <v>0</v>
      </c>
      <c r="AF11" s="111">
        <f>(((68000+9450+54000+8000+2000)/134)+0.15*AG$9)*CMF</f>
        <v>1416.9067164179105</v>
      </c>
      <c r="AG11" s="107">
        <f>+AF11/AF$9</f>
        <v>0.91413336543090995</v>
      </c>
      <c r="AH11" s="107"/>
      <c r="AI11" s="111">
        <f>+AA11+W11+S11+AE11</f>
        <v>114832.3</v>
      </c>
      <c r="AJ11" s="97">
        <f>+AI11/AI$7</f>
        <v>863.40075187969921</v>
      </c>
      <c r="AK11" s="107">
        <f>+AJ11/AJ$9</f>
        <v>0.71651514678813211</v>
      </c>
      <c r="AL11" s="120"/>
      <c r="AM11" s="109" t="s">
        <v>77</v>
      </c>
      <c r="AN11" s="22" t="s">
        <v>212</v>
      </c>
      <c r="AO11" s="104">
        <f t="shared" si="0"/>
        <v>9.4615958676186121E-3</v>
      </c>
      <c r="AP11" s="110">
        <f>+AI11</f>
        <v>114832.3</v>
      </c>
      <c r="AQ11" s="110">
        <f t="shared" si="1"/>
        <v>863.40075187969921</v>
      </c>
      <c r="AR11" s="107">
        <f t="shared" si="2"/>
        <v>0.71651514678813222</v>
      </c>
    </row>
    <row r="12" spans="1:44">
      <c r="A12" s="53" t="s">
        <v>151</v>
      </c>
      <c r="B12" s="22" t="s">
        <v>146</v>
      </c>
      <c r="C12" s="103"/>
      <c r="D12" s="104">
        <f>L12/$L$90</f>
        <v>2.5937957982480535E-3</v>
      </c>
      <c r="E12" s="105" t="s">
        <v>194</v>
      </c>
      <c r="F12" s="105" t="s">
        <v>194</v>
      </c>
      <c r="G12" s="105" t="s">
        <v>194</v>
      </c>
      <c r="H12" s="105" t="s">
        <v>194</v>
      </c>
      <c r="I12" s="105" t="s">
        <v>194</v>
      </c>
      <c r="J12" s="105" t="s">
        <v>194</v>
      </c>
      <c r="K12" s="105" t="s">
        <v>194</v>
      </c>
      <c r="L12" s="106">
        <f>O12*TRUnits</f>
        <v>1841</v>
      </c>
      <c r="M12" s="106"/>
      <c r="N12" s="106"/>
      <c r="O12" s="106">
        <f>263/2</f>
        <v>131.5</v>
      </c>
      <c r="P12" s="107">
        <f t="shared" si="3"/>
        <v>9.5566860465116282E-2</v>
      </c>
      <c r="Q12" s="107">
        <f t="shared" si="3"/>
        <v>7.5748847926267279E-2</v>
      </c>
      <c r="R12" s="107"/>
      <c r="S12" s="111">
        <f>T12*S$7</f>
        <v>513.072</v>
      </c>
      <c r="T12" s="111">
        <f>0.42/100*60*T9</f>
        <v>513.072</v>
      </c>
      <c r="U12" s="107">
        <f>+T12/T$9</f>
        <v>0.252</v>
      </c>
      <c r="V12" s="106"/>
      <c r="W12" s="111">
        <f>X12*W$7</f>
        <v>20085.407999999999</v>
      </c>
      <c r="X12" s="111">
        <f>0.42/100*60*X9</f>
        <v>278.964</v>
      </c>
      <c r="Y12" s="107">
        <f>+X12/X$9</f>
        <v>0.252</v>
      </c>
      <c r="Z12" s="106"/>
      <c r="AA12" s="111">
        <f>AB12*AA$7</f>
        <v>19783.763999999999</v>
      </c>
      <c r="AB12" s="111">
        <f>0.42/100*60*AB9</f>
        <v>324.32400000000001</v>
      </c>
      <c r="AC12" s="107">
        <f>+AB12/AB$9</f>
        <v>0.252</v>
      </c>
      <c r="AD12" s="106"/>
      <c r="AE12" s="111">
        <f>AF12*AE$7</f>
        <v>0</v>
      </c>
      <c r="AF12" s="111">
        <f>0.42/100*60*AF9</f>
        <v>390.6</v>
      </c>
      <c r="AG12" s="107">
        <f>+AF12/AF$9</f>
        <v>0.252</v>
      </c>
      <c r="AH12" s="107"/>
      <c r="AI12" s="111">
        <f t="shared" ref="AI12:AI76" si="4">+AA12+W12+S12+AE12</f>
        <v>40382.243999999999</v>
      </c>
      <c r="AJ12" s="97">
        <f>+AI12/AI$7</f>
        <v>303.6258947368421</v>
      </c>
      <c r="AK12" s="107">
        <f>+AJ12/AJ$9</f>
        <v>0.2519716968770474</v>
      </c>
      <c r="AL12" s="120"/>
      <c r="AM12" s="109" t="s">
        <v>78</v>
      </c>
      <c r="AN12" s="22" t="s">
        <v>81</v>
      </c>
      <c r="AO12" s="104">
        <f t="shared" si="0"/>
        <v>0</v>
      </c>
      <c r="AP12" s="110">
        <v>0</v>
      </c>
      <c r="AQ12" s="110">
        <f t="shared" si="1"/>
        <v>0</v>
      </c>
      <c r="AR12" s="107">
        <f t="shared" si="2"/>
        <v>0</v>
      </c>
    </row>
    <row r="13" spans="1:44">
      <c r="A13" s="53" t="s">
        <v>150</v>
      </c>
      <c r="B13" s="22" t="s">
        <v>147</v>
      </c>
      <c r="C13" s="103"/>
      <c r="D13" s="104">
        <f>L13/$L$90</f>
        <v>1.725909751685967E-3</v>
      </c>
      <c r="E13" s="105"/>
      <c r="F13" s="105"/>
      <c r="G13" s="105"/>
      <c r="H13" s="105"/>
      <c r="I13" s="105"/>
      <c r="J13" s="105"/>
      <c r="K13" s="105"/>
      <c r="L13" s="106">
        <f>O13*TRUnits</f>
        <v>1225</v>
      </c>
      <c r="M13" s="106"/>
      <c r="N13" s="106"/>
      <c r="O13" s="106">
        <f>175/2</f>
        <v>87.5</v>
      </c>
      <c r="P13" s="107">
        <f t="shared" si="3"/>
        <v>6.3590116279069769E-2</v>
      </c>
      <c r="Q13" s="107">
        <f t="shared" si="3"/>
        <v>5.040322580645161E-2</v>
      </c>
      <c r="R13" s="107"/>
      <c r="S13" s="111">
        <f>T13*S$7</f>
        <v>0</v>
      </c>
      <c r="T13" s="111"/>
      <c r="U13" s="107">
        <f>+T13/T$9</f>
        <v>0</v>
      </c>
      <c r="V13" s="106"/>
      <c r="W13" s="111">
        <f>X13*W$7</f>
        <v>0</v>
      </c>
      <c r="X13" s="111">
        <v>0</v>
      </c>
      <c r="Y13" s="107">
        <f>+X13/X$9</f>
        <v>0</v>
      </c>
      <c r="Z13" s="106"/>
      <c r="AA13" s="111">
        <f>AB13*AA$7</f>
        <v>0</v>
      </c>
      <c r="AB13" s="111">
        <v>0</v>
      </c>
      <c r="AC13" s="107">
        <f>+AB13/AB$9</f>
        <v>0</v>
      </c>
      <c r="AD13" s="106"/>
      <c r="AE13" s="111">
        <f>AF13*AE$7</f>
        <v>0</v>
      </c>
      <c r="AF13" s="111">
        <v>0</v>
      </c>
      <c r="AG13" s="107">
        <f>+AF13/AF$9</f>
        <v>0</v>
      </c>
      <c r="AH13" s="107"/>
      <c r="AI13" s="111">
        <f t="shared" si="4"/>
        <v>0</v>
      </c>
      <c r="AJ13" s="97">
        <f>+AI13/AI$7</f>
        <v>0</v>
      </c>
      <c r="AK13" s="107">
        <f>+AJ13/AJ$9</f>
        <v>0</v>
      </c>
      <c r="AL13" s="120"/>
      <c r="AM13" s="109" t="s">
        <v>79</v>
      </c>
      <c r="AN13" s="22" t="s">
        <v>82</v>
      </c>
      <c r="AO13" s="104">
        <f t="shared" si="0"/>
        <v>1.5807595738196741E-2</v>
      </c>
      <c r="AP13" s="110">
        <f>AI13+AI14</f>
        <v>191851.62857142859</v>
      </c>
      <c r="AQ13" s="110">
        <f t="shared" si="1"/>
        <v>1442.4934479054782</v>
      </c>
      <c r="AR13" s="107">
        <f t="shared" si="2"/>
        <v>1.1970899982618075</v>
      </c>
    </row>
    <row r="14" spans="1:44">
      <c r="A14" s="53" t="s">
        <v>150</v>
      </c>
      <c r="B14" s="22" t="s">
        <v>148</v>
      </c>
      <c r="C14" s="103"/>
      <c r="D14" s="104">
        <f>L14/$L$90</f>
        <v>2.5673083669568726E-2</v>
      </c>
      <c r="E14" s="105" t="s">
        <v>194</v>
      </c>
      <c r="F14" s="105" t="s">
        <v>194</v>
      </c>
      <c r="G14" s="105" t="s">
        <v>194</v>
      </c>
      <c r="H14" s="105" t="s">
        <v>194</v>
      </c>
      <c r="I14" s="105" t="s">
        <v>194</v>
      </c>
      <c r="J14" s="105" t="s">
        <v>194</v>
      </c>
      <c r="K14" s="105" t="s">
        <v>194</v>
      </c>
      <c r="L14" s="106">
        <f>O14*TRUnits</f>
        <v>18222</v>
      </c>
      <c r="M14" s="106"/>
      <c r="N14" s="106"/>
      <c r="O14" s="106">
        <f>(6797+11425)/14</f>
        <v>1301.5714285714287</v>
      </c>
      <c r="P14" s="107">
        <f t="shared" si="3"/>
        <v>0.94590946843853829</v>
      </c>
      <c r="Q14" s="107">
        <f t="shared" si="3"/>
        <v>0.74975312705727459</v>
      </c>
      <c r="R14" s="107"/>
      <c r="S14" s="111">
        <f>T14*S$7</f>
        <v>1431.7285714285717</v>
      </c>
      <c r="T14" s="111">
        <f>+$O14*CMF</f>
        <v>1431.7285714285717</v>
      </c>
      <c r="U14" s="107">
        <f>+T14/T$9</f>
        <v>0.70320656749929855</v>
      </c>
      <c r="V14" s="106"/>
      <c r="W14" s="111">
        <f>X14*W$7</f>
        <v>103084.45714285717</v>
      </c>
      <c r="X14" s="111">
        <f>+$O14*CMF</f>
        <v>1431.7285714285717</v>
      </c>
      <c r="Y14" s="107">
        <f>+X14/X$9</f>
        <v>1.2933410762679058</v>
      </c>
      <c r="Z14" s="106"/>
      <c r="AA14" s="111">
        <f>AB14*AA$7</f>
        <v>87335.442857142873</v>
      </c>
      <c r="AB14" s="111">
        <f>+$O14*CMF</f>
        <v>1431.7285714285717</v>
      </c>
      <c r="AC14" s="107">
        <f>+AB14/AB$9</f>
        <v>1.1124542124542127</v>
      </c>
      <c r="AD14" s="106"/>
      <c r="AE14" s="111">
        <f>AF14*AE$7</f>
        <v>0</v>
      </c>
      <c r="AF14" s="111">
        <f>+$O14*CMF</f>
        <v>1431.7285714285717</v>
      </c>
      <c r="AG14" s="107">
        <f>+AF14/AF$9</f>
        <v>0.92369585253456243</v>
      </c>
      <c r="AH14" s="107"/>
      <c r="AI14" s="111">
        <f t="shared" si="4"/>
        <v>191851.62857142859</v>
      </c>
      <c r="AJ14" s="97">
        <f>+AI14/AI$7</f>
        <v>1442.4934479054782</v>
      </c>
      <c r="AK14" s="107">
        <f>+AJ14/AJ$9</f>
        <v>1.1970899982618077</v>
      </c>
      <c r="AL14" s="120"/>
      <c r="AM14" s="109" t="s">
        <v>91</v>
      </c>
      <c r="AN14" s="22" t="s">
        <v>83</v>
      </c>
      <c r="AO14" s="104">
        <f t="shared" si="0"/>
        <v>4.6640764678213965E-2</v>
      </c>
      <c r="AP14" s="110">
        <f>+AI16</f>
        <v>566063.7335069445</v>
      </c>
      <c r="AQ14" s="110">
        <f t="shared" si="1"/>
        <v>4256.1182970446953</v>
      </c>
      <c r="AR14" s="107">
        <f t="shared" si="2"/>
        <v>3.5320483792902038</v>
      </c>
    </row>
    <row r="15" spans="1:44">
      <c r="B15" s="27" t="s">
        <v>5</v>
      </c>
      <c r="C15" s="103"/>
      <c r="E15" s="105"/>
      <c r="F15" s="105"/>
      <c r="G15" s="105"/>
      <c r="H15" s="105"/>
      <c r="I15" s="105"/>
      <c r="J15" s="105"/>
      <c r="K15" s="105"/>
      <c r="L15" s="106"/>
      <c r="M15" s="106"/>
      <c r="N15" s="106"/>
      <c r="O15" s="106"/>
      <c r="P15" s="107"/>
      <c r="Q15" s="107"/>
      <c r="R15" s="107"/>
      <c r="S15" s="111"/>
      <c r="T15" s="111"/>
      <c r="U15" s="107"/>
      <c r="V15" s="106"/>
      <c r="W15" s="111"/>
      <c r="X15" s="111"/>
      <c r="Y15" s="107"/>
      <c r="Z15" s="106"/>
      <c r="AA15" s="111"/>
      <c r="AB15" s="111"/>
      <c r="AC15" s="107"/>
      <c r="AD15" s="106"/>
      <c r="AE15" s="111"/>
      <c r="AF15" s="111"/>
      <c r="AG15" s="107"/>
      <c r="AH15" s="107"/>
      <c r="AI15" s="111"/>
      <c r="AJ15" s="97"/>
      <c r="AK15" s="107"/>
      <c r="AL15" s="120"/>
      <c r="AM15" s="109" t="s">
        <v>92</v>
      </c>
      <c r="AN15" s="22" t="s">
        <v>84</v>
      </c>
      <c r="AO15" s="104">
        <f t="shared" si="0"/>
        <v>5.2894683133175226E-2</v>
      </c>
      <c r="AP15" s="110">
        <f>+AI20+AI21</f>
        <v>641965.50000000012</v>
      </c>
      <c r="AQ15" s="110">
        <f t="shared" si="1"/>
        <v>4826.8082706766927</v>
      </c>
      <c r="AR15" s="107">
        <f t="shared" si="2"/>
        <v>4.0056500171590814</v>
      </c>
    </row>
    <row r="16" spans="1:44">
      <c r="A16" s="53" t="s">
        <v>161</v>
      </c>
      <c r="B16" s="53" t="s">
        <v>6</v>
      </c>
      <c r="C16" s="103"/>
      <c r="D16" s="104">
        <f>L16/$L$90</f>
        <v>2.8600790170796027E-3</v>
      </c>
      <c r="E16" s="105" t="s">
        <v>194</v>
      </c>
      <c r="F16" s="105" t="s">
        <v>194</v>
      </c>
      <c r="G16" s="105" t="s">
        <v>194</v>
      </c>
      <c r="H16" s="105" t="s">
        <v>194</v>
      </c>
      <c r="I16" s="105" t="s">
        <v>194</v>
      </c>
      <c r="J16" s="105" t="s">
        <v>194</v>
      </c>
      <c r="K16" s="105" t="s">
        <v>194</v>
      </c>
      <c r="L16" s="106">
        <f t="shared" ref="L16:L22" si="5">O16*TRUnits</f>
        <v>2030</v>
      </c>
      <c r="M16" s="106"/>
      <c r="N16" s="106"/>
      <c r="O16" s="106">
        <f>290/2</f>
        <v>145</v>
      </c>
      <c r="P16" s="107">
        <f t="shared" si="3"/>
        <v>0.10537790697674419</v>
      </c>
      <c r="Q16" s="107">
        <f t="shared" si="3"/>
        <v>8.3525345622119815E-2</v>
      </c>
      <c r="R16" s="107"/>
      <c r="S16" s="111">
        <f>T16*S$7</f>
        <v>8876.8835069444467</v>
      </c>
      <c r="T16" s="111">
        <f>5.5*MgrOffFirstFlr*CMF</f>
        <v>8876.8835069444467</v>
      </c>
      <c r="U16" s="107">
        <f>+T16/T$9</f>
        <v>4.3599624297369584</v>
      </c>
      <c r="V16" s="106"/>
      <c r="W16" s="111">
        <f>X16*W$7</f>
        <v>248292.00000000003</v>
      </c>
      <c r="X16" s="111">
        <f>5.5*TwoBdrm_First_Flr*CMF</f>
        <v>3448.5000000000005</v>
      </c>
      <c r="Y16" s="107">
        <f>+X16/X$9</f>
        <v>3.115176151761518</v>
      </c>
      <c r="Z16" s="106"/>
      <c r="AA16" s="111">
        <f>AB16*AA$7</f>
        <v>308894.85000000003</v>
      </c>
      <c r="AB16" s="111">
        <f>5.5*ThreeBdrm_First_Flr*CMF</f>
        <v>5063.8500000000004</v>
      </c>
      <c r="AC16" s="107">
        <f>+AB16/AB$9</f>
        <v>3.9346153846153848</v>
      </c>
      <c r="AD16" s="106"/>
      <c r="AE16" s="111">
        <f>AF16*AE$7</f>
        <v>0</v>
      </c>
      <c r="AF16" s="111">
        <f>5.5*1550*CMF</f>
        <v>9377.5</v>
      </c>
      <c r="AG16" s="107">
        <f>+AF16/AF$9</f>
        <v>6.05</v>
      </c>
      <c r="AH16" s="107"/>
      <c r="AI16" s="111">
        <f t="shared" si="4"/>
        <v>566063.7335069445</v>
      </c>
      <c r="AJ16" s="97">
        <f>+AI16/AI$7</f>
        <v>4256.1182970446953</v>
      </c>
      <c r="AK16" s="107">
        <f>+AJ16/AJ$9</f>
        <v>3.5320483792902038</v>
      </c>
      <c r="AL16" s="120"/>
      <c r="AM16" s="109" t="s">
        <v>93</v>
      </c>
      <c r="AN16" s="22" t="s">
        <v>89</v>
      </c>
      <c r="AO16" s="104">
        <f t="shared" si="0"/>
        <v>0.16452792078589049</v>
      </c>
      <c r="AP16" s="110">
        <f>SUM(AI24:AI26)+SUM(AI29:AI33)+AI36</f>
        <v>1996821.6590946848</v>
      </c>
      <c r="AQ16" s="110">
        <f t="shared" si="1"/>
        <v>15013.696684922441</v>
      </c>
      <c r="AR16" s="107">
        <f t="shared" si="2"/>
        <v>12.459499323587089</v>
      </c>
    </row>
    <row r="17" spans="1:44">
      <c r="A17" s="53" t="s">
        <v>161</v>
      </c>
      <c r="B17" s="53" t="s">
        <v>7</v>
      </c>
      <c r="C17" s="103"/>
      <c r="D17" s="104">
        <f>L17/$L$90</f>
        <v>2.5691399446525397E-2</v>
      </c>
      <c r="E17" s="105" t="s">
        <v>194</v>
      </c>
      <c r="F17" s="105" t="s">
        <v>194</v>
      </c>
      <c r="G17" s="105" t="s">
        <v>194</v>
      </c>
      <c r="H17" s="105" t="s">
        <v>194</v>
      </c>
      <c r="I17" s="105" t="s">
        <v>194</v>
      </c>
      <c r="J17" s="105" t="s">
        <v>194</v>
      </c>
      <c r="K17" s="105" t="s">
        <v>194</v>
      </c>
      <c r="L17" s="106">
        <f t="shared" si="5"/>
        <v>18235</v>
      </c>
      <c r="M17" s="106"/>
      <c r="N17" s="106"/>
      <c r="O17" s="106">
        <f>2605/2</f>
        <v>1302.5</v>
      </c>
      <c r="P17" s="107">
        <f t="shared" si="3"/>
        <v>0.94658430232558144</v>
      </c>
      <c r="Q17" s="107">
        <f t="shared" si="3"/>
        <v>0.75028801843317972</v>
      </c>
      <c r="R17" s="107"/>
      <c r="S17" s="111"/>
      <c r="T17" s="111"/>
      <c r="U17" s="107">
        <f>+T17/T$9</f>
        <v>0</v>
      </c>
      <c r="V17" s="106"/>
      <c r="W17" s="111"/>
      <c r="X17" s="111"/>
      <c r="Y17" s="107">
        <f>+X17/X$9</f>
        <v>0</v>
      </c>
      <c r="Z17" s="106"/>
      <c r="AA17" s="111"/>
      <c r="AB17" s="111"/>
      <c r="AC17" s="107">
        <f>+AB17/AB$9</f>
        <v>0</v>
      </c>
      <c r="AD17" s="106"/>
      <c r="AE17" s="111"/>
      <c r="AF17" s="111"/>
      <c r="AG17" s="107">
        <f>+AF17/AF$9</f>
        <v>0</v>
      </c>
      <c r="AH17" s="107"/>
      <c r="AI17" s="111">
        <f t="shared" si="4"/>
        <v>0</v>
      </c>
      <c r="AJ17" s="97">
        <f>+AI17/AI$7</f>
        <v>0</v>
      </c>
      <c r="AK17" s="107">
        <f>+AJ17/AJ$9</f>
        <v>0</v>
      </c>
      <c r="AL17" s="120"/>
      <c r="AM17" s="109" t="s">
        <v>94</v>
      </c>
      <c r="AN17" s="22" t="s">
        <v>88</v>
      </c>
      <c r="AO17" s="104">
        <f t="shared" si="0"/>
        <v>8.6933860293510468E-3</v>
      </c>
      <c r="AP17" s="110">
        <f>AI41+AI42</f>
        <v>105508.788</v>
      </c>
      <c r="AQ17" s="110">
        <f t="shared" si="1"/>
        <v>793.29915789473682</v>
      </c>
      <c r="AR17" s="107">
        <f t="shared" si="2"/>
        <v>0.65833955012011358</v>
      </c>
    </row>
    <row r="18" spans="1:44">
      <c r="A18" s="53" t="s">
        <v>161</v>
      </c>
      <c r="B18" s="53" t="s">
        <v>8</v>
      </c>
      <c r="C18" s="103"/>
      <c r="D18" s="104">
        <f>L18/$L$90</f>
        <v>7.4243706346811197E-2</v>
      </c>
      <c r="E18" s="105" t="s">
        <v>194</v>
      </c>
      <c r="F18" s="105" t="s">
        <v>194</v>
      </c>
      <c r="G18" s="105" t="s">
        <v>194</v>
      </c>
      <c r="H18" s="105" t="s">
        <v>194</v>
      </c>
      <c r="I18" s="105" t="s">
        <v>194</v>
      </c>
      <c r="J18" s="105" t="s">
        <v>194</v>
      </c>
      <c r="K18" s="105" t="s">
        <v>194</v>
      </c>
      <c r="L18" s="106">
        <f t="shared" si="5"/>
        <v>52696</v>
      </c>
      <c r="M18" s="106"/>
      <c r="N18" s="106"/>
      <c r="O18" s="106">
        <f>7528/2</f>
        <v>3764</v>
      </c>
      <c r="P18" s="107">
        <f t="shared" si="3"/>
        <v>2.73546511627907</v>
      </c>
      <c r="Q18" s="107">
        <f t="shared" si="3"/>
        <v>2.1682027649769586</v>
      </c>
      <c r="R18" s="107"/>
      <c r="S18" s="111"/>
      <c r="T18" s="111"/>
      <c r="U18" s="107">
        <f>+T18/T$9</f>
        <v>0</v>
      </c>
      <c r="V18" s="106"/>
      <c r="W18" s="111"/>
      <c r="X18" s="111"/>
      <c r="Y18" s="107">
        <f>+X18/X$9</f>
        <v>0</v>
      </c>
      <c r="Z18" s="106"/>
      <c r="AA18" s="111"/>
      <c r="AB18" s="111"/>
      <c r="AC18" s="107">
        <f>+AB18/AB$9</f>
        <v>0</v>
      </c>
      <c r="AD18" s="106"/>
      <c r="AE18" s="111"/>
      <c r="AF18" s="111"/>
      <c r="AG18" s="107">
        <f>+AF18/AF$9</f>
        <v>0</v>
      </c>
      <c r="AH18" s="107"/>
      <c r="AI18" s="111">
        <f t="shared" si="4"/>
        <v>0</v>
      </c>
      <c r="AJ18" s="97">
        <f>+AI18/AI$7</f>
        <v>0</v>
      </c>
      <c r="AK18" s="107">
        <f>+AJ18/AJ$9</f>
        <v>0</v>
      </c>
      <c r="AL18" s="120"/>
      <c r="AM18" s="109" t="s">
        <v>95</v>
      </c>
      <c r="AN18" s="22" t="s">
        <v>90</v>
      </c>
      <c r="AO18" s="104">
        <f t="shared" si="0"/>
        <v>1.7912092858391342E-2</v>
      </c>
      <c r="AP18" s="110">
        <f>AI27+AI34</f>
        <v>217393.22303779074</v>
      </c>
      <c r="AQ18" s="110">
        <f t="shared" si="1"/>
        <v>1634.5355115623363</v>
      </c>
      <c r="AR18" s="107">
        <f t="shared" si="2"/>
        <v>1.3564610054459223</v>
      </c>
    </row>
    <row r="19" spans="1:44">
      <c r="B19" s="27" t="s">
        <v>9</v>
      </c>
      <c r="C19" s="103"/>
      <c r="E19" s="105"/>
      <c r="F19" s="105"/>
      <c r="G19" s="105"/>
      <c r="H19" s="105"/>
      <c r="I19" s="105"/>
      <c r="J19" s="105"/>
      <c r="K19" s="105"/>
      <c r="L19" s="106">
        <f t="shared" si="5"/>
        <v>0</v>
      </c>
      <c r="M19" s="106"/>
      <c r="N19" s="106"/>
      <c r="O19" s="106"/>
      <c r="P19" s="107">
        <f>O19/1376</f>
        <v>0</v>
      </c>
      <c r="Q19" s="107"/>
      <c r="R19" s="107"/>
      <c r="S19" s="111"/>
      <c r="T19" s="111"/>
      <c r="U19" s="107"/>
      <c r="V19" s="106"/>
      <c r="W19" s="111"/>
      <c r="X19" s="111"/>
      <c r="Y19" s="107"/>
      <c r="Z19" s="106"/>
      <c r="AA19" s="111"/>
      <c r="AB19" s="111"/>
      <c r="AC19" s="107"/>
      <c r="AD19" s="106"/>
      <c r="AE19" s="111"/>
      <c r="AF19" s="111"/>
      <c r="AG19" s="107"/>
      <c r="AH19" s="107"/>
      <c r="AI19" s="111"/>
      <c r="AJ19" s="97"/>
      <c r="AK19" s="107"/>
      <c r="AL19" s="120"/>
      <c r="AM19" s="109" t="s">
        <v>96</v>
      </c>
      <c r="AN19" s="22" t="s">
        <v>85</v>
      </c>
      <c r="AO19" s="104">
        <f t="shared" si="0"/>
        <v>7.256189257532077E-3</v>
      </c>
      <c r="AP19" s="110">
        <f>+AI35</f>
        <v>88066</v>
      </c>
      <c r="AQ19" s="110">
        <f t="shared" si="1"/>
        <v>662.1503759398496</v>
      </c>
      <c r="AR19" s="107">
        <f t="shared" si="2"/>
        <v>0.54950238667207441</v>
      </c>
    </row>
    <row r="20" spans="1:44">
      <c r="A20" s="53" t="s">
        <v>162</v>
      </c>
      <c r="B20" s="53" t="s">
        <v>10</v>
      </c>
      <c r="C20" s="103">
        <v>0.33300000000000002</v>
      </c>
      <c r="D20" s="104">
        <f>L20/$L$90</f>
        <v>4.5001863982531816E-2</v>
      </c>
      <c r="E20" s="105" t="s">
        <v>194</v>
      </c>
      <c r="F20" s="105" t="s">
        <v>194</v>
      </c>
      <c r="G20" s="105" t="s">
        <v>194</v>
      </c>
      <c r="H20" s="105" t="s">
        <v>194</v>
      </c>
      <c r="I20" s="105" t="s">
        <v>194</v>
      </c>
      <c r="J20" s="105" t="s">
        <v>194</v>
      </c>
      <c r="K20" s="105" t="s">
        <v>194</v>
      </c>
      <c r="L20" s="106">
        <f t="shared" si="5"/>
        <v>31941</v>
      </c>
      <c r="M20" s="106"/>
      <c r="N20" s="106"/>
      <c r="O20" s="106">
        <f>4563/2</f>
        <v>2281.5</v>
      </c>
      <c r="P20" s="107">
        <f t="shared" si="3"/>
        <v>1.6580668604651163</v>
      </c>
      <c r="Q20" s="107">
        <f t="shared" si="3"/>
        <v>1.3142281105990783</v>
      </c>
      <c r="R20" s="107"/>
      <c r="S20" s="111">
        <f>T20*S$7</f>
        <v>2232.4500000000003</v>
      </c>
      <c r="T20" s="111">
        <f>(13500+300-1500)/2*0.33*CMF</f>
        <v>2232.4500000000003</v>
      </c>
      <c r="U20" s="107">
        <f>+T20/T$9</f>
        <v>1.0964882121807467</v>
      </c>
      <c r="V20" s="106"/>
      <c r="W20" s="111">
        <f>X20*W$7</f>
        <v>165963.6</v>
      </c>
      <c r="X20" s="111">
        <f>(13500+300-1100)/2*0.33*CMF</f>
        <v>2305.0500000000002</v>
      </c>
      <c r="Y20" s="107">
        <f>+X20/X$9</f>
        <v>2.082249322493225</v>
      </c>
      <c r="Z20" s="106"/>
      <c r="AA20" s="111">
        <f>AB20*AA$7</f>
        <v>152786.70000000001</v>
      </c>
      <c r="AB20" s="111">
        <f>(13500+300)/2*0.33*CMF</f>
        <v>2504.7000000000003</v>
      </c>
      <c r="AC20" s="107">
        <f>+AB20/AB$9</f>
        <v>1.9461538461538463</v>
      </c>
      <c r="AD20" s="106"/>
      <c r="AE20" s="111">
        <f>AF20*AE$7</f>
        <v>0</v>
      </c>
      <c r="AF20" s="111">
        <f>(13500+300)/2*0.33*CMF</f>
        <v>2504.7000000000003</v>
      </c>
      <c r="AG20" s="107">
        <f>+AF20/AF$9</f>
        <v>1.6159354838709679</v>
      </c>
      <c r="AH20" s="107"/>
      <c r="AI20" s="111">
        <f t="shared" si="4"/>
        <v>320982.75000000006</v>
      </c>
      <c r="AJ20" s="97">
        <f>+AI20/AI$7</f>
        <v>2413.4041353383464</v>
      </c>
      <c r="AK20" s="107">
        <f>+AJ20/AJ$9</f>
        <v>2.0028250085795407</v>
      </c>
      <c r="AL20" s="120"/>
      <c r="AM20" s="109" t="s">
        <v>97</v>
      </c>
      <c r="AN20" s="22" t="s">
        <v>86</v>
      </c>
      <c r="AO20" s="104">
        <f t="shared" si="0"/>
        <v>1.0744634418299048E-2</v>
      </c>
      <c r="AP20" s="110">
        <f>+AI64</f>
        <v>130404.12000000001</v>
      </c>
      <c r="AQ20" s="110">
        <f t="shared" si="1"/>
        <v>980.48210526315802</v>
      </c>
      <c r="AR20" s="107">
        <f t="shared" si="2"/>
        <v>0.81367809565407301</v>
      </c>
    </row>
    <row r="21" spans="1:44" ht="12.75" thickBot="1">
      <c r="A21" s="53" t="s">
        <v>163</v>
      </c>
      <c r="B21" s="53" t="s">
        <v>11</v>
      </c>
      <c r="C21" s="103">
        <v>0.33300000000000002</v>
      </c>
      <c r="D21" s="104">
        <f>L21/$L$90</f>
        <v>4.5001863982531816E-2</v>
      </c>
      <c r="E21" s="105" t="s">
        <v>194</v>
      </c>
      <c r="F21" s="105" t="s">
        <v>194</v>
      </c>
      <c r="G21" s="105" t="s">
        <v>194</v>
      </c>
      <c r="H21" s="105" t="s">
        <v>194</v>
      </c>
      <c r="I21" s="105" t="s">
        <v>194</v>
      </c>
      <c r="J21" s="105" t="s">
        <v>194</v>
      </c>
      <c r="K21" s="105" t="s">
        <v>194</v>
      </c>
      <c r="L21" s="106">
        <f t="shared" si="5"/>
        <v>31941</v>
      </c>
      <c r="M21" s="106"/>
      <c r="N21" s="106"/>
      <c r="O21" s="106">
        <f>4563/2</f>
        <v>2281.5</v>
      </c>
      <c r="P21" s="107">
        <f t="shared" si="3"/>
        <v>1.6580668604651163</v>
      </c>
      <c r="Q21" s="107">
        <f t="shared" si="3"/>
        <v>1.3142281105990783</v>
      </c>
      <c r="R21" s="107"/>
      <c r="S21" s="111">
        <f>T21*S$7</f>
        <v>2232.4500000000003</v>
      </c>
      <c r="T21" s="111">
        <f>(13500+300-1500)/2*0.33*CMF</f>
        <v>2232.4500000000003</v>
      </c>
      <c r="U21" s="107">
        <f>+T21/T$9</f>
        <v>1.0964882121807467</v>
      </c>
      <c r="V21" s="106"/>
      <c r="W21" s="111">
        <f>X21*W$7</f>
        <v>165963.6</v>
      </c>
      <c r="X21" s="111">
        <f>(13500+300-1100)/2*0.33*CMF</f>
        <v>2305.0500000000002</v>
      </c>
      <c r="Y21" s="107">
        <f>+X21/X$9</f>
        <v>2.082249322493225</v>
      </c>
      <c r="Z21" s="106"/>
      <c r="AA21" s="111">
        <f>AB21*AA$7</f>
        <v>152786.70000000001</v>
      </c>
      <c r="AB21" s="111">
        <f>(13500+300)/2*0.33*CMF</f>
        <v>2504.7000000000003</v>
      </c>
      <c r="AC21" s="107">
        <f>+AB21/AB$9</f>
        <v>1.9461538461538463</v>
      </c>
      <c r="AD21" s="106"/>
      <c r="AE21" s="111">
        <f>AF21*AE$7</f>
        <v>0</v>
      </c>
      <c r="AF21" s="111">
        <f>(13500+300)/2*0.33*CMF</f>
        <v>2504.7000000000003</v>
      </c>
      <c r="AG21" s="107">
        <f>+AF21/AF$9</f>
        <v>1.6159354838709679</v>
      </c>
      <c r="AH21" s="107"/>
      <c r="AI21" s="111">
        <f t="shared" si="4"/>
        <v>320982.75000000006</v>
      </c>
      <c r="AJ21" s="97">
        <f>+AI21/AI$7</f>
        <v>2413.4041353383464</v>
      </c>
      <c r="AK21" s="107">
        <f>+AJ21/AJ$9</f>
        <v>2.0028250085795407</v>
      </c>
      <c r="AL21" s="120"/>
      <c r="AM21" s="109" t="s">
        <v>98</v>
      </c>
      <c r="AN21" s="112" t="s">
        <v>87</v>
      </c>
      <c r="AO21" s="104">
        <f t="shared" si="0"/>
        <v>2.0520408776540565E-2</v>
      </c>
      <c r="AP21" s="110">
        <f>AI44+AI45</f>
        <v>249049.5017669173</v>
      </c>
      <c r="AQ21" s="110">
        <f t="shared" si="1"/>
        <v>1872.5526448640398</v>
      </c>
      <c r="AR21" s="107">
        <f t="shared" si="2"/>
        <v>1.5539855973975434</v>
      </c>
    </row>
    <row r="22" spans="1:44" ht="12.75" thickBot="1">
      <c r="A22" s="53" t="s">
        <v>163</v>
      </c>
      <c r="B22" s="53" t="s">
        <v>12</v>
      </c>
      <c r="C22" s="103">
        <v>0.33300000000000002</v>
      </c>
      <c r="D22" s="104">
        <f>L22/$L$90</f>
        <v>4.5001863982531816E-2</v>
      </c>
      <c r="E22" s="105" t="s">
        <v>194</v>
      </c>
      <c r="F22" s="105" t="s">
        <v>194</v>
      </c>
      <c r="G22" s="113"/>
      <c r="H22" s="105" t="s">
        <v>194</v>
      </c>
      <c r="I22" s="105" t="s">
        <v>194</v>
      </c>
      <c r="J22" s="113"/>
      <c r="K22" s="68" t="s">
        <v>194</v>
      </c>
      <c r="L22" s="106">
        <f t="shared" si="5"/>
        <v>31941</v>
      </c>
      <c r="M22" s="106"/>
      <c r="N22" s="106"/>
      <c r="O22" s="106">
        <f>4563/2</f>
        <v>2281.5</v>
      </c>
      <c r="P22" s="107">
        <f t="shared" si="3"/>
        <v>1.6580668604651163</v>
      </c>
      <c r="Q22" s="107">
        <f t="shared" si="3"/>
        <v>1.3142281105990783</v>
      </c>
      <c r="R22" s="107"/>
      <c r="S22" s="111">
        <f>T22*S$7</f>
        <v>2232.4500000000003</v>
      </c>
      <c r="T22" s="111">
        <f>(13500+300-1500)/2*0.33*CMF</f>
        <v>2232.4500000000003</v>
      </c>
      <c r="U22" s="107">
        <f>+T22/T$9</f>
        <v>1.0964882121807467</v>
      </c>
      <c r="V22" s="106"/>
      <c r="W22" s="111">
        <f>X22*W$7</f>
        <v>165963.6</v>
      </c>
      <c r="X22" s="111">
        <f>(13500+300-1100)/2*0.33*CMF</f>
        <v>2305.0500000000002</v>
      </c>
      <c r="Y22" s="107">
        <f>+X22/X$9</f>
        <v>2.082249322493225</v>
      </c>
      <c r="Z22" s="106"/>
      <c r="AA22" s="111">
        <f>AB22*AA$7</f>
        <v>152786.70000000001</v>
      </c>
      <c r="AB22" s="111">
        <f>(13500+300)/2*0.33*CMF</f>
        <v>2504.7000000000003</v>
      </c>
      <c r="AC22" s="107">
        <f>+AB22/AB$9</f>
        <v>1.9461538461538463</v>
      </c>
      <c r="AD22" s="106"/>
      <c r="AE22" s="111">
        <f>AF22*AE$7</f>
        <v>0</v>
      </c>
      <c r="AF22" s="111">
        <f>(13500+300)/2*0.33*CMF</f>
        <v>2504.7000000000003</v>
      </c>
      <c r="AG22" s="107">
        <f>+AF22/AF$9</f>
        <v>1.6159354838709679</v>
      </c>
      <c r="AH22" s="107"/>
      <c r="AI22" s="111">
        <f t="shared" si="4"/>
        <v>320982.75000000006</v>
      </c>
      <c r="AJ22" s="97">
        <f>+AI22/AI$7</f>
        <v>2413.4041353383464</v>
      </c>
      <c r="AK22" s="107">
        <f>+AJ22/AJ$9</f>
        <v>2.0028250085795407</v>
      </c>
      <c r="AL22" s="120"/>
      <c r="AM22" s="109" t="s">
        <v>99</v>
      </c>
      <c r="AN22" s="22" t="s">
        <v>127</v>
      </c>
      <c r="AO22" s="104">
        <f t="shared" si="0"/>
        <v>1.6992950226624268E-2</v>
      </c>
      <c r="AP22" s="110">
        <f>AI51</f>
        <v>206237.88899999997</v>
      </c>
      <c r="AQ22" s="110">
        <f t="shared" si="1"/>
        <v>1550.660819548872</v>
      </c>
      <c r="AR22" s="107">
        <f t="shared" si="2"/>
        <v>1.2868554519077775</v>
      </c>
    </row>
    <row r="23" spans="1:44">
      <c r="B23" s="27" t="s">
        <v>13</v>
      </c>
      <c r="C23" s="103"/>
      <c r="E23" s="105"/>
      <c r="F23" s="105"/>
      <c r="G23" s="105"/>
      <c r="H23" s="105"/>
      <c r="I23" s="105"/>
      <c r="J23" s="105"/>
      <c r="K23" s="105"/>
      <c r="L23" s="106"/>
      <c r="M23" s="106"/>
      <c r="N23" s="106"/>
      <c r="O23" s="106"/>
      <c r="P23" s="107">
        <f>O23/1376</f>
        <v>0</v>
      </c>
      <c r="Q23" s="107"/>
      <c r="R23" s="107"/>
      <c r="S23" s="111"/>
      <c r="T23" s="111"/>
      <c r="U23" s="107"/>
      <c r="V23" s="106"/>
      <c r="W23" s="111"/>
      <c r="X23" s="111"/>
      <c r="Y23" s="107"/>
      <c r="Z23" s="106"/>
      <c r="AA23" s="111"/>
      <c r="AB23" s="111"/>
      <c r="AC23" s="107"/>
      <c r="AD23" s="106"/>
      <c r="AE23" s="111"/>
      <c r="AF23" s="111"/>
      <c r="AG23" s="107"/>
      <c r="AH23" s="107"/>
      <c r="AI23" s="111"/>
      <c r="AJ23" s="97"/>
      <c r="AK23" s="107"/>
      <c r="AL23" s="120"/>
      <c r="AM23" s="109" t="s">
        <v>100</v>
      </c>
      <c r="AN23" s="22" t="s">
        <v>128</v>
      </c>
      <c r="AO23" s="104">
        <f t="shared" si="0"/>
        <v>1.6992950226624268E-2</v>
      </c>
      <c r="AP23" s="110">
        <f>AI52</f>
        <v>206237.88899999997</v>
      </c>
      <c r="AQ23" s="110">
        <f t="shared" si="1"/>
        <v>1550.660819548872</v>
      </c>
      <c r="AR23" s="107">
        <f t="shared" si="2"/>
        <v>1.2868554519077775</v>
      </c>
    </row>
    <row r="24" spans="1:44">
      <c r="A24" s="53" t="s">
        <v>164</v>
      </c>
      <c r="B24" s="53" t="s">
        <v>14</v>
      </c>
      <c r="C24" s="103">
        <v>0.15</v>
      </c>
      <c r="D24" s="104">
        <f>L24/$L$90</f>
        <v>1.434970679258904E-2</v>
      </c>
      <c r="E24" s="105" t="s">
        <v>194</v>
      </c>
      <c r="F24" s="105" t="s">
        <v>194</v>
      </c>
      <c r="G24" s="105" t="s">
        <v>194</v>
      </c>
      <c r="H24" s="105" t="s">
        <v>194</v>
      </c>
      <c r="I24" s="105" t="s">
        <v>194</v>
      </c>
      <c r="J24" s="105" t="s">
        <v>194</v>
      </c>
      <c r="K24" s="105" t="s">
        <v>194</v>
      </c>
      <c r="L24" s="106">
        <f>O24*TRUnits</f>
        <v>10185</v>
      </c>
      <c r="M24" s="106"/>
      <c r="N24" s="106"/>
      <c r="O24" s="106">
        <f>1455/2</f>
        <v>727.5</v>
      </c>
      <c r="P24" s="107">
        <f t="shared" si="3"/>
        <v>0.52870639534883723</v>
      </c>
      <c r="Q24" s="107">
        <f t="shared" si="3"/>
        <v>0.41906682027649772</v>
      </c>
      <c r="R24" s="107"/>
      <c r="S24" s="111">
        <f>T24*S$7</f>
        <v>592.04542151162798</v>
      </c>
      <c r="T24" s="111">
        <f>T$9*$P24*CMF*0.5</f>
        <v>592.04542151162798</v>
      </c>
      <c r="U24" s="107">
        <f>+T24/T$9</f>
        <v>0.29078851744186052</v>
      </c>
      <c r="V24" s="106"/>
      <c r="W24" s="111">
        <f>X24*W$7</f>
        <v>23177.007994186046</v>
      </c>
      <c r="X24" s="111">
        <f>X$9*$P24*CMF*0.5</f>
        <v>321.90288880813955</v>
      </c>
      <c r="Y24" s="107">
        <f>+X24/X$9</f>
        <v>0.29078851744186046</v>
      </c>
      <c r="Z24" s="106"/>
      <c r="AA24" s="111">
        <f>AB24*AA$7</f>
        <v>22828.934138808141</v>
      </c>
      <c r="AB24" s="111">
        <f>AB$9*$P24*CMF*0.5</f>
        <v>374.24482194767444</v>
      </c>
      <c r="AC24" s="107">
        <f>+AB24/AB$9</f>
        <v>0.29078851744186046</v>
      </c>
      <c r="AD24" s="106"/>
      <c r="AE24" s="111">
        <f>AF24*AE$7</f>
        <v>0</v>
      </c>
      <c r="AF24" s="111">
        <f>AF$9*$P24*CMF</f>
        <v>901.44440406976764</v>
      </c>
      <c r="AG24" s="107">
        <f>+AF24/AF$9</f>
        <v>0.58157703488372103</v>
      </c>
      <c r="AH24" s="107"/>
      <c r="AI24" s="111">
        <f t="shared" si="4"/>
        <v>46597.987554505809</v>
      </c>
      <c r="AJ24" s="97">
        <f>+AI24/AI$7</f>
        <v>350.36080868049481</v>
      </c>
      <c r="AK24" s="107">
        <f>+AJ24/AJ$9</f>
        <v>0.29075585782613678</v>
      </c>
      <c r="AL24" s="120"/>
      <c r="AM24" s="109" t="s">
        <v>101</v>
      </c>
      <c r="AN24" s="22" t="s">
        <v>129</v>
      </c>
      <c r="AO24" s="104">
        <f t="shared" si="0"/>
        <v>1.2326852558408045E-2</v>
      </c>
      <c r="AP24" s="114">
        <f>AI53</f>
        <v>149606.98500000004</v>
      </c>
      <c r="AQ24" s="110">
        <f t="shared" si="1"/>
        <v>1124.8645488721809</v>
      </c>
      <c r="AR24" s="107">
        <f t="shared" si="2"/>
        <v>0.9334975509312704</v>
      </c>
    </row>
    <row r="25" spans="1:44">
      <c r="A25" s="53" t="s">
        <v>164</v>
      </c>
      <c r="B25" s="53" t="s">
        <v>15</v>
      </c>
      <c r="C25" s="103">
        <v>0.25</v>
      </c>
      <c r="D25" s="104">
        <f>L25/$L$90</f>
        <v>2.3916177987648401E-2</v>
      </c>
      <c r="E25" s="105" t="s">
        <v>194</v>
      </c>
      <c r="F25" s="105" t="s">
        <v>194</v>
      </c>
      <c r="G25" s="105" t="s">
        <v>194</v>
      </c>
      <c r="H25" s="105" t="s">
        <v>194</v>
      </c>
      <c r="I25" s="105" t="s">
        <v>194</v>
      </c>
      <c r="J25" s="105" t="s">
        <v>194</v>
      </c>
      <c r="K25" s="105" t="s">
        <v>194</v>
      </c>
      <c r="L25" s="106">
        <f>O25*TRUnits</f>
        <v>16975</v>
      </c>
      <c r="M25" s="106"/>
      <c r="N25" s="106"/>
      <c r="O25" s="106">
        <f>2425/2</f>
        <v>1212.5</v>
      </c>
      <c r="P25" s="107">
        <f t="shared" si="3"/>
        <v>0.88117732558139539</v>
      </c>
      <c r="Q25" s="107">
        <f t="shared" si="3"/>
        <v>0.69844470046082952</v>
      </c>
      <c r="R25" s="107"/>
      <c r="S25" s="111">
        <f>T25*S$7</f>
        <v>986.74236918604663</v>
      </c>
      <c r="T25" s="111">
        <f>T$9*$P25*CMF*0.5</f>
        <v>986.74236918604663</v>
      </c>
      <c r="U25" s="107">
        <f>+T25/T$9</f>
        <v>0.48464752906976749</v>
      </c>
      <c r="V25" s="106"/>
      <c r="W25" s="111">
        <f>X25*W$7</f>
        <v>38628.346656976748</v>
      </c>
      <c r="X25" s="111">
        <f>X$9*$P25*CMF*0.5</f>
        <v>536.50481468023258</v>
      </c>
      <c r="Y25" s="107">
        <f>+X25/X$9</f>
        <v>0.48464752906976749</v>
      </c>
      <c r="Z25" s="106"/>
      <c r="AA25" s="111">
        <f>AB25*AA$7</f>
        <v>38048.223564680236</v>
      </c>
      <c r="AB25" s="111">
        <f>AB$9*$P25*CMF*0.5</f>
        <v>623.74136991279079</v>
      </c>
      <c r="AC25" s="107">
        <f>+AB25/AB$9</f>
        <v>0.48464752906976749</v>
      </c>
      <c r="AD25" s="106"/>
      <c r="AE25" s="111">
        <f>AF25*AE$7</f>
        <v>0</v>
      </c>
      <c r="AF25" s="111">
        <f>AF$9*$P25*CMF</f>
        <v>1502.4073401162793</v>
      </c>
      <c r="AG25" s="107">
        <f>+AF25/AF$9</f>
        <v>0.96929505813953509</v>
      </c>
      <c r="AH25" s="107"/>
      <c r="AI25" s="111">
        <f t="shared" si="4"/>
        <v>77663.312590843037</v>
      </c>
      <c r="AJ25" s="97">
        <f>+AI25/AI$7</f>
        <v>583.93468113415815</v>
      </c>
      <c r="AK25" s="107">
        <f>+AJ25/AJ$9</f>
        <v>0.48459309637689474</v>
      </c>
      <c r="AL25" s="120"/>
      <c r="AM25" s="109" t="s">
        <v>102</v>
      </c>
      <c r="AN25" s="22" t="s">
        <v>130</v>
      </c>
      <c r="AO25" s="22" t="s">
        <v>141</v>
      </c>
      <c r="AP25" s="110"/>
      <c r="AQ25" s="110">
        <f t="shared" si="1"/>
        <v>0</v>
      </c>
      <c r="AR25" s="107">
        <f t="shared" si="2"/>
        <v>0</v>
      </c>
    </row>
    <row r="26" spans="1:44">
      <c r="A26" s="53" t="s">
        <v>164</v>
      </c>
      <c r="B26" s="53" t="s">
        <v>16</v>
      </c>
      <c r="C26" s="103">
        <v>0.25</v>
      </c>
      <c r="D26" s="104">
        <f>L26/$L$90</f>
        <v>2.3916177987648401E-2</v>
      </c>
      <c r="E26" s="105" t="s">
        <v>194</v>
      </c>
      <c r="F26" s="105" t="s">
        <v>194</v>
      </c>
      <c r="G26" s="105" t="s">
        <v>194</v>
      </c>
      <c r="H26" s="105" t="s">
        <v>194</v>
      </c>
      <c r="I26" s="105" t="s">
        <v>194</v>
      </c>
      <c r="J26" s="105" t="s">
        <v>194</v>
      </c>
      <c r="K26" s="105" t="s">
        <v>194</v>
      </c>
      <c r="L26" s="106">
        <f>O26*TRUnits</f>
        <v>16975</v>
      </c>
      <c r="M26" s="106"/>
      <c r="N26" s="106"/>
      <c r="O26" s="106">
        <f>2425/2</f>
        <v>1212.5</v>
      </c>
      <c r="P26" s="107">
        <f t="shared" si="3"/>
        <v>0.88117732558139539</v>
      </c>
      <c r="Q26" s="107">
        <f t="shared" si="3"/>
        <v>0.69844470046082952</v>
      </c>
      <c r="R26" s="107"/>
      <c r="S26" s="111">
        <f>T26*S$7</f>
        <v>1973.4847383720933</v>
      </c>
      <c r="T26" s="111">
        <f>T$9*$P26*CMF</f>
        <v>1973.4847383720933</v>
      </c>
      <c r="U26" s="107">
        <f>+T26/T$9</f>
        <v>0.96929505813953498</v>
      </c>
      <c r="V26" s="106"/>
      <c r="W26" s="111">
        <f>X26*W$7</f>
        <v>77256.693313953496</v>
      </c>
      <c r="X26" s="111">
        <f>X$9*$P26*CMF</f>
        <v>1073.0096293604652</v>
      </c>
      <c r="Y26" s="107">
        <f>+X26/X$9</f>
        <v>0.96929505813953498</v>
      </c>
      <c r="Z26" s="106"/>
      <c r="AA26" s="111">
        <f>AB26*AA$7</f>
        <v>76096.447129360473</v>
      </c>
      <c r="AB26" s="111">
        <f>AB$9*$P26*CMF</f>
        <v>1247.4827398255816</v>
      </c>
      <c r="AC26" s="107">
        <f>+AB26/AB$9</f>
        <v>0.96929505813953498</v>
      </c>
      <c r="AD26" s="106"/>
      <c r="AE26" s="111">
        <f>AF26*AE$7</f>
        <v>0</v>
      </c>
      <c r="AF26" s="111">
        <f>AF$9*$P26*CMF</f>
        <v>1502.4073401162793</v>
      </c>
      <c r="AG26" s="107">
        <f>+AF26/AF$9</f>
        <v>0.96929505813953509</v>
      </c>
      <c r="AH26" s="107"/>
      <c r="AI26" s="111">
        <f t="shared" si="4"/>
        <v>155326.62518168607</v>
      </c>
      <c r="AJ26" s="97">
        <f>+AI26/AI$7</f>
        <v>1167.8693622683163</v>
      </c>
      <c r="AK26" s="107">
        <f>+AJ26/AJ$9</f>
        <v>0.96918619275378948</v>
      </c>
      <c r="AL26" s="120"/>
      <c r="AM26" s="109" t="s">
        <v>103</v>
      </c>
      <c r="AN26" s="22" t="s">
        <v>131</v>
      </c>
      <c r="AO26" s="104">
        <f t="shared" ref="AO26:AO48" si="6">AP26/$AP$49</f>
        <v>2.6447341566587613E-2</v>
      </c>
      <c r="AP26" s="110">
        <f>+AI22</f>
        <v>320982.75000000006</v>
      </c>
      <c r="AQ26" s="110">
        <f t="shared" si="1"/>
        <v>2413.4041353383464</v>
      </c>
      <c r="AR26" s="107">
        <f t="shared" si="2"/>
        <v>2.0028250085795407</v>
      </c>
    </row>
    <row r="27" spans="1:44">
      <c r="A27" s="53" t="s">
        <v>165</v>
      </c>
      <c r="B27" s="53" t="s">
        <v>17</v>
      </c>
      <c r="C27" s="103">
        <v>0.35</v>
      </c>
      <c r="D27" s="104">
        <f>L27/$L$90</f>
        <v>3.3472786841269558E-2</v>
      </c>
      <c r="E27" s="105" t="s">
        <v>194</v>
      </c>
      <c r="F27" s="105" t="s">
        <v>194</v>
      </c>
      <c r="G27" s="105" t="s">
        <v>194</v>
      </c>
      <c r="H27" s="105" t="s">
        <v>194</v>
      </c>
      <c r="I27" s="105" t="s">
        <v>194</v>
      </c>
      <c r="J27" s="105" t="s">
        <v>194</v>
      </c>
      <c r="K27" s="105" t="s">
        <v>194</v>
      </c>
      <c r="L27" s="106">
        <f>O27*TRUnits</f>
        <v>23758</v>
      </c>
      <c r="M27" s="106"/>
      <c r="N27" s="106"/>
      <c r="O27" s="106">
        <f>3394/2</f>
        <v>1697</v>
      </c>
      <c r="P27" s="107">
        <f t="shared" ref="P27:Q44" si="7">$O27/P$9</f>
        <v>1.2332848837209303</v>
      </c>
      <c r="Q27" s="107">
        <f t="shared" si="7"/>
        <v>0.97753456221198154</v>
      </c>
      <c r="R27" s="107"/>
      <c r="S27" s="111">
        <f>T27*S$7</f>
        <v>2762.0648255813953</v>
      </c>
      <c r="T27" s="111">
        <f>T$9*$P27*CMF</f>
        <v>2762.0648255813953</v>
      </c>
      <c r="U27" s="107">
        <f>+T27/T$9</f>
        <v>1.3566133720930234</v>
      </c>
      <c r="V27" s="106"/>
      <c r="W27" s="111">
        <f>X27*W$7</f>
        <v>108127.51220930234</v>
      </c>
      <c r="X27" s="111">
        <f>X$9*$P27*CMF</f>
        <v>1501.7710029069769</v>
      </c>
      <c r="Y27" s="107">
        <f>+X27/X$9</f>
        <v>1.3566133720930234</v>
      </c>
      <c r="Z27" s="106"/>
      <c r="AA27" s="111">
        <f>AB27*AA$7</f>
        <v>106503.646002907</v>
      </c>
      <c r="AB27" s="111">
        <f>AB$9*$P27*CMF</f>
        <v>1745.9614098837212</v>
      </c>
      <c r="AC27" s="107">
        <f>+AB27/AB$9</f>
        <v>1.3566133720930236</v>
      </c>
      <c r="AD27" s="106"/>
      <c r="AE27" s="111">
        <f>AF27*AE$7</f>
        <v>0</v>
      </c>
      <c r="AF27" s="111">
        <f>AF$9*$P27*CMF</f>
        <v>2102.7507267441861</v>
      </c>
      <c r="AG27" s="107">
        <f>+AF27/AF$9</f>
        <v>1.3566133720930234</v>
      </c>
      <c r="AH27" s="107"/>
      <c r="AI27" s="111">
        <f t="shared" si="4"/>
        <v>217393.22303779074</v>
      </c>
      <c r="AJ27" s="97">
        <f>+AI27/AI$7</f>
        <v>1634.5355115623363</v>
      </c>
      <c r="AK27" s="107">
        <f>+AJ27/AJ$9</f>
        <v>1.3564610054459223</v>
      </c>
      <c r="AL27" s="120"/>
      <c r="AM27" s="109" t="s">
        <v>104</v>
      </c>
      <c r="AN27" s="22" t="s">
        <v>140</v>
      </c>
      <c r="AO27" s="104">
        <f t="shared" si="6"/>
        <v>0</v>
      </c>
      <c r="AP27" s="22">
        <f>+AI38+AI39</f>
        <v>0</v>
      </c>
      <c r="AQ27" s="110">
        <f t="shared" si="1"/>
        <v>0</v>
      </c>
      <c r="AR27" s="107">
        <f t="shared" si="2"/>
        <v>0</v>
      </c>
    </row>
    <row r="28" spans="1:44">
      <c r="B28" s="27" t="s">
        <v>18</v>
      </c>
      <c r="C28" s="103"/>
      <c r="E28" s="115"/>
      <c r="F28" s="115"/>
      <c r="G28" s="115"/>
      <c r="H28" s="115"/>
      <c r="I28" s="115"/>
      <c r="J28" s="115"/>
      <c r="K28" s="115"/>
      <c r="L28" s="106"/>
      <c r="M28" s="106"/>
      <c r="N28" s="106"/>
      <c r="O28" s="106"/>
      <c r="P28" s="107"/>
      <c r="Q28" s="107"/>
      <c r="R28" s="107"/>
      <c r="S28" s="111"/>
      <c r="T28" s="116"/>
      <c r="U28" s="107"/>
      <c r="V28" s="106"/>
      <c r="W28" s="111"/>
      <c r="X28" s="111"/>
      <c r="Y28" s="107"/>
      <c r="Z28" s="106"/>
      <c r="AA28" s="111"/>
      <c r="AB28" s="111"/>
      <c r="AC28" s="107"/>
      <c r="AD28" s="106"/>
      <c r="AE28" s="111"/>
      <c r="AF28" s="111"/>
      <c r="AG28" s="107"/>
      <c r="AH28" s="107"/>
      <c r="AI28" s="111"/>
      <c r="AJ28" s="97"/>
      <c r="AK28" s="107"/>
      <c r="AL28" s="120"/>
      <c r="AM28" s="109" t="s">
        <v>105</v>
      </c>
      <c r="AN28" s="22" t="s">
        <v>132</v>
      </c>
      <c r="AO28" s="104">
        <f t="shared" si="6"/>
        <v>0</v>
      </c>
      <c r="AP28" s="110">
        <v>0</v>
      </c>
      <c r="AQ28" s="110">
        <f t="shared" si="1"/>
        <v>0</v>
      </c>
      <c r="AR28" s="107">
        <f t="shared" si="2"/>
        <v>0</v>
      </c>
    </row>
    <row r="29" spans="1:44">
      <c r="A29" s="53" t="s">
        <v>164</v>
      </c>
      <c r="B29" s="53" t="s">
        <v>67</v>
      </c>
      <c r="C29" s="103"/>
      <c r="D29" s="104">
        <f t="shared" ref="D29:D36" si="8">L29/$L$90</f>
        <v>6.4292603835661821E-2</v>
      </c>
      <c r="E29" s="105" t="s">
        <v>194</v>
      </c>
      <c r="F29" s="105" t="s">
        <v>194</v>
      </c>
      <c r="G29" s="105" t="s">
        <v>194</v>
      </c>
      <c r="H29" s="105" t="s">
        <v>194</v>
      </c>
      <c r="I29" s="105" t="s">
        <v>194</v>
      </c>
      <c r="J29" s="105" t="s">
        <v>194</v>
      </c>
      <c r="K29" s="105" t="s">
        <v>194</v>
      </c>
      <c r="L29" s="106">
        <f t="shared" ref="L29:L36" si="9">O29*TRUnits</f>
        <v>45633</v>
      </c>
      <c r="M29" s="106"/>
      <c r="N29" s="106"/>
      <c r="O29" s="120">
        <f>(2975+(24808/7))/2</f>
        <v>3259.5</v>
      </c>
      <c r="P29" s="107">
        <f t="shared" si="7"/>
        <v>2.3688226744186047</v>
      </c>
      <c r="Q29" s="107">
        <f t="shared" si="7"/>
        <v>1.8775921658986174</v>
      </c>
      <c r="R29" s="107"/>
      <c r="S29" s="111">
        <f t="shared" ref="S29:S36" si="10">T29*S$7</f>
        <v>5305.2152616279081</v>
      </c>
      <c r="T29" s="111">
        <f t="shared" ref="T29:T34" si="11">T$9*$P29*CMF</f>
        <v>5305.2152616279081</v>
      </c>
      <c r="U29" s="107">
        <f t="shared" ref="U29:U36" si="12">+T29/T$9</f>
        <v>2.6057049418604659</v>
      </c>
      <c r="V29" s="106"/>
      <c r="W29" s="111">
        <f t="shared" ref="W29:W36" si="13">X29*W$7</f>
        <v>207685.10668604655</v>
      </c>
      <c r="X29" s="111">
        <f t="shared" ref="X29:X34" si="14">X$9*$P29*CMF</f>
        <v>2884.5153706395354</v>
      </c>
      <c r="Y29" s="107">
        <f t="shared" ref="Y29:Y36" si="15">+X29/X$9</f>
        <v>2.6057049418604654</v>
      </c>
      <c r="Z29" s="106"/>
      <c r="AA29" s="111">
        <f t="shared" ref="AA29:AA36" si="16">AB29*AA$7</f>
        <v>204566.07787063956</v>
      </c>
      <c r="AB29" s="111">
        <f t="shared" ref="AB29:AB34" si="17">AB$9*$P29*CMF</f>
        <v>3353.542260174419</v>
      </c>
      <c r="AC29" s="107">
        <f t="shared" ref="AC29:AC36" si="18">+AB29/AB$9</f>
        <v>2.6057049418604654</v>
      </c>
      <c r="AD29" s="106"/>
      <c r="AE29" s="111">
        <f t="shared" ref="AE29:AE36" si="19">AF29*AE$7</f>
        <v>0</v>
      </c>
      <c r="AF29" s="111">
        <f t="shared" ref="AF29:AF34" si="20">AF$9*$P29*CMF</f>
        <v>4038.8426598837214</v>
      </c>
      <c r="AG29" s="107">
        <f t="shared" ref="AG29:AG36" si="21">+AF29/AF$9</f>
        <v>2.6057049418604654</v>
      </c>
      <c r="AH29" s="107"/>
      <c r="AI29" s="111">
        <f t="shared" si="4"/>
        <v>417556.39981831401</v>
      </c>
      <c r="AJ29" s="97">
        <f t="shared" ref="AJ29:AJ36" si="22">+AI29/AI$7</f>
        <v>3139.5218031452182</v>
      </c>
      <c r="AK29" s="107">
        <f t="shared" ref="AK29:AK36" si="23">+AJ29/AJ$9</f>
        <v>2.6054122847678158</v>
      </c>
      <c r="AL29" s="120"/>
      <c r="AM29" s="109" t="s">
        <v>106</v>
      </c>
      <c r="AN29" s="22" t="s">
        <v>133</v>
      </c>
      <c r="AO29" s="104">
        <f t="shared" si="6"/>
        <v>6.4080396154459873E-2</v>
      </c>
      <c r="AP29" s="110">
        <f>+AI55+AI56</f>
        <v>777722.84700000007</v>
      </c>
      <c r="AQ29" s="110">
        <f t="shared" si="1"/>
        <v>5847.5402030075193</v>
      </c>
      <c r="AR29" s="107">
        <f t="shared" si="2"/>
        <v>4.8527304589274021</v>
      </c>
    </row>
    <row r="30" spans="1:44">
      <c r="A30" s="53" t="s">
        <v>164</v>
      </c>
      <c r="B30" s="53" t="s">
        <v>200</v>
      </c>
      <c r="C30" s="103"/>
      <c r="D30" s="104">
        <f t="shared" si="8"/>
        <v>5.7673563824706175E-2</v>
      </c>
      <c r="E30" s="105" t="s">
        <v>194</v>
      </c>
      <c r="F30" s="105" t="s">
        <v>194</v>
      </c>
      <c r="G30" s="105" t="s">
        <v>194</v>
      </c>
      <c r="H30" s="105" t="s">
        <v>194</v>
      </c>
      <c r="I30" s="105" t="s">
        <v>194</v>
      </c>
      <c r="J30" s="105" t="s">
        <v>194</v>
      </c>
      <c r="K30" s="105" t="s">
        <v>194</v>
      </c>
      <c r="L30" s="106">
        <f t="shared" si="9"/>
        <v>40935</v>
      </c>
      <c r="M30" s="106"/>
      <c r="N30" s="106"/>
      <c r="O30" s="120">
        <f>(2465+(23680/7))/2</f>
        <v>2923.9285714285716</v>
      </c>
      <c r="P30" s="107">
        <f t="shared" si="7"/>
        <v>2.1249480897009967</v>
      </c>
      <c r="Q30" s="107">
        <f t="shared" si="7"/>
        <v>1.6842906517445688</v>
      </c>
      <c r="R30" s="107"/>
      <c r="S30" s="111">
        <f t="shared" si="10"/>
        <v>4759.0337416943521</v>
      </c>
      <c r="T30" s="111">
        <f t="shared" si="11"/>
        <v>4759.0337416943521</v>
      </c>
      <c r="U30" s="107">
        <f t="shared" si="12"/>
        <v>2.3374428986710964</v>
      </c>
      <c r="V30" s="106"/>
      <c r="W30" s="111">
        <f t="shared" si="13"/>
        <v>186303.5487956811</v>
      </c>
      <c r="X30" s="111">
        <f t="shared" si="14"/>
        <v>2587.5492888289041</v>
      </c>
      <c r="Y30" s="107">
        <f t="shared" si="15"/>
        <v>2.3374428986710969</v>
      </c>
      <c r="Z30" s="106"/>
      <c r="AA30" s="111">
        <f t="shared" si="16"/>
        <v>183505.62964597179</v>
      </c>
      <c r="AB30" s="111">
        <f t="shared" si="17"/>
        <v>3008.2890105897013</v>
      </c>
      <c r="AC30" s="107">
        <f t="shared" si="18"/>
        <v>2.3374428986710964</v>
      </c>
      <c r="AD30" s="106"/>
      <c r="AE30" s="111">
        <f t="shared" si="19"/>
        <v>0</v>
      </c>
      <c r="AF30" s="111">
        <f t="shared" si="20"/>
        <v>3623.0364929401994</v>
      </c>
      <c r="AG30" s="107">
        <f t="shared" si="21"/>
        <v>2.3374428986710964</v>
      </c>
      <c r="AH30" s="107"/>
      <c r="AI30" s="111">
        <f t="shared" si="4"/>
        <v>374568.21218334726</v>
      </c>
      <c r="AJ30" s="97">
        <f t="shared" si="22"/>
        <v>2816.3023472432124</v>
      </c>
      <c r="AK30" s="107">
        <f t="shared" si="23"/>
        <v>2.3371803711561929</v>
      </c>
      <c r="AL30" s="120"/>
      <c r="AM30" s="109" t="s">
        <v>107</v>
      </c>
      <c r="AN30" s="22" t="s">
        <v>145</v>
      </c>
      <c r="AO30" s="104">
        <f t="shared" si="6"/>
        <v>2.7953068650444324E-2</v>
      </c>
      <c r="AP30" s="110">
        <f>+AI57+SUM(AI60:AI62)+AI74</f>
        <v>339257.26802325586</v>
      </c>
      <c r="AQ30" s="110">
        <f t="shared" si="1"/>
        <v>2550.8065264906454</v>
      </c>
      <c r="AR30" s="107">
        <f t="shared" si="2"/>
        <v>2.1168518892038555</v>
      </c>
    </row>
    <row r="31" spans="1:44">
      <c r="A31" s="53" t="s">
        <v>164</v>
      </c>
      <c r="B31" s="53" t="s">
        <v>19</v>
      </c>
      <c r="C31" s="103"/>
      <c r="D31" s="104">
        <f t="shared" si="8"/>
        <v>0.13068588639766143</v>
      </c>
      <c r="E31" s="105" t="s">
        <v>194</v>
      </c>
      <c r="F31" s="105" t="s">
        <v>194</v>
      </c>
      <c r="G31" s="105" t="s">
        <v>194</v>
      </c>
      <c r="H31" s="105" t="s">
        <v>194</v>
      </c>
      <c r="I31" s="105" t="s">
        <v>194</v>
      </c>
      <c r="J31" s="105" t="s">
        <v>194</v>
      </c>
      <c r="K31" s="105" t="s">
        <v>194</v>
      </c>
      <c r="L31" s="106">
        <f t="shared" si="9"/>
        <v>92757</v>
      </c>
      <c r="M31" s="106"/>
      <c r="N31" s="106"/>
      <c r="O31" s="120">
        <f>13251/2</f>
        <v>6625.5</v>
      </c>
      <c r="P31" s="107">
        <f t="shared" si="7"/>
        <v>4.8150436046511631</v>
      </c>
      <c r="Q31" s="107">
        <f t="shared" si="7"/>
        <v>3.816532258064516</v>
      </c>
      <c r="R31" s="107"/>
      <c r="S31" s="111">
        <f t="shared" si="10"/>
        <v>5391.8858284883727</v>
      </c>
      <c r="T31" s="111">
        <f>T$9*$P$31*CMF*0.5</f>
        <v>5391.8858284883727</v>
      </c>
      <c r="U31" s="107">
        <f t="shared" si="12"/>
        <v>2.6482739825581398</v>
      </c>
      <c r="V31" s="106"/>
      <c r="W31" s="111">
        <f t="shared" si="13"/>
        <v>211078.02950581399</v>
      </c>
      <c r="X31" s="111">
        <f>X$9*$P$31*CMF*0.5</f>
        <v>2931.6392986918609</v>
      </c>
      <c r="Y31" s="107">
        <f t="shared" si="15"/>
        <v>2.6482739825581398</v>
      </c>
      <c r="Z31" s="106"/>
      <c r="AA31" s="111">
        <f t="shared" si="16"/>
        <v>207908.04554869188</v>
      </c>
      <c r="AB31" s="111">
        <f>AB$9*$P$31*CMF*0.5</f>
        <v>3408.328615552326</v>
      </c>
      <c r="AC31" s="107">
        <f t="shared" si="18"/>
        <v>2.6482739825581398</v>
      </c>
      <c r="AD31" s="106"/>
      <c r="AE31" s="111">
        <f t="shared" si="19"/>
        <v>0</v>
      </c>
      <c r="AF31" s="111">
        <f t="shared" si="20"/>
        <v>8209.6493459302328</v>
      </c>
      <c r="AG31" s="107">
        <f t="shared" si="21"/>
        <v>5.2965479651162797</v>
      </c>
      <c r="AH31" s="107"/>
      <c r="AI31" s="111">
        <f t="shared" si="4"/>
        <v>424377.96088299423</v>
      </c>
      <c r="AJ31" s="97">
        <f t="shared" si="22"/>
        <v>3190.8117359623625</v>
      </c>
      <c r="AK31" s="107">
        <f t="shared" si="23"/>
        <v>2.6479765443671059</v>
      </c>
      <c r="AL31" s="120"/>
      <c r="AM31" s="109" t="s">
        <v>108</v>
      </c>
      <c r="AN31" s="22" t="s">
        <v>134</v>
      </c>
      <c r="AO31" s="104">
        <f t="shared" si="6"/>
        <v>2.0646514025303611E-2</v>
      </c>
      <c r="AP31" s="110">
        <f>AI68+AI69</f>
        <v>250580</v>
      </c>
      <c r="AQ31" s="110">
        <f t="shared" si="1"/>
        <v>1884.0601503759399</v>
      </c>
      <c r="AR31" s="107">
        <f t="shared" si="2"/>
        <v>1.5635353945028547</v>
      </c>
    </row>
    <row r="32" spans="1:44">
      <c r="A32" s="53" t="s">
        <v>164</v>
      </c>
      <c r="B32" s="53" t="s">
        <v>20</v>
      </c>
      <c r="C32" s="103"/>
      <c r="D32" s="104">
        <f t="shared" si="8"/>
        <v>0</v>
      </c>
      <c r="E32" s="105" t="s">
        <v>194</v>
      </c>
      <c r="F32" s="105" t="s">
        <v>194</v>
      </c>
      <c r="G32" s="105" t="s">
        <v>194</v>
      </c>
      <c r="H32" s="105" t="s">
        <v>194</v>
      </c>
      <c r="I32" s="105" t="s">
        <v>194</v>
      </c>
      <c r="J32" s="105" t="s">
        <v>194</v>
      </c>
      <c r="K32" s="105" t="s">
        <v>194</v>
      </c>
      <c r="L32" s="106">
        <f t="shared" si="9"/>
        <v>0</v>
      </c>
      <c r="M32" s="106"/>
      <c r="N32" s="106"/>
      <c r="O32" s="120"/>
      <c r="P32" s="107"/>
      <c r="Q32" s="107">
        <f t="shared" si="7"/>
        <v>0</v>
      </c>
      <c r="R32" s="107"/>
      <c r="S32" s="111">
        <f t="shared" si="10"/>
        <v>5391.8858284883727</v>
      </c>
      <c r="T32" s="111">
        <f>T$9*$P$31*CMF*0.5</f>
        <v>5391.8858284883727</v>
      </c>
      <c r="U32" s="107">
        <f t="shared" si="12"/>
        <v>2.6482739825581398</v>
      </c>
      <c r="V32" s="106"/>
      <c r="W32" s="111">
        <f t="shared" si="13"/>
        <v>211078.02950581399</v>
      </c>
      <c r="X32" s="111">
        <f>X$9*$P$31*CMF*0.5</f>
        <v>2931.6392986918609</v>
      </c>
      <c r="Y32" s="107">
        <f t="shared" si="15"/>
        <v>2.6482739825581398</v>
      </c>
      <c r="Z32" s="106"/>
      <c r="AA32" s="111">
        <f t="shared" si="16"/>
        <v>207908.04554869188</v>
      </c>
      <c r="AB32" s="111">
        <f>AB$9*$P$31*CMF*0.5</f>
        <v>3408.328615552326</v>
      </c>
      <c r="AC32" s="107">
        <f t="shared" si="18"/>
        <v>2.6482739825581398</v>
      </c>
      <c r="AD32" s="106"/>
      <c r="AE32" s="111">
        <f t="shared" si="19"/>
        <v>0</v>
      </c>
      <c r="AF32" s="111">
        <f t="shared" si="20"/>
        <v>0</v>
      </c>
      <c r="AG32" s="107">
        <f t="shared" si="21"/>
        <v>0</v>
      </c>
      <c r="AH32" s="107"/>
      <c r="AI32" s="111">
        <f t="shared" si="4"/>
        <v>424377.96088299423</v>
      </c>
      <c r="AJ32" s="97">
        <f t="shared" si="22"/>
        <v>3190.8117359623625</v>
      </c>
      <c r="AK32" s="107">
        <f t="shared" si="23"/>
        <v>2.6479765443671059</v>
      </c>
      <c r="AL32" s="120"/>
      <c r="AM32" s="109" t="s">
        <v>109</v>
      </c>
      <c r="AN32" s="22" t="s">
        <v>135</v>
      </c>
      <c r="AO32" s="104">
        <f t="shared" si="6"/>
        <v>0</v>
      </c>
      <c r="AP32" s="110">
        <v>0</v>
      </c>
      <c r="AQ32" s="110">
        <f t="shared" si="1"/>
        <v>0</v>
      </c>
      <c r="AR32" s="107">
        <f t="shared" si="2"/>
        <v>0</v>
      </c>
    </row>
    <row r="33" spans="1:44">
      <c r="A33" s="53" t="s">
        <v>164</v>
      </c>
      <c r="B33" s="53" t="s">
        <v>21</v>
      </c>
      <c r="C33" s="103"/>
      <c r="D33" s="104">
        <f t="shared" si="8"/>
        <v>0</v>
      </c>
      <c r="E33" s="105" t="s">
        <v>194</v>
      </c>
      <c r="F33" s="105" t="s">
        <v>194</v>
      </c>
      <c r="G33" s="105" t="s">
        <v>194</v>
      </c>
      <c r="H33" s="105" t="s">
        <v>194</v>
      </c>
      <c r="I33" s="105" t="s">
        <v>194</v>
      </c>
      <c r="J33" s="105" t="s">
        <v>194</v>
      </c>
      <c r="K33" s="105" t="s">
        <v>194</v>
      </c>
      <c r="L33" s="106">
        <f t="shared" si="9"/>
        <v>0</v>
      </c>
      <c r="M33" s="106"/>
      <c r="N33" s="106"/>
      <c r="O33" s="189"/>
      <c r="P33" s="107"/>
      <c r="Q33" s="107">
        <f t="shared" si="7"/>
        <v>0</v>
      </c>
      <c r="R33" s="107"/>
      <c r="S33" s="111">
        <f t="shared" si="10"/>
        <v>0</v>
      </c>
      <c r="T33" s="111">
        <f t="shared" si="11"/>
        <v>0</v>
      </c>
      <c r="U33" s="107">
        <f t="shared" si="12"/>
        <v>0</v>
      </c>
      <c r="V33" s="106"/>
      <c r="W33" s="111">
        <f t="shared" si="13"/>
        <v>0</v>
      </c>
      <c r="X33" s="111">
        <f t="shared" si="14"/>
        <v>0</v>
      </c>
      <c r="Y33" s="107">
        <f t="shared" si="15"/>
        <v>0</v>
      </c>
      <c r="Z33" s="106"/>
      <c r="AA33" s="111">
        <f t="shared" si="16"/>
        <v>0</v>
      </c>
      <c r="AB33" s="111">
        <f t="shared" si="17"/>
        <v>0</v>
      </c>
      <c r="AC33" s="107">
        <f t="shared" si="18"/>
        <v>0</v>
      </c>
      <c r="AD33" s="106"/>
      <c r="AE33" s="111">
        <f t="shared" si="19"/>
        <v>0</v>
      </c>
      <c r="AF33" s="111">
        <f t="shared" si="20"/>
        <v>0</v>
      </c>
      <c r="AG33" s="107">
        <f t="shared" si="21"/>
        <v>0</v>
      </c>
      <c r="AH33" s="107"/>
      <c r="AI33" s="111">
        <f t="shared" si="4"/>
        <v>0</v>
      </c>
      <c r="AJ33" s="97">
        <f t="shared" si="22"/>
        <v>0</v>
      </c>
      <c r="AK33" s="107">
        <f t="shared" si="23"/>
        <v>0</v>
      </c>
      <c r="AL33" s="120"/>
      <c r="AM33" s="109" t="s">
        <v>110</v>
      </c>
      <c r="AN33" s="22" t="s">
        <v>136</v>
      </c>
      <c r="AO33" s="104">
        <f t="shared" si="6"/>
        <v>2.4216160887494089E-2</v>
      </c>
      <c r="AP33" s="110">
        <f>AI65+AI66</f>
        <v>293903.63853924425</v>
      </c>
      <c r="AQ33" s="110">
        <f t="shared" si="1"/>
        <v>2209.8017935281523</v>
      </c>
      <c r="AR33" s="107">
        <f t="shared" si="2"/>
        <v>1.8338604095669313</v>
      </c>
    </row>
    <row r="34" spans="1:44">
      <c r="A34" s="53" t="s">
        <v>165</v>
      </c>
      <c r="B34" s="53" t="s">
        <v>22</v>
      </c>
      <c r="C34" s="103"/>
      <c r="D34" s="104">
        <f t="shared" si="8"/>
        <v>0</v>
      </c>
      <c r="E34" s="105" t="s">
        <v>194</v>
      </c>
      <c r="F34" s="105" t="s">
        <v>194</v>
      </c>
      <c r="G34" s="105" t="s">
        <v>194</v>
      </c>
      <c r="H34" s="105" t="s">
        <v>194</v>
      </c>
      <c r="I34" s="105" t="s">
        <v>194</v>
      </c>
      <c r="J34" s="105" t="s">
        <v>194</v>
      </c>
      <c r="K34" s="105" t="s">
        <v>194</v>
      </c>
      <c r="L34" s="106">
        <f t="shared" si="9"/>
        <v>0</v>
      </c>
      <c r="M34" s="106"/>
      <c r="N34" s="106"/>
      <c r="O34" s="53"/>
      <c r="P34" s="107">
        <f t="shared" si="7"/>
        <v>0</v>
      </c>
      <c r="Q34" s="107">
        <f t="shared" si="7"/>
        <v>0</v>
      </c>
      <c r="R34" s="107"/>
      <c r="S34" s="111">
        <f t="shared" si="10"/>
        <v>0</v>
      </c>
      <c r="T34" s="111">
        <f t="shared" si="11"/>
        <v>0</v>
      </c>
      <c r="U34" s="107">
        <f t="shared" si="12"/>
        <v>0</v>
      </c>
      <c r="W34" s="111">
        <f t="shared" si="13"/>
        <v>0</v>
      </c>
      <c r="X34" s="111">
        <f t="shared" si="14"/>
        <v>0</v>
      </c>
      <c r="Y34" s="107">
        <f t="shared" si="15"/>
        <v>0</v>
      </c>
      <c r="Z34" s="106"/>
      <c r="AA34" s="111">
        <f t="shared" si="16"/>
        <v>0</v>
      </c>
      <c r="AB34" s="111">
        <f t="shared" si="17"/>
        <v>0</v>
      </c>
      <c r="AC34" s="107">
        <f t="shared" si="18"/>
        <v>0</v>
      </c>
      <c r="AD34" s="106"/>
      <c r="AE34" s="111">
        <f t="shared" si="19"/>
        <v>0</v>
      </c>
      <c r="AF34" s="111">
        <f t="shared" si="20"/>
        <v>0</v>
      </c>
      <c r="AG34" s="107">
        <f t="shared" si="21"/>
        <v>0</v>
      </c>
      <c r="AH34" s="107"/>
      <c r="AI34" s="111">
        <f t="shared" si="4"/>
        <v>0</v>
      </c>
      <c r="AJ34" s="97">
        <f t="shared" si="22"/>
        <v>0</v>
      </c>
      <c r="AK34" s="107">
        <f t="shared" si="23"/>
        <v>0</v>
      </c>
      <c r="AL34" s="120"/>
      <c r="AM34" s="109" t="s">
        <v>111</v>
      </c>
      <c r="AN34" s="22" t="s">
        <v>137</v>
      </c>
      <c r="AO34" s="104">
        <f t="shared" si="6"/>
        <v>0</v>
      </c>
      <c r="AP34" s="110">
        <v>0</v>
      </c>
      <c r="AQ34" s="110">
        <f t="shared" si="1"/>
        <v>0</v>
      </c>
      <c r="AR34" s="107">
        <f t="shared" si="2"/>
        <v>0</v>
      </c>
    </row>
    <row r="35" spans="1:44">
      <c r="A35" s="53" t="s">
        <v>166</v>
      </c>
      <c r="B35" s="53" t="s">
        <v>23</v>
      </c>
      <c r="C35" s="103"/>
      <c r="D35" s="104">
        <f t="shared" si="8"/>
        <v>8.8169332457557394E-3</v>
      </c>
      <c r="E35" s="105" t="s">
        <v>194</v>
      </c>
      <c r="F35" s="105" t="s">
        <v>194</v>
      </c>
      <c r="G35" s="105" t="s">
        <v>194</v>
      </c>
      <c r="H35" s="105" t="s">
        <v>194</v>
      </c>
      <c r="I35" s="105" t="s">
        <v>194</v>
      </c>
      <c r="J35" s="105" t="s">
        <v>194</v>
      </c>
      <c r="K35" s="105" t="s">
        <v>194</v>
      </c>
      <c r="L35" s="106">
        <f t="shared" si="9"/>
        <v>6258</v>
      </c>
      <c r="M35" s="106"/>
      <c r="N35" s="106"/>
      <c r="O35" s="120">
        <f>894/2</f>
        <v>447</v>
      </c>
      <c r="P35" s="107">
        <f t="shared" si="7"/>
        <v>0.32485465116279072</v>
      </c>
      <c r="Q35" s="107">
        <f t="shared" si="7"/>
        <v>0.25748847926267282</v>
      </c>
      <c r="R35" s="107"/>
      <c r="S35" s="111">
        <f t="shared" si="10"/>
        <v>341</v>
      </c>
      <c r="T35" s="111">
        <f>(120+80+70+40)*CMF</f>
        <v>341</v>
      </c>
      <c r="U35" s="107">
        <f t="shared" si="12"/>
        <v>0.16748526522593321</v>
      </c>
      <c r="V35" s="106"/>
      <c r="W35" s="111">
        <f t="shared" si="13"/>
        <v>42768</v>
      </c>
      <c r="X35" s="111">
        <f>(120+3*70+2*65+2*40)*CMF</f>
        <v>594</v>
      </c>
      <c r="Y35" s="107">
        <f t="shared" si="15"/>
        <v>0.53658536585365857</v>
      </c>
      <c r="Z35" s="106"/>
      <c r="AA35" s="111">
        <f t="shared" si="16"/>
        <v>44957.000000000007</v>
      </c>
      <c r="AB35" s="111">
        <f>(120+4*80+70+4*40)*CMF</f>
        <v>737.00000000000011</v>
      </c>
      <c r="AC35" s="107">
        <f t="shared" si="18"/>
        <v>0.57264957264957272</v>
      </c>
      <c r="AD35" s="106"/>
      <c r="AE35" s="111">
        <f t="shared" si="19"/>
        <v>0</v>
      </c>
      <c r="AF35" s="111">
        <f>(120+4*80+70+4*40)*CMF</f>
        <v>737.00000000000011</v>
      </c>
      <c r="AG35" s="107">
        <f t="shared" si="21"/>
        <v>0.47548387096774203</v>
      </c>
      <c r="AH35" s="107"/>
      <c r="AI35" s="111">
        <f t="shared" si="4"/>
        <v>88066</v>
      </c>
      <c r="AJ35" s="97">
        <f t="shared" si="22"/>
        <v>662.1503759398496</v>
      </c>
      <c r="AK35" s="107">
        <f t="shared" si="23"/>
        <v>0.54950238667207441</v>
      </c>
      <c r="AL35" s="120"/>
      <c r="AM35" s="109" t="s">
        <v>112</v>
      </c>
      <c r="AN35" s="22" t="s">
        <v>49</v>
      </c>
      <c r="AO35" s="104">
        <f t="shared" si="6"/>
        <v>1.0930507425160737E-2</v>
      </c>
      <c r="AP35" s="110">
        <f>+AI72</f>
        <v>132660.00000000003</v>
      </c>
      <c r="AQ35" s="110">
        <f t="shared" si="1"/>
        <v>997.44360902255664</v>
      </c>
      <c r="AR35" s="107">
        <f t="shared" si="2"/>
        <v>0.82775403238386436</v>
      </c>
    </row>
    <row r="36" spans="1:44">
      <c r="A36" s="53" t="s">
        <v>164</v>
      </c>
      <c r="B36" s="53" t="s">
        <v>24</v>
      </c>
      <c r="C36" s="103"/>
      <c r="D36" s="104">
        <f t="shared" si="8"/>
        <v>5.9174048629233155E-3</v>
      </c>
      <c r="E36" s="105" t="s">
        <v>194</v>
      </c>
      <c r="F36" s="105" t="s">
        <v>194</v>
      </c>
      <c r="G36" s="105" t="s">
        <v>194</v>
      </c>
      <c r="H36" s="105" t="s">
        <v>194</v>
      </c>
      <c r="I36" s="105" t="s">
        <v>194</v>
      </c>
      <c r="J36" s="105" t="s">
        <v>194</v>
      </c>
      <c r="K36" s="105" t="s">
        <v>194</v>
      </c>
      <c r="L36" s="106">
        <f t="shared" si="9"/>
        <v>4200</v>
      </c>
      <c r="M36" s="106"/>
      <c r="N36" s="106"/>
      <c r="O36" s="120">
        <f>600/2</f>
        <v>300</v>
      </c>
      <c r="P36" s="107">
        <f t="shared" si="7"/>
        <v>0.21802325581395349</v>
      </c>
      <c r="Q36" s="107">
        <f t="shared" si="7"/>
        <v>0.1728110599078341</v>
      </c>
      <c r="R36" s="107"/>
      <c r="S36" s="111">
        <f t="shared" si="10"/>
        <v>569.80000000000007</v>
      </c>
      <c r="T36" s="117">
        <f>((75+46+13)*2+180+70)*CMF</f>
        <v>569.80000000000007</v>
      </c>
      <c r="U36" s="107">
        <f t="shared" si="12"/>
        <v>0.27986247544204323</v>
      </c>
      <c r="V36" s="106"/>
      <c r="W36" s="111">
        <f t="shared" si="13"/>
        <v>41025.600000000006</v>
      </c>
      <c r="X36" s="117">
        <f>((75+46+13)*2+180+70)*CMF</f>
        <v>569.80000000000007</v>
      </c>
      <c r="Y36" s="107">
        <f t="shared" si="15"/>
        <v>0.51472448057813913</v>
      </c>
      <c r="Z36" s="106"/>
      <c r="AA36" s="111">
        <f t="shared" si="16"/>
        <v>34757.800000000003</v>
      </c>
      <c r="AB36" s="117">
        <f>((75+46+13)*2+180+70)*CMF</f>
        <v>569.80000000000007</v>
      </c>
      <c r="AC36" s="107">
        <f t="shared" si="18"/>
        <v>0.44273504273504277</v>
      </c>
      <c r="AD36" s="106"/>
      <c r="AE36" s="111">
        <f t="shared" si="19"/>
        <v>0</v>
      </c>
      <c r="AF36" s="117">
        <f>((75+46+13)*2+180+70)*CMF</f>
        <v>569.80000000000007</v>
      </c>
      <c r="AG36" s="107">
        <f t="shared" si="21"/>
        <v>0.36761290322580648</v>
      </c>
      <c r="AH36" s="107"/>
      <c r="AI36" s="111">
        <f t="shared" si="4"/>
        <v>76353.200000000012</v>
      </c>
      <c r="AJ36" s="97">
        <f t="shared" si="22"/>
        <v>574.08421052631593</v>
      </c>
      <c r="AK36" s="107">
        <f t="shared" si="23"/>
        <v>0.47641843197204642</v>
      </c>
      <c r="AL36" s="120"/>
      <c r="AM36" s="109" t="s">
        <v>113</v>
      </c>
      <c r="AN36" s="22" t="s">
        <v>138</v>
      </c>
      <c r="AO36" s="104">
        <f t="shared" si="6"/>
        <v>1.7719144680753512E-2</v>
      </c>
      <c r="AP36" s="110">
        <f>+AI73</f>
        <v>215051.47400000002</v>
      </c>
      <c r="AQ36" s="110">
        <f t="shared" si="1"/>
        <v>1616.9283759398497</v>
      </c>
      <c r="AR36" s="107">
        <f t="shared" si="2"/>
        <v>1.3418492746388795</v>
      </c>
    </row>
    <row r="37" spans="1:44">
      <c r="B37" s="27" t="s">
        <v>218</v>
      </c>
      <c r="C37" s="103"/>
      <c r="D37" s="104"/>
      <c r="E37" s="105"/>
      <c r="F37" s="105"/>
      <c r="G37" s="105"/>
      <c r="H37" s="105"/>
      <c r="I37" s="105"/>
      <c r="J37" s="105"/>
      <c r="K37" s="105"/>
      <c r="L37" s="106"/>
      <c r="M37" s="106"/>
      <c r="N37" s="106"/>
      <c r="O37" s="106"/>
      <c r="P37" s="107"/>
      <c r="Q37" s="107"/>
      <c r="R37" s="107"/>
      <c r="S37" s="111"/>
      <c r="T37" s="116"/>
      <c r="U37" s="107"/>
      <c r="V37" s="106"/>
      <c r="W37" s="111"/>
      <c r="X37" s="111"/>
      <c r="Y37" s="107"/>
      <c r="Z37" s="106"/>
      <c r="AA37" s="111"/>
      <c r="AB37" s="111"/>
      <c r="AC37" s="107"/>
      <c r="AD37" s="106"/>
      <c r="AE37" s="111"/>
      <c r="AF37" s="111"/>
      <c r="AG37" s="107"/>
      <c r="AH37" s="107"/>
      <c r="AI37" s="111"/>
      <c r="AJ37" s="97"/>
      <c r="AK37" s="107"/>
      <c r="AL37" s="120"/>
      <c r="AM37" s="109" t="s">
        <v>114</v>
      </c>
      <c r="AN37" s="22" t="s">
        <v>139</v>
      </c>
      <c r="AO37" s="104">
        <f t="shared" si="6"/>
        <v>1.7488811880257179E-3</v>
      </c>
      <c r="AP37" s="110">
        <f>SUM(AI75:AI78)</f>
        <v>21225.600000000002</v>
      </c>
      <c r="AQ37" s="110">
        <f t="shared" si="1"/>
        <v>159.59097744360903</v>
      </c>
      <c r="AR37" s="107">
        <f t="shared" si="2"/>
        <v>0.13244064518141829</v>
      </c>
    </row>
    <row r="38" spans="1:44">
      <c r="A38" s="53" t="s">
        <v>219</v>
      </c>
      <c r="B38" s="53" t="s">
        <v>26</v>
      </c>
      <c r="C38" s="103"/>
      <c r="D38" s="104"/>
      <c r="E38" s="105"/>
      <c r="F38" s="105"/>
      <c r="G38" s="105"/>
      <c r="H38" s="105"/>
      <c r="I38" s="105"/>
      <c r="J38" s="105"/>
      <c r="K38" s="105"/>
      <c r="L38" s="106">
        <v>0</v>
      </c>
      <c r="M38" s="106"/>
      <c r="N38" s="106"/>
      <c r="O38" s="106">
        <v>0</v>
      </c>
      <c r="P38" s="107">
        <f t="shared" si="7"/>
        <v>0</v>
      </c>
      <c r="Q38" s="107">
        <f t="shared" si="7"/>
        <v>0</v>
      </c>
      <c r="R38" s="107"/>
      <c r="S38" s="111">
        <f>T38*S$7</f>
        <v>0</v>
      </c>
      <c r="T38" s="111">
        <v>0</v>
      </c>
      <c r="U38" s="107">
        <f>+T38/T$9</f>
        <v>0</v>
      </c>
      <c r="V38" s="106"/>
      <c r="W38" s="111">
        <f>X38*W$7</f>
        <v>0</v>
      </c>
      <c r="X38" s="111">
        <v>0</v>
      </c>
      <c r="Y38" s="107">
        <f>+X38/X$9</f>
        <v>0</v>
      </c>
      <c r="Z38" s="106"/>
      <c r="AA38" s="111">
        <f>AB38*AA$7</f>
        <v>0</v>
      </c>
      <c r="AB38" s="111">
        <v>0</v>
      </c>
      <c r="AC38" s="107">
        <f>+AB38/AB$9</f>
        <v>0</v>
      </c>
      <c r="AD38" s="106"/>
      <c r="AE38" s="111">
        <f>AF38*AE$7</f>
        <v>0</v>
      </c>
      <c r="AF38" s="111">
        <v>0</v>
      </c>
      <c r="AG38" s="107">
        <f>+AF38/AF$9</f>
        <v>0</v>
      </c>
      <c r="AH38" s="107"/>
      <c r="AI38" s="111">
        <f t="shared" si="4"/>
        <v>0</v>
      </c>
      <c r="AJ38" s="97">
        <f>+AI38/AI$7</f>
        <v>0</v>
      </c>
      <c r="AK38" s="107">
        <f>+AJ38/AJ$9</f>
        <v>0</v>
      </c>
      <c r="AL38" s="120"/>
      <c r="AM38" s="109" t="s">
        <v>115</v>
      </c>
      <c r="AN38" s="22" t="s">
        <v>47</v>
      </c>
      <c r="AO38" s="104">
        <f t="shared" si="6"/>
        <v>7.4743642819220255E-3</v>
      </c>
      <c r="AP38" s="110">
        <f>+AI70</f>
        <v>90713.919040697685</v>
      </c>
      <c r="AQ38" s="110">
        <f t="shared" si="1"/>
        <v>682.05954165938113</v>
      </c>
      <c r="AR38" s="107">
        <f t="shared" si="2"/>
        <v>0.56602451589990133</v>
      </c>
    </row>
    <row r="39" spans="1:44">
      <c r="A39" s="53" t="s">
        <v>219</v>
      </c>
      <c r="B39" s="53" t="s">
        <v>27</v>
      </c>
      <c r="C39" s="103"/>
      <c r="D39" s="104"/>
      <c r="E39" s="105"/>
      <c r="F39" s="105"/>
      <c r="G39" s="105"/>
      <c r="H39" s="105"/>
      <c r="I39" s="105"/>
      <c r="J39" s="105"/>
      <c r="K39" s="105"/>
      <c r="L39" s="106">
        <v>0</v>
      </c>
      <c r="M39" s="106"/>
      <c r="N39" s="106"/>
      <c r="O39" s="106">
        <v>0</v>
      </c>
      <c r="P39" s="107">
        <f t="shared" si="7"/>
        <v>0</v>
      </c>
      <c r="Q39" s="107">
        <f t="shared" si="7"/>
        <v>0</v>
      </c>
      <c r="R39" s="107"/>
      <c r="S39" s="111">
        <f>T39*S$7</f>
        <v>0</v>
      </c>
      <c r="T39" s="111">
        <v>0</v>
      </c>
      <c r="U39" s="107">
        <f>+T39/T$9</f>
        <v>0</v>
      </c>
      <c r="V39" s="106"/>
      <c r="W39" s="111">
        <f>X39*W$7</f>
        <v>0</v>
      </c>
      <c r="X39" s="111">
        <v>0</v>
      </c>
      <c r="Y39" s="107">
        <f>+X39/X$9</f>
        <v>0</v>
      </c>
      <c r="Z39" s="106"/>
      <c r="AA39" s="111">
        <f>AB39*AA$7</f>
        <v>0</v>
      </c>
      <c r="AB39" s="111">
        <v>0</v>
      </c>
      <c r="AC39" s="107">
        <f>+AB39/AB$9</f>
        <v>0</v>
      </c>
      <c r="AD39" s="106"/>
      <c r="AE39" s="111">
        <f>AF39*AE$7</f>
        <v>0</v>
      </c>
      <c r="AF39" s="111">
        <v>0</v>
      </c>
      <c r="AG39" s="107">
        <f>+AF39/AF$9</f>
        <v>0</v>
      </c>
      <c r="AH39" s="107"/>
      <c r="AI39" s="111">
        <f t="shared" si="4"/>
        <v>0</v>
      </c>
      <c r="AJ39" s="97">
        <f>+AI39/AI$7</f>
        <v>0</v>
      </c>
      <c r="AK39" s="107">
        <f>+AJ39/AJ$9</f>
        <v>0</v>
      </c>
      <c r="AL39" s="120"/>
      <c r="AM39" s="109" t="s">
        <v>116</v>
      </c>
      <c r="AN39" s="22" t="s">
        <v>144</v>
      </c>
      <c r="AO39" s="104">
        <f t="shared" si="6"/>
        <v>0</v>
      </c>
      <c r="AP39" s="110">
        <f>SUM(AI79:AI81)</f>
        <v>0</v>
      </c>
      <c r="AQ39" s="110">
        <f t="shared" si="1"/>
        <v>0</v>
      </c>
      <c r="AR39" s="107">
        <f t="shared" si="2"/>
        <v>0</v>
      </c>
    </row>
    <row r="40" spans="1:44">
      <c r="B40" s="25" t="s">
        <v>25</v>
      </c>
      <c r="C40" s="103"/>
      <c r="D40" s="104"/>
      <c r="E40" s="105"/>
      <c r="F40" s="105"/>
      <c r="G40" s="105"/>
      <c r="H40" s="105"/>
      <c r="I40" s="105"/>
      <c r="J40" s="105"/>
      <c r="K40" s="105"/>
      <c r="L40" s="106"/>
      <c r="M40" s="106"/>
      <c r="N40" s="106"/>
      <c r="O40" s="106"/>
      <c r="P40" s="107"/>
      <c r="Q40" s="107"/>
      <c r="R40" s="107"/>
      <c r="S40" s="111"/>
      <c r="T40" s="111"/>
      <c r="U40" s="107"/>
      <c r="V40" s="106"/>
      <c r="W40" s="111"/>
      <c r="X40" s="111"/>
      <c r="Y40" s="107"/>
      <c r="Z40" s="106"/>
      <c r="AA40" s="111"/>
      <c r="AB40" s="111"/>
      <c r="AC40" s="107"/>
      <c r="AD40" s="106"/>
      <c r="AE40" s="111"/>
      <c r="AF40" s="111"/>
      <c r="AG40" s="107"/>
      <c r="AH40" s="107"/>
      <c r="AI40" s="111"/>
      <c r="AJ40" s="97"/>
      <c r="AK40" s="107"/>
      <c r="AL40" s="120"/>
      <c r="AM40" s="109" t="s">
        <v>117</v>
      </c>
      <c r="AN40" s="22" t="s">
        <v>142</v>
      </c>
      <c r="AO40" s="104">
        <f t="shared" si="6"/>
        <v>1.7708715885786215E-2</v>
      </c>
      <c r="AP40" s="114">
        <f>SUM(AI83:AI87)</f>
        <v>214924.90312030076</v>
      </c>
      <c r="AQ40" s="110">
        <f t="shared" si="1"/>
        <v>1615.9767151902313</v>
      </c>
      <c r="AR40" s="107">
        <f t="shared" si="2"/>
        <v>1.3410595146806898</v>
      </c>
    </row>
    <row r="41" spans="1:44" ht="14.45" customHeight="1">
      <c r="A41" s="53" t="s">
        <v>167</v>
      </c>
      <c r="B41" s="22" t="s">
        <v>26</v>
      </c>
      <c r="C41" s="103"/>
      <c r="D41" s="104">
        <f>L41/$L$90</f>
        <v>7.3967560786541448E-3</v>
      </c>
      <c r="E41" s="105" t="s">
        <v>194</v>
      </c>
      <c r="F41" s="105" t="s">
        <v>194</v>
      </c>
      <c r="G41" s="105" t="s">
        <v>194</v>
      </c>
      <c r="H41" s="105" t="s">
        <v>194</v>
      </c>
      <c r="I41" s="105" t="s">
        <v>194</v>
      </c>
      <c r="J41" s="105" t="s">
        <v>194</v>
      </c>
      <c r="K41" s="105" t="s">
        <v>194</v>
      </c>
      <c r="L41" s="106">
        <f>O41*TRUnits</f>
        <v>5250</v>
      </c>
      <c r="M41" s="106"/>
      <c r="N41" s="106"/>
      <c r="O41" s="106">
        <f>750/2</f>
        <v>375</v>
      </c>
      <c r="P41" s="107">
        <f t="shared" si="7"/>
        <v>0.27252906976744184</v>
      </c>
      <c r="Q41" s="107">
        <f t="shared" si="7"/>
        <v>0.21601382488479262</v>
      </c>
      <c r="R41" s="107"/>
      <c r="S41" s="111">
        <f>T41*S$7</f>
        <v>813.03420000000006</v>
      </c>
      <c r="T41" s="111">
        <f>((U$9*1.2)/100*23.5)*CMF</f>
        <v>813.03420000000006</v>
      </c>
      <c r="U41" s="107">
        <f>+T41/T$9</f>
        <v>0.39932917485265229</v>
      </c>
      <c r="V41" s="106"/>
      <c r="W41" s="111">
        <f>X41*W$7</f>
        <v>24724.180799999998</v>
      </c>
      <c r="X41" s="111">
        <f>((Y$9*1.2)/100*23.5)*CMF</f>
        <v>343.39139999999998</v>
      </c>
      <c r="Y41" s="107">
        <f>+X41/X$9</f>
        <v>0.31019999999999998</v>
      </c>
      <c r="Z41" s="106"/>
      <c r="AA41" s="111">
        <f>AB41*AA$7</f>
        <v>30180.909000000003</v>
      </c>
      <c r="AB41" s="111">
        <f>((AC$9*1.2)/100*23.5)*CMF</f>
        <v>494.76900000000006</v>
      </c>
      <c r="AC41" s="107">
        <f>+AB41/AB$9</f>
        <v>0.38443589743589751</v>
      </c>
      <c r="AD41" s="106"/>
      <c r="AE41" s="111">
        <f>AF41*AE$7</f>
        <v>0</v>
      </c>
      <c r="AF41" s="111">
        <f>((AG$9*1.2)/100*23.5)*CMF</f>
        <v>480.81000000000006</v>
      </c>
      <c r="AG41" s="107">
        <f>+AF41/AF$9</f>
        <v>0.31020000000000003</v>
      </c>
      <c r="AH41" s="107"/>
      <c r="AI41" s="111">
        <f t="shared" si="4"/>
        <v>55718.124000000003</v>
      </c>
      <c r="AJ41" s="97">
        <f>+AI41/AI$7</f>
        <v>418.93326315789477</v>
      </c>
      <c r="AK41" s="107">
        <f>+AJ41/AJ$9</f>
        <v>0.34766245905219484</v>
      </c>
      <c r="AL41" s="120"/>
      <c r="AM41" s="109" t="s">
        <v>118</v>
      </c>
      <c r="AN41" s="22" t="s">
        <v>126</v>
      </c>
      <c r="AO41" s="104">
        <f t="shared" si="6"/>
        <v>0</v>
      </c>
      <c r="AP41" s="114"/>
      <c r="AQ41" s="110">
        <f t="shared" si="1"/>
        <v>0</v>
      </c>
      <c r="AR41" s="107">
        <f t="shared" si="2"/>
        <v>0</v>
      </c>
    </row>
    <row r="42" spans="1:44">
      <c r="A42" s="53" t="s">
        <v>167</v>
      </c>
      <c r="B42" s="22" t="s">
        <v>27</v>
      </c>
      <c r="C42" s="103"/>
      <c r="D42" s="104">
        <f>L42/$L$90</f>
        <v>7.0022624211259236E-3</v>
      </c>
      <c r="E42" s="105" t="s">
        <v>194</v>
      </c>
      <c r="F42" s="105" t="s">
        <v>194</v>
      </c>
      <c r="G42" s="105" t="s">
        <v>194</v>
      </c>
      <c r="H42" s="105" t="s">
        <v>194</v>
      </c>
      <c r="I42" s="105" t="s">
        <v>194</v>
      </c>
      <c r="J42" s="105" t="s">
        <v>194</v>
      </c>
      <c r="K42" s="105" t="s">
        <v>194</v>
      </c>
      <c r="L42" s="106">
        <f>O42*TRUnits</f>
        <v>4970</v>
      </c>
      <c r="M42" s="106"/>
      <c r="N42" s="106"/>
      <c r="O42" s="106">
        <f>710/2</f>
        <v>355</v>
      </c>
      <c r="P42" s="107">
        <f t="shared" si="7"/>
        <v>0.25799418604651164</v>
      </c>
      <c r="Q42" s="107">
        <f t="shared" si="7"/>
        <v>0.20449308755760368</v>
      </c>
      <c r="R42" s="107"/>
      <c r="S42" s="111">
        <f>T42*S$7</f>
        <v>726.5412</v>
      </c>
      <c r="T42" s="111">
        <f>((U$9*1.2)/100*21)*CMF</f>
        <v>726.5412</v>
      </c>
      <c r="U42" s="107">
        <f>+T42/T$9</f>
        <v>0.35684734774066795</v>
      </c>
      <c r="V42" s="106"/>
      <c r="W42" s="111">
        <f>X42*W$7</f>
        <v>22093.948800000002</v>
      </c>
      <c r="X42" s="111">
        <f>((Y$9*1.2)/100*21)*CMF</f>
        <v>306.86040000000003</v>
      </c>
      <c r="Y42" s="107">
        <f>+X42/X$9</f>
        <v>0.2772</v>
      </c>
      <c r="Z42" s="106"/>
      <c r="AA42" s="111">
        <f>AB42*AA$7</f>
        <v>26970.173999999999</v>
      </c>
      <c r="AB42" s="111">
        <f>((AC$9*1.2)/100*21)*CMF</f>
        <v>442.13400000000001</v>
      </c>
      <c r="AC42" s="107">
        <f>+AB42/AB$9</f>
        <v>0.34353846153846157</v>
      </c>
      <c r="AD42" s="106"/>
      <c r="AE42" s="111">
        <f>AF42*AE$7</f>
        <v>0</v>
      </c>
      <c r="AF42" s="111">
        <f>((AG$9*1.2)/100*21)*CMF</f>
        <v>429.66000000000008</v>
      </c>
      <c r="AG42" s="107">
        <f>+AF42/AF$9</f>
        <v>0.27720000000000006</v>
      </c>
      <c r="AH42" s="107"/>
      <c r="AI42" s="111">
        <f t="shared" si="4"/>
        <v>49790.663999999997</v>
      </c>
      <c r="AJ42" s="97">
        <f>+AI42/AI$7</f>
        <v>374.36589473684211</v>
      </c>
      <c r="AK42" s="107">
        <f>+AJ42/AJ$9</f>
        <v>0.31067709106791874</v>
      </c>
      <c r="AL42" s="120"/>
      <c r="AM42" s="109" t="s">
        <v>119</v>
      </c>
      <c r="AN42" s="22" t="s">
        <v>125</v>
      </c>
      <c r="AO42" s="104">
        <f t="shared" si="6"/>
        <v>2.8223557972583056E-2</v>
      </c>
      <c r="AP42" s="114">
        <f>(SUM(AP10:AP41)+SUM(AP43:AP46))*1.0125*0.7*0.095/12*6</f>
        <v>342540.10861602885</v>
      </c>
      <c r="AQ42" s="110">
        <f t="shared" si="1"/>
        <v>2575.4895384663823</v>
      </c>
      <c r="AR42" s="107">
        <f t="shared" si="2"/>
        <v>2.1373357165696119</v>
      </c>
    </row>
    <row r="43" spans="1:44">
      <c r="B43" s="25" t="s">
        <v>28</v>
      </c>
      <c r="C43" s="103"/>
      <c r="E43" s="105"/>
      <c r="F43" s="105"/>
      <c r="G43" s="105"/>
      <c r="H43" s="105"/>
      <c r="I43" s="105"/>
      <c r="J43" s="105"/>
      <c r="K43" s="105"/>
      <c r="L43" s="106"/>
      <c r="M43" s="106"/>
      <c r="N43" s="106"/>
      <c r="O43" s="106"/>
      <c r="P43" s="107"/>
      <c r="Q43" s="107"/>
      <c r="R43" s="107"/>
      <c r="S43" s="111"/>
      <c r="T43" s="111"/>
      <c r="U43" s="107"/>
      <c r="V43" s="106"/>
      <c r="W43" s="111"/>
      <c r="X43" s="111"/>
      <c r="Y43" s="107"/>
      <c r="Z43" s="106"/>
      <c r="AA43" s="111"/>
      <c r="AB43" s="111"/>
      <c r="AC43" s="107"/>
      <c r="AD43" s="106"/>
      <c r="AE43" s="111"/>
      <c r="AF43" s="111"/>
      <c r="AG43" s="107"/>
      <c r="AH43" s="107"/>
      <c r="AI43" s="111"/>
      <c r="AJ43" s="97" t="s">
        <v>71</v>
      </c>
      <c r="AK43" s="107"/>
      <c r="AL43" s="120"/>
      <c r="AM43" s="109" t="s">
        <v>120</v>
      </c>
      <c r="AN43" s="22" t="s">
        <v>124</v>
      </c>
      <c r="AO43" s="104">
        <f t="shared" si="6"/>
        <v>0.15606994760678963</v>
      </c>
      <c r="AP43" s="114">
        <f>(2.5*43560+75000)*10.3</f>
        <v>1894170.0000000002</v>
      </c>
      <c r="AQ43" s="110">
        <f t="shared" si="1"/>
        <v>14241.879699248122</v>
      </c>
      <c r="AR43" s="107">
        <f t="shared" si="2"/>
        <v>11.818987302280599</v>
      </c>
    </row>
    <row r="44" spans="1:44">
      <c r="A44" s="53" t="s">
        <v>168</v>
      </c>
      <c r="B44" s="22" t="s">
        <v>29</v>
      </c>
      <c r="C44" s="103">
        <v>0.1</v>
      </c>
      <c r="D44" s="104">
        <f>L44/$L$90</f>
        <v>2.9587024314616578E-3</v>
      </c>
      <c r="E44" s="105" t="s">
        <v>194</v>
      </c>
      <c r="F44" s="105" t="s">
        <v>194</v>
      </c>
      <c r="G44" s="105" t="s">
        <v>194</v>
      </c>
      <c r="H44" s="105" t="s">
        <v>194</v>
      </c>
      <c r="I44" s="105" t="s">
        <v>194</v>
      </c>
      <c r="J44" s="105" t="s">
        <v>194</v>
      </c>
      <c r="K44" s="105" t="s">
        <v>194</v>
      </c>
      <c r="L44" s="106">
        <f>O44*TRUnits</f>
        <v>2100</v>
      </c>
      <c r="M44" s="106"/>
      <c r="N44" s="106"/>
      <c r="O44" s="106">
        <f>300/2</f>
        <v>150</v>
      </c>
      <c r="P44" s="107">
        <f t="shared" si="7"/>
        <v>0.10901162790697674</v>
      </c>
      <c r="Q44" s="107">
        <f t="shared" si="7"/>
        <v>8.6405529953917051E-2</v>
      </c>
      <c r="R44" s="107"/>
      <c r="S44" s="111">
        <f>T44*S$7</f>
        <v>82.706766917293237</v>
      </c>
      <c r="T44" s="111">
        <f>10000/SM134Units*CMF</f>
        <v>82.706766917293237</v>
      </c>
      <c r="U44" s="107">
        <f>+T44/T$9</f>
        <v>4.062218414405365E-2</v>
      </c>
      <c r="V44" s="106"/>
      <c r="W44" s="111">
        <f>X44*W$7</f>
        <v>5954.8872180451126</v>
      </c>
      <c r="X44" s="111">
        <f>10000/SM134Units*CMF</f>
        <v>82.706766917293237</v>
      </c>
      <c r="Y44" s="107">
        <f>+X44/X$9</f>
        <v>7.47125265738873E-2</v>
      </c>
      <c r="Z44" s="106"/>
      <c r="AA44" s="111">
        <f>AB44*AA$7</f>
        <v>5045.1127819548874</v>
      </c>
      <c r="AB44" s="111">
        <f>10000/SM134Units*CMF</f>
        <v>82.706766917293237</v>
      </c>
      <c r="AC44" s="107">
        <f>+AB44/AB$9</f>
        <v>6.4263222157959002E-2</v>
      </c>
      <c r="AD44" s="106"/>
      <c r="AE44" s="111">
        <f>AF44*AE$7</f>
        <v>0</v>
      </c>
      <c r="AF44" s="111">
        <f>10000/SM134Units*CMF</f>
        <v>82.706766917293237</v>
      </c>
      <c r="AG44" s="107">
        <f>+AF44/AF$9</f>
        <v>5.335920446276983E-2</v>
      </c>
      <c r="AH44" s="107"/>
      <c r="AI44" s="111">
        <f t="shared" si="4"/>
        <v>11082.706766917294</v>
      </c>
      <c r="AJ44" s="97">
        <f>+AI44/AI$7</f>
        <v>83.328622307648828</v>
      </c>
      <c r="AK44" s="107">
        <f>+AJ44/AJ$9</f>
        <v>6.9152383657799854E-2</v>
      </c>
      <c r="AL44" s="120"/>
      <c r="AM44" s="109" t="s">
        <v>121</v>
      </c>
      <c r="AN44" s="22" t="s">
        <v>123</v>
      </c>
      <c r="AO44" s="104">
        <f t="shared" si="6"/>
        <v>1.5472299203643488E-2</v>
      </c>
      <c r="AP44" s="114">
        <f>AI12+AI88</f>
        <v>187782.24400000001</v>
      </c>
      <c r="AQ44" s="110">
        <f t="shared" si="1"/>
        <v>1411.8965714285714</v>
      </c>
      <c r="AR44" s="107">
        <f t="shared" si="2"/>
        <v>1.1716983995257855</v>
      </c>
    </row>
    <row r="45" spans="1:44" ht="12.75" thickBot="1">
      <c r="A45" s="53" t="s">
        <v>168</v>
      </c>
      <c r="B45" s="22" t="s">
        <v>10</v>
      </c>
      <c r="C45" s="103">
        <v>0.5</v>
      </c>
      <c r="D45" s="104">
        <f>L45/$L$90</f>
        <v>3.068174421425739E-2</v>
      </c>
      <c r="E45" s="105" t="s">
        <v>194</v>
      </c>
      <c r="F45" s="105" t="s">
        <v>194</v>
      </c>
      <c r="G45" s="105" t="s">
        <v>194</v>
      </c>
      <c r="H45" s="105" t="s">
        <v>194</v>
      </c>
      <c r="I45" s="105" t="s">
        <v>194</v>
      </c>
      <c r="J45" s="105" t="s">
        <v>194</v>
      </c>
      <c r="K45" s="105" t="s">
        <v>194</v>
      </c>
      <c r="L45" s="106">
        <f>O45*TRUnits</f>
        <v>21777</v>
      </c>
      <c r="M45" s="106"/>
      <c r="N45" s="106"/>
      <c r="O45" s="106">
        <f>3111/2</f>
        <v>1555.5</v>
      </c>
      <c r="P45" s="107">
        <f>$O45/P$9</f>
        <v>1.1304505813953489</v>
      </c>
      <c r="Q45" s="107">
        <f>$O45/Q$9</f>
        <v>0.89602534562211977</v>
      </c>
      <c r="R45" s="107"/>
      <c r="S45" s="111">
        <f>T45*S$7</f>
        <v>3023.46</v>
      </c>
      <c r="T45" s="111">
        <f>2.25*CMF*60%*T$9</f>
        <v>3023.46</v>
      </c>
      <c r="U45" s="107">
        <f>+T45/T$9</f>
        <v>1.4850000000000001</v>
      </c>
      <c r="V45" s="106"/>
      <c r="W45" s="111">
        <f>X45*W$7</f>
        <v>118360.44000000002</v>
      </c>
      <c r="X45" s="111">
        <f>2.25*CMF*60%*X$9</f>
        <v>1643.8950000000002</v>
      </c>
      <c r="Y45" s="107">
        <f>+X45/X$9</f>
        <v>1.4850000000000001</v>
      </c>
      <c r="Z45" s="106"/>
      <c r="AA45" s="111">
        <f>AB45*AA$7</f>
        <v>116582.895</v>
      </c>
      <c r="AB45" s="111">
        <f>2.25*CMF*60%*AB$9</f>
        <v>1911.1950000000002</v>
      </c>
      <c r="AC45" s="107">
        <f>+AB45/AB$9</f>
        <v>1.4850000000000001</v>
      </c>
      <c r="AD45" s="106"/>
      <c r="AE45" s="111">
        <f>AF45*AE$7</f>
        <v>0</v>
      </c>
      <c r="AF45" s="111">
        <f>2.25*CMF*60%*AF$9</f>
        <v>2301.75</v>
      </c>
      <c r="AG45" s="107">
        <f>+AF45/AF$9</f>
        <v>1.4850000000000001</v>
      </c>
      <c r="AH45" s="107"/>
      <c r="AI45" s="111">
        <f t="shared" si="4"/>
        <v>237966.79500000001</v>
      </c>
      <c r="AJ45" s="97">
        <f>+AI45/AI$7</f>
        <v>1789.224022556391</v>
      </c>
      <c r="AK45" s="107">
        <f>+AJ45/AJ$9</f>
        <v>1.4848332137397435</v>
      </c>
      <c r="AL45" s="120"/>
      <c r="AM45" s="109" t="s">
        <v>122</v>
      </c>
      <c r="AN45" s="22" t="s">
        <v>143</v>
      </c>
      <c r="AO45" s="104">
        <f t="shared" si="6"/>
        <v>1.9712007452233705E-2</v>
      </c>
      <c r="AP45" s="114">
        <f>AI46+AI48+AI49+AI71</f>
        <v>239238.19882267446</v>
      </c>
      <c r="AQ45" s="110">
        <f t="shared" si="1"/>
        <v>1798.7834497945448</v>
      </c>
      <c r="AR45" s="107">
        <f t="shared" si="2"/>
        <v>1.4927663483772156</v>
      </c>
    </row>
    <row r="46" spans="1:44" ht="12.75" thickBot="1">
      <c r="A46" s="53" t="s">
        <v>158</v>
      </c>
      <c r="B46" s="118" t="s">
        <v>30</v>
      </c>
      <c r="C46" s="103">
        <v>0.4</v>
      </c>
      <c r="D46" s="104">
        <f>L46/$L$90</f>
        <v>2.4547367839693555E-2</v>
      </c>
      <c r="E46" s="105" t="s">
        <v>194</v>
      </c>
      <c r="F46" s="105" t="s">
        <v>194</v>
      </c>
      <c r="G46" s="113"/>
      <c r="H46" s="105" t="s">
        <v>194</v>
      </c>
      <c r="I46" s="105" t="s">
        <v>194</v>
      </c>
      <c r="J46" s="113"/>
      <c r="K46" s="68" t="s">
        <v>194</v>
      </c>
      <c r="L46" s="106">
        <f>O46*TRUnits</f>
        <v>17423</v>
      </c>
      <c r="M46" s="106"/>
      <c r="N46" s="106"/>
      <c r="O46" s="106">
        <f>2489/2</f>
        <v>1244.5</v>
      </c>
      <c r="P46" s="107">
        <f>$O46/P$9</f>
        <v>0.90443313953488369</v>
      </c>
      <c r="Q46" s="107">
        <f>$O46/Q$9</f>
        <v>0.71687788018433185</v>
      </c>
      <c r="R46" s="107"/>
      <c r="S46" s="111">
        <f>T46*S$7</f>
        <v>2015.64</v>
      </c>
      <c r="T46" s="111">
        <f>2.25*CMF*40%*T$9</f>
        <v>2015.64</v>
      </c>
      <c r="U46" s="107">
        <f>+T46/T$9</f>
        <v>0.9900000000000001</v>
      </c>
      <c r="V46" s="106"/>
      <c r="W46" s="111">
        <f>X46*W$7</f>
        <v>78906.960000000006</v>
      </c>
      <c r="X46" s="111">
        <f>2.25*CMF*40%*X$9</f>
        <v>1095.93</v>
      </c>
      <c r="Y46" s="107">
        <f>+X46/X$9</f>
        <v>0.9900000000000001</v>
      </c>
      <c r="Z46" s="106"/>
      <c r="AA46" s="111">
        <f>AB46*AA$7</f>
        <v>77721.930000000008</v>
      </c>
      <c r="AB46" s="111">
        <f>2.25*CMF*40%*AB$9</f>
        <v>1274.1300000000001</v>
      </c>
      <c r="AC46" s="107">
        <f>+AB46/AB$9</f>
        <v>0.9900000000000001</v>
      </c>
      <c r="AD46" s="106"/>
      <c r="AE46" s="111">
        <f>AF46*AE$7</f>
        <v>0</v>
      </c>
      <c r="AF46" s="111">
        <f>2.25*CMF*40%*AF$9</f>
        <v>1534.5000000000002</v>
      </c>
      <c r="AG46" s="107">
        <f>+AF46/AF$9</f>
        <v>0.9900000000000001</v>
      </c>
      <c r="AH46" s="107"/>
      <c r="AI46" s="111">
        <f t="shared" si="4"/>
        <v>158644.53000000003</v>
      </c>
      <c r="AJ46" s="97">
        <f>+AI46/AI$7</f>
        <v>1192.8160150375943</v>
      </c>
      <c r="AK46" s="107">
        <f>+AJ46/AJ$9</f>
        <v>0.98988880915982924</v>
      </c>
      <c r="AL46" s="120"/>
      <c r="AM46" s="109" t="s">
        <v>210</v>
      </c>
      <c r="AN46" s="22" t="s">
        <v>70</v>
      </c>
      <c r="AO46" s="104">
        <f t="shared" si="6"/>
        <v>1.4827411388140971E-2</v>
      </c>
      <c r="AP46" s="53">
        <f>+AI89</f>
        <v>179955.45112781954</v>
      </c>
      <c r="AQ46" s="110">
        <f t="shared" si="1"/>
        <v>1353.0485047204477</v>
      </c>
      <c r="AR46" s="107">
        <f t="shared" si="2"/>
        <v>1.1228618296435251</v>
      </c>
    </row>
    <row r="47" spans="1:44">
      <c r="B47" s="25" t="s">
        <v>31</v>
      </c>
      <c r="C47" s="103"/>
      <c r="E47" s="105"/>
      <c r="F47" s="105"/>
      <c r="G47" s="105"/>
      <c r="H47" s="105"/>
      <c r="I47" s="105"/>
      <c r="J47" s="105"/>
      <c r="K47" s="105"/>
      <c r="L47" s="106"/>
      <c r="M47" s="106"/>
      <c r="N47" s="106"/>
      <c r="P47" s="107"/>
      <c r="Q47" s="107"/>
      <c r="R47" s="107"/>
      <c r="S47" s="111"/>
      <c r="T47" s="34"/>
      <c r="U47" s="107"/>
      <c r="V47" s="106"/>
      <c r="W47" s="111"/>
      <c r="X47" s="111"/>
      <c r="Y47" s="107"/>
      <c r="Z47" s="106"/>
      <c r="AA47" s="111"/>
      <c r="AB47" s="111"/>
      <c r="AC47" s="107"/>
      <c r="AD47" s="106"/>
      <c r="AE47" s="111"/>
      <c r="AF47" s="111"/>
      <c r="AG47" s="107"/>
      <c r="AH47" s="107"/>
      <c r="AI47" s="111"/>
      <c r="AJ47" s="97" t="s">
        <v>71</v>
      </c>
      <c r="AK47" s="107"/>
      <c r="AL47" s="120"/>
      <c r="AM47" s="109" t="s">
        <v>121</v>
      </c>
      <c r="AN47" s="22" t="s">
        <v>216</v>
      </c>
      <c r="AO47" s="104">
        <f t="shared" si="6"/>
        <v>2.7030499589229661E-2</v>
      </c>
      <c r="AP47" s="53">
        <f>(SUM(AP$44:AP46)+SUM(AP$10:AP$41))*0.1-500000</f>
        <v>328060.34852992895</v>
      </c>
      <c r="AQ47" s="110">
        <f t="shared" si="1"/>
        <v>2466.6191618791649</v>
      </c>
      <c r="AR47" s="107">
        <f t="shared" si="2"/>
        <v>2.0469868563312574</v>
      </c>
    </row>
    <row r="48" spans="1:44">
      <c r="A48" s="53" t="s">
        <v>158</v>
      </c>
      <c r="B48" s="22" t="s">
        <v>10</v>
      </c>
      <c r="C48" s="103">
        <v>0.75</v>
      </c>
      <c r="D48" s="104">
        <f>L48/$L$90</f>
        <v>0</v>
      </c>
      <c r="E48" s="105" t="s">
        <v>194</v>
      </c>
      <c r="F48" s="105" t="s">
        <v>194</v>
      </c>
      <c r="G48" s="105" t="s">
        <v>194</v>
      </c>
      <c r="H48" s="105" t="s">
        <v>194</v>
      </c>
      <c r="I48" s="105" t="s">
        <v>194</v>
      </c>
      <c r="J48" s="105" t="s">
        <v>194</v>
      </c>
      <c r="K48" s="105" t="s">
        <v>194</v>
      </c>
      <c r="L48" s="106">
        <f t="shared" ref="L48:L53" si="24">O48*TRUnits</f>
        <v>0</v>
      </c>
      <c r="M48" s="106"/>
      <c r="N48" s="106"/>
      <c r="O48" s="106">
        <v>0</v>
      </c>
      <c r="P48" s="107">
        <f t="shared" ref="P48:Q64" si="25">$O48/P$9</f>
        <v>0</v>
      </c>
      <c r="Q48" s="107">
        <f t="shared" si="25"/>
        <v>0</v>
      </c>
      <c r="R48" s="107"/>
      <c r="S48" s="111">
        <f>T48*S$7</f>
        <v>0</v>
      </c>
      <c r="T48" s="111">
        <f>0*CMF</f>
        <v>0</v>
      </c>
      <c r="U48" s="107">
        <f>+T48/T$9</f>
        <v>0</v>
      </c>
      <c r="V48" s="106"/>
      <c r="W48" s="111">
        <f>X48*W$7</f>
        <v>0</v>
      </c>
      <c r="X48" s="111">
        <f>0*CMF</f>
        <v>0</v>
      </c>
      <c r="Y48" s="107">
        <f>+X48/X$9</f>
        <v>0</v>
      </c>
      <c r="Z48" s="106"/>
      <c r="AA48" s="111">
        <f>AB48*AA$7</f>
        <v>0</v>
      </c>
      <c r="AB48" s="111">
        <f>0*CMF</f>
        <v>0</v>
      </c>
      <c r="AC48" s="107">
        <f>+AB48/AB$9</f>
        <v>0</v>
      </c>
      <c r="AD48" s="106"/>
      <c r="AE48" s="111">
        <f>AF48*AE$7</f>
        <v>0</v>
      </c>
      <c r="AF48" s="111">
        <f>0*CMF</f>
        <v>0</v>
      </c>
      <c r="AG48" s="107">
        <f>+AF48/AF$9</f>
        <v>0</v>
      </c>
      <c r="AH48" s="107"/>
      <c r="AI48" s="111">
        <f t="shared" si="4"/>
        <v>0</v>
      </c>
      <c r="AJ48" s="97">
        <f>+AI48/AI$7</f>
        <v>0</v>
      </c>
      <c r="AK48" s="107">
        <f>+AJ48/AJ$9</f>
        <v>0</v>
      </c>
      <c r="AL48" s="120"/>
      <c r="AM48" s="109" t="s">
        <v>122</v>
      </c>
      <c r="AN48" s="22" t="s">
        <v>215</v>
      </c>
      <c r="AO48" s="104">
        <f t="shared" si="6"/>
        <v>0.10639649927225572</v>
      </c>
      <c r="AP48" s="53">
        <f>(SUM(AP$44:AP47)+SUM(AP$10:AP$41))*0.15</f>
        <v>1291299.5750743828</v>
      </c>
      <c r="AQ48" s="110">
        <f t="shared" si="1"/>
        <v>9709.0193614615255</v>
      </c>
      <c r="AR48" s="107">
        <f t="shared" si="2"/>
        <v>8.0572774783913079</v>
      </c>
    </row>
    <row r="49" spans="1:46" ht="12.75" thickBot="1">
      <c r="A49" s="53" t="s">
        <v>158</v>
      </c>
      <c r="B49" s="22" t="s">
        <v>30</v>
      </c>
      <c r="C49" s="103">
        <v>0.25</v>
      </c>
      <c r="D49" s="104">
        <f>L49/$L$90</f>
        <v>3.9449365752822103E-3</v>
      </c>
      <c r="E49" s="105" t="s">
        <v>194</v>
      </c>
      <c r="F49" s="105" t="s">
        <v>194</v>
      </c>
      <c r="G49" s="105" t="s">
        <v>194</v>
      </c>
      <c r="H49" s="105" t="s">
        <v>194</v>
      </c>
      <c r="I49" s="105" t="s">
        <v>194</v>
      </c>
      <c r="J49" s="105" t="s">
        <v>194</v>
      </c>
      <c r="K49" s="105" t="s">
        <v>194</v>
      </c>
      <c r="L49" s="106">
        <f t="shared" si="24"/>
        <v>2800</v>
      </c>
      <c r="M49" s="106"/>
      <c r="N49" s="106"/>
      <c r="O49" s="106">
        <f>400/2</f>
        <v>200</v>
      </c>
      <c r="P49" s="107">
        <f t="shared" si="25"/>
        <v>0.14534883720930233</v>
      </c>
      <c r="Q49" s="107">
        <f t="shared" si="25"/>
        <v>0.1152073732718894</v>
      </c>
      <c r="R49" s="107"/>
      <c r="S49" s="111">
        <f>T49*S$7</f>
        <v>220.00000000000003</v>
      </c>
      <c r="T49" s="111">
        <f>$O49*CMF</f>
        <v>220.00000000000003</v>
      </c>
      <c r="U49" s="107">
        <f>+T49/T$9</f>
        <v>0.10805500982318272</v>
      </c>
      <c r="V49" s="106"/>
      <c r="W49" s="111">
        <f>X49*W$7</f>
        <v>15840.000000000002</v>
      </c>
      <c r="X49" s="111">
        <f>$O49*CMF</f>
        <v>220.00000000000003</v>
      </c>
      <c r="Y49" s="107">
        <f>+X49/X$9</f>
        <v>0.19873532068654023</v>
      </c>
      <c r="Z49" s="106"/>
      <c r="AA49" s="111">
        <f>AB49*AA$7</f>
        <v>13420.000000000002</v>
      </c>
      <c r="AB49" s="111">
        <f>$O49*CMF</f>
        <v>220.00000000000003</v>
      </c>
      <c r="AC49" s="107">
        <f>+AB49/AB$9</f>
        <v>0.17094017094017097</v>
      </c>
      <c r="AD49" s="106"/>
      <c r="AE49" s="111">
        <f>AF49*AE$7</f>
        <v>0</v>
      </c>
      <c r="AF49" s="111">
        <f>$O49*CMF</f>
        <v>220.00000000000003</v>
      </c>
      <c r="AG49" s="107">
        <f>+AF49/AF$9</f>
        <v>0.14193548387096777</v>
      </c>
      <c r="AH49" s="107"/>
      <c r="AI49" s="111">
        <f t="shared" si="4"/>
        <v>29480.000000000004</v>
      </c>
      <c r="AJ49" s="97">
        <f>+AI49/AI$7</f>
        <v>221.6541353383459</v>
      </c>
      <c r="AK49" s="107">
        <f>+AJ49/AJ$9</f>
        <v>0.18394534052974762</v>
      </c>
      <c r="AL49" s="120"/>
      <c r="AM49" s="109"/>
      <c r="AN49" s="16" t="s">
        <v>74</v>
      </c>
      <c r="AO49" s="17">
        <f>SUM(AO10:AO48)</f>
        <v>0.99999999999999967</v>
      </c>
      <c r="AP49" s="5">
        <f>SUM(AP10:AP48)</f>
        <v>12136673.517519632</v>
      </c>
      <c r="AQ49" s="5">
        <f t="shared" si="1"/>
        <v>91253.184342252876</v>
      </c>
      <c r="AR49" s="3">
        <f t="shared" si="2"/>
        <v>75.728783686516906</v>
      </c>
    </row>
    <row r="50" spans="1:46" ht="12.75" thickTop="1">
      <c r="B50" s="25" t="s">
        <v>32</v>
      </c>
      <c r="C50" s="103"/>
      <c r="D50" s="104"/>
      <c r="E50" s="105"/>
      <c r="F50" s="105"/>
      <c r="G50" s="105"/>
      <c r="H50" s="105"/>
      <c r="I50" s="105"/>
      <c r="J50" s="105"/>
      <c r="K50" s="105"/>
      <c r="L50" s="106">
        <f t="shared" si="24"/>
        <v>0</v>
      </c>
      <c r="M50" s="106"/>
      <c r="N50" s="106"/>
      <c r="O50" s="106"/>
      <c r="P50" s="107"/>
      <c r="Q50" s="107"/>
      <c r="R50" s="107"/>
      <c r="S50" s="116"/>
      <c r="T50" s="116"/>
      <c r="U50" s="107"/>
      <c r="V50" s="106"/>
      <c r="W50" s="111"/>
      <c r="X50" s="111"/>
      <c r="Y50" s="107"/>
      <c r="Z50" s="106"/>
      <c r="AA50" s="111"/>
      <c r="AB50" s="111"/>
      <c r="AC50" s="107"/>
      <c r="AD50" s="106"/>
      <c r="AE50" s="111"/>
      <c r="AF50" s="111"/>
      <c r="AG50" s="107"/>
      <c r="AH50" s="107"/>
      <c r="AI50" s="111"/>
      <c r="AJ50" s="97" t="s">
        <v>71</v>
      </c>
      <c r="AK50" s="107"/>
      <c r="AL50" s="120"/>
      <c r="AM50" s="109"/>
      <c r="AN50" s="29" t="s">
        <v>207</v>
      </c>
    </row>
    <row r="51" spans="1:46" ht="12.75" thickBot="1">
      <c r="A51" s="53" t="s">
        <v>169</v>
      </c>
      <c r="B51" s="22" t="s">
        <v>10</v>
      </c>
      <c r="C51" s="103">
        <v>0.6</v>
      </c>
      <c r="D51" s="104">
        <f>L51/$L$90</f>
        <v>2.3669619451693262E-2</v>
      </c>
      <c r="E51" s="105" t="s">
        <v>194</v>
      </c>
      <c r="F51" s="105" t="s">
        <v>194</v>
      </c>
      <c r="G51" s="105" t="s">
        <v>194</v>
      </c>
      <c r="H51" s="105" t="s">
        <v>194</v>
      </c>
      <c r="I51" s="105" t="s">
        <v>194</v>
      </c>
      <c r="J51" s="105" t="s">
        <v>194</v>
      </c>
      <c r="K51" s="105" t="s">
        <v>194</v>
      </c>
      <c r="L51" s="106">
        <f t="shared" si="24"/>
        <v>16800</v>
      </c>
      <c r="M51" s="106"/>
      <c r="N51" s="106"/>
      <c r="O51" s="106">
        <f>2400/2</f>
        <v>1200</v>
      </c>
      <c r="P51" s="107">
        <f t="shared" si="25"/>
        <v>0.87209302325581395</v>
      </c>
      <c r="Q51" s="107">
        <f t="shared" si="25"/>
        <v>0.69124423963133641</v>
      </c>
      <c r="R51" s="107"/>
      <c r="S51" s="111">
        <f>T51*S$7</f>
        <v>2620.3319999999999</v>
      </c>
      <c r="T51" s="111">
        <f>1.17*T$9*CMF</f>
        <v>2620.3319999999999</v>
      </c>
      <c r="U51" s="107">
        <f>+T51/T$9</f>
        <v>1.2869999999999999</v>
      </c>
      <c r="V51" s="106"/>
      <c r="W51" s="111">
        <f>X51*W$7</f>
        <v>102579.04799999998</v>
      </c>
      <c r="X51" s="111">
        <f>1.17*X$9*CMF</f>
        <v>1424.7089999999998</v>
      </c>
      <c r="Y51" s="107">
        <f>+X51/X$9</f>
        <v>1.2869999999999999</v>
      </c>
      <c r="Z51" s="106"/>
      <c r="AA51" s="111">
        <f>AB51*AA$7</f>
        <v>101038.50900000001</v>
      </c>
      <c r="AB51" s="111">
        <f>1.17*AB$9*CMF</f>
        <v>1656.3690000000001</v>
      </c>
      <c r="AC51" s="107">
        <f>+AB51/AB$9</f>
        <v>1.2870000000000001</v>
      </c>
      <c r="AD51" s="106"/>
      <c r="AE51" s="111">
        <f>AF51*AE$7</f>
        <v>0</v>
      </c>
      <c r="AF51" s="111">
        <f>1.17*AF$9*CMF</f>
        <v>1994.8500000000001</v>
      </c>
      <c r="AG51" s="107">
        <f>+AF51/AF$9</f>
        <v>1.2870000000000001</v>
      </c>
      <c r="AH51" s="107"/>
      <c r="AI51" s="111">
        <f t="shared" si="4"/>
        <v>206237.88899999997</v>
      </c>
      <c r="AJ51" s="97">
        <f>+AI51/AI$7</f>
        <v>1550.660819548872</v>
      </c>
      <c r="AK51" s="107">
        <f>+AJ51/AJ$9</f>
        <v>1.2868554519077777</v>
      </c>
      <c r="AL51" s="120"/>
      <c r="AM51" s="109"/>
      <c r="AN51" s="22" t="s">
        <v>208</v>
      </c>
      <c r="AO51" s="104">
        <f>AP51/$AP$49</f>
        <v>-0.15606994760678963</v>
      </c>
      <c r="AP51" s="22">
        <f>-AP43</f>
        <v>-1894170.0000000002</v>
      </c>
      <c r="AQ51" s="106">
        <f t="shared" ref="AQ51:AR54" si="26">AP51/AQ$7</f>
        <v>-14241.879699248122</v>
      </c>
      <c r="AR51" s="119">
        <f t="shared" si="26"/>
        <v>-8.8864566182560903E-2</v>
      </c>
    </row>
    <row r="52" spans="1:46" ht="12.75" thickBot="1">
      <c r="A52" s="53" t="s">
        <v>170</v>
      </c>
      <c r="B52" s="22" t="s">
        <v>33</v>
      </c>
      <c r="C52" s="103">
        <v>0.4</v>
      </c>
      <c r="D52" s="104">
        <f>L52/$L$90</f>
        <v>1.5779746301128841E-2</v>
      </c>
      <c r="E52" s="105" t="s">
        <v>194</v>
      </c>
      <c r="F52" s="105" t="s">
        <v>194</v>
      </c>
      <c r="G52" s="113"/>
      <c r="H52" s="105" t="s">
        <v>194</v>
      </c>
      <c r="I52" s="105" t="s">
        <v>194</v>
      </c>
      <c r="J52" s="68" t="s">
        <v>194</v>
      </c>
      <c r="K52" s="105" t="s">
        <v>194</v>
      </c>
      <c r="L52" s="106">
        <f t="shared" si="24"/>
        <v>11200</v>
      </c>
      <c r="M52" s="106"/>
      <c r="N52" s="106"/>
      <c r="O52" s="106">
        <f>1600/2</f>
        <v>800</v>
      </c>
      <c r="P52" s="107">
        <f t="shared" si="25"/>
        <v>0.58139534883720934</v>
      </c>
      <c r="Q52" s="107">
        <f t="shared" si="25"/>
        <v>0.46082949308755761</v>
      </c>
      <c r="R52" s="107"/>
      <c r="S52" s="111">
        <f>T52*S$7</f>
        <v>2620.3319999999999</v>
      </c>
      <c r="T52" s="111">
        <f>1.17*T$9*CMF</f>
        <v>2620.3319999999999</v>
      </c>
      <c r="U52" s="107">
        <f>+T52/T$9</f>
        <v>1.2869999999999999</v>
      </c>
      <c r="V52" s="106"/>
      <c r="W52" s="111">
        <f>X52*W$7</f>
        <v>102579.04799999998</v>
      </c>
      <c r="X52" s="111">
        <f>1.17*X$9*CMF</f>
        <v>1424.7089999999998</v>
      </c>
      <c r="Y52" s="107">
        <f>+X52/X$9</f>
        <v>1.2869999999999999</v>
      </c>
      <c r="Z52" s="106"/>
      <c r="AA52" s="111">
        <f>AB52*AA$7</f>
        <v>101038.50900000001</v>
      </c>
      <c r="AB52" s="111">
        <f>1.17*AB$9*CMF</f>
        <v>1656.3690000000001</v>
      </c>
      <c r="AC52" s="107">
        <f>+AB52/AB$9</f>
        <v>1.2870000000000001</v>
      </c>
      <c r="AD52" s="106"/>
      <c r="AE52" s="111">
        <f>AF52*AE$7</f>
        <v>0</v>
      </c>
      <c r="AF52" s="111">
        <f>1.17*AF$9*CMF</f>
        <v>1994.8500000000001</v>
      </c>
      <c r="AG52" s="107">
        <f>+AF52/AF$9</f>
        <v>1.2870000000000001</v>
      </c>
      <c r="AH52" s="107"/>
      <c r="AI52" s="111">
        <f t="shared" si="4"/>
        <v>206237.88899999997</v>
      </c>
      <c r="AJ52" s="97">
        <f>+AI52/AI$7</f>
        <v>1550.660819548872</v>
      </c>
      <c r="AK52" s="107">
        <f>+AJ52/AJ$9</f>
        <v>1.2868554519077777</v>
      </c>
      <c r="AL52" s="120"/>
      <c r="AM52" s="109"/>
      <c r="AN52" s="22" t="s">
        <v>209</v>
      </c>
      <c r="AO52" s="104">
        <f>AP52/$AP$49</f>
        <v>-2.8223557972583056E-2</v>
      </c>
      <c r="AP52" s="22">
        <f>-AP42</f>
        <v>-342540.10861602885</v>
      </c>
      <c r="AQ52" s="106">
        <f t="shared" si="26"/>
        <v>-2575.4895384663823</v>
      </c>
      <c r="AR52" s="119">
        <f t="shared" si="26"/>
        <v>-1.6070193357666254E-2</v>
      </c>
    </row>
    <row r="53" spans="1:46">
      <c r="A53" s="53" t="s">
        <v>171</v>
      </c>
      <c r="B53" s="25" t="s">
        <v>34</v>
      </c>
      <c r="C53" s="103"/>
      <c r="D53" s="104">
        <f>L53/$L$90</f>
        <v>1.8998814546559124E-2</v>
      </c>
      <c r="E53" s="105" t="s">
        <v>194</v>
      </c>
      <c r="F53" s="105" t="s">
        <v>194</v>
      </c>
      <c r="G53" s="105" t="s">
        <v>194</v>
      </c>
      <c r="H53" s="105" t="s">
        <v>194</v>
      </c>
      <c r="I53" s="105" t="s">
        <v>194</v>
      </c>
      <c r="J53" s="105" t="s">
        <v>194</v>
      </c>
      <c r="K53" s="105" t="s">
        <v>194</v>
      </c>
      <c r="L53" s="106">
        <f t="shared" si="24"/>
        <v>13484.8</v>
      </c>
      <c r="M53" s="106"/>
      <c r="N53" s="106"/>
      <c r="O53" s="106">
        <f>(1376*0.7)</f>
        <v>963.19999999999993</v>
      </c>
      <c r="P53" s="107">
        <f t="shared" si="25"/>
        <v>0.7</v>
      </c>
      <c r="Q53" s="107">
        <f t="shared" si="25"/>
        <v>0.55483870967741933</v>
      </c>
      <c r="R53" s="107"/>
      <c r="S53" s="111">
        <f>T53*S$7</f>
        <v>1679.7</v>
      </c>
      <c r="T53" s="111">
        <f>T$9*0.75*CMF</f>
        <v>1679.7</v>
      </c>
      <c r="U53" s="107">
        <f>+T53/T$9</f>
        <v>0.82500000000000007</v>
      </c>
      <c r="V53" s="106"/>
      <c r="W53" s="111">
        <f>X53*W$7</f>
        <v>74523.240000000005</v>
      </c>
      <c r="X53" s="111">
        <f>X$9*0.85*CMF</f>
        <v>1035.0450000000001</v>
      </c>
      <c r="Y53" s="107">
        <f>+X53/X$9</f>
        <v>0.93500000000000005</v>
      </c>
      <c r="Z53" s="106"/>
      <c r="AA53" s="111">
        <f>AB53*AA$7</f>
        <v>73404.045000000013</v>
      </c>
      <c r="AB53" s="111">
        <f>AB$9*0.85*CMF</f>
        <v>1203.3450000000003</v>
      </c>
      <c r="AC53" s="107">
        <f>+AB53/AB$9</f>
        <v>0.93500000000000016</v>
      </c>
      <c r="AD53" s="106"/>
      <c r="AE53" s="111">
        <f>AF53*AE$7</f>
        <v>0</v>
      </c>
      <c r="AF53" s="111">
        <f>AF$9*0.85*CMF</f>
        <v>1449.2500000000002</v>
      </c>
      <c r="AG53" s="107">
        <f>+AF53/AF$9</f>
        <v>0.93500000000000016</v>
      </c>
      <c r="AH53" s="107"/>
      <c r="AI53" s="111">
        <f t="shared" si="4"/>
        <v>149606.98500000004</v>
      </c>
      <c r="AJ53" s="97">
        <f>+AI53/AI$7</f>
        <v>1124.8645488721809</v>
      </c>
      <c r="AK53" s="107">
        <f>+AJ53/AJ$9</f>
        <v>0.9334975509312704</v>
      </c>
      <c r="AL53" s="120"/>
      <c r="AM53" s="109"/>
      <c r="AN53" s="22" t="s">
        <v>216</v>
      </c>
      <c r="AO53" s="104">
        <f>AP53/$AP$49</f>
        <v>-2.7030499589229661E-2</v>
      </c>
      <c r="AP53" s="22">
        <f>-AP47</f>
        <v>-328060.34852992895</v>
      </c>
      <c r="AQ53" s="106">
        <f t="shared" si="26"/>
        <v>-2466.6191618791649</v>
      </c>
      <c r="AR53" s="119">
        <f t="shared" si="26"/>
        <v>-1.539087861903201E-2</v>
      </c>
    </row>
    <row r="54" spans="1:46">
      <c r="A54" s="53" t="s">
        <v>172</v>
      </c>
      <c r="B54" s="25" t="s">
        <v>35</v>
      </c>
      <c r="C54" s="103"/>
      <c r="E54" s="105"/>
      <c r="F54" s="105"/>
      <c r="G54" s="105"/>
      <c r="H54" s="105"/>
      <c r="I54" s="105"/>
      <c r="K54" s="105"/>
      <c r="L54" s="106"/>
      <c r="M54" s="106"/>
      <c r="N54" s="106"/>
      <c r="O54" s="106"/>
      <c r="P54" s="107"/>
      <c r="Q54" s="107"/>
      <c r="R54" s="107"/>
      <c r="S54" s="111"/>
      <c r="T54" s="116"/>
      <c r="U54" s="107"/>
      <c r="V54" s="106"/>
      <c r="W54" s="111"/>
      <c r="X54" s="111"/>
      <c r="Y54" s="107"/>
      <c r="Z54" s="106"/>
      <c r="AA54" s="111"/>
      <c r="AB54" s="111"/>
      <c r="AC54" s="107"/>
      <c r="AD54" s="106"/>
      <c r="AE54" s="111"/>
      <c r="AF54" s="111"/>
      <c r="AG54" s="107"/>
      <c r="AH54" s="107"/>
      <c r="AI54" s="111"/>
      <c r="AJ54" s="97" t="s">
        <v>71</v>
      </c>
      <c r="AK54" s="107"/>
      <c r="AL54" s="120"/>
      <c r="AM54" s="109"/>
      <c r="AN54" s="22" t="s">
        <v>217</v>
      </c>
      <c r="AO54" s="104">
        <f>AP54/$AP$49</f>
        <v>-0.10639649927225572</v>
      </c>
      <c r="AP54" s="22">
        <f>-AP48</f>
        <v>-1291299.5750743828</v>
      </c>
      <c r="AQ54" s="106">
        <f t="shared" si="26"/>
        <v>-9709.0193614615255</v>
      </c>
      <c r="AR54" s="119">
        <f t="shared" si="26"/>
        <v>-6.0581033672115092E-2</v>
      </c>
    </row>
    <row r="55" spans="1:46" ht="12.75" thickBot="1">
      <c r="A55" s="53" t="s">
        <v>172</v>
      </c>
      <c r="B55" s="22" t="s">
        <v>36</v>
      </c>
      <c r="C55" s="103"/>
      <c r="D55" s="104">
        <f>L55/$L$90</f>
        <v>2.8793105828841033E-2</v>
      </c>
      <c r="E55" s="105" t="s">
        <v>194</v>
      </c>
      <c r="F55" s="105" t="s">
        <v>194</v>
      </c>
      <c r="G55" s="105" t="s">
        <v>194</v>
      </c>
      <c r="H55" s="105" t="s">
        <v>194</v>
      </c>
      <c r="I55" s="105" t="s">
        <v>194</v>
      </c>
      <c r="J55" s="105" t="s">
        <v>194</v>
      </c>
      <c r="K55" s="105" t="s">
        <v>194</v>
      </c>
      <c r="L55" s="106">
        <f>7*O55</f>
        <v>20436.5</v>
      </c>
      <c r="M55" s="106"/>
      <c r="N55" s="106"/>
      <c r="O55" s="106">
        <f>(2739+(21700/7))/2</f>
        <v>2919.5</v>
      </c>
      <c r="P55" s="107">
        <f t="shared" si="25"/>
        <v>2.1217296511627906</v>
      </c>
      <c r="Q55" s="107">
        <f t="shared" si="25"/>
        <v>1.6817396313364055</v>
      </c>
      <c r="R55" s="107"/>
      <c r="S55" s="111">
        <f>T55*S$7</f>
        <v>2217.2040000000002</v>
      </c>
      <c r="T55" s="111">
        <f>T$9*3*0.33*CMF</f>
        <v>2217.2040000000002</v>
      </c>
      <c r="U55" s="107">
        <f>+T55/T$9</f>
        <v>1.0890000000000002</v>
      </c>
      <c r="V55" s="106"/>
      <c r="W55" s="111">
        <f>X55*W$7</f>
        <v>86797.656000000017</v>
      </c>
      <c r="X55" s="111">
        <f>X$9*3*0.33*CMF</f>
        <v>1205.5230000000001</v>
      </c>
      <c r="Y55" s="107">
        <f>+X55/X$9</f>
        <v>1.0890000000000002</v>
      </c>
      <c r="Z55" s="106"/>
      <c r="AA55" s="111">
        <f>AB55*AA$7</f>
        <v>85494.123000000007</v>
      </c>
      <c r="AB55" s="111">
        <f>AB$9*3*0.33*CMF</f>
        <v>1401.5430000000001</v>
      </c>
      <c r="AC55" s="107">
        <f>+AB55/AB$9</f>
        <v>1.0890000000000002</v>
      </c>
      <c r="AD55" s="106"/>
      <c r="AE55" s="111">
        <f>AF55*AE$7</f>
        <v>0</v>
      </c>
      <c r="AF55" s="111">
        <f>AF$9*3*0.33*CMF</f>
        <v>1687.95</v>
      </c>
      <c r="AG55" s="107">
        <f>+AF55/AF$9</f>
        <v>1.089</v>
      </c>
      <c r="AH55" s="107"/>
      <c r="AI55" s="111">
        <f t="shared" si="4"/>
        <v>174508.98300000004</v>
      </c>
      <c r="AJ55" s="97">
        <f>+AI55/AI$7</f>
        <v>1312.0976165413535</v>
      </c>
      <c r="AK55" s="107">
        <f>+AJ55/AJ$9</f>
        <v>1.0888776900758121</v>
      </c>
      <c r="AL55" s="120"/>
      <c r="AM55" s="109"/>
      <c r="AN55" s="16" t="s">
        <v>214</v>
      </c>
      <c r="AO55" s="17">
        <f>AP55/$AP$49</f>
        <v>0.68227949555914202</v>
      </c>
      <c r="AP55" s="5">
        <f>SUM(AP49:AP54)</f>
        <v>8280603.485299292</v>
      </c>
      <c r="AQ55" s="5">
        <f>+AP55/AQ$7</f>
        <v>62260.176581197687</v>
      </c>
      <c r="AR55" s="3">
        <f>+AP55/AR$7</f>
        <v>51.668196332944134</v>
      </c>
    </row>
    <row r="56" spans="1:46" ht="13.5" thickTop="1" thickBot="1">
      <c r="A56" s="53" t="s">
        <v>172</v>
      </c>
      <c r="B56" s="22" t="s">
        <v>72</v>
      </c>
      <c r="C56" s="103"/>
      <c r="D56" s="104">
        <f>L56/$L$90</f>
        <v>1.997124141236619E-2</v>
      </c>
      <c r="E56" s="105" t="s">
        <v>194</v>
      </c>
      <c r="F56" s="105" t="s">
        <v>194</v>
      </c>
      <c r="G56" s="68" t="s">
        <v>194</v>
      </c>
      <c r="H56" s="105" t="s">
        <v>194</v>
      </c>
      <c r="I56" s="105" t="s">
        <v>194</v>
      </c>
      <c r="J56" s="68" t="s">
        <v>194</v>
      </c>
      <c r="K56" s="68" t="s">
        <v>194</v>
      </c>
      <c r="L56" s="106">
        <f>7*O56</f>
        <v>14175</v>
      </c>
      <c r="M56" s="106"/>
      <c r="N56" s="106"/>
      <c r="O56" s="106">
        <f>4050/2</f>
        <v>2025</v>
      </c>
      <c r="P56" s="107">
        <f t="shared" si="25"/>
        <v>1.4716569767441861</v>
      </c>
      <c r="Q56" s="107">
        <f t="shared" si="25"/>
        <v>1.1664746543778801</v>
      </c>
      <c r="R56" s="107"/>
      <c r="S56" s="111">
        <f>T56*S$7</f>
        <v>4501.5960000000005</v>
      </c>
      <c r="T56" s="111">
        <f>$T$9*3*0.67*CMF</f>
        <v>4501.5960000000005</v>
      </c>
      <c r="U56" s="107">
        <f>+T56/T$9</f>
        <v>2.2110000000000003</v>
      </c>
      <c r="V56" s="106"/>
      <c r="W56" s="111">
        <f>X56*W$7</f>
        <v>324114.91200000001</v>
      </c>
      <c r="X56" s="111">
        <f>$T$9*3*0.67*CMF</f>
        <v>4501.5960000000005</v>
      </c>
      <c r="Y56" s="107">
        <f>+X56/X$9</f>
        <v>4.0664823848238489</v>
      </c>
      <c r="Z56" s="106"/>
      <c r="AA56" s="111">
        <f>AB56*AA$7</f>
        <v>274597.35600000003</v>
      </c>
      <c r="AB56" s="111">
        <f>$T$9*3*0.67*CMF</f>
        <v>4501.5960000000005</v>
      </c>
      <c r="AC56" s="107">
        <f>+AB56/AB$9</f>
        <v>3.4977435897435902</v>
      </c>
      <c r="AD56" s="106"/>
      <c r="AE56" s="111">
        <f>AF56*AE$7</f>
        <v>0</v>
      </c>
      <c r="AF56" s="111">
        <f>$T$9*3*0.67*CMF</f>
        <v>4501.5960000000005</v>
      </c>
      <c r="AG56" s="107">
        <f>+AF56/AF$9</f>
        <v>2.9042554838709682</v>
      </c>
      <c r="AH56" s="107"/>
      <c r="AI56" s="111">
        <f t="shared" si="4"/>
        <v>603213.86400000006</v>
      </c>
      <c r="AJ56" s="97">
        <f>+AI56/AI$7</f>
        <v>4535.4425864661662</v>
      </c>
      <c r="AK56" s="107">
        <f>+AJ56/AJ$9</f>
        <v>3.7638527688515904</v>
      </c>
      <c r="AL56" s="120"/>
      <c r="AM56" s="109"/>
    </row>
    <row r="57" spans="1:46" ht="12.75" thickBot="1">
      <c r="A57" s="53" t="s">
        <v>159</v>
      </c>
      <c r="B57" s="27" t="s">
        <v>37</v>
      </c>
      <c r="C57" s="103"/>
      <c r="D57" s="104">
        <f>L57/$L$90</f>
        <v>3.5997546249450169E-3</v>
      </c>
      <c r="E57" s="105" t="s">
        <v>194</v>
      </c>
      <c r="F57" s="105" t="s">
        <v>194</v>
      </c>
      <c r="G57" s="113"/>
      <c r="H57" s="105" t="s">
        <v>194</v>
      </c>
      <c r="I57" s="105" t="s">
        <v>194</v>
      </c>
      <c r="J57" s="68" t="s">
        <v>194</v>
      </c>
      <c r="K57" s="68" t="s">
        <v>194</v>
      </c>
      <c r="L57" s="106">
        <f>7*O57</f>
        <v>2555</v>
      </c>
      <c r="M57" s="106"/>
      <c r="N57" s="106"/>
      <c r="O57" s="106">
        <f>730/2</f>
        <v>365</v>
      </c>
      <c r="P57" s="107">
        <f t="shared" si="25"/>
        <v>0.26526162790697677</v>
      </c>
      <c r="Q57" s="107">
        <f t="shared" si="25"/>
        <v>0.21025345622119815</v>
      </c>
      <c r="R57" s="107"/>
      <c r="S57" s="111">
        <f>T57*S$7</f>
        <v>365</v>
      </c>
      <c r="T57" s="111">
        <f>+O57</f>
        <v>365</v>
      </c>
      <c r="U57" s="107">
        <f>+T57/T$9</f>
        <v>0.17927308447937132</v>
      </c>
      <c r="V57" s="106"/>
      <c r="W57" s="111">
        <f>X57*W$7</f>
        <v>0</v>
      </c>
      <c r="X57" s="111">
        <v>0</v>
      </c>
      <c r="Y57" s="107">
        <f>+X57/X$9</f>
        <v>0</v>
      </c>
      <c r="Z57" s="106"/>
      <c r="AA57" s="111">
        <f>AB57*AA$7</f>
        <v>22265</v>
      </c>
      <c r="AB57" s="111">
        <f>+O57</f>
        <v>365</v>
      </c>
      <c r="AC57" s="107">
        <f>+AB57/AB$9</f>
        <v>0.28360528360528359</v>
      </c>
      <c r="AD57" s="106"/>
      <c r="AE57" s="111">
        <f>AF57*AE$7</f>
        <v>0</v>
      </c>
      <c r="AF57" s="111">
        <v>0</v>
      </c>
      <c r="AG57" s="107">
        <f>+AF57/AF$9</f>
        <v>0</v>
      </c>
      <c r="AH57" s="107"/>
      <c r="AI57" s="111">
        <f t="shared" si="4"/>
        <v>22630</v>
      </c>
      <c r="AJ57" s="97">
        <f>+AI57/AI$7</f>
        <v>170.15037593984962</v>
      </c>
      <c r="AK57" s="107">
        <f>+AJ57/AJ$9</f>
        <v>0.14120363148535239</v>
      </c>
      <c r="AL57" s="120"/>
      <c r="AM57" s="109"/>
      <c r="AP57" s="22">
        <f>0.75*AP49</f>
        <v>9102505.1381397247</v>
      </c>
    </row>
    <row r="58" spans="1:46">
      <c r="B58" s="27" t="s">
        <v>386</v>
      </c>
      <c r="C58" s="103"/>
      <c r="D58" s="104"/>
      <c r="E58" s="105"/>
      <c r="F58" s="105"/>
      <c r="G58" s="211"/>
      <c r="H58" s="105"/>
      <c r="I58" s="105"/>
      <c r="J58" s="68"/>
      <c r="K58" s="68"/>
      <c r="L58" s="106"/>
      <c r="M58" s="106"/>
      <c r="N58" s="106"/>
      <c r="O58" s="106"/>
      <c r="P58" s="107"/>
      <c r="Q58" s="107"/>
      <c r="R58" s="107"/>
      <c r="S58" s="111">
        <f>T58*S$7</f>
        <v>500</v>
      </c>
      <c r="T58" s="111">
        <v>500</v>
      </c>
      <c r="U58" s="107">
        <f>+T58/T$9</f>
        <v>0.24557956777996071</v>
      </c>
      <c r="V58" s="106"/>
      <c r="W58" s="111">
        <f>X58*W$7</f>
        <v>36000</v>
      </c>
      <c r="X58" s="111">
        <v>500</v>
      </c>
      <c r="Y58" s="107">
        <f>+X58/X$9</f>
        <v>0.45167118337850043</v>
      </c>
      <c r="Z58" s="106"/>
      <c r="AA58" s="111">
        <f>AB58*AA$7</f>
        <v>30500</v>
      </c>
      <c r="AB58" s="111">
        <v>500</v>
      </c>
      <c r="AC58" s="107">
        <f>+AB58/AB$9</f>
        <v>0.38850038850038848</v>
      </c>
      <c r="AD58" s="106"/>
      <c r="AE58" s="111">
        <f>AF58*AE$7</f>
        <v>0</v>
      </c>
      <c r="AF58" s="111">
        <v>0</v>
      </c>
      <c r="AG58" s="107">
        <f>+AF58/AF$9</f>
        <v>0</v>
      </c>
      <c r="AH58" s="107"/>
      <c r="AI58" s="111">
        <f>+AA58+W58+S58+AE58</f>
        <v>67000</v>
      </c>
      <c r="AJ58" s="97">
        <f>+AI58/AI$7</f>
        <v>503.75939849624058</v>
      </c>
      <c r="AK58" s="107">
        <f>+AJ58/AJ$9</f>
        <v>0.4180575921130627</v>
      </c>
      <c r="AL58" s="120"/>
      <c r="AM58" s="109"/>
    </row>
    <row r="59" spans="1:46" ht="12.75" thickBot="1">
      <c r="A59" s="53" t="s">
        <v>159</v>
      </c>
      <c r="B59" s="25" t="s">
        <v>38</v>
      </c>
      <c r="C59" s="103"/>
      <c r="D59" s="104"/>
      <c r="E59" s="105"/>
      <c r="F59" s="105"/>
      <c r="G59" s="105"/>
      <c r="H59" s="105"/>
      <c r="I59" s="105"/>
      <c r="J59" s="105"/>
      <c r="K59" s="105"/>
      <c r="L59" s="106"/>
      <c r="M59" s="106"/>
      <c r="N59" s="106"/>
      <c r="O59" s="120"/>
      <c r="P59" s="107"/>
      <c r="Q59" s="107"/>
      <c r="R59" s="107"/>
      <c r="S59" s="111"/>
      <c r="T59" s="111"/>
      <c r="U59" s="107"/>
      <c r="V59" s="106"/>
      <c r="W59" s="111"/>
      <c r="X59" s="111"/>
      <c r="Y59" s="107"/>
      <c r="Z59" s="106"/>
      <c r="AA59" s="111"/>
      <c r="AB59" s="111"/>
      <c r="AC59" s="107"/>
      <c r="AD59" s="106"/>
      <c r="AE59" s="111"/>
      <c r="AF59" s="111"/>
      <c r="AG59" s="107"/>
      <c r="AH59" s="107"/>
      <c r="AI59" s="111"/>
      <c r="AJ59" s="97" t="s">
        <v>71</v>
      </c>
      <c r="AK59" s="107"/>
      <c r="AL59" s="120"/>
      <c r="AM59" s="109"/>
      <c r="AP59" s="22">
        <f>+AP49-AP57</f>
        <v>3034168.3793799076</v>
      </c>
    </row>
    <row r="60" spans="1:46" ht="12.75" thickBot="1">
      <c r="A60" s="53" t="s">
        <v>159</v>
      </c>
      <c r="B60" s="53" t="s">
        <v>39</v>
      </c>
      <c r="C60" s="103"/>
      <c r="D60" s="104">
        <f t="shared" ref="D60:D66" si="27">L60/$L$90</f>
        <v>7.2734768106765754E-3</v>
      </c>
      <c r="E60" s="105" t="s">
        <v>194</v>
      </c>
      <c r="F60" s="105" t="s">
        <v>194</v>
      </c>
      <c r="G60" s="113"/>
      <c r="H60" s="105" t="s">
        <v>194</v>
      </c>
      <c r="I60" s="105" t="s">
        <v>194</v>
      </c>
      <c r="J60" s="68" t="s">
        <v>194</v>
      </c>
      <c r="K60" s="68" t="s">
        <v>194</v>
      </c>
      <c r="L60" s="106">
        <f>7*O60</f>
        <v>5162.5</v>
      </c>
      <c r="M60" s="106"/>
      <c r="N60" s="106"/>
      <c r="O60" s="106">
        <f>1475/2</f>
        <v>737.5</v>
      </c>
      <c r="P60" s="107">
        <f t="shared" si="25"/>
        <v>0.53597383720930236</v>
      </c>
      <c r="Q60" s="107">
        <f t="shared" si="25"/>
        <v>0.42482718894009219</v>
      </c>
      <c r="R60" s="107"/>
      <c r="S60" s="111">
        <f>T60*S$7</f>
        <v>990.00000000000011</v>
      </c>
      <c r="T60" s="111">
        <f>12*75*CMF</f>
        <v>990.00000000000011</v>
      </c>
      <c r="U60" s="107">
        <f>+T60/T$9</f>
        <v>0.48624754420432226</v>
      </c>
      <c r="V60" s="106"/>
      <c r="W60" s="111">
        <f>X60*W$7</f>
        <v>71280.000000000015</v>
      </c>
      <c r="X60" s="111">
        <f>12*75*CMF</f>
        <v>990.00000000000011</v>
      </c>
      <c r="Y60" s="107">
        <f>+X60/X$9</f>
        <v>0.89430894308943099</v>
      </c>
      <c r="Z60" s="106"/>
      <c r="AA60" s="111">
        <f>AB60*AA$7</f>
        <v>60390.000000000007</v>
      </c>
      <c r="AB60" s="111">
        <f>12*75*CMF</f>
        <v>990.00000000000011</v>
      </c>
      <c r="AC60" s="107">
        <f>+AB60/AB$9</f>
        <v>0.76923076923076927</v>
      </c>
      <c r="AD60" s="106"/>
      <c r="AE60" s="111">
        <f>AF60*AE$7</f>
        <v>0</v>
      </c>
      <c r="AF60" s="111">
        <f>15*75*CMF</f>
        <v>1237.5</v>
      </c>
      <c r="AG60" s="107">
        <f>+AF60/AF$9</f>
        <v>0.79838709677419351</v>
      </c>
      <c r="AH60" s="107"/>
      <c r="AI60" s="111">
        <f t="shared" si="4"/>
        <v>132660.00000000003</v>
      </c>
      <c r="AJ60" s="97">
        <f>+AI60/AI$7</f>
        <v>997.44360902255664</v>
      </c>
      <c r="AK60" s="107">
        <f>+AJ60/AJ$9</f>
        <v>0.82775403238386447</v>
      </c>
      <c r="AL60" s="120"/>
      <c r="AM60" s="109"/>
      <c r="AO60" s="104"/>
      <c r="AP60" s="110">
        <f>AP59-AP48-AP47</f>
        <v>1414808.4557755957</v>
      </c>
    </row>
    <row r="61" spans="1:46" ht="12.75" thickBot="1">
      <c r="A61" s="53" t="s">
        <v>159</v>
      </c>
      <c r="B61" s="22" t="s">
        <v>40</v>
      </c>
      <c r="C61" s="103"/>
      <c r="D61" s="104">
        <f t="shared" si="27"/>
        <v>6.2379309596649951E-3</v>
      </c>
      <c r="E61" s="105" t="s">
        <v>194</v>
      </c>
      <c r="F61" s="105" t="s">
        <v>194</v>
      </c>
      <c r="G61" s="113"/>
      <c r="H61" s="105" t="s">
        <v>194</v>
      </c>
      <c r="I61" s="105" t="s">
        <v>194</v>
      </c>
      <c r="J61" s="68" t="s">
        <v>194</v>
      </c>
      <c r="K61" s="68" t="s">
        <v>194</v>
      </c>
      <c r="L61" s="106">
        <f>7*O61</f>
        <v>4427.5</v>
      </c>
      <c r="M61" s="106"/>
      <c r="N61" s="106"/>
      <c r="O61" s="106">
        <f>1265/2</f>
        <v>632.5</v>
      </c>
      <c r="P61" s="107">
        <f t="shared" si="25"/>
        <v>0.45966569767441862</v>
      </c>
      <c r="Q61" s="107">
        <f t="shared" si="25"/>
        <v>0.36434331797235026</v>
      </c>
      <c r="R61" s="107"/>
      <c r="S61" s="111">
        <f>T61*S$7</f>
        <v>1029.4672965116281</v>
      </c>
      <c r="T61" s="111">
        <f>T$9*$P61*CMF</f>
        <v>1029.4672965116281</v>
      </c>
      <c r="U61" s="107">
        <f>+T61/T$9</f>
        <v>0.50563226744186052</v>
      </c>
      <c r="V61" s="106"/>
      <c r="W61" s="111">
        <f>X61*W$7</f>
        <v>40300.914244186046</v>
      </c>
      <c r="X61" s="111">
        <f>X$9*$P61*CMF</f>
        <v>559.73492005813955</v>
      </c>
      <c r="Y61" s="107">
        <f>+X61/X$9</f>
        <v>0.50563226744186052</v>
      </c>
      <c r="Z61" s="106"/>
      <c r="AA61" s="111">
        <f>AB61*AA$7</f>
        <v>39695.672420058145</v>
      </c>
      <c r="AB61" s="111">
        <f>AB$9*$P61*CMF</f>
        <v>650.7487281976745</v>
      </c>
      <c r="AC61" s="107">
        <f>+AB61/AB$9</f>
        <v>0.50563226744186052</v>
      </c>
      <c r="AD61" s="106"/>
      <c r="AE61" s="111">
        <f>AF61*AE$7</f>
        <v>0</v>
      </c>
      <c r="AF61" s="111">
        <f>AF$9*$P61*CMF</f>
        <v>783.73001453488382</v>
      </c>
      <c r="AG61" s="107">
        <f>+AF61/AF$9</f>
        <v>0.50563226744186052</v>
      </c>
      <c r="AH61" s="107"/>
      <c r="AI61" s="111">
        <f t="shared" si="4"/>
        <v>81026.053960755817</v>
      </c>
      <c r="AJ61" s="97">
        <f>+AI61/AI$7</f>
        <v>609.21845083275048</v>
      </c>
      <c r="AK61" s="107">
        <f>+AJ61/AJ$9</f>
        <v>0.50557547786950252</v>
      </c>
      <c r="AL61" s="120"/>
      <c r="AM61" s="109"/>
      <c r="AO61" s="104"/>
      <c r="AP61" s="110"/>
    </row>
    <row r="62" spans="1:46" ht="12.75" thickBot="1">
      <c r="A62" s="53" t="s">
        <v>159</v>
      </c>
      <c r="B62" s="22" t="s">
        <v>27</v>
      </c>
      <c r="C62" s="103"/>
      <c r="D62" s="104">
        <f t="shared" si="27"/>
        <v>6.1491698867211456E-3</v>
      </c>
      <c r="E62" s="105" t="s">
        <v>194</v>
      </c>
      <c r="F62" s="105" t="s">
        <v>194</v>
      </c>
      <c r="G62" s="113"/>
      <c r="H62" s="105" t="s">
        <v>194</v>
      </c>
      <c r="I62" s="105" t="s">
        <v>194</v>
      </c>
      <c r="J62" s="68" t="s">
        <v>194</v>
      </c>
      <c r="K62" s="68" t="s">
        <v>194</v>
      </c>
      <c r="L62" s="106">
        <f>7*O62</f>
        <v>4364.5</v>
      </c>
      <c r="M62" s="106"/>
      <c r="N62" s="106"/>
      <c r="O62" s="106">
        <f>1247/2</f>
        <v>623.5</v>
      </c>
      <c r="P62" s="107">
        <f t="shared" si="25"/>
        <v>0.453125</v>
      </c>
      <c r="Q62" s="107">
        <f t="shared" si="25"/>
        <v>0.35915898617511521</v>
      </c>
      <c r="R62" s="107"/>
      <c r="S62" s="111">
        <f>T62*S$7</f>
        <v>1014.8187500000001</v>
      </c>
      <c r="T62" s="111">
        <f>T$9*$P62*CMF</f>
        <v>1014.8187500000001</v>
      </c>
      <c r="U62" s="107">
        <f>+T62/T$9</f>
        <v>0.49843750000000009</v>
      </c>
      <c r="V62" s="106"/>
      <c r="W62" s="111">
        <f>X62*W$7</f>
        <v>39727.462500000001</v>
      </c>
      <c r="X62" s="111">
        <f>X$9*$P62*CMF</f>
        <v>551.77031250000005</v>
      </c>
      <c r="Y62" s="107">
        <f>+X62/X$9</f>
        <v>0.49843750000000003</v>
      </c>
      <c r="Z62" s="106"/>
      <c r="AA62" s="111">
        <f>AB62*AA$7</f>
        <v>39130.832812500004</v>
      </c>
      <c r="AB62" s="111">
        <f>AB$9*$P62*CMF</f>
        <v>641.48906250000005</v>
      </c>
      <c r="AC62" s="107">
        <f>+AB62/AB$9</f>
        <v>0.49843750000000003</v>
      </c>
      <c r="AD62" s="106"/>
      <c r="AE62" s="111">
        <f>AF62*AE$7</f>
        <v>0</v>
      </c>
      <c r="AF62" s="111">
        <f>AF$9*$P62*CMF</f>
        <v>772.57812500000011</v>
      </c>
      <c r="AG62" s="107">
        <f>+AF62/AF$9</f>
        <v>0.49843750000000009</v>
      </c>
      <c r="AH62" s="107"/>
      <c r="AI62" s="111">
        <f t="shared" si="4"/>
        <v>79873.114062500012</v>
      </c>
      <c r="AJ62" s="97">
        <f>+AI62/AI$7</f>
        <v>600.54972979323315</v>
      </c>
      <c r="AK62" s="107">
        <f>+AJ62/AJ$9</f>
        <v>0.49838151850060841</v>
      </c>
      <c r="AL62" s="120"/>
      <c r="AM62" s="109"/>
      <c r="AO62" s="104"/>
      <c r="AP62" s="106">
        <f>AA7</f>
        <v>61</v>
      </c>
      <c r="AQ62" s="22">
        <f>475*3</f>
        <v>1425</v>
      </c>
      <c r="AR62" s="22">
        <f>AQ62*AP62</f>
        <v>86925</v>
      </c>
      <c r="AT62" s="33"/>
    </row>
    <row r="63" spans="1:46">
      <c r="B63" s="25" t="s">
        <v>41</v>
      </c>
      <c r="C63" s="103"/>
      <c r="D63" s="104">
        <f t="shared" si="27"/>
        <v>0</v>
      </c>
      <c r="E63" s="105"/>
      <c r="F63" s="105"/>
      <c r="G63" s="105"/>
      <c r="H63" s="105"/>
      <c r="I63" s="105"/>
      <c r="J63" s="105"/>
      <c r="K63" s="105"/>
      <c r="L63" s="106"/>
      <c r="M63" s="106"/>
      <c r="N63" s="106"/>
      <c r="O63" s="106"/>
      <c r="P63" s="107"/>
      <c r="Q63" s="107"/>
      <c r="R63" s="107"/>
      <c r="S63" s="111"/>
      <c r="T63" s="111"/>
      <c r="U63" s="107"/>
      <c r="V63" s="106"/>
      <c r="W63" s="111"/>
      <c r="X63" s="111"/>
      <c r="Y63" s="107"/>
      <c r="Z63" s="106"/>
      <c r="AA63" s="111"/>
      <c r="AB63" s="111"/>
      <c r="AC63" s="107"/>
      <c r="AD63" s="106"/>
      <c r="AE63" s="111"/>
      <c r="AF63" s="111"/>
      <c r="AG63" s="107"/>
      <c r="AH63" s="107"/>
      <c r="AI63" s="111"/>
      <c r="AJ63" s="97" t="s">
        <v>71</v>
      </c>
      <c r="AK63" s="107"/>
      <c r="AL63" s="120"/>
      <c r="AM63" s="109"/>
      <c r="AO63" s="104"/>
      <c r="AP63" s="106">
        <f>W7</f>
        <v>72</v>
      </c>
      <c r="AQ63" s="22">
        <v>1200</v>
      </c>
      <c r="AR63" s="22">
        <f>AQ63*AP63</f>
        <v>86400</v>
      </c>
      <c r="AT63" s="33"/>
    </row>
    <row r="64" spans="1:46" ht="12.75" thickBot="1">
      <c r="A64" s="53" t="s">
        <v>173</v>
      </c>
      <c r="B64" s="22" t="s">
        <v>42</v>
      </c>
      <c r="C64" s="103"/>
      <c r="D64" s="104">
        <f t="shared" si="27"/>
        <v>1.1218413385958786E-2</v>
      </c>
      <c r="E64" s="105" t="s">
        <v>194</v>
      </c>
      <c r="F64" s="105" t="s">
        <v>194</v>
      </c>
      <c r="G64" s="105" t="s">
        <v>194</v>
      </c>
      <c r="H64" s="105" t="s">
        <v>194</v>
      </c>
      <c r="I64" s="105" t="s">
        <v>194</v>
      </c>
      <c r="J64" s="105" t="s">
        <v>194</v>
      </c>
      <c r="K64" s="105" t="s">
        <v>194</v>
      </c>
      <c r="L64" s="106">
        <f>7*O64</f>
        <v>7962.5</v>
      </c>
      <c r="M64" s="106"/>
      <c r="N64" s="106"/>
      <c r="O64" s="106">
        <f>2275/2</f>
        <v>1137.5</v>
      </c>
      <c r="P64" s="107">
        <f t="shared" si="25"/>
        <v>0.82667151162790697</v>
      </c>
      <c r="Q64" s="107">
        <f t="shared" si="25"/>
        <v>0.655241935483871</v>
      </c>
      <c r="R64" s="107"/>
      <c r="S64" s="111">
        <f>T64*S$7</f>
        <v>1902.8460000000002</v>
      </c>
      <c r="T64" s="111">
        <f>2*U$9*0.33*CMF</f>
        <v>1902.8460000000002</v>
      </c>
      <c r="U64" s="107">
        <f>+T64/T$9</f>
        <v>0.93460019646365433</v>
      </c>
      <c r="V64" s="106"/>
      <c r="W64" s="111">
        <f>X64*W$7</f>
        <v>57865.103999999999</v>
      </c>
      <c r="X64" s="111">
        <f>2*Y$9*0.33*CMF</f>
        <v>803.68200000000002</v>
      </c>
      <c r="Y64" s="107">
        <f>+X64/X$9</f>
        <v>0.72599999999999998</v>
      </c>
      <c r="Z64" s="106"/>
      <c r="AA64" s="111">
        <f>AB64*AA$7</f>
        <v>70636.170000000013</v>
      </c>
      <c r="AB64" s="111">
        <f>2*AC$9*0.33*CMF</f>
        <v>1157.9700000000003</v>
      </c>
      <c r="AC64" s="107">
        <f>+AB64/AB$9</f>
        <v>0.89974358974358992</v>
      </c>
      <c r="AD64" s="106"/>
      <c r="AE64" s="111">
        <f>AF64*AE$7</f>
        <v>0</v>
      </c>
      <c r="AF64" s="111">
        <f>2*AG$9*0.33*CMF</f>
        <v>1125.3000000000002</v>
      </c>
      <c r="AG64" s="107">
        <f>+AF64/AF$9</f>
        <v>0.72600000000000009</v>
      </c>
      <c r="AH64" s="107"/>
      <c r="AI64" s="111">
        <f t="shared" si="4"/>
        <v>130404.12000000001</v>
      </c>
      <c r="AJ64" s="97">
        <f>+AI64/AI$7</f>
        <v>980.48210526315802</v>
      </c>
      <c r="AK64" s="107">
        <f>+AJ64/AJ$9</f>
        <v>0.81367809565407301</v>
      </c>
      <c r="AL64" s="120"/>
      <c r="AM64" s="109"/>
      <c r="AO64" s="104"/>
      <c r="AP64" s="22">
        <f>S7</f>
        <v>1</v>
      </c>
      <c r="AQ64" s="106">
        <v>1250</v>
      </c>
      <c r="AR64" s="22">
        <f>AQ64*AP64</f>
        <v>1250</v>
      </c>
      <c r="AT64" s="33"/>
    </row>
    <row r="65" spans="1:47" ht="12.75" thickBot="1">
      <c r="A65" s="53" t="s">
        <v>174</v>
      </c>
      <c r="B65" s="22" t="s">
        <v>43</v>
      </c>
      <c r="C65" s="103"/>
      <c r="D65" s="104">
        <f t="shared" si="27"/>
        <v>8.9747307087670279E-3</v>
      </c>
      <c r="E65" s="105" t="s">
        <v>194</v>
      </c>
      <c r="F65" s="105" t="s">
        <v>194</v>
      </c>
      <c r="G65" s="113"/>
      <c r="H65" s="105" t="s">
        <v>194</v>
      </c>
      <c r="I65" s="105" t="s">
        <v>194</v>
      </c>
      <c r="J65" s="68" t="s">
        <v>194</v>
      </c>
      <c r="K65" s="68" t="s">
        <v>194</v>
      </c>
      <c r="L65" s="106">
        <f>7*O65</f>
        <v>6370</v>
      </c>
      <c r="M65" s="106"/>
      <c r="N65" s="106"/>
      <c r="O65" s="106">
        <f>1820/2</f>
        <v>910</v>
      </c>
      <c r="P65" s="107">
        <f>$O65/P$9</f>
        <v>0.66133720930232553</v>
      </c>
      <c r="Q65" s="107">
        <f>$O65/Q$9</f>
        <v>0.52419354838709675</v>
      </c>
      <c r="R65" s="107"/>
      <c r="S65" s="111">
        <f>T65*S$7</f>
        <v>3863.3540000000007</v>
      </c>
      <c r="T65" s="111">
        <f>2*U$9*0.67*CMF</f>
        <v>3863.3540000000007</v>
      </c>
      <c r="U65" s="107">
        <f>+T65/T$9</f>
        <v>1.897521611001965</v>
      </c>
      <c r="V65" s="106"/>
      <c r="W65" s="111">
        <f>X65*W$7</f>
        <v>117483.69600000003</v>
      </c>
      <c r="X65" s="111">
        <f>2*Y$9*0.67*CMF</f>
        <v>1631.7180000000003</v>
      </c>
      <c r="Y65" s="107">
        <f>+X65/X$9</f>
        <v>1.4740000000000002</v>
      </c>
      <c r="Z65" s="106"/>
      <c r="AA65" s="111">
        <f>AB65*AA$7</f>
        <v>143412.83000000002</v>
      </c>
      <c r="AB65" s="111">
        <f>2*AC$9*0.67*CMF</f>
        <v>2351.0300000000002</v>
      </c>
      <c r="AC65" s="107">
        <f>+AB65/AB$9</f>
        <v>1.8267521367521369</v>
      </c>
      <c r="AD65" s="106"/>
      <c r="AE65" s="111">
        <f>AF65*AE$7</f>
        <v>0</v>
      </c>
      <c r="AF65" s="111">
        <f>2*AG$9*0.67*CMF</f>
        <v>2284.7000000000003</v>
      </c>
      <c r="AG65" s="107">
        <f>+AF65/AF$9</f>
        <v>1.4740000000000002</v>
      </c>
      <c r="AH65" s="107"/>
      <c r="AI65" s="111">
        <f t="shared" si="4"/>
        <v>264759.88000000006</v>
      </c>
      <c r="AJ65" s="97">
        <f>+AI65/AI$7</f>
        <v>1990.6757894736847</v>
      </c>
      <c r="AK65" s="107">
        <f>+AJ65/AJ$9</f>
        <v>1.6520131032976637</v>
      </c>
      <c r="AL65" s="120"/>
      <c r="AM65" s="109"/>
      <c r="AO65" s="104"/>
      <c r="AP65" s="22">
        <f>2900000/28</f>
        <v>103571.42857142857</v>
      </c>
      <c r="AQ65" s="33">
        <f>AP65/1343</f>
        <v>77.119455377087533</v>
      </c>
      <c r="AR65" s="106"/>
    </row>
    <row r="66" spans="1:47" ht="12.75" thickBot="1">
      <c r="A66" s="53" t="s">
        <v>174</v>
      </c>
      <c r="B66" s="22" t="s">
        <v>44</v>
      </c>
      <c r="C66" s="103"/>
      <c r="D66" s="104">
        <f t="shared" si="27"/>
        <v>2.243682677191757E-3</v>
      </c>
      <c r="E66" s="105" t="s">
        <v>194</v>
      </c>
      <c r="F66" s="105" t="s">
        <v>194</v>
      </c>
      <c r="G66" s="113"/>
      <c r="H66" s="105" t="s">
        <v>194</v>
      </c>
      <c r="I66" s="105" t="s">
        <v>194</v>
      </c>
      <c r="J66" s="68" t="s">
        <v>194</v>
      </c>
      <c r="K66" s="68" t="s">
        <v>194</v>
      </c>
      <c r="L66" s="106">
        <f>7*O66</f>
        <v>1592.5</v>
      </c>
      <c r="M66" s="106"/>
      <c r="N66" s="106"/>
      <c r="O66" s="106">
        <f>455/2</f>
        <v>227.5</v>
      </c>
      <c r="P66" s="107">
        <f>$O66/P$9</f>
        <v>0.16533430232558138</v>
      </c>
      <c r="Q66" s="107">
        <f>$O66/Q$9</f>
        <v>0.13104838709677419</v>
      </c>
      <c r="R66" s="107"/>
      <c r="S66" s="111">
        <f>T66*S$7</f>
        <v>370.28270348837214</v>
      </c>
      <c r="T66" s="111">
        <f>T$9*$P66*CMF</f>
        <v>370.28270348837214</v>
      </c>
      <c r="U66" s="107">
        <f>+T66/T$9</f>
        <v>0.18186773255813957</v>
      </c>
      <c r="V66" s="106"/>
      <c r="W66" s="111">
        <f>X66*W$7</f>
        <v>14495.585755813954</v>
      </c>
      <c r="X66" s="111">
        <f>X$9*$P66*CMF</f>
        <v>201.32757994186048</v>
      </c>
      <c r="Y66" s="107">
        <f>+X66/X$9</f>
        <v>0.18186773255813954</v>
      </c>
      <c r="Z66" s="106"/>
      <c r="AA66" s="111">
        <f>AB66*AA$7</f>
        <v>14277.890079941859</v>
      </c>
      <c r="AB66" s="111">
        <f>AB$9*$P66*CMF</f>
        <v>234.06377180232556</v>
      </c>
      <c r="AC66" s="107">
        <f>+AB66/AB$9</f>
        <v>0.18186773255813951</v>
      </c>
      <c r="AD66" s="106"/>
      <c r="AE66" s="111">
        <f>AF66*AE$7</f>
        <v>0</v>
      </c>
      <c r="AF66" s="111">
        <f>AF$9*$P66*CMF</f>
        <v>281.89498546511624</v>
      </c>
      <c r="AG66" s="107">
        <f>+AF66/AF$9</f>
        <v>0.18186773255813951</v>
      </c>
      <c r="AH66" s="107"/>
      <c r="AI66" s="111">
        <f t="shared" si="4"/>
        <v>29143.758539244183</v>
      </c>
      <c r="AJ66" s="97">
        <f>+AI66/AI$7</f>
        <v>219.12600405446756</v>
      </c>
      <c r="AK66" s="107">
        <f>+AJ66/AJ$9</f>
        <v>0.18184730626926768</v>
      </c>
      <c r="AL66" s="120"/>
      <c r="AM66" s="109"/>
      <c r="AP66" s="22">
        <f>2700000/28</f>
        <v>96428.571428571435</v>
      </c>
      <c r="AQ66" s="33">
        <f>AP66/1343</f>
        <v>71.800872247633237</v>
      </c>
    </row>
    <row r="67" spans="1:47">
      <c r="B67" s="25" t="s">
        <v>45</v>
      </c>
      <c r="C67" s="103"/>
      <c r="D67" s="104"/>
      <c r="E67" s="105"/>
      <c r="F67" s="105"/>
      <c r="G67" s="105"/>
      <c r="H67" s="105"/>
      <c r="I67" s="105"/>
      <c r="J67" s="105"/>
      <c r="K67" s="105"/>
      <c r="L67" s="106"/>
      <c r="M67" s="106"/>
      <c r="N67" s="106"/>
      <c r="O67" s="106"/>
      <c r="P67" s="107"/>
      <c r="Q67" s="107"/>
      <c r="R67" s="107"/>
      <c r="S67" s="111"/>
      <c r="T67" s="116"/>
      <c r="U67" s="107"/>
      <c r="V67" s="106"/>
      <c r="W67" s="111"/>
      <c r="X67" s="111"/>
      <c r="Y67" s="107"/>
      <c r="Z67" s="106"/>
      <c r="AA67" s="111"/>
      <c r="AB67" s="111"/>
      <c r="AC67" s="107"/>
      <c r="AD67" s="106"/>
      <c r="AE67" s="111"/>
      <c r="AF67" s="111"/>
      <c r="AG67" s="107"/>
      <c r="AH67" s="107"/>
      <c r="AI67" s="111"/>
      <c r="AJ67" s="97" t="s">
        <v>71</v>
      </c>
      <c r="AK67" s="107"/>
      <c r="AL67" s="120"/>
      <c r="AM67" s="109"/>
    </row>
    <row r="68" spans="1:47" ht="12.75" thickBot="1">
      <c r="A68" s="53" t="s">
        <v>160</v>
      </c>
      <c r="B68" s="22" t="s">
        <v>46</v>
      </c>
      <c r="C68" s="103"/>
      <c r="D68" s="104">
        <f t="shared" ref="D68:D81" si="28">L68/$L$90</f>
        <v>9.3494996834188378E-3</v>
      </c>
      <c r="E68" s="105" t="s">
        <v>194</v>
      </c>
      <c r="F68" s="105" t="s">
        <v>194</v>
      </c>
      <c r="G68" s="105" t="s">
        <v>194</v>
      </c>
      <c r="H68" s="105" t="s">
        <v>194</v>
      </c>
      <c r="I68" s="105" t="s">
        <v>194</v>
      </c>
      <c r="J68" s="105" t="s">
        <v>194</v>
      </c>
      <c r="K68" s="105" t="s">
        <v>194</v>
      </c>
      <c r="L68" s="106">
        <f t="shared" ref="L68:L81" si="29">7*O68</f>
        <v>6636</v>
      </c>
      <c r="M68" s="106"/>
      <c r="N68" s="106"/>
      <c r="O68" s="106">
        <f>1896/2</f>
        <v>948</v>
      </c>
      <c r="P68" s="107">
        <f t="shared" ref="P68:Q83" si="30">$O68/P$9</f>
        <v>0.68895348837209303</v>
      </c>
      <c r="Q68" s="107">
        <f t="shared" si="30"/>
        <v>0.54608294930875578</v>
      </c>
      <c r="R68" s="107"/>
      <c r="S68" s="111">
        <f t="shared" ref="S68:S81" si="31">T68*S$7</f>
        <v>1210</v>
      </c>
      <c r="T68" s="111">
        <f>1100*CMF</f>
        <v>1210</v>
      </c>
      <c r="U68" s="107">
        <f t="shared" ref="U68:U81" si="32">+T68/T$9</f>
        <v>0.59430255402750487</v>
      </c>
      <c r="V68" s="106"/>
      <c r="W68" s="111">
        <f t="shared" ref="W68:W81" si="33">X68*W$7</f>
        <v>87120</v>
      </c>
      <c r="X68" s="111">
        <f>1100*CMF</f>
        <v>1210</v>
      </c>
      <c r="Y68" s="107">
        <f t="shared" ref="Y68:Y81" si="34">+X68/X$9</f>
        <v>1.0930442637759712</v>
      </c>
      <c r="Z68" s="106"/>
      <c r="AA68" s="111">
        <f t="shared" ref="AA68:AA81" si="35">AB68*AA$7</f>
        <v>73810</v>
      </c>
      <c r="AB68" s="111">
        <f>1100*CMF</f>
        <v>1210</v>
      </c>
      <c r="AC68" s="107">
        <f t="shared" ref="AC68:AC81" si="36">+AB68/AB$9</f>
        <v>0.94017094017094016</v>
      </c>
      <c r="AD68" s="106"/>
      <c r="AE68" s="111">
        <f t="shared" ref="AE68:AE81" si="37">AF68*AE$7</f>
        <v>0</v>
      </c>
      <c r="AF68" s="111">
        <f>1100*CMF</f>
        <v>1210</v>
      </c>
      <c r="AG68" s="107">
        <f t="shared" ref="AG68:AG81" si="38">+AF68/AF$9</f>
        <v>0.78064516129032258</v>
      </c>
      <c r="AH68" s="107"/>
      <c r="AI68" s="111">
        <f t="shared" si="4"/>
        <v>162140</v>
      </c>
      <c r="AJ68" s="97">
        <f t="shared" ref="AJ68:AJ81" si="39">+AI68/AI$7</f>
        <v>1219.0977443609022</v>
      </c>
      <c r="AK68" s="107">
        <f t="shared" ref="AK68:AK81" si="40">+AJ68/AJ$9</f>
        <v>1.0116993729136117</v>
      </c>
      <c r="AL68" s="120"/>
      <c r="AM68" s="109"/>
      <c r="AP68" s="121">
        <f>0.0725/12</f>
        <v>6.0416666666666665E-3</v>
      </c>
    </row>
    <row r="69" spans="1:47" ht="12.75" thickBot="1">
      <c r="A69" s="53" t="s">
        <v>160</v>
      </c>
      <c r="B69" s="53" t="s">
        <v>65</v>
      </c>
      <c r="C69" s="103"/>
      <c r="D69" s="104">
        <f t="shared" si="28"/>
        <v>5.8286437899794661E-3</v>
      </c>
      <c r="E69" s="105" t="s">
        <v>194</v>
      </c>
      <c r="F69" s="105" t="s">
        <v>194</v>
      </c>
      <c r="G69" s="113"/>
      <c r="H69" s="105" t="s">
        <v>194</v>
      </c>
      <c r="I69" s="105" t="s">
        <v>194</v>
      </c>
      <c r="J69" s="113"/>
      <c r="K69" s="122" t="s">
        <v>199</v>
      </c>
      <c r="L69" s="106">
        <f t="shared" si="29"/>
        <v>4137</v>
      </c>
      <c r="M69" s="106"/>
      <c r="N69" s="106"/>
      <c r="O69" s="106">
        <f>1182/2</f>
        <v>591</v>
      </c>
      <c r="P69" s="107">
        <f t="shared" si="30"/>
        <v>0.42950581395348836</v>
      </c>
      <c r="Q69" s="107">
        <f t="shared" si="30"/>
        <v>0.34043778801843316</v>
      </c>
      <c r="R69" s="107"/>
      <c r="S69" s="111">
        <f t="shared" si="31"/>
        <v>660</v>
      </c>
      <c r="T69" s="111">
        <f>600*CMF</f>
        <v>660</v>
      </c>
      <c r="U69" s="107">
        <f t="shared" si="32"/>
        <v>0.32416502946954812</v>
      </c>
      <c r="V69" s="106"/>
      <c r="W69" s="111">
        <f t="shared" si="33"/>
        <v>47520</v>
      </c>
      <c r="X69" s="111">
        <f>600*CMF</f>
        <v>660</v>
      </c>
      <c r="Y69" s="107">
        <f t="shared" si="34"/>
        <v>0.59620596205962062</v>
      </c>
      <c r="Z69" s="106"/>
      <c r="AA69" s="111">
        <f t="shared" si="35"/>
        <v>40260</v>
      </c>
      <c r="AB69" s="111">
        <f>600*CMF</f>
        <v>660</v>
      </c>
      <c r="AC69" s="107">
        <f t="shared" si="36"/>
        <v>0.51282051282051277</v>
      </c>
      <c r="AD69" s="106"/>
      <c r="AE69" s="111">
        <f t="shared" si="37"/>
        <v>0</v>
      </c>
      <c r="AF69" s="111">
        <f>600*CMF</f>
        <v>660</v>
      </c>
      <c r="AG69" s="107">
        <f t="shared" si="38"/>
        <v>0.4258064516129032</v>
      </c>
      <c r="AH69" s="107"/>
      <c r="AI69" s="111">
        <f t="shared" si="4"/>
        <v>88440</v>
      </c>
      <c r="AJ69" s="97">
        <f t="shared" si="39"/>
        <v>664.96240601503757</v>
      </c>
      <c r="AK69" s="107">
        <f t="shared" si="40"/>
        <v>0.55183602158924283</v>
      </c>
      <c r="AL69" s="120"/>
      <c r="AM69" s="109"/>
      <c r="AP69" s="22">
        <v>360</v>
      </c>
    </row>
    <row r="70" spans="1:47" ht="12.75" thickBot="1">
      <c r="A70" s="53" t="s">
        <v>153</v>
      </c>
      <c r="B70" s="53" t="s">
        <v>230</v>
      </c>
      <c r="C70" s="103"/>
      <c r="D70" s="104">
        <f t="shared" si="28"/>
        <v>4.7141992074622415E-3</v>
      </c>
      <c r="E70" s="105" t="s">
        <v>194</v>
      </c>
      <c r="F70" s="105" t="s">
        <v>194</v>
      </c>
      <c r="G70" s="113"/>
      <c r="H70" s="105" t="s">
        <v>194</v>
      </c>
      <c r="I70" s="105" t="s">
        <v>194</v>
      </c>
      <c r="J70" s="113"/>
      <c r="K70" s="68" t="s">
        <v>194</v>
      </c>
      <c r="L70" s="106">
        <f t="shared" si="29"/>
        <v>3346</v>
      </c>
      <c r="M70" s="106"/>
      <c r="N70" s="106"/>
      <c r="O70" s="106">
        <f>956/2</f>
        <v>478</v>
      </c>
      <c r="P70" s="107">
        <f t="shared" si="30"/>
        <v>0.34738372093023256</v>
      </c>
      <c r="Q70" s="107">
        <f t="shared" si="30"/>
        <v>0.27534562211981567</v>
      </c>
      <c r="R70" s="107"/>
      <c r="S70" s="111">
        <f t="shared" si="31"/>
        <v>998.00058139534895</v>
      </c>
      <c r="T70" s="111">
        <f>(T$9*$P70+200)*CMF</f>
        <v>998.00058139534895</v>
      </c>
      <c r="U70" s="107">
        <f t="shared" si="32"/>
        <v>0.49017710284643856</v>
      </c>
      <c r="V70" s="106"/>
      <c r="W70" s="111">
        <f t="shared" si="33"/>
        <v>46296.659302325585</v>
      </c>
      <c r="X70" s="111">
        <f>(X$9*$P70+200)*CMF</f>
        <v>643.00915697674418</v>
      </c>
      <c r="Y70" s="107">
        <f t="shared" si="34"/>
        <v>0.58085741370979604</v>
      </c>
      <c r="Z70" s="106"/>
      <c r="AA70" s="111">
        <f t="shared" si="35"/>
        <v>43419.259156976754</v>
      </c>
      <c r="AB70" s="111">
        <f>(AB$9*$P70+200)*CMF</f>
        <v>711.79113372093036</v>
      </c>
      <c r="AC70" s="107">
        <f t="shared" si="36"/>
        <v>0.55306226396342684</v>
      </c>
      <c r="AD70" s="106"/>
      <c r="AE70" s="111">
        <f t="shared" si="37"/>
        <v>0</v>
      </c>
      <c r="AF70" s="111">
        <f>(AF$9*$P70+200)*CMF</f>
        <v>812.28924418604652</v>
      </c>
      <c r="AG70" s="107">
        <f t="shared" si="38"/>
        <v>0.52405757689422361</v>
      </c>
      <c r="AH70" s="107"/>
      <c r="AI70" s="111">
        <f t="shared" si="4"/>
        <v>90713.919040697685</v>
      </c>
      <c r="AJ70" s="97">
        <f t="shared" si="39"/>
        <v>682.05954165938113</v>
      </c>
      <c r="AK70" s="107">
        <f t="shared" si="40"/>
        <v>0.56602451589990133</v>
      </c>
      <c r="AL70" s="120"/>
      <c r="AM70" s="109"/>
      <c r="AO70" s="104"/>
      <c r="AP70" s="106">
        <f>PMT(AP68,AP69,AP49)</f>
        <v>-82793.507924380378</v>
      </c>
      <c r="AQ70" s="106"/>
    </row>
    <row r="71" spans="1:47" ht="12.75" thickBot="1">
      <c r="A71" s="53" t="s">
        <v>158</v>
      </c>
      <c r="B71" s="53" t="s">
        <v>48</v>
      </c>
      <c r="C71" s="103"/>
      <c r="D71" s="104">
        <f t="shared" si="28"/>
        <v>3.9350742338440051E-3</v>
      </c>
      <c r="E71" s="105" t="s">
        <v>194</v>
      </c>
      <c r="F71" s="105" t="s">
        <v>194</v>
      </c>
      <c r="G71" s="113"/>
      <c r="H71" s="105" t="s">
        <v>194</v>
      </c>
      <c r="I71" s="105" t="s">
        <v>194</v>
      </c>
      <c r="J71" s="68" t="s">
        <v>194</v>
      </c>
      <c r="K71" s="68" t="s">
        <v>194</v>
      </c>
      <c r="L71" s="106">
        <f t="shared" si="29"/>
        <v>2793</v>
      </c>
      <c r="M71" s="106"/>
      <c r="N71" s="106"/>
      <c r="O71" s="106">
        <f>798/2</f>
        <v>399</v>
      </c>
      <c r="P71" s="107">
        <f t="shared" si="30"/>
        <v>0.28997093023255816</v>
      </c>
      <c r="Q71" s="107">
        <f t="shared" si="30"/>
        <v>0.22983870967741934</v>
      </c>
      <c r="R71" s="107"/>
      <c r="S71" s="111">
        <f t="shared" si="31"/>
        <v>649.41889534883728</v>
      </c>
      <c r="T71" s="111">
        <f>T$9*$P71*CMF</f>
        <v>649.41889534883728</v>
      </c>
      <c r="U71" s="107">
        <f t="shared" si="32"/>
        <v>0.31896802325581397</v>
      </c>
      <c r="V71" s="106"/>
      <c r="W71" s="111">
        <f t="shared" si="33"/>
        <v>25423.027325581399</v>
      </c>
      <c r="X71" s="111">
        <f>X$9*$P71*CMF</f>
        <v>353.09760174418608</v>
      </c>
      <c r="Y71" s="107">
        <f t="shared" si="34"/>
        <v>0.31896802325581397</v>
      </c>
      <c r="Z71" s="106"/>
      <c r="AA71" s="111">
        <f t="shared" si="35"/>
        <v>25041.222601744194</v>
      </c>
      <c r="AB71" s="111">
        <f>AB$9*$P71*CMF</f>
        <v>410.51184593023265</v>
      </c>
      <c r="AC71" s="107">
        <f t="shared" si="36"/>
        <v>0.31896802325581403</v>
      </c>
      <c r="AD71" s="106"/>
      <c r="AE71" s="111">
        <f t="shared" si="37"/>
        <v>0</v>
      </c>
      <c r="AF71" s="111">
        <f>AF$9*$P71*CMF</f>
        <v>494.40043604651169</v>
      </c>
      <c r="AG71" s="107">
        <f t="shared" si="38"/>
        <v>0.31896802325581397</v>
      </c>
      <c r="AH71" s="107"/>
      <c r="AI71" s="111">
        <f t="shared" si="4"/>
        <v>51113.66882267443</v>
      </c>
      <c r="AJ71" s="97">
        <f t="shared" si="39"/>
        <v>384.31329941860474</v>
      </c>
      <c r="AK71" s="107">
        <f t="shared" si="40"/>
        <v>0.31893219868763878</v>
      </c>
      <c r="AL71" s="120"/>
      <c r="AM71" s="109"/>
      <c r="AO71" s="104" t="s">
        <v>237</v>
      </c>
      <c r="AP71" s="106">
        <f>+AS64</f>
        <v>0</v>
      </c>
      <c r="AQ71" s="106"/>
      <c r="AR71" s="106">
        <f>2700000*0.105</f>
        <v>283500</v>
      </c>
    </row>
    <row r="72" spans="1:47" ht="12.75" thickBot="1">
      <c r="A72" s="53" t="s">
        <v>156</v>
      </c>
      <c r="B72" s="53" t="s">
        <v>49</v>
      </c>
      <c r="C72" s="103"/>
      <c r="D72" s="104">
        <f t="shared" si="28"/>
        <v>1.0286422120048364E-2</v>
      </c>
      <c r="E72" s="105" t="s">
        <v>194</v>
      </c>
      <c r="F72" s="105" t="s">
        <v>194</v>
      </c>
      <c r="G72" s="113"/>
      <c r="H72" s="105" t="s">
        <v>194</v>
      </c>
      <c r="I72" s="105" t="s">
        <v>194</v>
      </c>
      <c r="J72" s="68" t="s">
        <v>194</v>
      </c>
      <c r="K72" s="68" t="s">
        <v>194</v>
      </c>
      <c r="L72" s="106">
        <f t="shared" si="29"/>
        <v>7301</v>
      </c>
      <c r="M72" s="106"/>
      <c r="N72" s="106"/>
      <c r="O72" s="106">
        <f>2086/2</f>
        <v>1043</v>
      </c>
      <c r="P72" s="107">
        <f t="shared" si="30"/>
        <v>0.75799418604651159</v>
      </c>
      <c r="Q72" s="107">
        <f t="shared" si="30"/>
        <v>0.60080645161290325</v>
      </c>
      <c r="R72" s="107"/>
      <c r="S72" s="111">
        <f t="shared" si="31"/>
        <v>990.00000000000011</v>
      </c>
      <c r="T72" s="111">
        <f>(250+300+250+100)*CMF</f>
        <v>990.00000000000011</v>
      </c>
      <c r="U72" s="107">
        <f t="shared" si="32"/>
        <v>0.48624754420432226</v>
      </c>
      <c r="V72" s="106"/>
      <c r="W72" s="111">
        <f t="shared" si="33"/>
        <v>71280.000000000015</v>
      </c>
      <c r="X72" s="111">
        <f>(250+300+250+100)*CMF</f>
        <v>990.00000000000011</v>
      </c>
      <c r="Y72" s="107">
        <f t="shared" si="34"/>
        <v>0.89430894308943099</v>
      </c>
      <c r="Z72" s="106"/>
      <c r="AA72" s="111">
        <f t="shared" si="35"/>
        <v>60390.000000000007</v>
      </c>
      <c r="AB72" s="111">
        <f>(250+300+250+100)*CMF</f>
        <v>990.00000000000011</v>
      </c>
      <c r="AC72" s="107">
        <f t="shared" si="36"/>
        <v>0.76923076923076927</v>
      </c>
      <c r="AD72" s="106"/>
      <c r="AE72" s="111">
        <f t="shared" si="37"/>
        <v>0</v>
      </c>
      <c r="AF72" s="111">
        <f>(250+300+250+100)*CMF</f>
        <v>990.00000000000011</v>
      </c>
      <c r="AG72" s="107">
        <f t="shared" si="38"/>
        <v>0.63870967741935492</v>
      </c>
      <c r="AH72" s="107"/>
      <c r="AI72" s="111">
        <f t="shared" si="4"/>
        <v>132660.00000000003</v>
      </c>
      <c r="AJ72" s="97">
        <f t="shared" si="39"/>
        <v>997.44360902255664</v>
      </c>
      <c r="AK72" s="107">
        <f t="shared" si="40"/>
        <v>0.82775403238386447</v>
      </c>
      <c r="AL72" s="120"/>
      <c r="AM72" s="109"/>
      <c r="AN72" s="6"/>
      <c r="AP72" s="106">
        <f>0.9*AP71</f>
        <v>0</v>
      </c>
      <c r="AQ72" s="106"/>
      <c r="AR72" s="106">
        <f>AR71/12</f>
        <v>23625</v>
      </c>
    </row>
    <row r="73" spans="1:47" ht="12.75" thickBot="1">
      <c r="A73" s="53" t="s">
        <v>157</v>
      </c>
      <c r="B73" s="53" t="s">
        <v>63</v>
      </c>
      <c r="C73" s="103"/>
      <c r="D73" s="104">
        <f t="shared" si="28"/>
        <v>1.5779746301128841E-2</v>
      </c>
      <c r="E73" s="105" t="s">
        <v>194</v>
      </c>
      <c r="F73" s="105" t="s">
        <v>194</v>
      </c>
      <c r="G73" s="113"/>
      <c r="H73" s="105" t="s">
        <v>194</v>
      </c>
      <c r="I73" s="105" t="s">
        <v>194</v>
      </c>
      <c r="J73" s="113"/>
      <c r="K73" s="68" t="s">
        <v>194</v>
      </c>
      <c r="L73" s="106">
        <f t="shared" si="29"/>
        <v>11200</v>
      </c>
      <c r="M73" s="106"/>
      <c r="N73" s="106"/>
      <c r="O73" s="106">
        <f>3200/2</f>
        <v>1600</v>
      </c>
      <c r="P73" s="107">
        <f t="shared" si="30"/>
        <v>1.1627906976744187</v>
      </c>
      <c r="Q73" s="107">
        <f t="shared" si="30"/>
        <v>0.92165898617511521</v>
      </c>
      <c r="R73" s="107"/>
      <c r="S73" s="111">
        <f t="shared" si="31"/>
        <v>2732.3120000000004</v>
      </c>
      <c r="T73" s="111">
        <f>1.22*T$9*CMF</f>
        <v>2732.3120000000004</v>
      </c>
      <c r="U73" s="107">
        <f t="shared" si="32"/>
        <v>1.3420000000000001</v>
      </c>
      <c r="V73" s="106"/>
      <c r="W73" s="111">
        <f t="shared" si="33"/>
        <v>106962.76800000001</v>
      </c>
      <c r="X73" s="111">
        <f>1.22*X$9*CMF</f>
        <v>1485.5940000000001</v>
      </c>
      <c r="Y73" s="107">
        <f t="shared" si="34"/>
        <v>1.3420000000000001</v>
      </c>
      <c r="Z73" s="106"/>
      <c r="AA73" s="111">
        <f t="shared" si="35"/>
        <v>105356.394</v>
      </c>
      <c r="AB73" s="111">
        <f>1.22*AB$9*CMF</f>
        <v>1727.154</v>
      </c>
      <c r="AC73" s="107">
        <f t="shared" si="36"/>
        <v>1.3420000000000001</v>
      </c>
      <c r="AD73" s="106"/>
      <c r="AE73" s="111">
        <f t="shared" si="37"/>
        <v>0</v>
      </c>
      <c r="AF73" s="111">
        <f>1.22*AF$9*CMF</f>
        <v>2080.1000000000004</v>
      </c>
      <c r="AG73" s="107">
        <f t="shared" si="38"/>
        <v>1.3420000000000003</v>
      </c>
      <c r="AH73" s="107"/>
      <c r="AI73" s="111">
        <f t="shared" si="4"/>
        <v>215051.47400000002</v>
      </c>
      <c r="AJ73" s="97">
        <f t="shared" si="39"/>
        <v>1616.9283759398497</v>
      </c>
      <c r="AK73" s="107">
        <f t="shared" si="40"/>
        <v>1.3418492746388795</v>
      </c>
      <c r="AL73" s="120"/>
      <c r="AM73" s="109"/>
      <c r="AO73" s="104"/>
      <c r="AP73" s="123">
        <f>((110000/28/1343)*1187*134)/12</f>
        <v>38773.313122717438</v>
      </c>
      <c r="AQ73" s="106"/>
      <c r="AR73" s="106"/>
    </row>
    <row r="74" spans="1:47" ht="12.75" thickBot="1">
      <c r="A74" s="53" t="s">
        <v>159</v>
      </c>
      <c r="B74" s="53" t="s">
        <v>64</v>
      </c>
      <c r="C74" s="103"/>
      <c r="D74" s="104">
        <f t="shared" si="28"/>
        <v>1.5434564350791649E-3</v>
      </c>
      <c r="E74" s="105" t="s">
        <v>194</v>
      </c>
      <c r="F74" s="105" t="s">
        <v>194</v>
      </c>
      <c r="G74" s="122" t="s">
        <v>199</v>
      </c>
      <c r="H74" s="105" t="s">
        <v>194</v>
      </c>
      <c r="I74" s="105" t="s">
        <v>194</v>
      </c>
      <c r="J74" s="113"/>
      <c r="K74" s="122" t="s">
        <v>199</v>
      </c>
      <c r="L74" s="106">
        <f t="shared" si="29"/>
        <v>1095.5</v>
      </c>
      <c r="M74" s="106"/>
      <c r="N74" s="106"/>
      <c r="O74" s="106">
        <f>313/2</f>
        <v>156.5</v>
      </c>
      <c r="P74" s="107">
        <f t="shared" si="30"/>
        <v>0.11373546511627906</v>
      </c>
      <c r="Q74" s="107">
        <f t="shared" si="30"/>
        <v>9.0149769585253461E-2</v>
      </c>
      <c r="R74" s="107"/>
      <c r="S74" s="111">
        <f t="shared" si="31"/>
        <v>172.15</v>
      </c>
      <c r="T74" s="111">
        <f>$O74*CMF</f>
        <v>172.15</v>
      </c>
      <c r="U74" s="107">
        <f t="shared" si="32"/>
        <v>8.4553045186640474E-2</v>
      </c>
      <c r="V74" s="106"/>
      <c r="W74" s="111">
        <f t="shared" si="33"/>
        <v>12394.800000000001</v>
      </c>
      <c r="X74" s="111">
        <f>$O74*CMF</f>
        <v>172.15</v>
      </c>
      <c r="Y74" s="107">
        <f t="shared" si="34"/>
        <v>0.15551038843721771</v>
      </c>
      <c r="Z74" s="106"/>
      <c r="AA74" s="111">
        <f t="shared" si="35"/>
        <v>10501.15</v>
      </c>
      <c r="AB74" s="111">
        <f>$O74*CMF</f>
        <v>172.15</v>
      </c>
      <c r="AC74" s="107">
        <f t="shared" si="36"/>
        <v>0.13376068376068376</v>
      </c>
      <c r="AD74" s="106"/>
      <c r="AE74" s="111">
        <f t="shared" si="37"/>
        <v>0</v>
      </c>
      <c r="AF74" s="111">
        <f>$O74*CMF</f>
        <v>172.15</v>
      </c>
      <c r="AG74" s="107">
        <f t="shared" si="38"/>
        <v>0.11106451612903226</v>
      </c>
      <c r="AH74" s="107"/>
      <c r="AI74" s="111">
        <f t="shared" si="4"/>
        <v>23068.100000000002</v>
      </c>
      <c r="AJ74" s="97">
        <f t="shared" si="39"/>
        <v>173.44436090225565</v>
      </c>
      <c r="AK74" s="107">
        <f t="shared" si="40"/>
        <v>0.14393722896452751</v>
      </c>
      <c r="AL74" s="120"/>
      <c r="AM74" s="109"/>
      <c r="AO74" s="104"/>
      <c r="AP74" s="106">
        <f>+AP72-AP73</f>
        <v>-38773.313122717438</v>
      </c>
      <c r="AQ74" s="106"/>
      <c r="AR74" s="106"/>
    </row>
    <row r="75" spans="1:47">
      <c r="A75" s="53" t="s">
        <v>154</v>
      </c>
      <c r="B75" s="27" t="s">
        <v>50</v>
      </c>
      <c r="C75" s="103"/>
      <c r="D75" s="104">
        <f t="shared" si="28"/>
        <v>1.5557843618769216E-2</v>
      </c>
      <c r="E75" s="105"/>
      <c r="F75" s="105"/>
      <c r="G75" s="105"/>
      <c r="H75" s="105"/>
      <c r="I75" s="105"/>
      <c r="J75" s="105"/>
      <c r="K75" s="105"/>
      <c r="L75" s="106">
        <f t="shared" si="29"/>
        <v>11042.5</v>
      </c>
      <c r="M75" s="106"/>
      <c r="N75" s="106"/>
      <c r="O75" s="106">
        <f>3155/2</f>
        <v>1577.5</v>
      </c>
      <c r="P75" s="107">
        <f t="shared" si="30"/>
        <v>1.1464389534883721</v>
      </c>
      <c r="Q75" s="107">
        <f t="shared" si="30"/>
        <v>0.90869815668202769</v>
      </c>
      <c r="R75" s="107"/>
      <c r="S75" s="111">
        <f t="shared" si="31"/>
        <v>158.4</v>
      </c>
      <c r="T75" s="111">
        <f>8*8*2.25*CMF</f>
        <v>158.4</v>
      </c>
      <c r="U75" s="107">
        <f t="shared" si="32"/>
        <v>7.7799607072691554E-2</v>
      </c>
      <c r="V75" s="106"/>
      <c r="W75" s="111">
        <f t="shared" si="33"/>
        <v>11404.800000000001</v>
      </c>
      <c r="X75" s="111">
        <f>8*8*2.25*CMF</f>
        <v>158.4</v>
      </c>
      <c r="Y75" s="107">
        <f t="shared" si="34"/>
        <v>0.14308943089430895</v>
      </c>
      <c r="Z75" s="106"/>
      <c r="AA75" s="111">
        <f t="shared" si="35"/>
        <v>9662.4</v>
      </c>
      <c r="AB75" s="111">
        <f>8*8*2.25*CMF</f>
        <v>158.4</v>
      </c>
      <c r="AC75" s="107">
        <f t="shared" si="36"/>
        <v>0.12307692307692308</v>
      </c>
      <c r="AD75" s="106"/>
      <c r="AE75" s="111">
        <f t="shared" si="37"/>
        <v>0</v>
      </c>
      <c r="AF75" s="111">
        <f>8*8*2.25*CMF</f>
        <v>158.4</v>
      </c>
      <c r="AG75" s="107">
        <f t="shared" si="38"/>
        <v>0.10219354838709678</v>
      </c>
      <c r="AH75" s="107"/>
      <c r="AI75" s="111">
        <f t="shared" si="4"/>
        <v>21225.600000000002</v>
      </c>
      <c r="AJ75" s="97">
        <f t="shared" si="39"/>
        <v>159.59097744360903</v>
      </c>
      <c r="AK75" s="107">
        <f t="shared" si="40"/>
        <v>0.13244064518141829</v>
      </c>
      <c r="AL75" s="120"/>
      <c r="AM75" s="109"/>
      <c r="AO75" s="104"/>
      <c r="AP75" s="123">
        <f>+AP74/-AP70</f>
        <v>-0.46831344745207709</v>
      </c>
      <c r="AQ75" s="106"/>
      <c r="AR75" s="106"/>
    </row>
    <row r="76" spans="1:47" ht="12.75" thickBot="1">
      <c r="A76" s="53" t="s">
        <v>154</v>
      </c>
      <c r="B76" s="53" t="s">
        <v>51</v>
      </c>
      <c r="C76" s="103"/>
      <c r="D76" s="104">
        <f t="shared" si="28"/>
        <v>0</v>
      </c>
      <c r="E76" s="105" t="s">
        <v>194</v>
      </c>
      <c r="F76" s="105" t="s">
        <v>194</v>
      </c>
      <c r="G76" s="105" t="s">
        <v>194</v>
      </c>
      <c r="H76" s="105" t="s">
        <v>194</v>
      </c>
      <c r="I76" s="105" t="s">
        <v>194</v>
      </c>
      <c r="J76" s="105" t="s">
        <v>194</v>
      </c>
      <c r="K76" s="105" t="s">
        <v>194</v>
      </c>
      <c r="L76" s="106">
        <f t="shared" si="29"/>
        <v>0</v>
      </c>
      <c r="M76" s="106"/>
      <c r="N76" s="106"/>
      <c r="O76" s="106"/>
      <c r="P76" s="107">
        <f t="shared" si="30"/>
        <v>0</v>
      </c>
      <c r="Q76" s="107">
        <f t="shared" si="30"/>
        <v>0</v>
      </c>
      <c r="R76" s="107"/>
      <c r="S76" s="111">
        <f t="shared" si="31"/>
        <v>0</v>
      </c>
      <c r="T76" s="111">
        <f>$O76*CMF</f>
        <v>0</v>
      </c>
      <c r="U76" s="107">
        <f t="shared" si="32"/>
        <v>0</v>
      </c>
      <c r="V76" s="106"/>
      <c r="W76" s="111">
        <f t="shared" si="33"/>
        <v>0</v>
      </c>
      <c r="X76" s="111">
        <f>$O76*CMF</f>
        <v>0</v>
      </c>
      <c r="Y76" s="107">
        <f t="shared" si="34"/>
        <v>0</v>
      </c>
      <c r="Z76" s="106"/>
      <c r="AA76" s="111">
        <f t="shared" si="35"/>
        <v>0</v>
      </c>
      <c r="AB76" s="111">
        <f>$O76*CMF</f>
        <v>0</v>
      </c>
      <c r="AC76" s="107">
        <f t="shared" si="36"/>
        <v>0</v>
      </c>
      <c r="AD76" s="106"/>
      <c r="AE76" s="111">
        <f t="shared" si="37"/>
        <v>0</v>
      </c>
      <c r="AF76" s="111">
        <f>$O76*CMF</f>
        <v>0</v>
      </c>
      <c r="AG76" s="107">
        <f t="shared" si="38"/>
        <v>0</v>
      </c>
      <c r="AH76" s="107"/>
      <c r="AI76" s="111">
        <f t="shared" si="4"/>
        <v>0</v>
      </c>
      <c r="AJ76" s="97">
        <f t="shared" si="39"/>
        <v>0</v>
      </c>
      <c r="AK76" s="107">
        <f t="shared" si="40"/>
        <v>0</v>
      </c>
      <c r="AL76" s="120"/>
      <c r="AM76" s="109"/>
      <c r="AN76" s="6"/>
      <c r="AO76" s="104"/>
      <c r="AP76" s="106"/>
      <c r="AQ76" s="106"/>
      <c r="AR76" s="106"/>
    </row>
    <row r="77" spans="1:47" ht="12.75" thickBot="1">
      <c r="A77" s="53" t="s">
        <v>154</v>
      </c>
      <c r="B77" s="53" t="s">
        <v>52</v>
      </c>
      <c r="C77" s="103"/>
      <c r="D77" s="104">
        <f t="shared" si="28"/>
        <v>0</v>
      </c>
      <c r="E77" s="105" t="s">
        <v>194</v>
      </c>
      <c r="F77" s="105" t="s">
        <v>194</v>
      </c>
      <c r="G77" s="113"/>
      <c r="H77" s="105" t="s">
        <v>194</v>
      </c>
      <c r="I77" s="105" t="s">
        <v>194</v>
      </c>
      <c r="J77" s="113"/>
      <c r="K77" s="122" t="s">
        <v>199</v>
      </c>
      <c r="L77" s="106">
        <f t="shared" si="29"/>
        <v>0</v>
      </c>
      <c r="M77" s="106"/>
      <c r="N77" s="106"/>
      <c r="O77" s="106"/>
      <c r="P77" s="107">
        <f t="shared" si="30"/>
        <v>0</v>
      </c>
      <c r="Q77" s="107">
        <f t="shared" si="30"/>
        <v>0</v>
      </c>
      <c r="R77" s="107"/>
      <c r="S77" s="111">
        <f t="shared" si="31"/>
        <v>0</v>
      </c>
      <c r="T77" s="111">
        <f>$O77*CMF</f>
        <v>0</v>
      </c>
      <c r="U77" s="107">
        <f t="shared" si="32"/>
        <v>0</v>
      </c>
      <c r="V77" s="106"/>
      <c r="W77" s="111">
        <f t="shared" si="33"/>
        <v>0</v>
      </c>
      <c r="X77" s="111">
        <f>$O77*CMF</f>
        <v>0</v>
      </c>
      <c r="Y77" s="107">
        <f t="shared" si="34"/>
        <v>0</v>
      </c>
      <c r="Z77" s="106"/>
      <c r="AA77" s="111">
        <f t="shared" si="35"/>
        <v>0</v>
      </c>
      <c r="AB77" s="111">
        <f>$O77*CMF</f>
        <v>0</v>
      </c>
      <c r="AC77" s="107">
        <f t="shared" si="36"/>
        <v>0</v>
      </c>
      <c r="AD77" s="106"/>
      <c r="AE77" s="111">
        <f t="shared" si="37"/>
        <v>0</v>
      </c>
      <c r="AF77" s="111">
        <f>$O77*CMF</f>
        <v>0</v>
      </c>
      <c r="AG77" s="107">
        <f t="shared" si="38"/>
        <v>0</v>
      </c>
      <c r="AH77" s="107"/>
      <c r="AI77" s="111">
        <f>+AA77+W77+S77+AE77</f>
        <v>0</v>
      </c>
      <c r="AJ77" s="97">
        <f t="shared" si="39"/>
        <v>0</v>
      </c>
      <c r="AK77" s="107">
        <f t="shared" si="40"/>
        <v>0</v>
      </c>
      <c r="AL77" s="120"/>
      <c r="AM77" s="109"/>
      <c r="AP77" s="106">
        <f>+AP71-AP73+0.05*AP71</f>
        <v>-38773.313122717438</v>
      </c>
      <c r="AQ77" s="106"/>
      <c r="AR77" s="22">
        <f>AU77*12</f>
        <v>0</v>
      </c>
      <c r="AU77" s="97"/>
    </row>
    <row r="78" spans="1:47" ht="12.75" thickBot="1">
      <c r="A78" s="53" t="s">
        <v>154</v>
      </c>
      <c r="B78" s="53" t="s">
        <v>53</v>
      </c>
      <c r="C78" s="103"/>
      <c r="D78" s="104">
        <f t="shared" si="28"/>
        <v>0</v>
      </c>
      <c r="E78" s="105" t="s">
        <v>194</v>
      </c>
      <c r="F78" s="105" t="s">
        <v>194</v>
      </c>
      <c r="G78" s="113"/>
      <c r="H78" s="105" t="s">
        <v>194</v>
      </c>
      <c r="I78" s="105" t="s">
        <v>194</v>
      </c>
      <c r="J78" s="113"/>
      <c r="K78" s="122" t="s">
        <v>199</v>
      </c>
      <c r="L78" s="106">
        <f t="shared" si="29"/>
        <v>0</v>
      </c>
      <c r="M78" s="106"/>
      <c r="N78" s="106"/>
      <c r="O78" s="106"/>
      <c r="P78" s="107">
        <f t="shared" si="30"/>
        <v>0</v>
      </c>
      <c r="Q78" s="107">
        <f t="shared" si="30"/>
        <v>0</v>
      </c>
      <c r="R78" s="107"/>
      <c r="S78" s="111">
        <f t="shared" si="31"/>
        <v>0</v>
      </c>
      <c r="T78" s="111">
        <f>$O78*CMF</f>
        <v>0</v>
      </c>
      <c r="U78" s="107">
        <f t="shared" si="32"/>
        <v>0</v>
      </c>
      <c r="V78" s="106"/>
      <c r="W78" s="111">
        <f t="shared" si="33"/>
        <v>0</v>
      </c>
      <c r="X78" s="111">
        <f>$O78*CMF</f>
        <v>0</v>
      </c>
      <c r="Y78" s="107">
        <f t="shared" si="34"/>
        <v>0</v>
      </c>
      <c r="Z78" s="106"/>
      <c r="AA78" s="111">
        <f t="shared" si="35"/>
        <v>0</v>
      </c>
      <c r="AB78" s="111">
        <f>$O78*CMF</f>
        <v>0</v>
      </c>
      <c r="AC78" s="107">
        <f t="shared" si="36"/>
        <v>0</v>
      </c>
      <c r="AD78" s="106"/>
      <c r="AE78" s="111">
        <f t="shared" si="37"/>
        <v>0</v>
      </c>
      <c r="AF78" s="111">
        <f>$O78*CMF</f>
        <v>0</v>
      </c>
      <c r="AG78" s="107">
        <f t="shared" si="38"/>
        <v>0</v>
      </c>
      <c r="AH78" s="107"/>
      <c r="AI78" s="111">
        <f>+AA78+W78+S78+AE78</f>
        <v>0</v>
      </c>
      <c r="AJ78" s="97">
        <f t="shared" si="39"/>
        <v>0</v>
      </c>
      <c r="AK78" s="107">
        <f t="shared" si="40"/>
        <v>0</v>
      </c>
      <c r="AL78" s="120"/>
      <c r="AM78" s="109"/>
      <c r="AO78" s="104"/>
      <c r="AP78" s="106">
        <f>+AP70</f>
        <v>-82793.507924380378</v>
      </c>
      <c r="AQ78" s="106"/>
      <c r="AR78" s="106">
        <f>0.8*AR77</f>
        <v>0</v>
      </c>
    </row>
    <row r="79" spans="1:47" ht="12.75" thickBot="1">
      <c r="A79" s="53" t="s">
        <v>155</v>
      </c>
      <c r="B79" s="27" t="s">
        <v>196</v>
      </c>
      <c r="C79" s="103"/>
      <c r="D79" s="104">
        <f t="shared" si="28"/>
        <v>7.8454926140924964E-3</v>
      </c>
      <c r="E79" s="105" t="s">
        <v>194</v>
      </c>
      <c r="F79" s="105" t="s">
        <v>194</v>
      </c>
      <c r="G79" s="105" t="s">
        <v>194</v>
      </c>
      <c r="H79" s="105" t="s">
        <v>194</v>
      </c>
      <c r="I79" s="105" t="s">
        <v>194</v>
      </c>
      <c r="J79" s="105" t="s">
        <v>194</v>
      </c>
      <c r="K79" s="105" t="s">
        <v>194</v>
      </c>
      <c r="L79" s="106">
        <f t="shared" si="29"/>
        <v>5568.5</v>
      </c>
      <c r="M79" s="106"/>
      <c r="N79" s="106"/>
      <c r="O79" s="106">
        <f>1591/2</f>
        <v>795.5</v>
      </c>
      <c r="P79" s="107">
        <f t="shared" si="30"/>
        <v>0.578125</v>
      </c>
      <c r="Q79" s="107">
        <f t="shared" si="30"/>
        <v>0.45823732718894011</v>
      </c>
      <c r="R79" s="107"/>
      <c r="S79" s="111">
        <f t="shared" si="31"/>
        <v>0</v>
      </c>
      <c r="T79" s="111">
        <v>0</v>
      </c>
      <c r="U79" s="107">
        <f t="shared" si="32"/>
        <v>0</v>
      </c>
      <c r="V79" s="106"/>
      <c r="W79" s="111">
        <f t="shared" si="33"/>
        <v>0</v>
      </c>
      <c r="X79" s="111">
        <v>0</v>
      </c>
      <c r="Y79" s="107">
        <f t="shared" si="34"/>
        <v>0</v>
      </c>
      <c r="Z79" s="106"/>
      <c r="AA79" s="111">
        <f t="shared" si="35"/>
        <v>0</v>
      </c>
      <c r="AB79" s="111">
        <v>0</v>
      </c>
      <c r="AC79" s="107">
        <f t="shared" si="36"/>
        <v>0</v>
      </c>
      <c r="AD79" s="106"/>
      <c r="AE79" s="111">
        <f t="shared" si="37"/>
        <v>0</v>
      </c>
      <c r="AF79" s="111">
        <f>(26+20)*15*CMF</f>
        <v>759.00000000000011</v>
      </c>
      <c r="AG79" s="107">
        <f t="shared" si="38"/>
        <v>0.48967741935483877</v>
      </c>
      <c r="AH79" s="107"/>
      <c r="AI79" s="111">
        <f>+AA79+W79+S79+AE79</f>
        <v>0</v>
      </c>
      <c r="AJ79" s="97">
        <f t="shared" si="39"/>
        <v>0</v>
      </c>
      <c r="AK79" s="107">
        <f t="shared" si="40"/>
        <v>0</v>
      </c>
      <c r="AL79" s="120"/>
      <c r="AM79" s="109"/>
      <c r="AN79" s="6"/>
      <c r="AP79" s="106">
        <f>+AP78+AP77</f>
        <v>-121566.82104709782</v>
      </c>
      <c r="AQ79" s="106"/>
      <c r="AR79" s="106"/>
    </row>
    <row r="80" spans="1:47" ht="12.75" thickBot="1">
      <c r="A80" s="53" t="s">
        <v>155</v>
      </c>
      <c r="B80" s="27" t="s">
        <v>197</v>
      </c>
      <c r="C80" s="103"/>
      <c r="D80" s="104">
        <f t="shared" si="28"/>
        <v>2.7072127247874168E-3</v>
      </c>
      <c r="E80" s="105" t="s">
        <v>194</v>
      </c>
      <c r="F80" s="105" t="s">
        <v>194</v>
      </c>
      <c r="G80" s="113"/>
      <c r="H80" s="105" t="s">
        <v>194</v>
      </c>
      <c r="I80" s="105" t="s">
        <v>194</v>
      </c>
      <c r="J80" s="113"/>
      <c r="K80" s="113"/>
      <c r="L80" s="106">
        <f t="shared" si="29"/>
        <v>1921.5</v>
      </c>
      <c r="M80" s="106"/>
      <c r="N80" s="106"/>
      <c r="O80" s="106">
        <f>549/2</f>
        <v>274.5</v>
      </c>
      <c r="P80" s="107">
        <f t="shared" si="30"/>
        <v>0.19949127906976744</v>
      </c>
      <c r="Q80" s="107">
        <f t="shared" si="30"/>
        <v>0.15812211981566821</v>
      </c>
      <c r="R80" s="107"/>
      <c r="S80" s="111">
        <f t="shared" si="31"/>
        <v>0</v>
      </c>
      <c r="T80" s="22">
        <v>0</v>
      </c>
      <c r="U80" s="107">
        <f t="shared" si="32"/>
        <v>0</v>
      </c>
      <c r="V80" s="106"/>
      <c r="W80" s="111">
        <f t="shared" si="33"/>
        <v>0</v>
      </c>
      <c r="X80" s="22">
        <v>0</v>
      </c>
      <c r="Y80" s="107">
        <f t="shared" si="34"/>
        <v>0</v>
      </c>
      <c r="Z80" s="106"/>
      <c r="AA80" s="111">
        <f t="shared" si="35"/>
        <v>0</v>
      </c>
      <c r="AB80" s="22">
        <v>0</v>
      </c>
      <c r="AC80" s="107">
        <f t="shared" si="36"/>
        <v>0</v>
      </c>
      <c r="AD80" s="106"/>
      <c r="AE80" s="111">
        <f t="shared" si="37"/>
        <v>0</v>
      </c>
      <c r="AF80" s="22">
        <v>0</v>
      </c>
      <c r="AG80" s="107">
        <f t="shared" si="38"/>
        <v>0</v>
      </c>
      <c r="AH80" s="107"/>
      <c r="AI80" s="111">
        <f>+AA80+W80+S80+AE80</f>
        <v>0</v>
      </c>
      <c r="AJ80" s="97">
        <f t="shared" si="39"/>
        <v>0</v>
      </c>
      <c r="AK80" s="107">
        <f t="shared" si="40"/>
        <v>0</v>
      </c>
      <c r="AL80" s="120"/>
      <c r="AM80" s="109"/>
      <c r="AO80" s="104"/>
      <c r="AP80" s="106">
        <f>AP79*12</f>
        <v>-1458801.852565174</v>
      </c>
      <c r="AQ80" s="106"/>
      <c r="AR80" s="106"/>
    </row>
    <row r="81" spans="1:44">
      <c r="A81" s="53" t="s">
        <v>155</v>
      </c>
      <c r="B81" s="22" t="s">
        <v>62</v>
      </c>
      <c r="C81" s="103"/>
      <c r="D81" s="104">
        <f t="shared" si="28"/>
        <v>0</v>
      </c>
      <c r="E81" s="105" t="s">
        <v>195</v>
      </c>
      <c r="F81" s="105"/>
      <c r="G81" s="105"/>
      <c r="H81" s="105"/>
      <c r="I81" s="105"/>
      <c r="J81" s="105"/>
      <c r="K81" s="105"/>
      <c r="L81" s="106">
        <f t="shared" si="29"/>
        <v>0</v>
      </c>
      <c r="M81" s="106"/>
      <c r="N81" s="106"/>
      <c r="O81" s="106">
        <f>0/2</f>
        <v>0</v>
      </c>
      <c r="P81" s="107">
        <f t="shared" si="30"/>
        <v>0</v>
      </c>
      <c r="Q81" s="107">
        <f t="shared" si="30"/>
        <v>0</v>
      </c>
      <c r="R81" s="107"/>
      <c r="S81" s="111">
        <f t="shared" si="31"/>
        <v>0</v>
      </c>
      <c r="T81" s="111"/>
      <c r="U81" s="107">
        <f t="shared" si="32"/>
        <v>0</v>
      </c>
      <c r="V81" s="106"/>
      <c r="W81" s="111">
        <f t="shared" si="33"/>
        <v>0</v>
      </c>
      <c r="X81" s="111"/>
      <c r="Y81" s="107">
        <f t="shared" si="34"/>
        <v>0</v>
      </c>
      <c r="Z81" s="106"/>
      <c r="AA81" s="111">
        <f t="shared" si="35"/>
        <v>0</v>
      </c>
      <c r="AB81" s="111"/>
      <c r="AC81" s="107">
        <f t="shared" si="36"/>
        <v>0</v>
      </c>
      <c r="AD81" s="106"/>
      <c r="AE81" s="111">
        <f t="shared" si="37"/>
        <v>0</v>
      </c>
      <c r="AF81" s="111"/>
      <c r="AG81" s="107">
        <f t="shared" si="38"/>
        <v>0</v>
      </c>
      <c r="AH81" s="107"/>
      <c r="AI81" s="111">
        <f>+AA81+W81+S81+AE81</f>
        <v>0</v>
      </c>
      <c r="AJ81" s="97">
        <f t="shared" si="39"/>
        <v>0</v>
      </c>
      <c r="AK81" s="107">
        <f t="shared" si="40"/>
        <v>0</v>
      </c>
      <c r="AL81" s="120"/>
      <c r="AM81" s="109"/>
      <c r="AO81" s="104"/>
      <c r="AP81" s="106">
        <f>AP80/0.105</f>
        <v>-13893350.976811182</v>
      </c>
      <c r="AQ81" s="119"/>
      <c r="AR81" s="106"/>
    </row>
    <row r="82" spans="1:44" ht="12.75" thickBot="1">
      <c r="B82" s="25" t="s">
        <v>54</v>
      </c>
      <c r="C82" s="103"/>
      <c r="D82" s="104"/>
      <c r="E82" s="105"/>
      <c r="F82" s="105"/>
      <c r="G82" s="105"/>
      <c r="H82" s="105"/>
      <c r="I82" s="105"/>
      <c r="J82" s="105"/>
      <c r="K82" s="105"/>
      <c r="L82" s="106"/>
      <c r="M82" s="106"/>
      <c r="N82" s="106"/>
      <c r="O82" s="106"/>
      <c r="P82" s="107"/>
      <c r="Q82" s="107"/>
      <c r="R82" s="107"/>
      <c r="S82" s="111"/>
      <c r="T82" s="111"/>
      <c r="U82" s="107"/>
      <c r="V82" s="106"/>
      <c r="W82" s="111"/>
      <c r="X82" s="111"/>
      <c r="Y82" s="107"/>
      <c r="Z82" s="106"/>
      <c r="AA82" s="111"/>
      <c r="AB82" s="111"/>
      <c r="AC82" s="107"/>
      <c r="AD82" s="106"/>
      <c r="AE82" s="111"/>
      <c r="AF82" s="111"/>
      <c r="AG82" s="107"/>
      <c r="AH82" s="107"/>
      <c r="AI82" s="111"/>
      <c r="AJ82" s="97" t="s">
        <v>71</v>
      </c>
      <c r="AK82" s="107"/>
      <c r="AL82" s="120"/>
      <c r="AM82" s="109"/>
      <c r="AO82" s="104"/>
      <c r="AP82" s="106"/>
      <c r="AQ82" s="106"/>
      <c r="AR82" s="106"/>
    </row>
    <row r="83" spans="1:44" ht="12.75" thickBot="1">
      <c r="A83" s="53" t="s">
        <v>152</v>
      </c>
      <c r="B83" s="22" t="s">
        <v>55</v>
      </c>
      <c r="C83" s="103"/>
      <c r="D83" s="104">
        <f t="shared" ref="D83:D89" si="41">L83/$L$90</f>
        <v>4.7388550610577554E-3</v>
      </c>
      <c r="E83" s="105" t="s">
        <v>194</v>
      </c>
      <c r="F83" s="105" t="s">
        <v>194</v>
      </c>
      <c r="G83" s="113"/>
      <c r="H83" s="105" t="s">
        <v>194</v>
      </c>
      <c r="I83" s="105" t="s">
        <v>194</v>
      </c>
      <c r="J83" s="113"/>
      <c r="K83" s="68" t="s">
        <v>194</v>
      </c>
      <c r="L83" s="106">
        <f t="shared" ref="L83:L89" si="42">7*O83</f>
        <v>3363.5</v>
      </c>
      <c r="M83" s="106"/>
      <c r="N83" s="106"/>
      <c r="O83" s="106">
        <f>961/2</f>
        <v>480.5</v>
      </c>
      <c r="P83" s="107">
        <f t="shared" si="30"/>
        <v>0.34920058139534882</v>
      </c>
      <c r="Q83" s="107">
        <f t="shared" si="30"/>
        <v>0.2767857142857143</v>
      </c>
      <c r="R83" s="107"/>
      <c r="S83" s="111">
        <f t="shared" ref="S83:S89" si="43">T83*S$7</f>
        <v>343.79548872180453</v>
      </c>
      <c r="T83" s="111">
        <f>(((40*8*2)*4.33*15)*CMF)/SM134Units</f>
        <v>343.79548872180453</v>
      </c>
      <c r="U83" s="107">
        <f t="shared" ref="U83:U90" si="44">+T83/T$9</f>
        <v>0.16885829505000222</v>
      </c>
      <c r="V83" s="106"/>
      <c r="W83" s="111">
        <f t="shared" ref="W83:W89" si="45">X83*W$7</f>
        <v>24753.275187969928</v>
      </c>
      <c r="X83" s="111">
        <f>(((40*8*2)*4.33*15)*CMF)/SM134Units</f>
        <v>343.79548872180453</v>
      </c>
      <c r="Y83" s="107">
        <f t="shared" ref="Y83:Y90" si="46">+X83/X$9</f>
        <v>0.31056503046233469</v>
      </c>
      <c r="Z83" s="106"/>
      <c r="AA83" s="111">
        <f t="shared" ref="AA83:AA89" si="47">AB83*AA$7</f>
        <v>20971.524812030075</v>
      </c>
      <c r="AB83" s="111">
        <f>(((40*8*2)*4.33*15)*CMF)/SM134Units</f>
        <v>343.79548872180453</v>
      </c>
      <c r="AC83" s="107">
        <f t="shared" ref="AC83:AC90" si="48">+AB83/AB$9</f>
        <v>0.26712936186620401</v>
      </c>
      <c r="AD83" s="106"/>
      <c r="AE83" s="111">
        <f t="shared" ref="AE83:AE89" si="49">AF83*AE$7</f>
        <v>0</v>
      </c>
      <c r="AF83" s="111">
        <f>(((40*8*2)*4.33*15)*CMF)/SM134Units</f>
        <v>343.79548872180453</v>
      </c>
      <c r="AG83" s="107">
        <f t="shared" ref="AG83:AG90" si="50">+AF83/AF$9</f>
        <v>0.22180354111084163</v>
      </c>
      <c r="AH83" s="107"/>
      <c r="AI83" s="111">
        <f t="shared" ref="AI83:AI89" si="51">+AA83+W83+S83+AE83</f>
        <v>46068.59548872181</v>
      </c>
      <c r="AJ83" s="97">
        <f t="shared" ref="AJ83:AJ89" si="52">+AI83/AI$7</f>
        <v>346.38041720843466</v>
      </c>
      <c r="AK83" s="107">
        <f t="shared" ref="AK83:AK90" si="53">+AJ83/AJ$9</f>
        <v>0.28745262838874247</v>
      </c>
      <c r="AL83" s="120"/>
      <c r="AM83" s="109"/>
      <c r="AN83" s="6"/>
      <c r="AP83" s="106">
        <v>7000</v>
      </c>
      <c r="AQ83" s="106"/>
      <c r="AR83" s="106"/>
    </row>
    <row r="84" spans="1:44" ht="12.75" thickBot="1">
      <c r="A84" s="53" t="s">
        <v>152</v>
      </c>
      <c r="B84" s="22" t="s">
        <v>56</v>
      </c>
      <c r="C84" s="103"/>
      <c r="D84" s="104">
        <f t="shared" si="41"/>
        <v>1.725909751685967E-3</v>
      </c>
      <c r="E84" s="105" t="s">
        <v>194</v>
      </c>
      <c r="F84" s="105" t="s">
        <v>194</v>
      </c>
      <c r="G84" s="113"/>
      <c r="H84" s="105" t="s">
        <v>194</v>
      </c>
      <c r="I84" s="105" t="s">
        <v>194</v>
      </c>
      <c r="J84" s="113"/>
      <c r="K84" s="68" t="s">
        <v>194</v>
      </c>
      <c r="L84" s="106">
        <f t="shared" si="42"/>
        <v>1225</v>
      </c>
      <c r="M84" s="106"/>
      <c r="N84" s="106"/>
      <c r="O84" s="106">
        <f>350/2</f>
        <v>175</v>
      </c>
      <c r="P84" s="107">
        <f t="shared" ref="P84:Q90" si="54">$O84/P$9</f>
        <v>0.12718023255813954</v>
      </c>
      <c r="Q84" s="107">
        <f t="shared" si="54"/>
        <v>0.10080645161290322</v>
      </c>
      <c r="R84" s="107"/>
      <c r="S84" s="111">
        <f t="shared" si="43"/>
        <v>335.94</v>
      </c>
      <c r="T84" s="111">
        <f>0.15*T$9*CMF</f>
        <v>335.94</v>
      </c>
      <c r="U84" s="107">
        <f t="shared" si="44"/>
        <v>0.16500000000000001</v>
      </c>
      <c r="V84" s="106"/>
      <c r="W84" s="111">
        <f t="shared" si="45"/>
        <v>13151.16</v>
      </c>
      <c r="X84" s="111">
        <f>0.15*X$9*CMF</f>
        <v>182.655</v>
      </c>
      <c r="Y84" s="107">
        <f t="shared" si="46"/>
        <v>0.16500000000000001</v>
      </c>
      <c r="Z84" s="106"/>
      <c r="AA84" s="111">
        <f t="shared" si="47"/>
        <v>12953.654999999999</v>
      </c>
      <c r="AB84" s="111">
        <f>0.15*AB$9*CMF</f>
        <v>212.35499999999999</v>
      </c>
      <c r="AC84" s="107">
        <f t="shared" si="48"/>
        <v>0.16499999999999998</v>
      </c>
      <c r="AD84" s="106"/>
      <c r="AE84" s="111">
        <f t="shared" si="49"/>
        <v>0</v>
      </c>
      <c r="AF84" s="111">
        <f>0.15*AF$9*CMF</f>
        <v>255.75000000000003</v>
      </c>
      <c r="AG84" s="107">
        <f t="shared" si="50"/>
        <v>0.16500000000000001</v>
      </c>
      <c r="AH84" s="107"/>
      <c r="AI84" s="111">
        <f t="shared" si="51"/>
        <v>26440.754999999997</v>
      </c>
      <c r="AJ84" s="97">
        <f t="shared" si="52"/>
        <v>198.8026691729323</v>
      </c>
      <c r="AK84" s="107">
        <f t="shared" si="53"/>
        <v>0.16498146819330481</v>
      </c>
      <c r="AL84" s="120"/>
      <c r="AM84" s="109"/>
      <c r="AO84" s="104"/>
      <c r="AP84" s="106">
        <f>1250*14+1220*14</f>
        <v>34580</v>
      </c>
      <c r="AQ84" s="106"/>
      <c r="AR84" s="106"/>
    </row>
    <row r="85" spans="1:44" ht="12.75" thickBot="1">
      <c r="A85" s="53" t="s">
        <v>152</v>
      </c>
      <c r="B85" s="22" t="s">
        <v>57</v>
      </c>
      <c r="C85" s="103"/>
      <c r="D85" s="104">
        <f t="shared" si="41"/>
        <v>4.8374784754398109E-3</v>
      </c>
      <c r="E85" s="105" t="s">
        <v>194</v>
      </c>
      <c r="F85" s="105" t="s">
        <v>194</v>
      </c>
      <c r="G85" s="113"/>
      <c r="H85" s="105" t="s">
        <v>194</v>
      </c>
      <c r="I85" s="105" t="s">
        <v>194</v>
      </c>
      <c r="J85" s="113"/>
      <c r="K85" s="68" t="s">
        <v>194</v>
      </c>
      <c r="L85" s="106">
        <f t="shared" si="42"/>
        <v>3433.5</v>
      </c>
      <c r="M85" s="106"/>
      <c r="N85" s="106"/>
      <c r="O85" s="106">
        <f>981/2</f>
        <v>490.5</v>
      </c>
      <c r="P85" s="107">
        <f t="shared" si="54"/>
        <v>0.35646802325581395</v>
      </c>
      <c r="Q85" s="107">
        <f t="shared" si="54"/>
        <v>0.28254608294930877</v>
      </c>
      <c r="R85" s="107"/>
      <c r="S85" s="111">
        <f t="shared" si="43"/>
        <v>539.55000000000007</v>
      </c>
      <c r="T85" s="111">
        <f>$O85*CMF</f>
        <v>539.55000000000007</v>
      </c>
      <c r="U85" s="107">
        <f t="shared" si="44"/>
        <v>0.26500491159135564</v>
      </c>
      <c r="V85" s="106"/>
      <c r="W85" s="111">
        <f t="shared" si="45"/>
        <v>38847.600000000006</v>
      </c>
      <c r="X85" s="111">
        <f>$O85*CMF</f>
        <v>539.55000000000007</v>
      </c>
      <c r="Y85" s="107">
        <f t="shared" si="46"/>
        <v>0.48739837398373992</v>
      </c>
      <c r="Z85" s="106"/>
      <c r="AA85" s="111">
        <f t="shared" si="47"/>
        <v>32912.550000000003</v>
      </c>
      <c r="AB85" s="111">
        <f>$O85*CMF</f>
        <v>539.55000000000007</v>
      </c>
      <c r="AC85" s="107">
        <f t="shared" si="48"/>
        <v>0.4192307692307693</v>
      </c>
      <c r="AD85" s="106"/>
      <c r="AE85" s="111">
        <f t="shared" si="49"/>
        <v>0</v>
      </c>
      <c r="AF85" s="111">
        <f>$O85*CMF</f>
        <v>539.55000000000007</v>
      </c>
      <c r="AG85" s="107">
        <f t="shared" si="50"/>
        <v>0.34809677419354845</v>
      </c>
      <c r="AH85" s="107"/>
      <c r="AI85" s="111">
        <f t="shared" si="51"/>
        <v>72299.700000000012</v>
      </c>
      <c r="AJ85" s="97">
        <f t="shared" si="52"/>
        <v>543.60676691729327</v>
      </c>
      <c r="AK85" s="107">
        <f t="shared" si="53"/>
        <v>0.45112594764920605</v>
      </c>
      <c r="AL85" s="120"/>
      <c r="AM85" s="109"/>
      <c r="AO85" s="104"/>
      <c r="AP85" s="106">
        <f>28*3*475</f>
        <v>39900</v>
      </c>
      <c r="AQ85" s="106"/>
      <c r="AR85" s="106"/>
    </row>
    <row r="86" spans="1:44" ht="12.75" thickBot="1">
      <c r="A86" s="53" t="s">
        <v>152</v>
      </c>
      <c r="B86" s="22" t="s">
        <v>58</v>
      </c>
      <c r="C86" s="103"/>
      <c r="D86" s="104">
        <f t="shared" si="41"/>
        <v>4.3542237449677394E-3</v>
      </c>
      <c r="E86" s="105" t="s">
        <v>194</v>
      </c>
      <c r="F86" s="105" t="s">
        <v>194</v>
      </c>
      <c r="G86" s="113"/>
      <c r="H86" s="105" t="s">
        <v>194</v>
      </c>
      <c r="I86" s="105" t="s">
        <v>194</v>
      </c>
      <c r="J86" s="113"/>
      <c r="K86" s="68" t="s">
        <v>194</v>
      </c>
      <c r="L86" s="106">
        <f t="shared" si="42"/>
        <v>3090.5</v>
      </c>
      <c r="M86" s="106"/>
      <c r="N86" s="106"/>
      <c r="O86" s="106">
        <f>883/2</f>
        <v>441.5</v>
      </c>
      <c r="P86" s="107">
        <f t="shared" si="54"/>
        <v>0.32085755813953487</v>
      </c>
      <c r="Q86" s="107">
        <f t="shared" si="54"/>
        <v>0.25432027649769584</v>
      </c>
      <c r="R86" s="107"/>
      <c r="S86" s="111">
        <f t="shared" si="43"/>
        <v>485.65000000000003</v>
      </c>
      <c r="T86" s="111">
        <f>$O86*CMF</f>
        <v>485.65000000000003</v>
      </c>
      <c r="U86" s="107">
        <f t="shared" si="44"/>
        <v>0.23853143418467584</v>
      </c>
      <c r="V86" s="106"/>
      <c r="W86" s="111">
        <f t="shared" si="45"/>
        <v>34966.800000000003</v>
      </c>
      <c r="X86" s="111">
        <f>$O86*CMF</f>
        <v>485.65000000000003</v>
      </c>
      <c r="Y86" s="107">
        <f t="shared" si="46"/>
        <v>0.43870822041553753</v>
      </c>
      <c r="Z86" s="106"/>
      <c r="AA86" s="111">
        <f t="shared" si="47"/>
        <v>29624.65</v>
      </c>
      <c r="AB86" s="111">
        <f>$O86*CMF</f>
        <v>485.65000000000003</v>
      </c>
      <c r="AC86" s="107">
        <f t="shared" si="48"/>
        <v>0.3773504273504274</v>
      </c>
      <c r="AD86" s="106"/>
      <c r="AE86" s="111">
        <f t="shared" si="49"/>
        <v>0</v>
      </c>
      <c r="AF86" s="111">
        <f>$O86*CMF</f>
        <v>485.65000000000003</v>
      </c>
      <c r="AG86" s="107">
        <f t="shared" si="50"/>
        <v>0.31332258064516133</v>
      </c>
      <c r="AH86" s="107"/>
      <c r="AI86" s="111">
        <f t="shared" si="51"/>
        <v>65077.100000000006</v>
      </c>
      <c r="AJ86" s="97">
        <f t="shared" si="52"/>
        <v>489.30150375939854</v>
      </c>
      <c r="AK86" s="107">
        <f t="shared" si="53"/>
        <v>0.40605933921941789</v>
      </c>
      <c r="AL86" s="120"/>
      <c r="AN86" s="6"/>
      <c r="AP86" s="106">
        <f>+AP85-AP84</f>
        <v>5320</v>
      </c>
      <c r="AQ86" s="106"/>
      <c r="AR86" s="106"/>
    </row>
    <row r="87" spans="1:44" ht="12.75" thickBot="1">
      <c r="A87" s="53" t="s">
        <v>152</v>
      </c>
      <c r="B87" s="22" t="s">
        <v>59</v>
      </c>
      <c r="C87" s="103"/>
      <c r="D87" s="104">
        <f t="shared" si="41"/>
        <v>4.8818590119117353E-4</v>
      </c>
      <c r="E87" s="105" t="s">
        <v>194</v>
      </c>
      <c r="F87" s="105" t="s">
        <v>194</v>
      </c>
      <c r="G87" s="113"/>
      <c r="H87" s="105" t="s">
        <v>194</v>
      </c>
      <c r="I87" s="105" t="s">
        <v>194</v>
      </c>
      <c r="J87" s="113"/>
      <c r="K87" s="68" t="s">
        <v>194</v>
      </c>
      <c r="L87" s="106">
        <f t="shared" si="42"/>
        <v>346.5</v>
      </c>
      <c r="M87" s="106"/>
      <c r="N87" s="106"/>
      <c r="O87" s="106">
        <f>99/2</f>
        <v>49.5</v>
      </c>
      <c r="P87" s="107">
        <f t="shared" si="54"/>
        <v>3.5973837209302327E-2</v>
      </c>
      <c r="Q87" s="107">
        <f t="shared" si="54"/>
        <v>2.8513824884792628E-2</v>
      </c>
      <c r="R87" s="107"/>
      <c r="S87" s="111">
        <f t="shared" si="43"/>
        <v>37.602631578947374</v>
      </c>
      <c r="T87" s="111">
        <f>((70*4.33*15)*CMF)/SM134Units</f>
        <v>37.602631578947374</v>
      </c>
      <c r="U87" s="107">
        <f t="shared" si="44"/>
        <v>1.8468876021093997E-2</v>
      </c>
      <c r="V87" s="106"/>
      <c r="W87" s="111">
        <f t="shared" si="45"/>
        <v>2707.3894736842108</v>
      </c>
      <c r="X87" s="111">
        <f>((70*4.33*15)*CMF)/SM134Units</f>
        <v>37.602631578947374</v>
      </c>
      <c r="Y87" s="107">
        <f t="shared" si="46"/>
        <v>3.3968050206817861E-2</v>
      </c>
      <c r="Z87" s="106"/>
      <c r="AA87" s="111">
        <f t="shared" si="47"/>
        <v>2293.7605263157898</v>
      </c>
      <c r="AB87" s="111">
        <f>((70*4.33*15)*CMF)/SM134Units</f>
        <v>37.602631578947374</v>
      </c>
      <c r="AC87" s="107">
        <f t="shared" si="48"/>
        <v>2.9217273954116062E-2</v>
      </c>
      <c r="AD87" s="106"/>
      <c r="AE87" s="111">
        <f t="shared" si="49"/>
        <v>0</v>
      </c>
      <c r="AF87" s="111">
        <f>((70*4.33*15)*CMF)/SM134Units</f>
        <v>37.602631578947374</v>
      </c>
      <c r="AG87" s="107">
        <f t="shared" si="50"/>
        <v>2.4259762308998307E-2</v>
      </c>
      <c r="AH87" s="107"/>
      <c r="AI87" s="111">
        <f t="shared" si="51"/>
        <v>5038.7526315789482</v>
      </c>
      <c r="AJ87" s="97">
        <f t="shared" si="52"/>
        <v>37.885358132172541</v>
      </c>
      <c r="AK87" s="107">
        <f t="shared" si="53"/>
        <v>3.1440131230018709E-2</v>
      </c>
      <c r="AL87" s="120"/>
      <c r="AM87" s="106"/>
      <c r="AO87" s="104"/>
      <c r="AP87" s="106">
        <f>+AP86+AP83</f>
        <v>12320</v>
      </c>
      <c r="AQ87" s="106"/>
      <c r="AR87" s="106"/>
    </row>
    <row r="88" spans="1:44" ht="12.75" thickBot="1">
      <c r="A88" s="53" t="s">
        <v>151</v>
      </c>
      <c r="B88" s="25" t="s">
        <v>60</v>
      </c>
      <c r="C88" s="103"/>
      <c r="D88" s="104">
        <f t="shared" si="41"/>
        <v>9.8623414382055258E-3</v>
      </c>
      <c r="E88" s="105" t="s">
        <v>194</v>
      </c>
      <c r="F88" s="105" t="s">
        <v>194</v>
      </c>
      <c r="G88" s="113"/>
      <c r="H88" s="105" t="s">
        <v>194</v>
      </c>
      <c r="I88" s="105" t="s">
        <v>194</v>
      </c>
      <c r="J88" s="113"/>
      <c r="K88" s="68" t="s">
        <v>194</v>
      </c>
      <c r="L88" s="106">
        <f t="shared" si="42"/>
        <v>7000</v>
      </c>
      <c r="M88" s="106"/>
      <c r="N88" s="106"/>
      <c r="O88" s="106">
        <f>2000/2</f>
        <v>1000</v>
      </c>
      <c r="P88" s="107">
        <f t="shared" si="54"/>
        <v>0.72674418604651159</v>
      </c>
      <c r="Q88" s="107">
        <f t="shared" si="54"/>
        <v>0.57603686635944695</v>
      </c>
      <c r="R88" s="107"/>
      <c r="S88" s="111">
        <f t="shared" si="43"/>
        <v>1100</v>
      </c>
      <c r="T88" s="111">
        <f>$O88*CMF</f>
        <v>1100</v>
      </c>
      <c r="U88" s="107">
        <f t="shared" si="44"/>
        <v>0.54027504911591351</v>
      </c>
      <c r="V88" s="106"/>
      <c r="W88" s="111">
        <f t="shared" si="45"/>
        <v>79200</v>
      </c>
      <c r="X88" s="111">
        <f>$O88*CMF</f>
        <v>1100</v>
      </c>
      <c r="Y88" s="107">
        <f t="shared" si="46"/>
        <v>0.99367660343270103</v>
      </c>
      <c r="Z88" s="106"/>
      <c r="AA88" s="111">
        <f t="shared" si="47"/>
        <v>67100</v>
      </c>
      <c r="AB88" s="111">
        <f>$O88*CMF</f>
        <v>1100</v>
      </c>
      <c r="AC88" s="107">
        <f t="shared" si="48"/>
        <v>0.85470085470085466</v>
      </c>
      <c r="AD88" s="106"/>
      <c r="AE88" s="111">
        <f t="shared" si="49"/>
        <v>0</v>
      </c>
      <c r="AF88" s="111">
        <f>$O88*CMF</f>
        <v>1100</v>
      </c>
      <c r="AG88" s="107">
        <f t="shared" si="50"/>
        <v>0.70967741935483875</v>
      </c>
      <c r="AH88" s="107"/>
      <c r="AI88" s="111">
        <f t="shared" si="51"/>
        <v>147400</v>
      </c>
      <c r="AJ88" s="97">
        <f t="shared" si="52"/>
        <v>1108.2706766917292</v>
      </c>
      <c r="AK88" s="107">
        <f t="shared" si="53"/>
        <v>0.91972670264873801</v>
      </c>
      <c r="AL88" s="120"/>
      <c r="AO88" s="104"/>
      <c r="AP88" s="106">
        <f>AP87*0.58</f>
        <v>7145.5999999999995</v>
      </c>
      <c r="AQ88" s="106"/>
      <c r="AR88" s="106"/>
    </row>
    <row r="89" spans="1:44" ht="12.75" thickBot="1">
      <c r="A89" s="53" t="s">
        <v>213</v>
      </c>
      <c r="B89" s="25" t="s">
        <v>61</v>
      </c>
      <c r="C89" s="103"/>
      <c r="D89" s="104">
        <f t="shared" si="41"/>
        <v>1.2678039918813203E-2</v>
      </c>
      <c r="E89" s="105" t="s">
        <v>194</v>
      </c>
      <c r="F89" s="105" t="s">
        <v>194</v>
      </c>
      <c r="G89" s="113"/>
      <c r="H89" s="105" t="s">
        <v>194</v>
      </c>
      <c r="I89" s="105" t="s">
        <v>194</v>
      </c>
      <c r="J89" s="113"/>
      <c r="K89" s="68" t="s">
        <v>194</v>
      </c>
      <c r="L89" s="106">
        <f t="shared" si="42"/>
        <v>8998.5</v>
      </c>
      <c r="M89" s="106"/>
      <c r="N89" s="106"/>
      <c r="O89" s="106">
        <f>2571/2</f>
        <v>1285.5</v>
      </c>
      <c r="P89" s="107">
        <f t="shared" si="54"/>
        <v>0.93422965116279066</v>
      </c>
      <c r="Q89" s="107">
        <f t="shared" si="54"/>
        <v>0.74049539170506917</v>
      </c>
      <c r="R89" s="107"/>
      <c r="S89" s="111">
        <f t="shared" si="43"/>
        <v>1342.9511278195489</v>
      </c>
      <c r="T89" s="111">
        <f>(((1000+500+500+500)*4.33*15)*CMF)/SM134Units</f>
        <v>1342.9511278195489</v>
      </c>
      <c r="U89" s="107">
        <f t="shared" si="44"/>
        <v>0.6596027150390712</v>
      </c>
      <c r="V89" s="106"/>
      <c r="W89" s="111">
        <f t="shared" si="45"/>
        <v>96692.481203007526</v>
      </c>
      <c r="X89" s="111">
        <f>(((1000+500+500+500)*4.33*15)*CMF)/SM134Units</f>
        <v>1342.9511278195489</v>
      </c>
      <c r="Y89" s="107">
        <f t="shared" si="46"/>
        <v>1.213144650243495</v>
      </c>
      <c r="Z89" s="106"/>
      <c r="AA89" s="111">
        <f t="shared" si="47"/>
        <v>81920.018796992488</v>
      </c>
      <c r="AB89" s="111">
        <f>(((1000+500+500+500)*4.33*15)*CMF)/SM134Units</f>
        <v>1342.9511278195489</v>
      </c>
      <c r="AC89" s="107">
        <f t="shared" si="48"/>
        <v>1.0434740697898592</v>
      </c>
      <c r="AD89" s="106"/>
      <c r="AE89" s="111">
        <f t="shared" si="49"/>
        <v>0</v>
      </c>
      <c r="AF89" s="111">
        <f>(((1000+500+500+500)*4.33*15)*CMF)/SM134Units</f>
        <v>1342.9511278195489</v>
      </c>
      <c r="AG89" s="107">
        <f t="shared" si="50"/>
        <v>0.86642008246422508</v>
      </c>
      <c r="AH89" s="107"/>
      <c r="AI89" s="111">
        <f t="shared" si="51"/>
        <v>179955.45112781954</v>
      </c>
      <c r="AJ89" s="97">
        <f t="shared" si="52"/>
        <v>1353.0485047204477</v>
      </c>
      <c r="AK89" s="107">
        <f t="shared" si="53"/>
        <v>1.1228618296435251</v>
      </c>
      <c r="AL89" s="120"/>
      <c r="AN89" s="106"/>
      <c r="AP89" s="22">
        <f>0.5*AP80/12</f>
        <v>-60783.410523548919</v>
      </c>
      <c r="AR89" s="106"/>
    </row>
    <row r="90" spans="1:44" ht="12.75" thickBot="1">
      <c r="A90" s="124"/>
      <c r="B90" s="28" t="s">
        <v>384</v>
      </c>
      <c r="C90" s="28"/>
      <c r="D90" s="83">
        <f>SUM(D10:D89)</f>
        <v>0.99999999999999956</v>
      </c>
      <c r="E90" s="125" t="s">
        <v>198</v>
      </c>
      <c r="F90" s="125" t="s">
        <v>198</v>
      </c>
      <c r="G90" s="125"/>
      <c r="H90" s="125" t="s">
        <v>198</v>
      </c>
      <c r="I90" s="125" t="s">
        <v>198</v>
      </c>
      <c r="J90" s="125"/>
      <c r="K90" s="125"/>
      <c r="L90" s="24">
        <f>+SUM(L10:L89)</f>
        <v>709770.60000000009</v>
      </c>
      <c r="M90" s="24"/>
      <c r="N90" s="24"/>
      <c r="O90" s="24">
        <f>+SUM(O10:O89)</f>
        <v>61379.649999999994</v>
      </c>
      <c r="P90" s="138">
        <f t="shared" si="54"/>
        <v>44.60730377906976</v>
      </c>
      <c r="Q90" s="139">
        <f t="shared" si="54"/>
        <v>35.356941244239628</v>
      </c>
      <c r="R90" s="85"/>
      <c r="S90" s="23">
        <f>+SUM(S10:S89)</f>
        <v>90910.935924752674</v>
      </c>
      <c r="T90" s="24">
        <f>+SUM(T10:T89)</f>
        <v>90910.935924752674</v>
      </c>
      <c r="U90" s="23">
        <f t="shared" si="44"/>
        <v>44.65173670174493</v>
      </c>
      <c r="V90" s="39"/>
      <c r="W90" s="24">
        <f>+SUM(W10:W89)</f>
        <v>4183639.5565026226</v>
      </c>
      <c r="X90" s="24">
        <f>+SUM(X10:X89)</f>
        <v>58106.104951425339</v>
      </c>
      <c r="Y90" s="23">
        <f t="shared" si="46"/>
        <v>52.489706369851255</v>
      </c>
      <c r="Z90" s="40"/>
      <c r="AA90" s="24">
        <f>+SUM(AA10:AA89)</f>
        <v>4073052.9928719117</v>
      </c>
      <c r="AB90" s="24">
        <f>+SUM(AB10:AB89)</f>
        <v>66771.360538883804</v>
      </c>
      <c r="AC90" s="23">
        <f t="shared" si="48"/>
        <v>51.881399020111736</v>
      </c>
      <c r="AD90" s="40"/>
      <c r="AE90" s="24">
        <f>+SUM(AE10:AE89)</f>
        <v>0</v>
      </c>
      <c r="AF90" s="24">
        <f>+SUM(AF10:AF89)</f>
        <v>79399.143178091705</v>
      </c>
      <c r="AG90" s="23">
        <f t="shared" si="50"/>
        <v>51.225253663284974</v>
      </c>
      <c r="AH90" s="23"/>
      <c r="AI90" s="47">
        <f>+SUM(AI10:AI89)</f>
        <v>8347603.4852992883</v>
      </c>
      <c r="AJ90" s="24">
        <f>+SUM(AJ10:AJ89)</f>
        <v>62763.935979693888</v>
      </c>
      <c r="AK90" s="23">
        <f t="shared" si="53"/>
        <v>52.086253925057171</v>
      </c>
      <c r="AL90" s="323"/>
      <c r="AP90" s="22">
        <f>+AP89+AP88</f>
        <v>-53637.81052354892</v>
      </c>
    </row>
    <row r="91" spans="1:44" ht="12.75" thickTop="1">
      <c r="L91" s="88" t="s">
        <v>355</v>
      </c>
      <c r="M91" s="88" t="s">
        <v>356</v>
      </c>
      <c r="N91" s="88" t="s">
        <v>357</v>
      </c>
      <c r="O91" s="88" t="s">
        <v>253</v>
      </c>
      <c r="P91" s="88" t="s">
        <v>252</v>
      </c>
    </row>
    <row r="92" spans="1:44">
      <c r="B92" s="25" t="s">
        <v>238</v>
      </c>
      <c r="L92" s="22" t="s">
        <v>302</v>
      </c>
      <c r="O92" s="22">
        <f>10.3*43560*2.5</f>
        <v>1121670.0000000002</v>
      </c>
      <c r="P92" s="22">
        <f>O92/10.3</f>
        <v>108900.00000000001</v>
      </c>
      <c r="S92" s="126"/>
      <c r="T92" s="126"/>
      <c r="U92" s="33"/>
      <c r="W92" s="126">
        <f>X92*W$7</f>
        <v>607219.84962406033</v>
      </c>
      <c r="X92" s="126">
        <f>+$O92/SM134Units</f>
        <v>8433.609022556393</v>
      </c>
      <c r="Y92" s="33">
        <f>+X92/X$9</f>
        <v>7.6184363347392887</v>
      </c>
      <c r="AA92" s="126">
        <f>AB92*AA$7</f>
        <v>514450.15037593996</v>
      </c>
      <c r="AB92" s="126">
        <f>+$O92/SM134Units</f>
        <v>8433.609022556393</v>
      </c>
      <c r="AC92" s="33">
        <f>+AB92/AB$9</f>
        <v>6.552920763447081</v>
      </c>
      <c r="AE92" s="126">
        <f>AF92*AE$7</f>
        <v>0</v>
      </c>
      <c r="AF92" s="126">
        <f>+$O92/SM134Units</f>
        <v>8433.609022556393</v>
      </c>
      <c r="AG92" s="33">
        <f>+AF92/AF$9</f>
        <v>5.4410380790686403</v>
      </c>
      <c r="AH92" s="33"/>
      <c r="AI92" s="126">
        <f>+AA92+W92</f>
        <v>1121670.0000000002</v>
      </c>
      <c r="AJ92" s="126">
        <f>+AI92/AI$7</f>
        <v>8433.609022556393</v>
      </c>
      <c r="AK92" s="33">
        <f>+AJ92/AJ$9</f>
        <v>6.998845661872525</v>
      </c>
    </row>
    <row r="93" spans="1:44">
      <c r="B93" s="29" t="s">
        <v>239</v>
      </c>
      <c r="S93" s="111"/>
      <c r="U93" s="107"/>
      <c r="W93" s="111"/>
      <c r="Y93" s="107"/>
      <c r="AA93" s="111"/>
      <c r="AC93" s="107"/>
    </row>
    <row r="94" spans="1:44">
      <c r="B94" s="22" t="s">
        <v>304</v>
      </c>
      <c r="L94" s="22" t="s">
        <v>346</v>
      </c>
      <c r="M94" s="22">
        <v>1</v>
      </c>
      <c r="N94" s="22">
        <v>37800</v>
      </c>
      <c r="O94" s="22">
        <f>+N94*M94</f>
        <v>37800</v>
      </c>
      <c r="P94" s="22">
        <f t="shared" ref="P94:P106" si="55">O94/10.3</f>
        <v>3669.9029126213591</v>
      </c>
      <c r="S94" s="111"/>
      <c r="T94" s="107"/>
      <c r="U94" s="107"/>
      <c r="W94" s="111">
        <f>X94*W$7</f>
        <v>20310.447761194031</v>
      </c>
      <c r="X94" s="107">
        <f>(37800)/134</f>
        <v>282.08955223880599</v>
      </c>
      <c r="Y94" s="107">
        <f>+X94/X$9</f>
        <v>0.25482344375682564</v>
      </c>
      <c r="AA94" s="111">
        <f>AB94*AA$7</f>
        <v>17207.462686567167</v>
      </c>
      <c r="AB94" s="107">
        <f>(37800)/134</f>
        <v>282.08955223880599</v>
      </c>
      <c r="AC94" s="107">
        <f>+AB94/AB$9</f>
        <v>0.21918380127335352</v>
      </c>
      <c r="AE94" s="126"/>
      <c r="AF94" s="126"/>
      <c r="AG94" s="33"/>
      <c r="AH94" s="33"/>
      <c r="AI94" s="126">
        <f>+AA94+W94</f>
        <v>37517.910447761198</v>
      </c>
      <c r="AJ94" s="97">
        <f>+AI94/AI$7</f>
        <v>282.08955223880599</v>
      </c>
      <c r="AK94" s="107">
        <f>+AJ94/AJ$9</f>
        <v>0.23409921347618753</v>
      </c>
    </row>
    <row r="95" spans="1:44">
      <c r="B95" s="22" t="s">
        <v>337</v>
      </c>
      <c r="L95" s="22" t="s">
        <v>351</v>
      </c>
      <c r="M95" s="22">
        <v>13100</v>
      </c>
      <c r="N95" s="191">
        <v>5.75</v>
      </c>
      <c r="O95" s="22">
        <f>+N95*M95</f>
        <v>75325</v>
      </c>
      <c r="P95" s="22">
        <f t="shared" si="55"/>
        <v>7313.1067961165045</v>
      </c>
      <c r="S95" s="111"/>
      <c r="U95" s="107"/>
      <c r="W95" s="111">
        <f t="shared" ref="W95:W109" si="56">X95*W$7</f>
        <v>40777.443609022557</v>
      </c>
      <c r="X95" s="22">
        <f t="shared" ref="X95:X109" si="57">+$O95/SM134Units</f>
        <v>566.35338345864659</v>
      </c>
      <c r="Y95" s="107">
        <f t="shared" ref="Y95:Y109" si="58">+X95/X$9</f>
        <v>0.51161100583436914</v>
      </c>
      <c r="AA95" s="111">
        <f t="shared" ref="AA95:AA109" si="59">AB95*AA$7</f>
        <v>34547.556390977443</v>
      </c>
      <c r="AB95" s="22">
        <f t="shared" ref="AB95:AB109" si="60">+$O95/SM134Units</f>
        <v>566.35338345864659</v>
      </c>
      <c r="AC95" s="107">
        <f t="shared" ref="AC95:AC109" si="61">+AB95/AB$9</f>
        <v>0.44005701900438743</v>
      </c>
      <c r="AE95" s="126"/>
      <c r="AF95" s="126"/>
      <c r="AG95" s="33"/>
      <c r="AH95" s="33"/>
      <c r="AI95" s="106">
        <f t="shared" ref="AI95:AI109" si="62">+AA95+W95</f>
        <v>75325</v>
      </c>
      <c r="AJ95" s="97">
        <f t="shared" ref="AJ95:AJ109" si="63">+AI95/AI$7</f>
        <v>566.35338345864659</v>
      </c>
      <c r="AK95" s="107">
        <f t="shared" ref="AK95:AK109" si="64">+AJ95/AJ$9</f>
        <v>0.47000280784949927</v>
      </c>
    </row>
    <row r="96" spans="1:44">
      <c r="B96" s="22" t="s">
        <v>338</v>
      </c>
      <c r="L96" s="22" t="s">
        <v>351</v>
      </c>
      <c r="M96" s="22">
        <v>13100</v>
      </c>
      <c r="N96" s="4">
        <v>3.75</v>
      </c>
      <c r="O96" s="22">
        <f t="shared" ref="O96:O109" si="65">+N96*M96</f>
        <v>49125</v>
      </c>
      <c r="P96" s="22">
        <f t="shared" si="55"/>
        <v>4769.4174757281553</v>
      </c>
      <c r="S96" s="111"/>
      <c r="U96" s="107"/>
      <c r="W96" s="111">
        <f t="shared" si="56"/>
        <v>26593.984962406015</v>
      </c>
      <c r="X96" s="22">
        <f t="shared" si="57"/>
        <v>369.36090225563908</v>
      </c>
      <c r="Y96" s="107">
        <f t="shared" si="58"/>
        <v>0.33365935163111027</v>
      </c>
      <c r="AA96" s="111">
        <f t="shared" si="59"/>
        <v>22531.015037593985</v>
      </c>
      <c r="AB96" s="22">
        <f t="shared" si="60"/>
        <v>369.36090225563908</v>
      </c>
      <c r="AC96" s="107">
        <f t="shared" si="61"/>
        <v>0.28699370804633961</v>
      </c>
      <c r="AE96" s="126"/>
      <c r="AF96" s="126"/>
      <c r="AG96" s="33"/>
      <c r="AH96" s="33"/>
      <c r="AI96" s="106">
        <f t="shared" si="62"/>
        <v>49125</v>
      </c>
      <c r="AJ96" s="97">
        <f t="shared" si="63"/>
        <v>369.36090225563908</v>
      </c>
      <c r="AK96" s="107">
        <f t="shared" si="64"/>
        <v>0.30652357033662991</v>
      </c>
    </row>
    <row r="97" spans="2:37">
      <c r="B97" s="22" t="s">
        <v>339</v>
      </c>
      <c r="L97" s="22" t="s">
        <v>352</v>
      </c>
      <c r="M97" s="22">
        <v>10000</v>
      </c>
      <c r="N97" s="4">
        <v>3</v>
      </c>
      <c r="O97" s="22">
        <f t="shared" si="65"/>
        <v>30000</v>
      </c>
      <c r="P97" s="22">
        <f t="shared" si="55"/>
        <v>2912.6213592233007</v>
      </c>
      <c r="S97" s="111"/>
      <c r="U97" s="107"/>
      <c r="W97" s="111">
        <f t="shared" si="56"/>
        <v>16240.601503759399</v>
      </c>
      <c r="X97" s="22">
        <f t="shared" si="57"/>
        <v>225.5639097744361</v>
      </c>
      <c r="Y97" s="107">
        <f t="shared" si="58"/>
        <v>0.20376143611060171</v>
      </c>
      <c r="AA97" s="111">
        <f t="shared" si="59"/>
        <v>13759.398496240601</v>
      </c>
      <c r="AB97" s="22">
        <f t="shared" si="60"/>
        <v>225.5639097744361</v>
      </c>
      <c r="AC97" s="107">
        <f t="shared" si="61"/>
        <v>0.17526333315806999</v>
      </c>
      <c r="AE97" s="126"/>
      <c r="AF97" s="126"/>
      <c r="AG97" s="33"/>
      <c r="AH97" s="33"/>
      <c r="AI97" s="106">
        <f t="shared" si="62"/>
        <v>30000</v>
      </c>
      <c r="AJ97" s="97">
        <f t="shared" si="63"/>
        <v>225.5639097744361</v>
      </c>
      <c r="AK97" s="107">
        <f t="shared" si="64"/>
        <v>0.18718996661778931</v>
      </c>
    </row>
    <row r="98" spans="2:37">
      <c r="B98" s="22" t="s">
        <v>340</v>
      </c>
      <c r="L98" s="22" t="s">
        <v>353</v>
      </c>
      <c r="M98" s="22">
        <v>5000</v>
      </c>
      <c r="N98" s="4">
        <v>6</v>
      </c>
      <c r="O98" s="22">
        <f t="shared" si="65"/>
        <v>30000</v>
      </c>
      <c r="P98" s="22">
        <f t="shared" si="55"/>
        <v>2912.6213592233007</v>
      </c>
      <c r="S98" s="111"/>
      <c r="U98" s="107"/>
      <c r="W98" s="111">
        <f t="shared" si="56"/>
        <v>16240.601503759399</v>
      </c>
      <c r="X98" s="22">
        <f t="shared" si="57"/>
        <v>225.5639097744361</v>
      </c>
      <c r="Y98" s="107">
        <f t="shared" si="58"/>
        <v>0.20376143611060171</v>
      </c>
      <c r="AA98" s="111">
        <f t="shared" si="59"/>
        <v>13759.398496240601</v>
      </c>
      <c r="AB98" s="22">
        <f t="shared" si="60"/>
        <v>225.5639097744361</v>
      </c>
      <c r="AC98" s="107">
        <f t="shared" si="61"/>
        <v>0.17526333315806999</v>
      </c>
      <c r="AE98" s="126"/>
      <c r="AF98" s="126"/>
      <c r="AG98" s="33"/>
      <c r="AH98" s="33"/>
      <c r="AI98" s="106">
        <f t="shared" si="62"/>
        <v>30000</v>
      </c>
      <c r="AJ98" s="97">
        <f t="shared" si="63"/>
        <v>225.5639097744361</v>
      </c>
      <c r="AK98" s="107">
        <f t="shared" si="64"/>
        <v>0.18718996661778931</v>
      </c>
    </row>
    <row r="99" spans="2:37">
      <c r="B99" s="22" t="s">
        <v>341</v>
      </c>
      <c r="L99" s="22" t="s">
        <v>353</v>
      </c>
      <c r="M99" s="22">
        <v>2200</v>
      </c>
      <c r="N99" s="4">
        <v>25</v>
      </c>
      <c r="O99" s="22">
        <f t="shared" si="65"/>
        <v>55000</v>
      </c>
      <c r="P99" s="22">
        <f t="shared" si="55"/>
        <v>5339.8058252427181</v>
      </c>
      <c r="S99" s="111"/>
      <c r="U99" s="107"/>
      <c r="W99" s="111">
        <f t="shared" si="56"/>
        <v>29774.436090225565</v>
      </c>
      <c r="X99" s="22">
        <f t="shared" si="57"/>
        <v>413.53383458646618</v>
      </c>
      <c r="Y99" s="107">
        <f t="shared" si="58"/>
        <v>0.37356263286943647</v>
      </c>
      <c r="AA99" s="111">
        <f t="shared" si="59"/>
        <v>25225.563909774439</v>
      </c>
      <c r="AB99" s="22">
        <f t="shared" si="60"/>
        <v>413.53383458646618</v>
      </c>
      <c r="AC99" s="107">
        <f t="shared" si="61"/>
        <v>0.321316110789795</v>
      </c>
      <c r="AE99" s="126"/>
      <c r="AF99" s="126"/>
      <c r="AG99" s="33"/>
      <c r="AH99" s="33"/>
      <c r="AI99" s="106">
        <f t="shared" si="62"/>
        <v>55000</v>
      </c>
      <c r="AJ99" s="97">
        <f t="shared" si="63"/>
        <v>413.53383458646618</v>
      </c>
      <c r="AK99" s="107">
        <f t="shared" si="64"/>
        <v>0.34318160546594706</v>
      </c>
    </row>
    <row r="100" spans="2:37">
      <c r="B100" s="22" t="s">
        <v>350</v>
      </c>
      <c r="L100" s="22" t="s">
        <v>353</v>
      </c>
      <c r="M100" s="22">
        <v>210</v>
      </c>
      <c r="N100" s="4">
        <v>17</v>
      </c>
      <c r="O100" s="22">
        <f t="shared" si="65"/>
        <v>3570</v>
      </c>
      <c r="P100" s="22">
        <f t="shared" si="55"/>
        <v>346.60194174757277</v>
      </c>
      <c r="S100" s="111"/>
      <c r="U100" s="107"/>
      <c r="W100" s="111">
        <f t="shared" si="56"/>
        <v>1932.6315789473683</v>
      </c>
      <c r="X100" s="22">
        <f t="shared" si="57"/>
        <v>26.842105263157894</v>
      </c>
      <c r="Y100" s="107">
        <f t="shared" si="58"/>
        <v>2.4247610897161601E-2</v>
      </c>
      <c r="AA100" s="111">
        <f t="shared" si="59"/>
        <v>1637.3684210526314</v>
      </c>
      <c r="AB100" s="22">
        <f t="shared" si="60"/>
        <v>26.842105263157894</v>
      </c>
      <c r="AC100" s="107">
        <f t="shared" si="61"/>
        <v>2.0856336645810328E-2</v>
      </c>
      <c r="AE100" s="126"/>
      <c r="AF100" s="126"/>
      <c r="AG100" s="33"/>
      <c r="AH100" s="33"/>
      <c r="AI100" s="106">
        <f t="shared" si="62"/>
        <v>3570</v>
      </c>
      <c r="AJ100" s="97">
        <f t="shared" si="63"/>
        <v>26.842105263157894</v>
      </c>
      <c r="AK100" s="107">
        <f t="shared" si="64"/>
        <v>2.2275606027516923E-2</v>
      </c>
    </row>
    <row r="101" spans="2:37">
      <c r="B101" s="22" t="s">
        <v>342</v>
      </c>
      <c r="L101" s="22" t="s">
        <v>354</v>
      </c>
      <c r="M101" s="22">
        <v>134</v>
      </c>
      <c r="N101" s="22">
        <v>600</v>
      </c>
      <c r="O101" s="22">
        <f t="shared" si="65"/>
        <v>80400</v>
      </c>
      <c r="P101" s="22">
        <f t="shared" si="55"/>
        <v>7805.8252427184461</v>
      </c>
      <c r="S101" s="111"/>
      <c r="U101" s="107"/>
      <c r="W101" s="111">
        <f t="shared" si="56"/>
        <v>43524.812030075183</v>
      </c>
      <c r="X101" s="22">
        <f t="shared" si="57"/>
        <v>604.51127819548867</v>
      </c>
      <c r="Y101" s="107">
        <f t="shared" si="58"/>
        <v>0.54608064877641249</v>
      </c>
      <c r="AA101" s="111">
        <f t="shared" si="59"/>
        <v>36875.187969924809</v>
      </c>
      <c r="AB101" s="22">
        <f t="shared" si="60"/>
        <v>604.51127819548867</v>
      </c>
      <c r="AC101" s="107">
        <f t="shared" si="61"/>
        <v>0.46970573286362755</v>
      </c>
      <c r="AE101" s="126"/>
      <c r="AF101" s="126"/>
      <c r="AG101" s="33"/>
      <c r="AH101" s="33"/>
      <c r="AI101" s="106">
        <f t="shared" si="62"/>
        <v>80400</v>
      </c>
      <c r="AJ101" s="97">
        <f t="shared" si="63"/>
        <v>604.51127819548867</v>
      </c>
      <c r="AK101" s="107">
        <f t="shared" si="64"/>
        <v>0.5016691105356752</v>
      </c>
    </row>
    <row r="102" spans="2:37">
      <c r="B102" s="22" t="s">
        <v>343</v>
      </c>
      <c r="L102" s="22" t="s">
        <v>354</v>
      </c>
      <c r="M102" s="22">
        <v>2</v>
      </c>
      <c r="N102" s="22">
        <v>17500</v>
      </c>
      <c r="O102" s="22">
        <f t="shared" si="65"/>
        <v>35000</v>
      </c>
      <c r="P102" s="22">
        <f t="shared" si="55"/>
        <v>3398.058252427184</v>
      </c>
      <c r="S102" s="111"/>
      <c r="U102" s="107"/>
      <c r="W102" s="111">
        <f t="shared" si="56"/>
        <v>18947.36842105263</v>
      </c>
      <c r="X102" s="22">
        <f t="shared" si="57"/>
        <v>263.15789473684208</v>
      </c>
      <c r="Y102" s="107">
        <f t="shared" si="58"/>
        <v>0.23772167546236864</v>
      </c>
      <c r="AA102" s="111">
        <f t="shared" si="59"/>
        <v>16052.631578947367</v>
      </c>
      <c r="AB102" s="22">
        <f t="shared" si="60"/>
        <v>263.15789473684208</v>
      </c>
      <c r="AC102" s="107">
        <f t="shared" si="61"/>
        <v>0.20447388868441499</v>
      </c>
      <c r="AE102" s="126"/>
      <c r="AF102" s="126"/>
      <c r="AG102" s="33"/>
      <c r="AH102" s="33"/>
      <c r="AI102" s="106">
        <f t="shared" si="62"/>
        <v>35000</v>
      </c>
      <c r="AJ102" s="97">
        <f t="shared" si="63"/>
        <v>263.15789473684208</v>
      </c>
      <c r="AK102" s="107">
        <f t="shared" si="64"/>
        <v>0.21838829438742083</v>
      </c>
    </row>
    <row r="103" spans="2:37">
      <c r="B103" s="22" t="s">
        <v>344</v>
      </c>
      <c r="L103" s="22" t="s">
        <v>354</v>
      </c>
      <c r="M103" s="22">
        <v>9</v>
      </c>
      <c r="N103" s="22">
        <v>2000</v>
      </c>
      <c r="O103" s="22">
        <f t="shared" si="65"/>
        <v>18000</v>
      </c>
      <c r="P103" s="22">
        <f t="shared" si="55"/>
        <v>1747.5728155339805</v>
      </c>
      <c r="S103" s="111"/>
      <c r="U103" s="107"/>
      <c r="W103" s="111">
        <f t="shared" si="56"/>
        <v>9744.3609022556393</v>
      </c>
      <c r="X103" s="22">
        <f t="shared" si="57"/>
        <v>135.33834586466165</v>
      </c>
      <c r="Y103" s="107">
        <f t="shared" si="58"/>
        <v>0.12225686166636102</v>
      </c>
      <c r="AA103" s="111">
        <f t="shared" si="59"/>
        <v>8255.6390977443607</v>
      </c>
      <c r="AB103" s="22">
        <f t="shared" si="60"/>
        <v>135.33834586466165</v>
      </c>
      <c r="AC103" s="107">
        <f t="shared" si="61"/>
        <v>0.10515799989484199</v>
      </c>
      <c r="AE103" s="126"/>
      <c r="AF103" s="126"/>
      <c r="AG103" s="33"/>
      <c r="AH103" s="33"/>
      <c r="AI103" s="106">
        <f t="shared" si="62"/>
        <v>18000</v>
      </c>
      <c r="AJ103" s="97">
        <f t="shared" si="63"/>
        <v>135.33834586466165</v>
      </c>
      <c r="AK103" s="107">
        <f t="shared" si="64"/>
        <v>0.11231397997067356</v>
      </c>
    </row>
    <row r="104" spans="2:37">
      <c r="B104" s="22" t="s">
        <v>348</v>
      </c>
      <c r="L104" s="22" t="s">
        <v>353</v>
      </c>
      <c r="M104" s="22">
        <v>1860</v>
      </c>
      <c r="N104" s="4">
        <v>25</v>
      </c>
      <c r="O104" s="22">
        <f t="shared" si="65"/>
        <v>46500</v>
      </c>
      <c r="P104" s="22">
        <f t="shared" si="55"/>
        <v>4514.5631067961158</v>
      </c>
      <c r="S104" s="111"/>
      <c r="U104" s="107"/>
      <c r="W104" s="111">
        <f t="shared" si="56"/>
        <v>25172.932330827069</v>
      </c>
      <c r="X104" s="22">
        <f t="shared" si="57"/>
        <v>349.62406015037595</v>
      </c>
      <c r="Y104" s="107">
        <f t="shared" si="58"/>
        <v>0.31583022597143268</v>
      </c>
      <c r="AA104" s="111">
        <f t="shared" si="59"/>
        <v>21327.067669172931</v>
      </c>
      <c r="AB104" s="22">
        <f t="shared" si="60"/>
        <v>349.62406015037595</v>
      </c>
      <c r="AC104" s="107">
        <f t="shared" si="61"/>
        <v>0.2716581663950085</v>
      </c>
      <c r="AE104" s="126"/>
      <c r="AF104" s="126"/>
      <c r="AG104" s="33"/>
      <c r="AH104" s="33"/>
      <c r="AI104" s="106">
        <f t="shared" si="62"/>
        <v>46500</v>
      </c>
      <c r="AJ104" s="97">
        <f t="shared" si="63"/>
        <v>349.62406015037595</v>
      </c>
      <c r="AK104" s="107">
        <f t="shared" si="64"/>
        <v>0.29014444825757341</v>
      </c>
    </row>
    <row r="105" spans="2:37">
      <c r="B105" s="22" t="s">
        <v>349</v>
      </c>
      <c r="L105" s="22" t="s">
        <v>354</v>
      </c>
      <c r="M105" s="22">
        <v>12</v>
      </c>
      <c r="N105" s="22">
        <v>2000</v>
      </c>
      <c r="O105" s="22">
        <f t="shared" si="65"/>
        <v>24000</v>
      </c>
      <c r="P105" s="22">
        <f t="shared" si="55"/>
        <v>2330.0970873786405</v>
      </c>
      <c r="S105" s="111"/>
      <c r="U105" s="107"/>
      <c r="W105" s="111">
        <f t="shared" si="56"/>
        <v>12992.481203007519</v>
      </c>
      <c r="X105" s="22">
        <f t="shared" si="57"/>
        <v>180.45112781954887</v>
      </c>
      <c r="Y105" s="107">
        <f t="shared" si="58"/>
        <v>0.16300914888848136</v>
      </c>
      <c r="AA105" s="111">
        <f t="shared" si="59"/>
        <v>11007.518796992481</v>
      </c>
      <c r="AB105" s="22">
        <f t="shared" si="60"/>
        <v>180.45112781954887</v>
      </c>
      <c r="AC105" s="107">
        <f t="shared" si="61"/>
        <v>0.140210666526456</v>
      </c>
      <c r="AE105" s="126"/>
      <c r="AF105" s="126"/>
      <c r="AG105" s="33"/>
      <c r="AH105" s="33"/>
      <c r="AI105" s="106">
        <f t="shared" si="62"/>
        <v>24000</v>
      </c>
      <c r="AJ105" s="97">
        <f t="shared" si="63"/>
        <v>180.45112781954887</v>
      </c>
      <c r="AK105" s="107">
        <f t="shared" si="64"/>
        <v>0.14975197329423143</v>
      </c>
    </row>
    <row r="106" spans="2:37">
      <c r="B106" s="22" t="s">
        <v>347</v>
      </c>
      <c r="L106" s="22" t="s">
        <v>354</v>
      </c>
      <c r="M106" s="22">
        <v>2</v>
      </c>
      <c r="N106" s="22">
        <v>2000</v>
      </c>
      <c r="O106" s="22">
        <f t="shared" si="65"/>
        <v>4000</v>
      </c>
      <c r="P106" s="22">
        <f t="shared" si="55"/>
        <v>388.34951456310677</v>
      </c>
      <c r="S106" s="111"/>
      <c r="U106" s="107"/>
      <c r="W106" s="111">
        <f t="shared" si="56"/>
        <v>2165.4135338345864</v>
      </c>
      <c r="X106" s="22">
        <f t="shared" si="57"/>
        <v>30.075187969924812</v>
      </c>
      <c r="Y106" s="107">
        <f t="shared" si="58"/>
        <v>2.716819148141356E-2</v>
      </c>
      <c r="AA106" s="111">
        <f t="shared" si="59"/>
        <v>1834.5864661654136</v>
      </c>
      <c r="AB106" s="22">
        <f t="shared" si="60"/>
        <v>30.075187969924812</v>
      </c>
      <c r="AC106" s="107">
        <f t="shared" si="61"/>
        <v>2.3368444421075999E-2</v>
      </c>
      <c r="AE106" s="111"/>
      <c r="AG106" s="107"/>
      <c r="AH106" s="107"/>
      <c r="AI106" s="106">
        <f t="shared" si="62"/>
        <v>4000</v>
      </c>
      <c r="AJ106" s="97">
        <f t="shared" si="63"/>
        <v>30.075187969924812</v>
      </c>
      <c r="AK106" s="107">
        <f t="shared" si="64"/>
        <v>2.4958662215705238E-2</v>
      </c>
    </row>
    <row r="107" spans="2:37">
      <c r="B107" s="22" t="s">
        <v>251</v>
      </c>
      <c r="L107" s="22" t="s">
        <v>346</v>
      </c>
      <c r="M107" s="22">
        <v>1</v>
      </c>
      <c r="N107" s="22">
        <v>10000</v>
      </c>
      <c r="O107" s="22">
        <f t="shared" si="65"/>
        <v>10000</v>
      </c>
      <c r="P107" s="22">
        <f>O107/10.3</f>
        <v>970.87378640776694</v>
      </c>
      <c r="S107" s="111"/>
      <c r="U107" s="107"/>
      <c r="W107" s="111">
        <f t="shared" si="56"/>
        <v>5413.5338345864657</v>
      </c>
      <c r="X107" s="22">
        <f t="shared" si="57"/>
        <v>75.187969924812023</v>
      </c>
      <c r="Y107" s="107">
        <f t="shared" si="58"/>
        <v>6.792047870353389E-2</v>
      </c>
      <c r="AA107" s="111">
        <f t="shared" si="59"/>
        <v>4586.4661654135334</v>
      </c>
      <c r="AB107" s="22">
        <f t="shared" si="60"/>
        <v>75.187969924812023</v>
      </c>
      <c r="AC107" s="107">
        <f t="shared" si="61"/>
        <v>5.8421111052689996E-2</v>
      </c>
      <c r="AE107" s="111">
        <f>AF107*AE$7</f>
        <v>0</v>
      </c>
      <c r="AF107" s="22">
        <f>+$O107/SM134Units</f>
        <v>75.187969924812023</v>
      </c>
      <c r="AG107" s="107">
        <f>+AF107/AF$9</f>
        <v>4.8508367693427111E-2</v>
      </c>
      <c r="AH107" s="107"/>
      <c r="AI107" s="106">
        <f t="shared" si="62"/>
        <v>10000</v>
      </c>
      <c r="AJ107" s="97">
        <f t="shared" si="63"/>
        <v>75.187969924812023</v>
      </c>
      <c r="AK107" s="107">
        <f t="shared" si="64"/>
        <v>6.2396655539263088E-2</v>
      </c>
    </row>
    <row r="108" spans="2:37">
      <c r="B108" s="22" t="s">
        <v>345</v>
      </c>
      <c r="L108" s="22" t="s">
        <v>346</v>
      </c>
      <c r="M108" s="22">
        <v>1</v>
      </c>
      <c r="N108" s="22">
        <v>75000</v>
      </c>
      <c r="O108" s="22">
        <f t="shared" si="65"/>
        <v>75000</v>
      </c>
      <c r="P108" s="22">
        <f>O108/10.3</f>
        <v>7281.5533980582522</v>
      </c>
      <c r="S108" s="111"/>
      <c r="U108" s="107"/>
      <c r="W108" s="111">
        <f t="shared" si="56"/>
        <v>40601.503759398489</v>
      </c>
      <c r="X108" s="22">
        <f t="shared" si="57"/>
        <v>563.90977443609017</v>
      </c>
      <c r="Y108" s="107">
        <f t="shared" si="58"/>
        <v>0.50940359027650417</v>
      </c>
      <c r="AA108" s="111">
        <f t="shared" si="59"/>
        <v>34398.496240601504</v>
      </c>
      <c r="AB108" s="22">
        <f t="shared" si="60"/>
        <v>563.90977443609017</v>
      </c>
      <c r="AC108" s="107">
        <f t="shared" si="61"/>
        <v>0.43815833289517497</v>
      </c>
      <c r="AE108" s="111">
        <f>AF108*AE$7</f>
        <v>0</v>
      </c>
      <c r="AF108" s="22">
        <f>+$O108/SM134Units</f>
        <v>563.90977443609017</v>
      </c>
      <c r="AG108" s="107">
        <f>+AF108/AF$9</f>
        <v>0.36381275770070332</v>
      </c>
      <c r="AH108" s="107"/>
      <c r="AI108" s="106">
        <f t="shared" si="62"/>
        <v>75000</v>
      </c>
      <c r="AJ108" s="97">
        <f t="shared" si="63"/>
        <v>563.90977443609017</v>
      </c>
      <c r="AK108" s="107">
        <f t="shared" si="64"/>
        <v>0.46797491654447315</v>
      </c>
    </row>
    <row r="109" spans="2:37">
      <c r="B109" s="22" t="s">
        <v>360</v>
      </c>
      <c r="L109" s="190" t="s">
        <v>346</v>
      </c>
      <c r="M109" s="188">
        <v>1</v>
      </c>
      <c r="N109" s="185">
        <v>53592</v>
      </c>
      <c r="O109" s="194">
        <f t="shared" si="65"/>
        <v>53592</v>
      </c>
      <c r="P109" s="22">
        <f>O109/10.3</f>
        <v>5203.1067961165045</v>
      </c>
      <c r="S109" s="196"/>
      <c r="T109" s="194"/>
      <c r="U109" s="197"/>
      <c r="W109" s="196">
        <f t="shared" si="56"/>
        <v>29012.21052631579</v>
      </c>
      <c r="X109" s="194">
        <f t="shared" si="57"/>
        <v>402.94736842105266</v>
      </c>
      <c r="Y109" s="197">
        <f t="shared" si="58"/>
        <v>0.36399942946797892</v>
      </c>
      <c r="AA109" s="196">
        <f t="shared" si="59"/>
        <v>24579.789473684214</v>
      </c>
      <c r="AB109" s="194">
        <f t="shared" si="60"/>
        <v>402.94736842105266</v>
      </c>
      <c r="AC109" s="197">
        <f t="shared" si="61"/>
        <v>0.31309041835357626</v>
      </c>
      <c r="AE109" s="111"/>
      <c r="AG109" s="107"/>
      <c r="AH109" s="107"/>
      <c r="AI109" s="106">
        <f t="shared" si="62"/>
        <v>53592</v>
      </c>
      <c r="AJ109" s="199">
        <f t="shared" si="63"/>
        <v>402.94736842105266</v>
      </c>
      <c r="AK109" s="197">
        <f t="shared" si="64"/>
        <v>0.33439615636601883</v>
      </c>
    </row>
    <row r="110" spans="2:37">
      <c r="B110" s="127" t="s">
        <v>263</v>
      </c>
      <c r="C110" s="127"/>
      <c r="D110" s="127"/>
      <c r="E110" s="127"/>
      <c r="F110" s="127"/>
      <c r="G110" s="127"/>
      <c r="H110" s="127"/>
      <c r="I110" s="127"/>
      <c r="J110" s="127"/>
      <c r="K110" s="127"/>
      <c r="O110" s="193">
        <f>SUM(O94:O109)</f>
        <v>627312</v>
      </c>
      <c r="P110" s="127">
        <f>SUM(P94:P109)</f>
        <v>60904.077669902916</v>
      </c>
      <c r="S110" s="128"/>
      <c r="T110" s="128"/>
      <c r="U110" s="198"/>
      <c r="W110" s="128">
        <f>SUM(W94:W109)</f>
        <v>339444.76355066762</v>
      </c>
      <c r="X110" s="128">
        <f>SUM(X94:X109)</f>
        <v>4714.5106048703847</v>
      </c>
      <c r="Y110" s="198">
        <f>SUM(Y94:Y109)</f>
        <v>4.2588171679045939</v>
      </c>
      <c r="AA110" s="128">
        <f>SUM(AA94:AA109)</f>
        <v>287585.14689709351</v>
      </c>
      <c r="AB110" s="128">
        <f>SUM(AB94:AB109)</f>
        <v>4714.5106048703847</v>
      </c>
      <c r="AC110" s="198">
        <f>SUM(AC94:AC109)</f>
        <v>3.6631784031626924</v>
      </c>
      <c r="AE110" s="128">
        <f>SUM(AE94:AE109)</f>
        <v>0</v>
      </c>
      <c r="AF110" s="128">
        <f>SUM(AF94:AF109)</f>
        <v>639.0977443609022</v>
      </c>
      <c r="AG110" s="198">
        <f>SUM(AG94:AG109)</f>
        <v>0.41232112539413041</v>
      </c>
      <c r="AH110" s="129"/>
      <c r="AI110" s="128">
        <f>SUM(AI94:AI109)</f>
        <v>627029.91044776118</v>
      </c>
      <c r="AJ110" s="128">
        <f>SUM(AJ94:AJ109)</f>
        <v>4714.5106048703847</v>
      </c>
      <c r="AK110" s="198">
        <f>SUM(AK94:AK109)</f>
        <v>3.9124569335023938</v>
      </c>
    </row>
    <row r="111" spans="2:37">
      <c r="B111" s="29" t="s">
        <v>361</v>
      </c>
      <c r="S111" s="111"/>
      <c r="U111" s="107"/>
      <c r="W111" s="111"/>
      <c r="Y111" s="107"/>
      <c r="AA111" s="111"/>
      <c r="AC111" s="107"/>
    </row>
    <row r="112" spans="2:37">
      <c r="B112" s="22" t="s">
        <v>243</v>
      </c>
      <c r="L112" s="22" t="s">
        <v>353</v>
      </c>
      <c r="M112" s="22">
        <v>670</v>
      </c>
      <c r="N112" s="4">
        <v>35</v>
      </c>
      <c r="O112" s="22">
        <f t="shared" ref="O112:O122" si="66">+N112*M112</f>
        <v>23450</v>
      </c>
      <c r="P112" s="22">
        <f t="shared" ref="P112:P122" si="67">O112/10.3</f>
        <v>2276.6990291262136</v>
      </c>
      <c r="S112" s="111"/>
      <c r="U112" s="107"/>
      <c r="W112" s="111">
        <f>X112*W$7</f>
        <v>12694.736842105263</v>
      </c>
      <c r="X112" s="22">
        <f>+$O112/SM134Units</f>
        <v>176.31578947368422</v>
      </c>
      <c r="Y112" s="107">
        <f>+X112/X$9</f>
        <v>0.15927352255978702</v>
      </c>
      <c r="AA112" s="111">
        <f>AB112*AA$7</f>
        <v>10755.263157894737</v>
      </c>
      <c r="AB112" s="22">
        <f>+$O112/SM134Units</f>
        <v>176.31578947368422</v>
      </c>
      <c r="AC112" s="107">
        <f>+AB112/AB$9</f>
        <v>0.13699750541855807</v>
      </c>
      <c r="AE112" s="111">
        <f>AF112*AE$7</f>
        <v>0</v>
      </c>
      <c r="AF112" s="22">
        <f>+$O112/SM134Units</f>
        <v>176.31578947368422</v>
      </c>
      <c r="AG112" s="107">
        <f>+AF112/AF$9</f>
        <v>0.11375212224108659</v>
      </c>
      <c r="AH112" s="107"/>
      <c r="AI112" s="126">
        <f>+AA112+W112</f>
        <v>23450</v>
      </c>
      <c r="AJ112" s="97">
        <f>+AI112/AI$7</f>
        <v>176.31578947368422</v>
      </c>
      <c r="AK112" s="107">
        <f>+AJ112/AJ$9</f>
        <v>0.14632015723957198</v>
      </c>
    </row>
    <row r="113" spans="2:37">
      <c r="B113" s="22" t="s">
        <v>358</v>
      </c>
      <c r="L113" s="22" t="s">
        <v>353</v>
      </c>
      <c r="M113" s="22">
        <f>670*3</f>
        <v>2010</v>
      </c>
      <c r="N113" s="4">
        <v>25</v>
      </c>
      <c r="O113" s="22">
        <f t="shared" si="66"/>
        <v>50250</v>
      </c>
      <c r="P113" s="22">
        <f t="shared" si="67"/>
        <v>4878.6407766990287</v>
      </c>
      <c r="S113" s="111"/>
      <c r="U113" s="107"/>
      <c r="W113" s="111">
        <f t="shared" ref="W113:W122" si="68">X113*W$7</f>
        <v>27203.007518796992</v>
      </c>
      <c r="X113" s="22">
        <f t="shared" ref="X113:X122" si="69">+$O113/SM134Units</f>
        <v>377.81954887218046</v>
      </c>
      <c r="Y113" s="107">
        <f t="shared" ref="Y113:Y122" si="70">+X113/X$9</f>
        <v>0.34130040548525786</v>
      </c>
      <c r="AA113" s="111">
        <f t="shared" ref="AA113:AA122" si="71">AB113*AA$7</f>
        <v>23046.992481203008</v>
      </c>
      <c r="AB113" s="22">
        <f t="shared" ref="AB113:AB122" si="72">+$O113/SM134Units</f>
        <v>377.81954887218046</v>
      </c>
      <c r="AC113" s="107">
        <f t="shared" ref="AC113:AC122" si="73">+AB113/AB$9</f>
        <v>0.29356608303976728</v>
      </c>
      <c r="AE113" s="111"/>
      <c r="AG113" s="107"/>
      <c r="AH113" s="107"/>
      <c r="AI113" s="106">
        <f>+AA113+W113</f>
        <v>50250</v>
      </c>
      <c r="AJ113" s="97">
        <f>+AI113/AI$7</f>
        <v>377.81954887218046</v>
      </c>
      <c r="AK113" s="107">
        <f>+AJ113/AJ$9</f>
        <v>0.31354319408479708</v>
      </c>
    </row>
    <row r="114" spans="2:37">
      <c r="B114" s="22" t="s">
        <v>303</v>
      </c>
      <c r="L114" s="22" t="s">
        <v>359</v>
      </c>
      <c r="M114" s="22">
        <f>LandscapeArea</f>
        <v>179968.68432960863</v>
      </c>
      <c r="N114" s="4">
        <v>2</v>
      </c>
      <c r="O114" s="22">
        <f t="shared" si="66"/>
        <v>359937.36865921726</v>
      </c>
      <c r="P114" s="22">
        <f t="shared" si="67"/>
        <v>34945.375597982253</v>
      </c>
      <c r="S114" s="111"/>
      <c r="U114" s="107"/>
      <c r="W114" s="111">
        <f t="shared" si="68"/>
        <v>194853.31235686952</v>
      </c>
      <c r="X114" s="22">
        <f t="shared" si="69"/>
        <v>2706.2960049565208</v>
      </c>
      <c r="Y114" s="107">
        <f t="shared" si="70"/>
        <v>2.4447118382624398</v>
      </c>
      <c r="AA114" s="111">
        <f t="shared" si="71"/>
        <v>165084.05630234777</v>
      </c>
      <c r="AB114" s="22">
        <f t="shared" si="72"/>
        <v>2706.2960049565208</v>
      </c>
      <c r="AC114" s="107">
        <f t="shared" si="73"/>
        <v>2.1027940986453153</v>
      </c>
      <c r="AE114" s="111">
        <f t="shared" ref="AE114:AE122" si="74">AF114*AE$7</f>
        <v>0</v>
      </c>
      <c r="AF114" s="22">
        <f t="shared" ref="AF114:AF122" si="75">+$O114/SM134Units</f>
        <v>2706.2960049565208</v>
      </c>
      <c r="AG114" s="107">
        <f t="shared" ref="AG114:AG122" si="76">+AF114/AF$9</f>
        <v>1.745997422552594</v>
      </c>
      <c r="AH114" s="107"/>
      <c r="AI114" s="106">
        <f t="shared" ref="AI114:AI122" si="77">+AA114+W114</f>
        <v>359937.36865921726</v>
      </c>
      <c r="AJ114" s="97">
        <f t="shared" ref="AJ114:AJ122" si="78">+AI114/AI$7</f>
        <v>2706.2960049565208</v>
      </c>
      <c r="AK114" s="107">
        <f t="shared" ref="AK114:AK122" si="79">+AJ114/AJ$9</f>
        <v>2.2458888007937934</v>
      </c>
    </row>
    <row r="115" spans="2:37">
      <c r="B115" s="22" t="s">
        <v>242</v>
      </c>
      <c r="L115" s="22" t="s">
        <v>354</v>
      </c>
      <c r="M115" s="22">
        <v>2</v>
      </c>
      <c r="N115" s="4">
        <v>4000</v>
      </c>
      <c r="O115" s="22">
        <f t="shared" si="66"/>
        <v>8000</v>
      </c>
      <c r="P115" s="22">
        <f t="shared" si="67"/>
        <v>776.69902912621353</v>
      </c>
      <c r="S115" s="111"/>
      <c r="U115" s="107"/>
      <c r="W115" s="111">
        <f t="shared" si="68"/>
        <v>4330.8270676691727</v>
      </c>
      <c r="X115" s="22">
        <f t="shared" si="69"/>
        <v>60.150375939849624</v>
      </c>
      <c r="Y115" s="107">
        <f t="shared" si="70"/>
        <v>5.4336382962827119E-2</v>
      </c>
      <c r="AA115" s="111">
        <f t="shared" si="71"/>
        <v>3669.1729323308273</v>
      </c>
      <c r="AB115" s="22">
        <f t="shared" si="72"/>
        <v>60.150375939849624</v>
      </c>
      <c r="AC115" s="107">
        <f t="shared" si="73"/>
        <v>4.6736888842151998E-2</v>
      </c>
      <c r="AE115" s="111">
        <f t="shared" si="74"/>
        <v>0</v>
      </c>
      <c r="AF115" s="22">
        <f t="shared" si="75"/>
        <v>60.150375939849624</v>
      </c>
      <c r="AG115" s="107">
        <f t="shared" si="76"/>
        <v>3.8806694154741694E-2</v>
      </c>
      <c r="AH115" s="107"/>
      <c r="AI115" s="106">
        <f t="shared" si="77"/>
        <v>8000</v>
      </c>
      <c r="AJ115" s="97">
        <f t="shared" si="78"/>
        <v>60.150375939849624</v>
      </c>
      <c r="AK115" s="107">
        <f t="shared" si="79"/>
        <v>4.9917324431410476E-2</v>
      </c>
    </row>
    <row r="116" spans="2:37" ht="24">
      <c r="B116" s="229" t="s">
        <v>397</v>
      </c>
      <c r="L116" s="195" t="s">
        <v>346</v>
      </c>
      <c r="M116" s="192">
        <v>1</v>
      </c>
      <c r="N116" s="186">
        <f>+T90</f>
        <v>90910.935924752674</v>
      </c>
      <c r="O116" s="22">
        <f>+N116*M116</f>
        <v>90910.935924752674</v>
      </c>
      <c r="P116" s="22">
        <f t="shared" si="67"/>
        <v>8826.304458713852</v>
      </c>
      <c r="S116" s="111"/>
      <c r="U116" s="107"/>
      <c r="W116" s="111">
        <f>X116*W$7</f>
        <v>49214.942756257093</v>
      </c>
      <c r="X116" s="22">
        <f>+$T$90/SM134Units</f>
        <v>683.54087161468181</v>
      </c>
      <c r="Y116" s="107">
        <f t="shared" si="70"/>
        <v>0.61747142873954997</v>
      </c>
      <c r="AA116" s="111">
        <f>AB116*AA$7</f>
        <v>41695.993168495588</v>
      </c>
      <c r="AB116" s="22">
        <f>+$T$90/SM134Units</f>
        <v>683.54087161468181</v>
      </c>
      <c r="AC116" s="107">
        <f t="shared" si="73"/>
        <v>0.53111178835639616</v>
      </c>
      <c r="AE116" s="111">
        <f>AF116*AE$7</f>
        <v>0</v>
      </c>
      <c r="AF116" s="22">
        <f t="shared" si="75"/>
        <v>683.54087161468181</v>
      </c>
      <c r="AG116" s="107">
        <f t="shared" si="76"/>
        <v>0.44099411071914957</v>
      </c>
      <c r="AH116" s="107"/>
      <c r="AI116" s="106">
        <f t="shared" si="77"/>
        <v>90910.935924752674</v>
      </c>
      <c r="AJ116" s="97">
        <f t="shared" si="78"/>
        <v>683.54087161468181</v>
      </c>
      <c r="AK116" s="107">
        <f t="shared" si="79"/>
        <v>0.56725383536488116</v>
      </c>
    </row>
    <row r="117" spans="2:37">
      <c r="B117" s="22" t="s">
        <v>256</v>
      </c>
      <c r="L117" s="195" t="s">
        <v>346</v>
      </c>
      <c r="M117" s="192">
        <v>3</v>
      </c>
      <c r="N117" s="186">
        <v>7500</v>
      </c>
      <c r="O117" s="22">
        <f t="shared" si="66"/>
        <v>22500</v>
      </c>
      <c r="P117" s="22">
        <f t="shared" si="67"/>
        <v>2184.4660194174758</v>
      </c>
      <c r="S117" s="111"/>
      <c r="U117" s="107"/>
      <c r="W117" s="111">
        <f t="shared" si="68"/>
        <v>12180.45112781955</v>
      </c>
      <c r="X117" s="22">
        <f t="shared" si="69"/>
        <v>169.17293233082708</v>
      </c>
      <c r="Y117" s="107">
        <f t="shared" si="70"/>
        <v>0.15282107708295128</v>
      </c>
      <c r="AA117" s="111">
        <f t="shared" si="71"/>
        <v>10319.548872180452</v>
      </c>
      <c r="AB117" s="22">
        <f t="shared" si="72"/>
        <v>169.17293233082708</v>
      </c>
      <c r="AC117" s="107">
        <f t="shared" si="73"/>
        <v>0.1314474998685525</v>
      </c>
      <c r="AE117" s="111">
        <f t="shared" si="74"/>
        <v>0</v>
      </c>
      <c r="AF117" s="22">
        <f t="shared" si="75"/>
        <v>169.17293233082708</v>
      </c>
      <c r="AG117" s="107">
        <f t="shared" si="76"/>
        <v>0.10914382731021102</v>
      </c>
      <c r="AH117" s="107"/>
      <c r="AI117" s="106">
        <f t="shared" si="77"/>
        <v>22500</v>
      </c>
      <c r="AJ117" s="97">
        <f t="shared" si="78"/>
        <v>169.17293233082708</v>
      </c>
      <c r="AK117" s="107">
        <f t="shared" si="79"/>
        <v>0.14039247496334198</v>
      </c>
    </row>
    <row r="118" spans="2:37">
      <c r="B118" s="22" t="s">
        <v>377</v>
      </c>
      <c r="L118" s="195" t="s">
        <v>354</v>
      </c>
      <c r="M118" s="192">
        <v>134</v>
      </c>
      <c r="N118" s="186">
        <v>200</v>
      </c>
      <c r="O118" s="22">
        <f t="shared" si="66"/>
        <v>26800</v>
      </c>
      <c r="P118" s="22">
        <f t="shared" si="67"/>
        <v>2601.9417475728155</v>
      </c>
      <c r="S118" s="111"/>
      <c r="U118" s="107"/>
      <c r="W118" s="111">
        <f t="shared" si="68"/>
        <v>14508.270676691729</v>
      </c>
      <c r="X118" s="22">
        <f t="shared" si="69"/>
        <v>201.50375939849624</v>
      </c>
      <c r="Y118" s="107">
        <f t="shared" si="70"/>
        <v>0.18202688292547087</v>
      </c>
      <c r="AA118" s="111">
        <f t="shared" si="71"/>
        <v>12291.729323308271</v>
      </c>
      <c r="AB118" s="22">
        <f t="shared" si="72"/>
        <v>201.50375939849624</v>
      </c>
      <c r="AC118" s="107">
        <f t="shared" si="73"/>
        <v>0.15656857762120921</v>
      </c>
      <c r="AE118" s="111">
        <f t="shared" si="74"/>
        <v>0</v>
      </c>
      <c r="AF118" s="22">
        <f t="shared" si="75"/>
        <v>201.50375939849624</v>
      </c>
      <c r="AG118" s="107">
        <f t="shared" si="76"/>
        <v>0.13000242541838467</v>
      </c>
      <c r="AH118" s="107"/>
      <c r="AI118" s="106">
        <f t="shared" si="77"/>
        <v>26800</v>
      </c>
      <c r="AJ118" s="97">
        <f t="shared" si="78"/>
        <v>201.50375939849624</v>
      </c>
      <c r="AK118" s="107">
        <f t="shared" si="79"/>
        <v>0.1672230368452251</v>
      </c>
    </row>
    <row r="119" spans="2:37">
      <c r="B119" s="22" t="s">
        <v>244</v>
      </c>
      <c r="L119" s="22" t="s">
        <v>346</v>
      </c>
      <c r="M119" s="4">
        <v>1</v>
      </c>
      <c r="N119" s="1">
        <v>100000</v>
      </c>
      <c r="O119" s="22">
        <f t="shared" si="66"/>
        <v>100000</v>
      </c>
      <c r="P119" s="22">
        <f t="shared" si="67"/>
        <v>9708.7378640776697</v>
      </c>
      <c r="S119" s="111"/>
      <c r="U119" s="107"/>
      <c r="W119" s="111">
        <f t="shared" si="68"/>
        <v>54135.338345864664</v>
      </c>
      <c r="X119" s="22">
        <f t="shared" si="69"/>
        <v>751.87969924812035</v>
      </c>
      <c r="Y119" s="107">
        <f t="shared" si="70"/>
        <v>0.67920478703533904</v>
      </c>
      <c r="AA119" s="111">
        <f t="shared" si="71"/>
        <v>45864.661654135343</v>
      </c>
      <c r="AB119" s="22">
        <f t="shared" si="72"/>
        <v>751.87969924812035</v>
      </c>
      <c r="AC119" s="107">
        <f t="shared" si="73"/>
        <v>0.5842111105269</v>
      </c>
      <c r="AE119" s="126">
        <f t="shared" si="74"/>
        <v>0</v>
      </c>
      <c r="AF119" s="126">
        <f t="shared" si="75"/>
        <v>751.87969924812035</v>
      </c>
      <c r="AG119" s="33">
        <f t="shared" si="76"/>
        <v>0.48508367693427118</v>
      </c>
      <c r="AH119" s="33"/>
      <c r="AI119" s="106">
        <f t="shared" si="77"/>
        <v>100000</v>
      </c>
      <c r="AJ119" s="97">
        <f t="shared" si="78"/>
        <v>751.87969924812035</v>
      </c>
      <c r="AK119" s="107">
        <f t="shared" si="79"/>
        <v>0.62396655539263102</v>
      </c>
    </row>
    <row r="120" spans="2:37">
      <c r="B120" s="22" t="s">
        <v>385</v>
      </c>
      <c r="L120" s="22" t="s">
        <v>346</v>
      </c>
      <c r="M120" s="4">
        <v>1</v>
      </c>
      <c r="N120" s="1">
        <v>30000</v>
      </c>
      <c r="O120" s="22">
        <f t="shared" si="66"/>
        <v>30000</v>
      </c>
      <c r="P120" s="22">
        <f t="shared" si="67"/>
        <v>2912.6213592233007</v>
      </c>
      <c r="S120" s="111"/>
      <c r="U120" s="107"/>
      <c r="W120" s="111">
        <f>X120*W$7</f>
        <v>16240.601503759399</v>
      </c>
      <c r="X120" s="22">
        <f t="shared" si="69"/>
        <v>225.5639097744361</v>
      </c>
      <c r="Y120" s="107">
        <f t="shared" si="70"/>
        <v>0.20376143611060171</v>
      </c>
      <c r="AA120" s="111">
        <f>AB120*AA$7</f>
        <v>13759.398496240601</v>
      </c>
      <c r="AB120" s="22">
        <f t="shared" si="72"/>
        <v>225.5639097744361</v>
      </c>
      <c r="AC120" s="107">
        <f t="shared" si="73"/>
        <v>0.17526333315806999</v>
      </c>
      <c r="AE120" s="126">
        <f>AF120*AE$7</f>
        <v>0</v>
      </c>
      <c r="AF120" s="126">
        <f t="shared" si="75"/>
        <v>225.5639097744361</v>
      </c>
      <c r="AG120" s="33">
        <f t="shared" si="76"/>
        <v>0.14552510308028135</v>
      </c>
      <c r="AH120" s="33"/>
      <c r="AI120" s="106">
        <f t="shared" si="77"/>
        <v>30000</v>
      </c>
      <c r="AJ120" s="97">
        <f t="shared" si="78"/>
        <v>225.5639097744361</v>
      </c>
      <c r="AK120" s="107">
        <f t="shared" si="79"/>
        <v>0.18718996661778931</v>
      </c>
    </row>
    <row r="121" spans="2:37">
      <c r="B121" s="22" t="s">
        <v>245</v>
      </c>
      <c r="L121" s="22" t="s">
        <v>346</v>
      </c>
      <c r="M121" s="192">
        <v>1</v>
      </c>
      <c r="N121" s="186">
        <v>20000</v>
      </c>
      <c r="O121" s="22">
        <f t="shared" si="66"/>
        <v>20000</v>
      </c>
      <c r="P121" s="22">
        <f t="shared" si="67"/>
        <v>1941.7475728155339</v>
      </c>
      <c r="S121" s="111"/>
      <c r="U121" s="107"/>
      <c r="W121" s="111">
        <f t="shared" si="68"/>
        <v>10827.067669172931</v>
      </c>
      <c r="X121" s="22">
        <f t="shared" si="69"/>
        <v>150.37593984962405</v>
      </c>
      <c r="Y121" s="107">
        <f t="shared" si="70"/>
        <v>0.13584095740706778</v>
      </c>
      <c r="AA121" s="111">
        <f t="shared" si="71"/>
        <v>9172.9323308270668</v>
      </c>
      <c r="AB121" s="22">
        <f t="shared" si="72"/>
        <v>150.37593984962405</v>
      </c>
      <c r="AC121" s="107">
        <f t="shared" si="73"/>
        <v>0.11684222210537999</v>
      </c>
      <c r="AE121" s="111">
        <f t="shared" si="74"/>
        <v>0</v>
      </c>
      <c r="AF121" s="22">
        <f t="shared" si="75"/>
        <v>150.37593984962405</v>
      </c>
      <c r="AG121" s="107">
        <f t="shared" si="76"/>
        <v>9.7016735386854222E-2</v>
      </c>
      <c r="AH121" s="107"/>
      <c r="AI121" s="106">
        <f t="shared" si="77"/>
        <v>20000</v>
      </c>
      <c r="AJ121" s="97">
        <f t="shared" si="78"/>
        <v>150.37593984962405</v>
      </c>
      <c r="AK121" s="107">
        <f t="shared" si="79"/>
        <v>0.12479331107852618</v>
      </c>
    </row>
    <row r="122" spans="2:37">
      <c r="B122" s="22" t="s">
        <v>333</v>
      </c>
      <c r="L122" s="22" t="s">
        <v>346</v>
      </c>
      <c r="M122" s="192">
        <v>1</v>
      </c>
      <c r="N122" s="186">
        <v>25000</v>
      </c>
      <c r="O122" s="22">
        <f t="shared" si="66"/>
        <v>25000</v>
      </c>
      <c r="P122" s="22">
        <f t="shared" si="67"/>
        <v>2427.1844660194174</v>
      </c>
      <c r="S122" s="196"/>
      <c r="T122" s="194"/>
      <c r="U122" s="197"/>
      <c r="W122" s="196">
        <f t="shared" si="68"/>
        <v>13533.834586466166</v>
      </c>
      <c r="X122" s="194">
        <f t="shared" si="69"/>
        <v>187.96992481203009</v>
      </c>
      <c r="Y122" s="197">
        <f t="shared" si="70"/>
        <v>0.16980119675883476</v>
      </c>
      <c r="AA122" s="196">
        <f t="shared" si="71"/>
        <v>11466.165413533836</v>
      </c>
      <c r="AB122" s="194">
        <f t="shared" si="72"/>
        <v>187.96992481203009</v>
      </c>
      <c r="AC122" s="197">
        <f t="shared" si="73"/>
        <v>0.146052777631725</v>
      </c>
      <c r="AE122" s="111">
        <f t="shared" si="74"/>
        <v>0</v>
      </c>
      <c r="AF122" s="22">
        <f t="shared" si="75"/>
        <v>187.96992481203009</v>
      </c>
      <c r="AG122" s="107">
        <f t="shared" si="76"/>
        <v>0.12127091923356779</v>
      </c>
      <c r="AH122" s="107"/>
      <c r="AI122" s="106">
        <f t="shared" si="77"/>
        <v>25000</v>
      </c>
      <c r="AJ122" s="97">
        <f t="shared" si="78"/>
        <v>187.96992481203009</v>
      </c>
      <c r="AK122" s="107">
        <f t="shared" si="79"/>
        <v>0.15599163884815775</v>
      </c>
    </row>
    <row r="123" spans="2:37">
      <c r="B123" s="127" t="s">
        <v>248</v>
      </c>
      <c r="C123" s="127"/>
      <c r="D123" s="127"/>
      <c r="E123" s="127"/>
      <c r="F123" s="127"/>
      <c r="G123" s="127"/>
      <c r="H123" s="127"/>
      <c r="I123" s="127"/>
      <c r="J123" s="127"/>
      <c r="K123" s="127"/>
      <c r="L123" s="131"/>
      <c r="M123" s="127"/>
      <c r="N123" s="127"/>
      <c r="O123" s="127">
        <f>SUM(O112:O122)</f>
        <v>756848.30458396999</v>
      </c>
      <c r="P123" s="127">
        <f>SUM(P119:P121)</f>
        <v>14563.106796116503</v>
      </c>
      <c r="S123" s="128"/>
      <c r="T123" s="128"/>
      <c r="U123" s="129"/>
      <c r="W123" s="128">
        <f>SUM(W112:W122)</f>
        <v>409722.39045147243</v>
      </c>
      <c r="X123" s="128">
        <f>SUM(X112:X122)</f>
        <v>5690.5887562704511</v>
      </c>
      <c r="Y123" s="129">
        <f>SUM(Y112:Y122)</f>
        <v>5.1405499153301273</v>
      </c>
      <c r="AA123" s="128">
        <f>SUM(AA112:AA122)</f>
        <v>347125.91413249751</v>
      </c>
      <c r="AB123" s="128">
        <f>SUM(AB112:AB122)</f>
        <v>5690.5887562704511</v>
      </c>
      <c r="AC123" s="129">
        <f>SUM(AC112:AC122)</f>
        <v>4.4215918852140259</v>
      </c>
      <c r="AE123" s="128">
        <f>SUM(AE119:AE122)</f>
        <v>0</v>
      </c>
      <c r="AF123" s="128">
        <f>SUM(AF119:AF122)</f>
        <v>1315.7894736842104</v>
      </c>
      <c r="AG123" s="129">
        <f>SUM(AG119:AG122)</f>
        <v>0.84889643463497455</v>
      </c>
      <c r="AH123" s="129"/>
      <c r="AI123" s="128">
        <f>SUM(AI112:AI122)</f>
        <v>756848.30458396999</v>
      </c>
      <c r="AJ123" s="128">
        <f>SUM(AJ112:AJ122)</f>
        <v>5690.5887562704511</v>
      </c>
      <c r="AK123" s="129">
        <f>SUM(AK112:AK122)</f>
        <v>4.7224802956601248</v>
      </c>
    </row>
    <row r="124" spans="2:37">
      <c r="B124" s="48" t="s">
        <v>264</v>
      </c>
      <c r="C124" s="127"/>
      <c r="D124" s="127"/>
      <c r="E124" s="127"/>
      <c r="F124" s="127"/>
      <c r="G124" s="127"/>
      <c r="H124" s="127"/>
      <c r="I124" s="127"/>
      <c r="J124" s="127"/>
      <c r="K124" s="127"/>
      <c r="L124" s="131"/>
      <c r="M124" s="131"/>
      <c r="N124" s="131"/>
      <c r="O124" s="127">
        <f>+O123+O110</f>
        <v>1384160.30458397</v>
      </c>
      <c r="P124" s="127">
        <f>+P123+P110</f>
        <v>75467.184466019418</v>
      </c>
      <c r="S124" s="128"/>
      <c r="T124" s="128"/>
      <c r="U124" s="129"/>
      <c r="W124" s="128">
        <f>+W123+W110</f>
        <v>749167.15400214004</v>
      </c>
      <c r="X124" s="128">
        <f>+X123+X110</f>
        <v>10405.099361140836</v>
      </c>
      <c r="Y124" s="129">
        <f>+Y123+Y110</f>
        <v>9.399367083234722</v>
      </c>
      <c r="AA124" s="128">
        <f>+AA123+AA110</f>
        <v>634711.06102959102</v>
      </c>
      <c r="AB124" s="128">
        <f>+AB123+AB110</f>
        <v>10405.099361140836</v>
      </c>
      <c r="AC124" s="129">
        <f>+AC123+AC110</f>
        <v>8.0847702883767187</v>
      </c>
      <c r="AE124" s="128">
        <f>+AE123+AE110</f>
        <v>0</v>
      </c>
      <c r="AF124" s="128">
        <f>+AF123+AF110</f>
        <v>1954.8872180451126</v>
      </c>
      <c r="AG124" s="129">
        <f>+AG123+AG110</f>
        <v>1.2612175600291049</v>
      </c>
      <c r="AH124" s="129"/>
      <c r="AI124" s="128">
        <f>+AI123+AI110</f>
        <v>1383878.2150317312</v>
      </c>
      <c r="AJ124" s="128">
        <f>+AJ123+AJ110</f>
        <v>10405.099361140836</v>
      </c>
      <c r="AK124" s="129">
        <f>+AK123+AK110</f>
        <v>8.634937229162519</v>
      </c>
    </row>
    <row r="125" spans="2:37">
      <c r="B125" s="48" t="s">
        <v>255</v>
      </c>
      <c r="C125" s="48"/>
      <c r="D125" s="91"/>
      <c r="E125" s="130"/>
      <c r="F125" s="130"/>
      <c r="G125" s="130"/>
      <c r="H125" s="130"/>
      <c r="I125" s="130"/>
      <c r="J125" s="130"/>
      <c r="K125" s="130"/>
      <c r="O125" s="49">
        <f>+O124+O92</f>
        <v>2505830.3045839705</v>
      </c>
      <c r="P125" s="49">
        <f>+P124+P92</f>
        <v>184367.18446601945</v>
      </c>
      <c r="Q125" s="93"/>
      <c r="R125" s="93"/>
      <c r="S125" s="49"/>
      <c r="T125" s="49"/>
      <c r="U125" s="50"/>
      <c r="V125" s="51"/>
      <c r="W125" s="49">
        <f>+W124+W92</f>
        <v>1356387.0036262004</v>
      </c>
      <c r="X125" s="49">
        <f>+X124+X92</f>
        <v>18838.708383697231</v>
      </c>
      <c r="Y125" s="50">
        <f>+Y124+Y92</f>
        <v>17.017803417974012</v>
      </c>
      <c r="Z125" s="51"/>
      <c r="AA125" s="49">
        <f>+AA124+AA92</f>
        <v>1149161.211405531</v>
      </c>
      <c r="AB125" s="49">
        <f>+AB124+AB92</f>
        <v>18838.708383697231</v>
      </c>
      <c r="AC125" s="50">
        <f>+AC124+AC92</f>
        <v>14.637691051823801</v>
      </c>
      <c r="AD125" s="51"/>
      <c r="AE125" s="49">
        <f>+AE124+AE92</f>
        <v>0</v>
      </c>
      <c r="AF125" s="49">
        <f>+AF124+AF92</f>
        <v>10388.496240601506</v>
      </c>
      <c r="AG125" s="50">
        <f>+AG124+AG92</f>
        <v>6.7022556390977455</v>
      </c>
      <c r="AH125" s="50"/>
      <c r="AI125" s="52">
        <f>+AI124+AI92</f>
        <v>2505548.2150317314</v>
      </c>
      <c r="AJ125" s="49">
        <f>+AJ124+AJ92</f>
        <v>18838.708383697231</v>
      </c>
      <c r="AK125" s="50">
        <f>+AK124+AK92</f>
        <v>15.633782891035043</v>
      </c>
    </row>
    <row r="126" spans="2:37">
      <c r="B126" s="118" t="s">
        <v>217</v>
      </c>
      <c r="O126"/>
      <c r="P126"/>
      <c r="Q126"/>
      <c r="S126" s="111"/>
      <c r="U126" s="119"/>
      <c r="W126" s="111">
        <f>X126*W$7</f>
        <v>1233201.6776261912</v>
      </c>
      <c r="X126" s="22">
        <f>(X124+X90)*Const_Profit</f>
        <v>17127.801078141543</v>
      </c>
      <c r="Y126" s="119">
        <f>0.15*(Y124+Y90)</f>
        <v>9.2833610179628963</v>
      </c>
      <c r="AA126" s="111">
        <f>AB126*AA$7</f>
        <v>1176941.0134753757</v>
      </c>
      <c r="AB126" s="22">
        <f>(AB124+AB90)*Const_Profit</f>
        <v>19294.11497500616</v>
      </c>
      <c r="AC126" s="119">
        <f>0.15*(AC124+AC90)</f>
        <v>8.9949253962732669</v>
      </c>
      <c r="AE126" s="111">
        <f>AF126*AE$7</f>
        <v>0</v>
      </c>
      <c r="AF126" s="22">
        <f>(AF124+AF90)*Const_Profit</f>
        <v>20338.507599034205</v>
      </c>
      <c r="AG126" s="119">
        <f>0.15*(AG124+AG90)</f>
        <v>7.8729706834971109</v>
      </c>
      <c r="AI126" s="111">
        <f>AJ126*AI$7</f>
        <v>2432870.4250827548</v>
      </c>
      <c r="AJ126" s="22">
        <f>(AJ124+AJ90)*Const_Profit</f>
        <v>18292.258835208682</v>
      </c>
      <c r="AK126" s="22">
        <f>0.15*(AK124+AK90)</f>
        <v>9.1081786731329526</v>
      </c>
    </row>
    <row r="127" spans="2:37">
      <c r="B127" s="48" t="s">
        <v>265</v>
      </c>
      <c r="C127" s="48"/>
      <c r="D127" s="91"/>
      <c r="E127" s="130"/>
      <c r="F127" s="130"/>
      <c r="G127" s="130"/>
      <c r="H127" s="130"/>
      <c r="I127" s="130"/>
      <c r="J127" s="130"/>
      <c r="K127" s="130"/>
      <c r="O127"/>
      <c r="P127"/>
      <c r="Q127"/>
      <c r="R127" s="93"/>
      <c r="S127" s="49"/>
      <c r="T127" s="49"/>
      <c r="U127" s="50"/>
      <c r="V127" s="51"/>
      <c r="W127" s="49">
        <f>+W126+W125+W90</f>
        <v>6773228.2377550136</v>
      </c>
      <c r="X127" s="49">
        <f>+X126+X125+X90</f>
        <v>94072.61441326412</v>
      </c>
      <c r="Y127" s="50">
        <f>+Y126+Y125+Y90</f>
        <v>78.79087080578816</v>
      </c>
      <c r="Z127" s="51"/>
      <c r="AA127" s="49">
        <f>+AA126+AA125+AA90</f>
        <v>6399155.217752818</v>
      </c>
      <c r="AB127" s="49">
        <f>+AB126+AB125+AB90</f>
        <v>104904.18389758719</v>
      </c>
      <c r="AC127" s="50">
        <f>+AC126+AC125+AC90</f>
        <v>75.514015468208811</v>
      </c>
      <c r="AD127" s="51"/>
      <c r="AE127" s="49">
        <f>+AE126+AE125+AE90</f>
        <v>0</v>
      </c>
      <c r="AF127" s="49">
        <f>+AF126+AF125+AF90</f>
        <v>110126.14701772742</v>
      </c>
      <c r="AG127" s="50">
        <f>+AG126+AG125+AG90</f>
        <v>65.800479985879832</v>
      </c>
      <c r="AH127" s="50"/>
      <c r="AI127" s="52">
        <f>+AI126+AI125+AI90</f>
        <v>13286022.125413775</v>
      </c>
      <c r="AJ127" s="49">
        <f>+AJ126+AJ125+AJ90</f>
        <v>99894.903198599801</v>
      </c>
      <c r="AK127" s="50">
        <f>+AK126+AK125+AK90</f>
        <v>76.828215489225158</v>
      </c>
    </row>
    <row r="128" spans="2:37">
      <c r="B128" s="118"/>
      <c r="U128" s="107"/>
    </row>
    <row r="129" spans="2:37">
      <c r="B129" s="29" t="s">
        <v>257</v>
      </c>
    </row>
    <row r="130" spans="2:37">
      <c r="B130" s="22" t="s">
        <v>69</v>
      </c>
      <c r="O130" s="22">
        <v>4000</v>
      </c>
      <c r="S130" s="126"/>
      <c r="T130" s="126"/>
      <c r="U130" s="33"/>
      <c r="W130" s="126">
        <f>X130*W$7</f>
        <v>2165.4135338345864</v>
      </c>
      <c r="X130" s="126">
        <f>+$O130/SM134Units</f>
        <v>30.075187969924812</v>
      </c>
      <c r="Y130" s="33">
        <f>+X130/X$9</f>
        <v>2.716819148141356E-2</v>
      </c>
      <c r="AA130" s="126">
        <f>AB130*AA$7</f>
        <v>1834.5864661654136</v>
      </c>
      <c r="AB130" s="126">
        <f>+$O130/SM134Units</f>
        <v>30.075187969924812</v>
      </c>
      <c r="AC130" s="33">
        <f>+AB130/AB$9</f>
        <v>2.3368444421075999E-2</v>
      </c>
      <c r="AE130" s="126">
        <f>AF130*AE$7</f>
        <v>0</v>
      </c>
      <c r="AF130" s="126">
        <f>+$O130/SM134Units</f>
        <v>30.075187969924812</v>
      </c>
      <c r="AG130" s="33">
        <f>+AF130/AF$9</f>
        <v>1.9403347077370847E-2</v>
      </c>
      <c r="AH130" s="33"/>
      <c r="AI130" s="126">
        <f>+AA130+W130</f>
        <v>4000</v>
      </c>
      <c r="AJ130" s="126">
        <f>+AI130/AI$7</f>
        <v>30.075187969924812</v>
      </c>
      <c r="AK130" s="33">
        <f>+AJ130/AJ$9</f>
        <v>2.4958662215705238E-2</v>
      </c>
    </row>
    <row r="131" spans="2:37">
      <c r="B131" s="22" t="s">
        <v>258</v>
      </c>
      <c r="O131" s="22">
        <f>0.0075*0.75*13000000</f>
        <v>73125</v>
      </c>
      <c r="S131" s="111"/>
      <c r="U131" s="107"/>
      <c r="W131" s="111">
        <f>X131*W$7</f>
        <v>39586.466165413534</v>
      </c>
      <c r="X131" s="22">
        <f>+$O131/SM134Units</f>
        <v>549.81203007518798</v>
      </c>
      <c r="Y131" s="107">
        <f>+X131/X$9</f>
        <v>0.49666850051959166</v>
      </c>
      <c r="AA131" s="111">
        <f>AB131*AA$7</f>
        <v>33538.533834586466</v>
      </c>
      <c r="AB131" s="22">
        <f>+$O131/SM134Units</f>
        <v>549.81203007518798</v>
      </c>
      <c r="AC131" s="107">
        <f>+AB131/AB$9</f>
        <v>0.42720437457279564</v>
      </c>
      <c r="AE131" s="111">
        <f>AF131*AE$7</f>
        <v>0</v>
      </c>
      <c r="AF131" s="22">
        <f>+$O131/SM134Units</f>
        <v>549.81203007518798</v>
      </c>
      <c r="AG131" s="107">
        <f>+AF131/AF$9</f>
        <v>0.35471743875818579</v>
      </c>
      <c r="AH131" s="107"/>
      <c r="AI131" s="106">
        <f>+AA131+W131</f>
        <v>73125</v>
      </c>
      <c r="AJ131" s="97">
        <f>+AI131/AI$7</f>
        <v>549.81203007518798</v>
      </c>
      <c r="AK131" s="107">
        <f>+AJ131/AJ$9</f>
        <v>0.45627554363086137</v>
      </c>
    </row>
    <row r="132" spans="2:37">
      <c r="B132" s="22" t="s">
        <v>262</v>
      </c>
      <c r="O132" s="22">
        <f>0.0025*0.75*13000000</f>
        <v>24375</v>
      </c>
      <c r="S132" s="111"/>
      <c r="U132" s="107"/>
      <c r="W132" s="111">
        <f>X132*W$7</f>
        <v>13195.488721804511</v>
      </c>
      <c r="X132" s="22">
        <f>+$O132/SM134Units</f>
        <v>183.27067669172934</v>
      </c>
      <c r="Y132" s="107">
        <f>+X132/X$9</f>
        <v>0.16555616683986391</v>
      </c>
      <c r="AA132" s="111">
        <f>AB132*AA$7</f>
        <v>11179.511278195489</v>
      </c>
      <c r="AB132" s="22">
        <f>+$O132/SM134Units</f>
        <v>183.27067669172934</v>
      </c>
      <c r="AC132" s="107">
        <f>+AB132/AB$9</f>
        <v>0.14240145819093189</v>
      </c>
      <c r="AE132" s="111">
        <f>AF132*AE$7</f>
        <v>0</v>
      </c>
      <c r="AF132" s="22">
        <f>+$O132/SM134Units</f>
        <v>183.27067669172934</v>
      </c>
      <c r="AG132" s="107">
        <f>+AF132/AF$9</f>
        <v>0.11823914625272861</v>
      </c>
      <c r="AH132" s="107"/>
      <c r="AI132" s="106">
        <f>+AA132+W132</f>
        <v>24375</v>
      </c>
      <c r="AJ132" s="97">
        <f>+AI132/AI$7</f>
        <v>183.27067669172934</v>
      </c>
      <c r="AK132" s="107">
        <f>+AJ132/AJ$9</f>
        <v>0.15209184787695382</v>
      </c>
    </row>
    <row r="133" spans="2:37">
      <c r="B133" s="22" t="s">
        <v>259</v>
      </c>
      <c r="O133" s="22">
        <f>13000000*0.75*0.105*0.75</f>
        <v>767812.5</v>
      </c>
      <c r="S133" s="111"/>
      <c r="U133" s="107"/>
      <c r="W133" s="111">
        <f>X133*W$7</f>
        <v>415657.89473684208</v>
      </c>
      <c r="X133" s="22">
        <f>+$O133/SM134Units</f>
        <v>5773.0263157894733</v>
      </c>
      <c r="Y133" s="107">
        <f>+X133/X$9</f>
        <v>5.2150192554557124</v>
      </c>
      <c r="AA133" s="111">
        <f>AB133*AA$7</f>
        <v>352154.60526315786</v>
      </c>
      <c r="AB133" s="22">
        <f>+$O133/SM134Units</f>
        <v>5773.0263157894733</v>
      </c>
      <c r="AC133" s="107">
        <f>+AB133/AB$9</f>
        <v>4.4856459330143537</v>
      </c>
      <c r="AE133" s="111">
        <f>AF133*AE$7</f>
        <v>0</v>
      </c>
      <c r="AF133" s="22">
        <f>+$O133/SM134Units</f>
        <v>5773.0263157894733</v>
      </c>
      <c r="AG133" s="107">
        <f>+AF133/AF$9</f>
        <v>3.7245331069609504</v>
      </c>
      <c r="AH133" s="107"/>
      <c r="AI133" s="106">
        <f>+AA133+W133</f>
        <v>767812.5</v>
      </c>
      <c r="AJ133" s="97">
        <f>+AI133/AI$7</f>
        <v>5773.0263157894733</v>
      </c>
      <c r="AK133" s="107">
        <f>+AJ133/AJ$9</f>
        <v>4.7908932081240438</v>
      </c>
    </row>
    <row r="134" spans="2:37">
      <c r="B134" s="131" t="s">
        <v>260</v>
      </c>
      <c r="O134" s="131">
        <f>SUM(O130:O133)</f>
        <v>869312.5</v>
      </c>
      <c r="P134" s="131"/>
      <c r="S134" s="132"/>
      <c r="T134" s="132"/>
      <c r="U134" s="133"/>
      <c r="W134" s="132">
        <f>SUM(W130:W133)</f>
        <v>470605.26315789472</v>
      </c>
      <c r="X134" s="132">
        <f>SUM(X130:X133)</f>
        <v>6536.1842105263158</v>
      </c>
      <c r="Y134" s="133">
        <f>SUM(Y130:Y133)</f>
        <v>5.9044121142965817</v>
      </c>
      <c r="AA134" s="132">
        <f>SUM(AA130:AA133)</f>
        <v>398707.23684210522</v>
      </c>
      <c r="AB134" s="132">
        <f>SUM(AB130:AB133)</f>
        <v>6536.1842105263158</v>
      </c>
      <c r="AC134" s="133">
        <f>SUM(AC130:AC133)</f>
        <v>5.0786202101991575</v>
      </c>
      <c r="AE134" s="132">
        <f>SUM(AE130:AE133)</f>
        <v>0</v>
      </c>
      <c r="AF134" s="132">
        <f>SUM(AF130:AF133)</f>
        <v>6536.1842105263158</v>
      </c>
      <c r="AG134" s="133">
        <f>SUM(AG130:AG133)</f>
        <v>4.2168930390492356</v>
      </c>
      <c r="AH134" s="133"/>
      <c r="AI134" s="132">
        <f>SUM(AI130:AI133)</f>
        <v>869312.5</v>
      </c>
      <c r="AJ134" s="132">
        <f>SUM(AJ130:AJ133)</f>
        <v>6536.1842105263158</v>
      </c>
      <c r="AK134" s="133">
        <f>SUM(AK130:AK133)</f>
        <v>5.424219261847564</v>
      </c>
    </row>
    <row r="135" spans="2:37">
      <c r="B135" s="127"/>
      <c r="O135" s="127"/>
      <c r="P135" s="127"/>
      <c r="S135" s="128"/>
      <c r="T135" s="128"/>
      <c r="U135" s="134"/>
      <c r="W135" s="128"/>
      <c r="X135" s="128"/>
      <c r="Y135" s="134"/>
      <c r="AA135" s="128"/>
      <c r="AB135" s="128"/>
      <c r="AC135" s="134"/>
      <c r="AE135" s="128"/>
      <c r="AF135" s="128"/>
      <c r="AG135" s="134"/>
      <c r="AH135" s="134"/>
      <c r="AI135" s="128"/>
      <c r="AJ135" s="128"/>
      <c r="AK135" s="134"/>
    </row>
    <row r="136" spans="2:37" ht="12.75" thickBot="1">
      <c r="B136" s="16" t="s">
        <v>261</v>
      </c>
      <c r="O136" s="16">
        <f>+O134+O127+L90</f>
        <v>1579083.1</v>
      </c>
      <c r="P136" s="16"/>
      <c r="S136" s="5"/>
      <c r="T136" s="5"/>
      <c r="U136" s="3"/>
      <c r="W136" s="5">
        <f>+W134+W127</f>
        <v>7243833.5009129085</v>
      </c>
      <c r="X136" s="5">
        <f>+X134+X127</f>
        <v>100608.79862379044</v>
      </c>
      <c r="Y136" s="3">
        <f>+Y134+Y127</f>
        <v>84.695282920084736</v>
      </c>
      <c r="AA136" s="5">
        <f>+AA134+AA127</f>
        <v>6797862.4545949232</v>
      </c>
      <c r="AB136" s="5">
        <f>+AB134+AB127</f>
        <v>111440.36810811351</v>
      </c>
      <c r="AC136" s="3">
        <f>+AC134+AC127</f>
        <v>80.592635678407973</v>
      </c>
      <c r="AE136" s="5">
        <f>+AE134+AE127</f>
        <v>0</v>
      </c>
      <c r="AF136" s="5">
        <f>+AF134+AF127</f>
        <v>116662.33122825374</v>
      </c>
      <c r="AG136" s="3">
        <f>+AG134+AG127</f>
        <v>70.017373024929071</v>
      </c>
      <c r="AH136" s="3"/>
      <c r="AI136" s="5">
        <f>+AI134+AI127</f>
        <v>14155334.625413775</v>
      </c>
      <c r="AJ136" s="5">
        <f>+AJ134+AJ127</f>
        <v>106431.08740912612</v>
      </c>
      <c r="AK136" s="3">
        <f>+AK134+AK127</f>
        <v>82.252434751072727</v>
      </c>
    </row>
    <row r="137" spans="2:37" ht="13.5" thickTop="1">
      <c r="B137" s="135" t="s">
        <v>459</v>
      </c>
      <c r="O137" s="135"/>
      <c r="P137" s="135"/>
      <c r="S137" s="136"/>
      <c r="T137" s="136"/>
      <c r="U137" s="137"/>
      <c r="W137" s="136"/>
      <c r="X137" s="322">
        <f>X136/Proforma!K41</f>
        <v>0.82432260047513928</v>
      </c>
      <c r="Y137" s="137"/>
      <c r="AA137" s="136"/>
      <c r="AB137" s="322">
        <f>AB136/Proforma!O41</f>
        <v>0.67386839731711634</v>
      </c>
      <c r="AC137" s="137"/>
      <c r="AE137" s="136"/>
      <c r="AF137" s="136"/>
      <c r="AG137" s="137"/>
      <c r="AH137" s="137"/>
      <c r="AI137" s="322">
        <f>AI136/Proforma!V41</f>
        <v>0.74993407222190567</v>
      </c>
      <c r="AJ137" s="136"/>
      <c r="AK137" s="137"/>
    </row>
    <row r="138" spans="2:37">
      <c r="B138" s="135" t="s">
        <v>308</v>
      </c>
      <c r="L138" s="135"/>
      <c r="M138" s="135"/>
      <c r="N138" s="135"/>
      <c r="O138" s="135"/>
      <c r="S138" s="136"/>
      <c r="T138" s="136"/>
      <c r="U138" s="137"/>
      <c r="W138" s="136"/>
      <c r="X138" s="136">
        <f>+Proforma!K$15</f>
        <v>1150</v>
      </c>
      <c r="Y138" s="137"/>
      <c r="AA138" s="136"/>
      <c r="AB138" s="136">
        <f>+Proforma!O$15</f>
        <v>1500</v>
      </c>
      <c r="AC138" s="137"/>
      <c r="AE138" s="136"/>
      <c r="AF138" s="136">
        <f>+Proforma!S$14</f>
        <v>0</v>
      </c>
      <c r="AG138" s="33">
        <f>+AF138/AF$9</f>
        <v>0</v>
      </c>
      <c r="AH138" s="137"/>
      <c r="AI138" s="136">
        <f>AF138*AE$7+AB138*AA$7+X138*W$7</f>
        <v>174300</v>
      </c>
      <c r="AJ138" s="136"/>
      <c r="AK138" s="137"/>
    </row>
    <row r="139" spans="2:37">
      <c r="B139" s="135" t="s">
        <v>309</v>
      </c>
      <c r="L139" s="135"/>
      <c r="M139" s="135"/>
      <c r="N139" s="135"/>
      <c r="O139" s="135"/>
      <c r="S139" s="136"/>
      <c r="T139" s="136"/>
      <c r="U139" s="137"/>
      <c r="W139" s="136"/>
      <c r="X139" s="136">
        <f>+X138/2</f>
        <v>575</v>
      </c>
      <c r="Y139" s="137"/>
      <c r="AA139" s="136"/>
      <c r="AB139" s="136">
        <f>+AB138/3</f>
        <v>500</v>
      </c>
      <c r="AC139" s="137"/>
      <c r="AE139" s="136"/>
      <c r="AF139" s="136">
        <f>+AF138/4</f>
        <v>0</v>
      </c>
      <c r="AG139" s="137"/>
      <c r="AH139" s="137"/>
      <c r="AI139" s="136">
        <f>AI138/(4*AE$7+3*AA$7+2*W$7)</f>
        <v>533.02752293577987</v>
      </c>
      <c r="AJ139" s="136"/>
      <c r="AK139" s="137"/>
    </row>
    <row r="140" spans="2:37" ht="12.75">
      <c r="B140" s="135" t="s">
        <v>310</v>
      </c>
      <c r="L140" s="135"/>
      <c r="M140" s="135"/>
      <c r="N140" s="135"/>
      <c r="O140" s="135"/>
      <c r="S140" s="136"/>
      <c r="T140" s="184"/>
      <c r="U140" s="184"/>
      <c r="V140" s="184"/>
      <c r="W140" s="184"/>
      <c r="X140" s="184">
        <f>(X138*12)/X136</f>
        <v>0.13716494172247065</v>
      </c>
      <c r="Y140" s="184"/>
      <c r="Z140" s="184"/>
      <c r="AA140" s="184"/>
      <c r="AB140" s="184">
        <f>(AB138*12)/AB136</f>
        <v>0.16152136165359179</v>
      </c>
      <c r="AC140" s="137"/>
      <c r="AE140" s="136"/>
      <c r="AF140" s="184">
        <f>(AF138*12)/AF136</f>
        <v>0</v>
      </c>
      <c r="AG140" s="137"/>
      <c r="AH140" s="137"/>
      <c r="AI140" s="184">
        <f>(AI138*12)/AI136</f>
        <v>0.1477605479028978</v>
      </c>
      <c r="AJ140" s="136"/>
      <c r="AK140" s="137"/>
    </row>
    <row r="141" spans="2:37">
      <c r="T141" s="119"/>
      <c r="AJ141" s="119"/>
    </row>
    <row r="142" spans="2:37">
      <c r="B142" s="22" t="s">
        <v>449</v>
      </c>
      <c r="L142" s="22" t="s">
        <v>267</v>
      </c>
      <c r="O142" s="34">
        <v>0.75</v>
      </c>
      <c r="U142" s="4"/>
      <c r="W142" s="22">
        <f>W$7*X142</f>
        <v>5432875.1256846841</v>
      </c>
      <c r="X142" s="22">
        <f>X$136*LTC</f>
        <v>75456.59896784283</v>
      </c>
      <c r="Y142" s="4">
        <f t="shared" ref="Y142:Y148" si="80">+X142/X$9</f>
        <v>68.163142699045011</v>
      </c>
      <c r="AA142" s="22">
        <f>AA$7*AB142</f>
        <v>5098396.8409461929</v>
      </c>
      <c r="AB142" s="22">
        <f>AB$136*LTC</f>
        <v>83580.276081085132</v>
      </c>
      <c r="AC142" s="4">
        <f t="shared" ref="AC142:AC148" si="81">+AB142/AB$9</f>
        <v>64.941939456942606</v>
      </c>
      <c r="AE142" s="22">
        <f>AE$7*AF142</f>
        <v>0</v>
      </c>
      <c r="AF142" s="22">
        <f>AF$136*LTC</f>
        <v>87496.748421190307</v>
      </c>
      <c r="AG142" s="4">
        <f t="shared" ref="AG142:AG147" si="82">+AF142/AF$9</f>
        <v>56.449515110445361</v>
      </c>
      <c r="AI142" s="22">
        <f>+AA142+W142</f>
        <v>10531271.966630876</v>
      </c>
      <c r="AJ142" s="22">
        <f>AJ$136*LTC</f>
        <v>79823.315556844595</v>
      </c>
      <c r="AK142" s="4">
        <f t="shared" ref="AK142:AK148" si="83">+AJ142/AJ$9</f>
        <v>66.243415399871026</v>
      </c>
    </row>
    <row r="143" spans="2:37" ht="12.75">
      <c r="B143" s="22" t="s">
        <v>448</v>
      </c>
      <c r="L143" s="22" t="s">
        <v>4</v>
      </c>
      <c r="O143" s="2">
        <v>0.7</v>
      </c>
      <c r="U143" s="4"/>
      <c r="W143" s="22">
        <f>W$7*X143</f>
        <v>6151333.7711671349</v>
      </c>
      <c r="X143" s="22">
        <f>(Proforma!K$41*LTV)</f>
        <v>85435.191266210211</v>
      </c>
      <c r="Y143" s="4">
        <f t="shared" si="80"/>
        <v>77.177227882755389</v>
      </c>
      <c r="AA143" s="22">
        <f>AA$7*AB143</f>
        <v>7061473.3339054901</v>
      </c>
      <c r="AB143" s="22">
        <f>(Proforma!O$41*LTV)</f>
        <v>115761.85793287688</v>
      </c>
      <c r="AC143" s="4">
        <f t="shared" si="81"/>
        <v>89.947053560898894</v>
      </c>
      <c r="AE143" s="22">
        <f>AE$7*AF143</f>
        <v>0</v>
      </c>
      <c r="AF143" s="22">
        <f>AF$136*LTV</f>
        <v>81663.631859777612</v>
      </c>
      <c r="AG143" s="4">
        <f t="shared" si="82"/>
        <v>52.686214103082328</v>
      </c>
      <c r="AI143" s="22">
        <f>+AA143+W143</f>
        <v>13212807.105072625</v>
      </c>
      <c r="AJ143" s="22">
        <f>AJ$136*LTV</f>
        <v>74501.761186388278</v>
      </c>
      <c r="AK143" s="4">
        <f t="shared" si="83"/>
        <v>61.82718770654629</v>
      </c>
    </row>
    <row r="144" spans="2:37" ht="12.75">
      <c r="O144" s="2"/>
      <c r="U144" s="4"/>
      <c r="Y144" s="4"/>
      <c r="AC144" s="4"/>
      <c r="AG144" s="4"/>
      <c r="AK144" s="4"/>
    </row>
    <row r="145" spans="2:38">
      <c r="B145" s="29" t="s">
        <v>329</v>
      </c>
      <c r="AC145" s="4"/>
      <c r="AG145" s="4"/>
      <c r="AK145" s="4"/>
    </row>
    <row r="146" spans="2:38">
      <c r="B146" s="22" t="s">
        <v>330</v>
      </c>
      <c r="U146" s="4"/>
      <c r="W146" s="22">
        <f>W$7*X146</f>
        <v>1810958.375228228</v>
      </c>
      <c r="X146" s="22">
        <f>+X$136-X$142</f>
        <v>25152.19965594761</v>
      </c>
      <c r="Y146" s="4">
        <f t="shared" si="80"/>
        <v>22.721047566348339</v>
      </c>
      <c r="AA146" s="22">
        <f>AA$7*AB146</f>
        <v>1699465.6136487313</v>
      </c>
      <c r="AB146" s="22">
        <f>+AB$136-AB$142</f>
        <v>27860.092027028382</v>
      </c>
      <c r="AC146" s="4">
        <f t="shared" si="81"/>
        <v>21.647313152314204</v>
      </c>
      <c r="AE146" s="22">
        <f>+AE136-AE142</f>
        <v>0</v>
      </c>
      <c r="AF146" s="22">
        <f>+AF$136-AF$142</f>
        <v>29165.582807063431</v>
      </c>
      <c r="AG146" s="4">
        <f t="shared" si="82"/>
        <v>18.816505036815116</v>
      </c>
      <c r="AI146" s="22">
        <f>AI$7*AJ146</f>
        <v>3538833.6563534429</v>
      </c>
      <c r="AJ146" s="22">
        <f>+AJ$136-AJ$142</f>
        <v>26607.771852281527</v>
      </c>
      <c r="AK146" s="4">
        <f t="shared" si="83"/>
        <v>22.081138466623674</v>
      </c>
    </row>
    <row r="147" spans="2:38">
      <c r="B147" s="22" t="s">
        <v>331</v>
      </c>
      <c r="U147" s="119"/>
      <c r="W147" s="22">
        <f>W$7*X147</f>
        <v>-1233201.6776261912</v>
      </c>
      <c r="X147" s="22">
        <f>-X$126</f>
        <v>-17127.801078141543</v>
      </c>
      <c r="Y147" s="119">
        <f t="shared" si="80"/>
        <v>-15.472268363271493</v>
      </c>
      <c r="AA147" s="22">
        <f>AA$7*AB147</f>
        <v>-1176941.0134753757</v>
      </c>
      <c r="AB147" s="22">
        <f>-AB$126</f>
        <v>-19294.11497500616</v>
      </c>
      <c r="AC147" s="119">
        <f t="shared" si="81"/>
        <v>-14.991542327122113</v>
      </c>
      <c r="AE147" s="22">
        <f>-AE126</f>
        <v>0</v>
      </c>
      <c r="AF147" s="22">
        <f>-AF$126</f>
        <v>-20338.507599034205</v>
      </c>
      <c r="AG147" s="119">
        <f t="shared" si="82"/>
        <v>-13.121617805828519</v>
      </c>
      <c r="AI147" s="22">
        <f>AI$7*AJ147</f>
        <v>-2432870.4250827548</v>
      </c>
      <c r="AJ147" s="22">
        <f>-AJ$126</f>
        <v>-18292.258835208682</v>
      </c>
      <c r="AK147" s="119">
        <f t="shared" si="83"/>
        <v>-15.180297788554922</v>
      </c>
    </row>
    <row r="148" spans="2:38">
      <c r="B148" s="22" t="s">
        <v>307</v>
      </c>
      <c r="U148" s="4"/>
      <c r="W148" s="22">
        <f>+W147+W146</f>
        <v>577756.69760203687</v>
      </c>
      <c r="X148" s="22">
        <f>+X147+X146</f>
        <v>8024.3985778060669</v>
      </c>
      <c r="Y148" s="4">
        <f t="shared" si="80"/>
        <v>7.2487792030768441</v>
      </c>
      <c r="AA148" s="22">
        <f>+AA147+AA146</f>
        <v>522524.60017335555</v>
      </c>
      <c r="AB148" s="22">
        <f>+AB147+AB146</f>
        <v>8565.9770520222228</v>
      </c>
      <c r="AC148" s="4">
        <f t="shared" si="81"/>
        <v>6.655770825192092</v>
      </c>
      <c r="AE148" s="22" t="e">
        <f>AE$7*AF148</f>
        <v>#REF!</v>
      </c>
      <c r="AF148" s="22" t="e">
        <f>+AF147+AF146+#REF!</f>
        <v>#REF!</v>
      </c>
      <c r="AG148" s="4" t="e">
        <f>+AF148/AF$9</f>
        <v>#REF!</v>
      </c>
      <c r="AI148" s="22">
        <f>+AI147+AI146</f>
        <v>1105963.2312706881</v>
      </c>
      <c r="AJ148" s="22">
        <f>+AJ147+AJ146</f>
        <v>8315.5130170728444</v>
      </c>
      <c r="AK148" s="4">
        <f t="shared" si="83"/>
        <v>6.9008406780687501</v>
      </c>
    </row>
    <row r="150" spans="2:38">
      <c r="B150" s="321" t="s">
        <v>458</v>
      </c>
    </row>
    <row r="151" spans="2:38" hidden="1">
      <c r="B151" s="96" t="s">
        <v>328</v>
      </c>
    </row>
    <row r="152" spans="2:38" hidden="1">
      <c r="B152" s="22" t="s">
        <v>253</v>
      </c>
      <c r="S152" s="22">
        <f>S$7*T152</f>
        <v>0</v>
      </c>
      <c r="T152" s="22">
        <f>+T$136-T$143</f>
        <v>0</v>
      </c>
      <c r="U152" s="4">
        <f>+T152/T$9</f>
        <v>0</v>
      </c>
      <c r="W152" s="22">
        <f>W$7*X152</f>
        <v>1092499.7297457764</v>
      </c>
      <c r="X152" s="22">
        <f>+X$136-X$143</f>
        <v>15173.607357580229</v>
      </c>
      <c r="Y152" s="4">
        <f>+X152/X$9</f>
        <v>13.706962382637967</v>
      </c>
      <c r="AA152" s="22">
        <f>AA$7*AB152</f>
        <v>-263610.87931056548</v>
      </c>
      <c r="AB152" s="22">
        <f>+AB$136-AB$143</f>
        <v>-4321.4898247633682</v>
      </c>
      <c r="AC152" s="4">
        <f t="shared" ref="AC152:AC157" si="84">+AB152/AB$9</f>
        <v>-3.3578009516420888</v>
      </c>
      <c r="AE152" s="22" t="e">
        <f>+AE143-#REF!</f>
        <v>#REF!</v>
      </c>
      <c r="AF152" s="22">
        <f>+AF$136-AF$143</f>
        <v>34998.699368476126</v>
      </c>
      <c r="AG152" s="4">
        <f>+AF152/AF$9</f>
        <v>22.579806044178145</v>
      </c>
      <c r="AI152" s="22">
        <f>AI$7*AJ152</f>
        <v>4246600.3876241334</v>
      </c>
      <c r="AJ152" s="22">
        <f>+AJ$136-AJ$143</f>
        <v>31929.326222737844</v>
      </c>
      <c r="AK152" s="4">
        <f>+AJ152/AJ$9</f>
        <v>26.497366159948417</v>
      </c>
    </row>
    <row r="153" spans="2:38" hidden="1">
      <c r="B153" s="22" t="s">
        <v>269</v>
      </c>
      <c r="S153" s="22">
        <f>S$7*T153</f>
        <v>0</v>
      </c>
      <c r="T153" s="22">
        <f>-T$126</f>
        <v>0</v>
      </c>
      <c r="U153" s="119">
        <f>+T153/T$9</f>
        <v>0</v>
      </c>
      <c r="W153" s="22">
        <f>W$7*X153</f>
        <v>-1233201.6776261912</v>
      </c>
      <c r="X153" s="22">
        <f>-X$126</f>
        <v>-17127.801078141543</v>
      </c>
      <c r="Y153" s="119">
        <f>+X153/X$9</f>
        <v>-15.472268363271493</v>
      </c>
      <c r="AA153" s="22">
        <f>AA$7*AB153</f>
        <v>-1176941.0134753757</v>
      </c>
      <c r="AB153" s="22">
        <f>-AB$126</f>
        <v>-19294.11497500616</v>
      </c>
      <c r="AC153" s="119">
        <f t="shared" si="84"/>
        <v>-14.991542327122113</v>
      </c>
      <c r="AE153" s="22">
        <f>-AE132</f>
        <v>0</v>
      </c>
      <c r="AF153" s="22">
        <f>-AF$126</f>
        <v>-20338.507599034205</v>
      </c>
      <c r="AG153" s="119">
        <f>+AF153/AF$9</f>
        <v>-13.121617805828519</v>
      </c>
      <c r="AI153" s="22">
        <f>AI$7*AJ153</f>
        <v>-2432870.4250827548</v>
      </c>
      <c r="AJ153" s="22">
        <f>-AJ$126</f>
        <v>-18292.258835208682</v>
      </c>
      <c r="AK153" s="119">
        <f>+AJ153/AJ$9</f>
        <v>-15.180297788554922</v>
      </c>
    </row>
    <row r="154" spans="2:38" hidden="1">
      <c r="B154" s="22" t="s">
        <v>312</v>
      </c>
      <c r="S154" s="22">
        <f>S$7*T154</f>
        <v>-1955.218045112782</v>
      </c>
      <c r="T154" s="22">
        <f>X154</f>
        <v>-1955.218045112782</v>
      </c>
      <c r="U154" s="119">
        <f>+T154/T$9</f>
        <v>-0.96032320486875344</v>
      </c>
      <c r="W154" s="22">
        <f>W$7*X154</f>
        <v>-140775.69924812031</v>
      </c>
      <c r="X154" s="22">
        <f>AB154</f>
        <v>-1955.218045112782</v>
      </c>
      <c r="Y154" s="119">
        <f>+X154/X$9</f>
        <v>-1.766231296398177</v>
      </c>
      <c r="AA154" s="22">
        <f>AA$7*AB154</f>
        <v>-119268.30075187969</v>
      </c>
      <c r="AB154" s="22">
        <f>AF154</f>
        <v>-1955.218045112782</v>
      </c>
      <c r="AC154" s="119">
        <f t="shared" si="84"/>
        <v>-1.5192059402585718</v>
      </c>
      <c r="AE154" s="22">
        <f>AE$7*AF154</f>
        <v>0</v>
      </c>
      <c r="AF154" s="22">
        <f>AJ154</f>
        <v>-1955.218045112782</v>
      </c>
      <c r="AG154" s="119">
        <f>+AF154/AF$9</f>
        <v>-1.2614309968469561</v>
      </c>
      <c r="AI154" s="22">
        <f>(13095297-13355341)</f>
        <v>-260044</v>
      </c>
      <c r="AJ154" s="22">
        <f>AI154/SM134Units</f>
        <v>-1955.218045112782</v>
      </c>
      <c r="AK154" s="119">
        <f>+AJ154/AJ$9</f>
        <v>-1.6225875893052133</v>
      </c>
    </row>
    <row r="155" spans="2:38" hidden="1">
      <c r="B155" s="22" t="s">
        <v>307</v>
      </c>
      <c r="S155" s="22">
        <f>S$7*T155</f>
        <v>-1955.218045112782</v>
      </c>
      <c r="T155" s="22">
        <f>+T153+T152+T154</f>
        <v>-1955.218045112782</v>
      </c>
      <c r="U155" s="4">
        <f>+T155/T$9</f>
        <v>-0.96032320486875344</v>
      </c>
      <c r="W155" s="22">
        <f>W$7*X155</f>
        <v>-281477.64712853491</v>
      </c>
      <c r="X155" s="22">
        <f>+X153+X152+X154</f>
        <v>-3909.4117656740959</v>
      </c>
      <c r="Y155" s="4">
        <f>+X155/X$9</f>
        <v>-3.5315372770317035</v>
      </c>
      <c r="AA155" s="22">
        <f>AA$7*AB155</f>
        <v>-1559820.1935378208</v>
      </c>
      <c r="AB155" s="22">
        <f>+AB153+AB152+AB154</f>
        <v>-25570.82284488231</v>
      </c>
      <c r="AC155" s="4">
        <f t="shared" si="84"/>
        <v>-19.868549219022775</v>
      </c>
      <c r="AE155" s="22">
        <f>AE$7*AF155</f>
        <v>0</v>
      </c>
      <c r="AF155" s="22">
        <f>+AF153+AF152+AF154</f>
        <v>12704.973724329138</v>
      </c>
      <c r="AG155" s="4">
        <f>+AF155/AF$9</f>
        <v>8.1967572415026702</v>
      </c>
      <c r="AI155" s="22">
        <f>AI$7*AJ155</f>
        <v>1553685.9625413783</v>
      </c>
      <c r="AJ155" s="22">
        <f>+AJ153+AJ152+AJ154</f>
        <v>11681.849342416379</v>
      </c>
      <c r="AK155" s="4">
        <f>+AJ155/AJ$9</f>
        <v>9.6944807820882808</v>
      </c>
    </row>
    <row r="156" spans="2:38" ht="12.75">
      <c r="B156" s="22" t="s">
        <v>450</v>
      </c>
      <c r="W156" s="317">
        <f>+W92</f>
        <v>607219.84962406033</v>
      </c>
      <c r="X156" s="317">
        <f>+W156/W$7</f>
        <v>8433.609022556393</v>
      </c>
      <c r="Y156" s="318">
        <f t="shared" ref="Y156:Y169" si="85">+X156/X$9</f>
        <v>7.6184363347392887</v>
      </c>
      <c r="Z156" s="319"/>
      <c r="AA156" s="317">
        <f>+AA92</f>
        <v>514450.15037593996</v>
      </c>
      <c r="AB156" s="317">
        <f>+AA156/AA$7</f>
        <v>8433.609022556393</v>
      </c>
      <c r="AC156" s="318">
        <f t="shared" si="84"/>
        <v>6.552920763447081</v>
      </c>
      <c r="AD156" s="319"/>
      <c r="AE156" s="319"/>
      <c r="AF156" s="319"/>
      <c r="AG156" s="319"/>
      <c r="AH156" s="319"/>
      <c r="AI156" s="317">
        <f t="shared" ref="AI156:AI169" si="86">+AA156+W156</f>
        <v>1121670.0000000002</v>
      </c>
      <c r="AJ156" s="317">
        <f>+AI156/AI$7</f>
        <v>8433.609022556393</v>
      </c>
      <c r="AK156" s="318">
        <f t="shared" ref="AK156:AK161" si="87">+AJ156/AJ$9</f>
        <v>6.998845661872525</v>
      </c>
      <c r="AL156" s="2">
        <f>+AI156/AI$169</f>
        <v>7.9881376405962351E-2</v>
      </c>
    </row>
    <row r="157" spans="2:38" ht="12.75">
      <c r="B157" s="22" t="s">
        <v>451</v>
      </c>
      <c r="W157" s="22">
        <f>+W110</f>
        <v>339444.76355066762</v>
      </c>
      <c r="X157" s="22">
        <f>+W157/W$7</f>
        <v>4714.5106048703838</v>
      </c>
      <c r="Y157" s="4">
        <f t="shared" si="85"/>
        <v>4.2588171679045921</v>
      </c>
      <c r="AA157" s="22">
        <f>+AA110</f>
        <v>287585.14689709351</v>
      </c>
      <c r="AB157" s="22">
        <f>+AA157/AA$7</f>
        <v>4714.5106048703856</v>
      </c>
      <c r="AC157" s="4">
        <f t="shared" si="84"/>
        <v>3.6631784031626928</v>
      </c>
      <c r="AI157" s="22">
        <f t="shared" si="86"/>
        <v>627029.91044776118</v>
      </c>
      <c r="AJ157" s="22">
        <f t="shared" ref="AJ157:AJ169" si="88">+AI157/AI$7</f>
        <v>4714.5106048703847</v>
      </c>
      <c r="AK157" s="4">
        <f t="shared" si="87"/>
        <v>3.9124569335023938</v>
      </c>
      <c r="AL157" s="2">
        <f>+AI157/AI$169</f>
        <v>4.4654855968577621E-2</v>
      </c>
    </row>
    <row r="158" spans="2:38" ht="12.75">
      <c r="Y158" s="4"/>
      <c r="AC158" s="316"/>
      <c r="AK158" s="4"/>
      <c r="AL158" s="2"/>
    </row>
    <row r="159" spans="2:38" ht="12.75">
      <c r="B159" s="320" t="s">
        <v>452</v>
      </c>
      <c r="W159" s="315">
        <f>+W157+W156</f>
        <v>946664.61317472789</v>
      </c>
      <c r="X159" s="315">
        <f>+W159/W$7</f>
        <v>13148.119627426777</v>
      </c>
      <c r="Y159" s="316">
        <f t="shared" si="85"/>
        <v>11.877253502643882</v>
      </c>
      <c r="Z159" s="25"/>
      <c r="AA159" s="315">
        <f>+AA157+AA156</f>
        <v>802035.29727303353</v>
      </c>
      <c r="AB159" s="315">
        <f>+AA159/AA$7</f>
        <v>13148.119627426779</v>
      </c>
      <c r="AC159" s="316">
        <f>+AB159/AB$9</f>
        <v>10.216099166609773</v>
      </c>
      <c r="AD159" s="25"/>
      <c r="AE159" s="25"/>
      <c r="AF159" s="25"/>
      <c r="AG159" s="25"/>
      <c r="AH159" s="25"/>
      <c r="AI159" s="315">
        <f t="shared" si="86"/>
        <v>1748699.9104477614</v>
      </c>
      <c r="AJ159" s="315">
        <f t="shared" si="88"/>
        <v>13148.119627426777</v>
      </c>
      <c r="AK159" s="316">
        <f t="shared" si="87"/>
        <v>10.911302595374918</v>
      </c>
      <c r="AL159" s="314">
        <f>+AI159/AI$169</f>
        <v>0.12453623237453998</v>
      </c>
    </row>
    <row r="160" spans="2:38">
      <c r="AA160" s="315"/>
      <c r="AB160" s="315"/>
      <c r="AK160" s="4"/>
    </row>
    <row r="161" spans="2:38" ht="12.75">
      <c r="B161" s="22" t="s">
        <v>453</v>
      </c>
      <c r="W161" s="22">
        <f>+W123</f>
        <v>409722.39045147243</v>
      </c>
      <c r="X161" s="22">
        <f t="shared" ref="X161:X169" si="89">+W161/W$7</f>
        <v>5690.5887562704502</v>
      </c>
      <c r="Y161" s="4">
        <f t="shared" si="85"/>
        <v>5.1405499153301264</v>
      </c>
      <c r="AA161" s="22">
        <f>+AA123</f>
        <v>347125.91413249751</v>
      </c>
      <c r="AB161" s="22">
        <f>+AA161/AA$7</f>
        <v>5690.5887562704511</v>
      </c>
      <c r="AC161" s="4">
        <f>+AB161/AB$9</f>
        <v>4.4215918852140259</v>
      </c>
      <c r="AI161" s="22">
        <f t="shared" si="86"/>
        <v>756848.30458396999</v>
      </c>
      <c r="AJ161" s="22">
        <f t="shared" si="88"/>
        <v>5690.5887562704511</v>
      </c>
      <c r="AK161" s="4">
        <f t="shared" si="87"/>
        <v>4.7224802956601257</v>
      </c>
      <c r="AL161" s="2">
        <f>+AI161/AI$169</f>
        <v>5.3900063566545003E-2</v>
      </c>
    </row>
    <row r="162" spans="2:38" ht="12.75">
      <c r="B162" s="22" t="s">
        <v>454</v>
      </c>
      <c r="W162" s="22">
        <f>+W90</f>
        <v>4183639.5565026226</v>
      </c>
      <c r="X162" s="22">
        <f t="shared" si="89"/>
        <v>58106.10495142531</v>
      </c>
      <c r="Y162" s="4">
        <f t="shared" si="85"/>
        <v>52.489706369851227</v>
      </c>
      <c r="AA162" s="22">
        <f>+AA90</f>
        <v>4073052.9928719117</v>
      </c>
      <c r="AB162" s="22">
        <f>+AA162/AA$7</f>
        <v>66771.360538883804</v>
      </c>
      <c r="AC162" s="4">
        <f>+AB162/AB$9</f>
        <v>51.881399020111736</v>
      </c>
      <c r="AI162" s="22">
        <f t="shared" si="86"/>
        <v>8256692.5493745338</v>
      </c>
      <c r="AJ162" s="22">
        <f t="shared" si="88"/>
        <v>62080.395108079203</v>
      </c>
      <c r="AK162" s="4">
        <f t="shared" ref="AK162:AK169" si="90">+AJ162/AJ$9</f>
        <v>51.519000089692284</v>
      </c>
      <c r="AL162" s="2">
        <f>+AI162/AI$169</f>
        <v>0.58801248620796831</v>
      </c>
    </row>
    <row r="163" spans="2:38" ht="12.75">
      <c r="B163" s="22" t="s">
        <v>456</v>
      </c>
      <c r="W163" s="22">
        <f>+W126</f>
        <v>1233201.6776261912</v>
      </c>
      <c r="X163" s="22">
        <f t="shared" si="89"/>
        <v>17127.801078141543</v>
      </c>
      <c r="Y163" s="4">
        <f t="shared" si="85"/>
        <v>15.472268363271493</v>
      </c>
      <c r="AA163" s="22">
        <f>+AA126</f>
        <v>1176941.0134753757</v>
      </c>
      <c r="AB163" s="22">
        <f>+AA163/AA$7</f>
        <v>19294.11497500616</v>
      </c>
      <c r="AC163" s="4">
        <f>+AB163/AB$9</f>
        <v>14.991542327122113</v>
      </c>
      <c r="AI163" s="22">
        <f>+AA163+W163</f>
        <v>2410142.6911015669</v>
      </c>
      <c r="AJ163" s="22">
        <f t="shared" si="88"/>
        <v>18121.373617305013</v>
      </c>
      <c r="AK163" s="4">
        <f t="shared" si="90"/>
        <v>15.038484329713704</v>
      </c>
      <c r="AL163" s="2">
        <f>+AI163/AI$169</f>
        <v>0.17164185143577279</v>
      </c>
    </row>
    <row r="164" spans="2:38" ht="12.75">
      <c r="Y164" s="4"/>
      <c r="AC164" s="4"/>
      <c r="AK164" s="4"/>
      <c r="AL164" s="2"/>
    </row>
    <row r="165" spans="2:38" ht="12.75">
      <c r="B165" s="320" t="s">
        <v>265</v>
      </c>
      <c r="W165" s="315">
        <f>SUM(W159:W163)</f>
        <v>6773228.2377550136</v>
      </c>
      <c r="X165" s="315">
        <f t="shared" si="89"/>
        <v>94072.614413264077</v>
      </c>
      <c r="Y165" s="316">
        <f t="shared" si="85"/>
        <v>84.979778151096724</v>
      </c>
      <c r="Z165" s="25"/>
      <c r="AA165" s="315">
        <f>SUM(AA159:AA163)</f>
        <v>6399155.217752818</v>
      </c>
      <c r="AB165" s="315">
        <f>+AA165/AA$7</f>
        <v>104904.18389758718</v>
      </c>
      <c r="AC165" s="316">
        <f>+AB165/AB$9</f>
        <v>81.510632399057641</v>
      </c>
      <c r="AD165" s="25"/>
      <c r="AE165" s="25"/>
      <c r="AF165" s="25"/>
      <c r="AG165" s="25"/>
      <c r="AH165" s="25"/>
      <c r="AI165" s="315">
        <f t="shared" si="86"/>
        <v>13172383.455507832</v>
      </c>
      <c r="AJ165" s="315">
        <f t="shared" si="88"/>
        <v>99040.477109081447</v>
      </c>
      <c r="AK165" s="316">
        <f t="shared" si="90"/>
        <v>82.191267310441035</v>
      </c>
      <c r="AL165" s="314">
        <f>+AI165/AI$169</f>
        <v>0.93809063358482603</v>
      </c>
    </row>
    <row r="166" spans="2:38">
      <c r="AK166" s="4"/>
    </row>
    <row r="167" spans="2:38" ht="12.75">
      <c r="B167" s="22" t="s">
        <v>455</v>
      </c>
      <c r="W167" s="22">
        <f>+W134</f>
        <v>470605.26315789472</v>
      </c>
      <c r="X167" s="22">
        <f t="shared" si="89"/>
        <v>6536.1842105263158</v>
      </c>
      <c r="Y167" s="4">
        <f t="shared" si="85"/>
        <v>5.9044121142965817</v>
      </c>
      <c r="AA167" s="22">
        <f>+AA134</f>
        <v>398707.23684210522</v>
      </c>
      <c r="AB167" s="22">
        <f>+AA167/AA$7</f>
        <v>6536.1842105263149</v>
      </c>
      <c r="AC167" s="4">
        <f>+AB167/AB$9</f>
        <v>5.0786202101991567</v>
      </c>
      <c r="AI167" s="22">
        <f t="shared" si="86"/>
        <v>869312.5</v>
      </c>
      <c r="AJ167" s="22">
        <f t="shared" si="88"/>
        <v>6536.1842105263158</v>
      </c>
      <c r="AK167" s="4">
        <f t="shared" si="90"/>
        <v>5.4242192618475649</v>
      </c>
      <c r="AL167" s="2">
        <f>+AI167/AI$169</f>
        <v>6.1909366415173916E-2</v>
      </c>
    </row>
    <row r="168" spans="2:38">
      <c r="Y168" s="4"/>
      <c r="AC168" s="4"/>
      <c r="AK168" s="4"/>
    </row>
    <row r="169" spans="2:38" ht="12.75">
      <c r="B169" s="320" t="s">
        <v>261</v>
      </c>
      <c r="W169" s="315">
        <f>+W167+W165</f>
        <v>7243833.5009129085</v>
      </c>
      <c r="X169" s="315">
        <f t="shared" si="89"/>
        <v>100608.7986237904</v>
      </c>
      <c r="Y169" s="316">
        <f t="shared" si="85"/>
        <v>90.884190265393315</v>
      </c>
      <c r="Z169" s="25"/>
      <c r="AA169" s="315">
        <f>+AA167+AA165</f>
        <v>6797862.4545949232</v>
      </c>
      <c r="AB169" s="315">
        <f>+AA169/AA$7</f>
        <v>111440.3681081135</v>
      </c>
      <c r="AC169" s="316">
        <f>+AB169/AB$9</f>
        <v>86.589252609256803</v>
      </c>
      <c r="AD169" s="25"/>
      <c r="AE169" s="25"/>
      <c r="AF169" s="25"/>
      <c r="AG169" s="25"/>
      <c r="AH169" s="25"/>
      <c r="AI169" s="315">
        <f t="shared" si="86"/>
        <v>14041695.955507832</v>
      </c>
      <c r="AJ169" s="315">
        <f t="shared" si="88"/>
        <v>105576.66131960775</v>
      </c>
      <c r="AK169" s="316">
        <f t="shared" si="90"/>
        <v>87.615486572288589</v>
      </c>
      <c r="AL169" s="314">
        <f>+AI169/AI$169</f>
        <v>1</v>
      </c>
    </row>
    <row r="170" spans="2:38">
      <c r="AK170" s="4"/>
    </row>
    <row r="171" spans="2:38">
      <c r="AK171" s="4"/>
    </row>
  </sheetData>
  <mergeCells count="5">
    <mergeCell ref="S5:U5"/>
    <mergeCell ref="W5:Y5"/>
    <mergeCell ref="AA5:AC5"/>
    <mergeCell ref="AI5:AK5"/>
    <mergeCell ref="AE5:AG5"/>
  </mergeCells>
  <printOptions horizontalCentered="1"/>
  <pageMargins left="0.7" right="0.7" top="2.15" bottom="1" header="1.32" footer="0.5"/>
  <pageSetup paperSize="5" fitToHeight="4" orientation="landscape" horizontalDpi="300" verticalDpi="300" r:id="rId1"/>
  <headerFooter alignWithMargins="0">
    <oddHeader>&amp;C&amp;"Arial,Bold"&amp;11&amp;UProject Construction Cost Summary</oddHeader>
    <oddFooter>&amp;L&amp;8 F:\My Documents\CREEKSIDE\SM134\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workbookViewId="0">
      <pane xSplit="4" ySplit="4" topLeftCell="O5" activePane="bottomRight" state="frozen"/>
      <selection pane="topRight" activeCell="E1" sqref="E1"/>
      <selection pane="bottomLeft" activeCell="A5" sqref="A5"/>
      <selection pane="bottomRight" activeCell="W9" sqref="W9"/>
    </sheetView>
  </sheetViews>
  <sheetFormatPr defaultRowHeight="12.75"/>
  <cols>
    <col min="1" max="1" width="15.7109375" style="140" customWidth="1"/>
    <col min="2" max="3" width="9.140625" style="140"/>
    <col min="4" max="4" width="0.85546875" style="140" customWidth="1"/>
    <col min="5" max="8" width="9.140625" style="140"/>
    <col min="9" max="9" width="0.85546875" style="140" customWidth="1"/>
    <col min="10" max="13" width="9.140625" style="140"/>
    <col min="14" max="14" width="0.85546875" style="140" customWidth="1"/>
    <col min="15" max="15" width="9.140625" style="140"/>
    <col min="16" max="16" width="10" style="140" customWidth="1"/>
    <col min="17" max="18" width="9.28515625" style="140" customWidth="1"/>
    <col min="19" max="19" width="0.85546875" style="140" customWidth="1"/>
    <col min="20" max="20" width="9.140625" style="140"/>
    <col min="21" max="21" width="10" style="140" customWidth="1"/>
    <col min="22" max="23" width="9.28515625" style="140" customWidth="1"/>
    <col min="24" max="24" width="0.85546875" style="140" customWidth="1"/>
    <col min="25" max="25" width="7.42578125" style="140" customWidth="1"/>
    <col min="26" max="26" width="10" style="140" customWidth="1"/>
    <col min="27" max="28" width="9.28515625" style="140" customWidth="1"/>
    <col min="29" max="29" width="0.85546875" style="140" customWidth="1"/>
    <col min="30" max="30" width="9.140625" style="140"/>
    <col min="31" max="31" width="10" style="140" customWidth="1"/>
    <col min="32" max="33" width="9.28515625" style="140" customWidth="1"/>
    <col min="34" max="34" width="0.85546875" style="140" customWidth="1"/>
    <col min="35" max="35" width="9.140625" style="140"/>
    <col min="36" max="36" width="10" style="140" customWidth="1"/>
    <col min="37" max="38" width="9.28515625" style="140" customWidth="1"/>
    <col min="39" max="39" width="0.85546875" style="140" customWidth="1"/>
    <col min="40" max="40" width="9.140625" style="140"/>
    <col min="41" max="41" width="10" style="140" customWidth="1"/>
    <col min="42" max="43" width="9.28515625" style="140" customWidth="1"/>
    <col min="44" max="44" width="0.85546875" style="140" customWidth="1"/>
    <col min="45" max="45" width="9.140625" style="140"/>
    <col min="46" max="46" width="10" style="140" customWidth="1"/>
    <col min="47" max="48" width="9.28515625" style="140" customWidth="1"/>
    <col min="49" max="49" width="0.85546875" style="140" customWidth="1"/>
    <col min="50" max="16384" width="9.140625" style="140"/>
  </cols>
  <sheetData>
    <row r="1" spans="1:54">
      <c r="E1" s="141" t="s">
        <v>296</v>
      </c>
      <c r="F1" s="141"/>
      <c r="G1" s="141"/>
      <c r="H1" s="141"/>
      <c r="I1" s="141"/>
      <c r="J1" s="141"/>
      <c r="K1" s="141"/>
      <c r="L1" s="141"/>
      <c r="M1" s="141"/>
      <c r="O1" s="141"/>
      <c r="P1" s="141" t="s">
        <v>297</v>
      </c>
      <c r="Q1" s="141"/>
      <c r="R1" s="141"/>
      <c r="S1" s="141"/>
      <c r="T1" s="141"/>
      <c r="U1" s="141"/>
      <c r="V1" s="141"/>
      <c r="W1" s="141"/>
      <c r="Y1" s="141" t="s">
        <v>288</v>
      </c>
      <c r="Z1" s="141"/>
      <c r="AA1" s="141"/>
      <c r="AB1" s="141"/>
      <c r="AC1" s="141"/>
      <c r="AD1" s="141"/>
      <c r="AE1" s="141"/>
      <c r="AF1" s="141"/>
      <c r="AG1" s="141"/>
      <c r="AI1" s="142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</row>
    <row r="2" spans="1:54">
      <c r="E2" s="327" t="s">
        <v>293</v>
      </c>
      <c r="F2" s="327"/>
      <c r="G2" s="327"/>
      <c r="H2" s="327"/>
      <c r="I2" s="143"/>
      <c r="J2" s="327" t="s">
        <v>295</v>
      </c>
      <c r="K2" s="327"/>
      <c r="L2" s="327"/>
      <c r="M2" s="327"/>
      <c r="O2" s="327" t="s">
        <v>294</v>
      </c>
      <c r="P2" s="327"/>
      <c r="Q2" s="327"/>
      <c r="R2" s="327"/>
      <c r="S2" s="143"/>
      <c r="T2" s="327" t="s">
        <v>289</v>
      </c>
      <c r="U2" s="327"/>
      <c r="V2" s="327"/>
      <c r="W2" s="327"/>
      <c r="X2" s="143"/>
      <c r="Y2" s="327" t="s">
        <v>289</v>
      </c>
      <c r="Z2" s="327"/>
      <c r="AA2" s="327"/>
      <c r="AB2" s="327"/>
      <c r="AD2" s="327" t="s">
        <v>290</v>
      </c>
      <c r="AE2" s="327"/>
      <c r="AF2" s="327"/>
      <c r="AG2" s="327"/>
      <c r="AI2" s="327" t="s">
        <v>287</v>
      </c>
      <c r="AJ2" s="327"/>
      <c r="AK2" s="327"/>
      <c r="AL2" s="327"/>
      <c r="AN2" s="327" t="s">
        <v>291</v>
      </c>
      <c r="AO2" s="327"/>
      <c r="AP2" s="327"/>
      <c r="AQ2" s="327"/>
      <c r="AS2" s="327" t="s">
        <v>292</v>
      </c>
      <c r="AT2" s="327"/>
      <c r="AU2" s="327"/>
      <c r="AV2" s="327"/>
    </row>
    <row r="3" spans="1:54">
      <c r="B3" s="140" t="s">
        <v>278</v>
      </c>
      <c r="C3" s="140" t="s">
        <v>279</v>
      </c>
      <c r="E3" s="140" t="s">
        <v>280</v>
      </c>
      <c r="F3" s="140" t="s">
        <v>237</v>
      </c>
      <c r="G3" s="140" t="s">
        <v>281</v>
      </c>
      <c r="H3" s="140" t="s">
        <v>282</v>
      </c>
      <c r="J3" s="140" t="s">
        <v>280</v>
      </c>
      <c r="K3" s="140" t="s">
        <v>237</v>
      </c>
      <c r="L3" s="140" t="s">
        <v>281</v>
      </c>
      <c r="M3" s="140" t="s">
        <v>282</v>
      </c>
      <c r="O3" s="140" t="s">
        <v>280</v>
      </c>
      <c r="P3" s="140" t="s">
        <v>237</v>
      </c>
      <c r="Q3" s="140" t="s">
        <v>281</v>
      </c>
      <c r="R3" s="140" t="s">
        <v>282</v>
      </c>
      <c r="T3" s="140" t="s">
        <v>280</v>
      </c>
      <c r="U3" s="140" t="s">
        <v>237</v>
      </c>
      <c r="V3" s="140" t="s">
        <v>281</v>
      </c>
      <c r="W3" s="140" t="s">
        <v>282</v>
      </c>
      <c r="Y3" s="140" t="s">
        <v>280</v>
      </c>
      <c r="Z3" s="140" t="s">
        <v>237</v>
      </c>
      <c r="AA3" s="140" t="s">
        <v>281</v>
      </c>
      <c r="AB3" s="140" t="s">
        <v>282</v>
      </c>
      <c r="AD3" s="140" t="s">
        <v>280</v>
      </c>
      <c r="AE3" s="140" t="s">
        <v>237</v>
      </c>
      <c r="AF3" s="140" t="s">
        <v>281</v>
      </c>
      <c r="AG3" s="140" t="s">
        <v>282</v>
      </c>
      <c r="AI3" s="140" t="s">
        <v>280</v>
      </c>
      <c r="AJ3" s="140" t="s">
        <v>237</v>
      </c>
      <c r="AK3" s="140" t="s">
        <v>281</v>
      </c>
      <c r="AL3" s="140" t="s">
        <v>282</v>
      </c>
      <c r="AN3" s="140" t="s">
        <v>280</v>
      </c>
      <c r="AO3" s="140" t="s">
        <v>237</v>
      </c>
      <c r="AP3" s="140" t="s">
        <v>281</v>
      </c>
      <c r="AQ3" s="140" t="s">
        <v>282</v>
      </c>
      <c r="AS3" s="140" t="s">
        <v>280</v>
      </c>
      <c r="AT3" s="140" t="s">
        <v>237</v>
      </c>
      <c r="AU3" s="140" t="s">
        <v>281</v>
      </c>
      <c r="AV3" s="140" t="s">
        <v>282</v>
      </c>
    </row>
    <row r="5" spans="1:54" s="150" customFormat="1">
      <c r="A5" s="144" t="s">
        <v>277</v>
      </c>
      <c r="B5" s="145">
        <v>173</v>
      </c>
      <c r="C5" s="145">
        <v>1</v>
      </c>
      <c r="D5" s="145"/>
      <c r="E5" s="145">
        <v>477</v>
      </c>
      <c r="F5" s="146">
        <v>650</v>
      </c>
      <c r="G5" s="147">
        <v>1.36</v>
      </c>
      <c r="H5" s="146">
        <v>650</v>
      </c>
      <c r="I5" s="148"/>
      <c r="J5" s="148"/>
      <c r="K5" s="146"/>
      <c r="L5" s="148"/>
      <c r="M5" s="146"/>
      <c r="N5" s="145"/>
      <c r="O5" s="145"/>
      <c r="P5" s="146"/>
      <c r="Q5" s="149"/>
      <c r="R5" s="146"/>
      <c r="S5" s="148"/>
      <c r="T5" s="145">
        <v>800</v>
      </c>
      <c r="U5" s="146">
        <v>1000</v>
      </c>
      <c r="V5" s="147">
        <v>1.25</v>
      </c>
      <c r="W5" s="146">
        <v>500</v>
      </c>
      <c r="X5" s="148"/>
      <c r="Y5" s="145"/>
      <c r="Z5" s="146"/>
      <c r="AA5" s="145"/>
      <c r="AB5" s="146"/>
      <c r="AC5" s="145"/>
      <c r="AD5" s="145">
        <v>944</v>
      </c>
      <c r="AE5" s="146">
        <v>1374</v>
      </c>
      <c r="AF5" s="147">
        <v>1.46</v>
      </c>
      <c r="AG5" s="146">
        <v>458</v>
      </c>
      <c r="AH5" s="145"/>
      <c r="AI5" s="145">
        <v>1100</v>
      </c>
      <c r="AJ5" s="146">
        <v>1600</v>
      </c>
      <c r="AK5" s="147">
        <v>1.45</v>
      </c>
      <c r="AL5" s="146">
        <v>400</v>
      </c>
      <c r="AM5" s="145"/>
      <c r="AX5" s="145"/>
      <c r="AY5" s="145"/>
      <c r="AZ5" s="145"/>
      <c r="BA5" s="145"/>
      <c r="BB5" s="151"/>
    </row>
    <row r="6" spans="1:54" s="150" customFormat="1">
      <c r="A6" s="152" t="s">
        <v>283</v>
      </c>
      <c r="B6" s="153">
        <v>152</v>
      </c>
      <c r="C6" s="153">
        <v>3</v>
      </c>
      <c r="D6" s="153"/>
      <c r="E6" s="153">
        <v>689</v>
      </c>
      <c r="F6" s="154">
        <v>705</v>
      </c>
      <c r="G6" s="155">
        <v>1.02</v>
      </c>
      <c r="H6" s="154">
        <v>705</v>
      </c>
      <c r="I6" s="153"/>
      <c r="J6" s="153">
        <v>806</v>
      </c>
      <c r="K6" s="154">
        <v>755</v>
      </c>
      <c r="L6" s="155">
        <v>0.94</v>
      </c>
      <c r="M6" s="154">
        <v>755</v>
      </c>
      <c r="N6" s="153"/>
      <c r="O6" s="153">
        <v>988</v>
      </c>
      <c r="P6" s="154">
        <v>910</v>
      </c>
      <c r="Q6" s="155">
        <v>0.92</v>
      </c>
      <c r="R6" s="154">
        <v>455</v>
      </c>
      <c r="S6" s="153"/>
      <c r="T6" s="153">
        <v>1105</v>
      </c>
      <c r="U6" s="154">
        <v>1025</v>
      </c>
      <c r="V6" s="155">
        <v>0.93</v>
      </c>
      <c r="W6" s="154">
        <v>512.5</v>
      </c>
      <c r="X6" s="156"/>
      <c r="Y6" s="153">
        <v>1250</v>
      </c>
      <c r="Z6" s="154">
        <v>1210</v>
      </c>
      <c r="AA6" s="155">
        <v>0.97</v>
      </c>
      <c r="AB6" s="154">
        <v>403.33</v>
      </c>
      <c r="AC6" s="153"/>
      <c r="AD6" s="153">
        <v>1250</v>
      </c>
      <c r="AE6" s="154">
        <v>1210</v>
      </c>
      <c r="AF6" s="155">
        <v>0.97</v>
      </c>
      <c r="AG6" s="154">
        <v>403.33</v>
      </c>
      <c r="AH6" s="153"/>
      <c r="AI6" s="153">
        <v>1350</v>
      </c>
      <c r="AJ6" s="154">
        <v>1624</v>
      </c>
      <c r="AK6" s="155">
        <v>1.2</v>
      </c>
      <c r="AL6" s="154">
        <v>406</v>
      </c>
      <c r="AM6" s="148"/>
      <c r="AN6" s="153"/>
      <c r="AO6" s="154"/>
      <c r="AP6" s="153"/>
      <c r="AQ6" s="154"/>
      <c r="AR6" s="153"/>
      <c r="AS6" s="153"/>
      <c r="AT6" s="154"/>
      <c r="AU6" s="153"/>
      <c r="AV6" s="154"/>
      <c r="AW6" s="153"/>
      <c r="AX6" s="153"/>
      <c r="AY6" s="153"/>
      <c r="AZ6" s="153"/>
      <c r="BA6" s="153"/>
      <c r="BB6" s="157"/>
    </row>
    <row r="7" spans="1:54" s="150" customFormat="1">
      <c r="A7" s="152" t="s">
        <v>284</v>
      </c>
      <c r="B7" s="153">
        <v>258</v>
      </c>
      <c r="C7" s="153">
        <v>3</v>
      </c>
      <c r="D7" s="153"/>
      <c r="E7" s="153">
        <v>501</v>
      </c>
      <c r="F7" s="154">
        <v>600</v>
      </c>
      <c r="G7" s="155">
        <v>1.2</v>
      </c>
      <c r="H7" s="154">
        <v>600</v>
      </c>
      <c r="I7" s="153"/>
      <c r="J7" s="153">
        <v>755</v>
      </c>
      <c r="K7" s="154">
        <v>725</v>
      </c>
      <c r="L7" s="155">
        <v>0.96</v>
      </c>
      <c r="M7" s="154">
        <v>725</v>
      </c>
      <c r="N7" s="153"/>
      <c r="O7" s="153">
        <v>886</v>
      </c>
      <c r="P7" s="154">
        <v>810</v>
      </c>
      <c r="Q7" s="155">
        <v>0.91</v>
      </c>
      <c r="R7" s="154">
        <v>405</v>
      </c>
      <c r="S7" s="153"/>
      <c r="T7" s="153">
        <v>933</v>
      </c>
      <c r="U7" s="154">
        <v>900</v>
      </c>
      <c r="V7" s="155">
        <v>0.96</v>
      </c>
      <c r="W7" s="154">
        <v>450</v>
      </c>
      <c r="X7" s="153"/>
      <c r="Y7" s="153"/>
      <c r="Z7" s="154"/>
      <c r="AA7" s="153"/>
      <c r="AB7" s="154"/>
      <c r="AC7" s="153"/>
      <c r="AD7" s="153"/>
      <c r="AE7" s="154"/>
      <c r="AF7" s="153"/>
      <c r="AG7" s="154"/>
      <c r="AH7" s="153"/>
      <c r="AI7" s="153">
        <v>1556</v>
      </c>
      <c r="AJ7" s="154">
        <v>1880</v>
      </c>
      <c r="AK7" s="155">
        <v>1.21</v>
      </c>
      <c r="AL7" s="154">
        <v>470</v>
      </c>
      <c r="AM7" s="145"/>
      <c r="AN7" s="153"/>
      <c r="AO7" s="154"/>
      <c r="AP7" s="153"/>
      <c r="AQ7" s="154"/>
      <c r="AR7" s="153"/>
      <c r="AS7" s="153"/>
      <c r="AT7" s="154"/>
      <c r="AU7" s="153"/>
      <c r="AV7" s="154"/>
      <c r="AW7" s="153"/>
      <c r="AX7" s="153"/>
      <c r="AY7" s="153"/>
      <c r="AZ7" s="153"/>
      <c r="BA7" s="153"/>
      <c r="BB7" s="157"/>
    </row>
    <row r="8" spans="1:54" s="150" customFormat="1">
      <c r="A8" s="152" t="s">
        <v>285</v>
      </c>
      <c r="B8" s="153">
        <v>192</v>
      </c>
      <c r="C8" s="153">
        <v>3</v>
      </c>
      <c r="D8" s="153"/>
      <c r="E8" s="153"/>
      <c r="F8" s="154"/>
      <c r="G8" s="156"/>
      <c r="H8" s="154"/>
      <c r="I8" s="153"/>
      <c r="J8" s="153"/>
      <c r="K8" s="154"/>
      <c r="L8" s="153"/>
      <c r="M8" s="154"/>
      <c r="N8" s="153"/>
      <c r="O8" s="153"/>
      <c r="P8" s="154"/>
      <c r="Q8" s="156"/>
      <c r="R8" s="154"/>
      <c r="S8" s="153"/>
      <c r="T8" s="153">
        <v>1058</v>
      </c>
      <c r="U8" s="154">
        <v>1064</v>
      </c>
      <c r="V8" s="155">
        <v>1.01</v>
      </c>
      <c r="W8" s="154">
        <v>532</v>
      </c>
      <c r="X8" s="153"/>
      <c r="Y8" s="153"/>
      <c r="Z8" s="154"/>
      <c r="AA8" s="153"/>
      <c r="AB8" s="154"/>
      <c r="AC8" s="153"/>
      <c r="AD8" s="153">
        <v>1000</v>
      </c>
      <c r="AE8" s="154">
        <v>1281</v>
      </c>
      <c r="AF8" s="155">
        <v>1.28</v>
      </c>
      <c r="AG8" s="154">
        <v>427</v>
      </c>
      <c r="AH8" s="153"/>
      <c r="AI8" s="153"/>
      <c r="AJ8" s="154"/>
      <c r="AK8" s="153"/>
      <c r="AL8" s="154"/>
      <c r="AM8" s="153"/>
      <c r="AN8" s="153"/>
      <c r="AO8" s="154"/>
      <c r="AP8" s="153"/>
      <c r="AQ8" s="154"/>
      <c r="AR8" s="153"/>
      <c r="AS8" s="153"/>
      <c r="AT8" s="154"/>
      <c r="AU8" s="153"/>
      <c r="AV8" s="154"/>
      <c r="AW8" s="153"/>
      <c r="AX8" s="153"/>
      <c r="AY8" s="153"/>
      <c r="AZ8" s="153"/>
      <c r="BA8" s="153"/>
      <c r="BB8" s="157"/>
    </row>
    <row r="9" spans="1:54" s="150" customFormat="1">
      <c r="A9" s="152" t="s">
        <v>285</v>
      </c>
      <c r="B9" s="153"/>
      <c r="C9" s="153"/>
      <c r="D9" s="153"/>
      <c r="E9" s="153"/>
      <c r="F9" s="154"/>
      <c r="G9" s="156"/>
      <c r="H9" s="154"/>
      <c r="I9" s="153"/>
      <c r="J9" s="153"/>
      <c r="K9" s="154"/>
      <c r="L9" s="153"/>
      <c r="M9" s="154"/>
      <c r="N9" s="153"/>
      <c r="O9" s="153"/>
      <c r="P9" s="154"/>
      <c r="Q9" s="156"/>
      <c r="R9" s="154"/>
      <c r="S9" s="153"/>
      <c r="T9" s="153">
        <v>1058</v>
      </c>
      <c r="U9" s="154">
        <v>976</v>
      </c>
      <c r="V9" s="155">
        <v>0.92</v>
      </c>
      <c r="W9" s="154">
        <v>488</v>
      </c>
      <c r="X9" s="153"/>
      <c r="Y9" s="153"/>
      <c r="Z9" s="154"/>
      <c r="AA9" s="153"/>
      <c r="AB9" s="154"/>
      <c r="AC9" s="153"/>
      <c r="AD9" s="153"/>
      <c r="AE9" s="154"/>
      <c r="AF9" s="153"/>
      <c r="AG9" s="154"/>
      <c r="AH9" s="153"/>
      <c r="AI9" s="153"/>
      <c r="AJ9" s="154"/>
      <c r="AK9" s="153"/>
      <c r="AL9" s="154"/>
      <c r="AM9" s="153"/>
      <c r="AN9" s="153"/>
      <c r="AO9" s="154"/>
      <c r="AP9" s="153"/>
      <c r="AQ9" s="154"/>
      <c r="AR9" s="153"/>
      <c r="AS9" s="153"/>
      <c r="AT9" s="154"/>
      <c r="AU9" s="153"/>
      <c r="AV9" s="154"/>
      <c r="AW9" s="153"/>
      <c r="AX9" s="153"/>
      <c r="AY9" s="153"/>
      <c r="AZ9" s="153"/>
      <c r="BA9" s="153"/>
      <c r="BB9" s="157"/>
    </row>
    <row r="10" spans="1:54" s="166" customFormat="1">
      <c r="A10" s="158"/>
      <c r="B10" s="159"/>
      <c r="C10" s="159"/>
      <c r="D10" s="159"/>
      <c r="E10" s="159"/>
      <c r="F10" s="160"/>
      <c r="G10" s="161"/>
      <c r="H10" s="160"/>
      <c r="I10" s="159"/>
      <c r="J10" s="159"/>
      <c r="K10" s="160"/>
      <c r="L10" s="159"/>
      <c r="M10" s="160"/>
      <c r="N10" s="159"/>
      <c r="O10" s="159"/>
      <c r="P10" s="160"/>
      <c r="Q10" s="161"/>
      <c r="R10" s="160"/>
      <c r="S10" s="159"/>
      <c r="T10" s="162">
        <v>990.8</v>
      </c>
      <c r="U10" s="160">
        <v>993</v>
      </c>
      <c r="V10" s="163">
        <v>1.01</v>
      </c>
      <c r="W10" s="160">
        <v>496.5</v>
      </c>
      <c r="X10" s="159"/>
      <c r="Y10" s="164">
        <f>AVERAGE(Y5:Y9)</f>
        <v>1250</v>
      </c>
      <c r="Z10" s="164">
        <f>AVERAGE(Z5:Z9)</f>
        <v>1210</v>
      </c>
      <c r="AA10" s="162">
        <f>AVERAGE(AA5:AA9)</f>
        <v>0.97</v>
      </c>
      <c r="AB10" s="164">
        <f>AVERAGE(AB5:AB9)</f>
        <v>403.33</v>
      </c>
      <c r="AC10" s="159"/>
      <c r="AD10" s="164">
        <f>AVERAGE(AD5:AD9)</f>
        <v>1064.6666666666667</v>
      </c>
      <c r="AE10" s="164">
        <f>AVERAGE(AE5:AE9)</f>
        <v>1288.3333333333333</v>
      </c>
      <c r="AF10" s="162">
        <f>AVERAGE(AF5:AF9)</f>
        <v>1.2366666666666666</v>
      </c>
      <c r="AG10" s="164">
        <f>AVERAGE(AG5:AG9)</f>
        <v>429.44333333333333</v>
      </c>
      <c r="AH10" s="159"/>
      <c r="AI10" s="164">
        <f>AVERAGE(AI5:AI9)</f>
        <v>1335.3333333333333</v>
      </c>
      <c r="AJ10" s="164">
        <f>AVERAGE(AJ5:AJ9)</f>
        <v>1701.3333333333333</v>
      </c>
      <c r="AK10" s="162">
        <f>AVERAGE(AK5:AK9)</f>
        <v>1.2866666666666666</v>
      </c>
      <c r="AL10" s="164">
        <f>AVERAGE(AL5:AL9)</f>
        <v>425.33333333333331</v>
      </c>
      <c r="AM10" s="159"/>
      <c r="AN10" s="159"/>
      <c r="AO10" s="160"/>
      <c r="AP10" s="159"/>
      <c r="AQ10" s="160"/>
      <c r="AR10" s="159"/>
      <c r="AS10" s="159"/>
      <c r="AT10" s="160"/>
      <c r="AU10" s="159"/>
      <c r="AV10" s="160"/>
      <c r="AW10" s="159"/>
      <c r="AX10" s="159"/>
      <c r="AY10" s="159"/>
      <c r="AZ10" s="159"/>
      <c r="BA10" s="159"/>
      <c r="BB10" s="165"/>
    </row>
    <row r="11" spans="1:54">
      <c r="F11" s="167"/>
      <c r="G11" s="168"/>
      <c r="H11" s="167"/>
      <c r="K11" s="169"/>
      <c r="M11" s="169"/>
      <c r="P11" s="169"/>
      <c r="Q11" s="168"/>
      <c r="R11" s="167"/>
      <c r="U11" s="169"/>
      <c r="V11" s="168"/>
      <c r="W11" s="167"/>
      <c r="Z11" s="169"/>
      <c r="AB11" s="169"/>
      <c r="AE11" s="169"/>
      <c r="AG11" s="169"/>
      <c r="AJ11" s="169"/>
      <c r="AL11" s="169"/>
      <c r="AO11" s="169"/>
      <c r="AQ11" s="169"/>
      <c r="AT11" s="169"/>
      <c r="AV11" s="169"/>
    </row>
    <row r="12" spans="1:54">
      <c r="A12" s="170" t="s">
        <v>286</v>
      </c>
      <c r="B12" s="171">
        <v>134</v>
      </c>
      <c r="C12" s="171">
        <v>0</v>
      </c>
      <c r="D12" s="171"/>
      <c r="E12" s="171">
        <v>0</v>
      </c>
      <c r="F12" s="172">
        <v>0</v>
      </c>
      <c r="G12" s="173"/>
      <c r="H12" s="172"/>
      <c r="I12" s="171"/>
      <c r="J12" s="171">
        <v>0</v>
      </c>
      <c r="K12" s="174">
        <v>0</v>
      </c>
      <c r="L12" s="171">
        <v>0</v>
      </c>
      <c r="M12" s="174">
        <v>0</v>
      </c>
      <c r="N12" s="171"/>
      <c r="O12" s="171"/>
      <c r="P12" s="174"/>
      <c r="Q12" s="173"/>
      <c r="R12" s="172"/>
      <c r="S12" s="171"/>
      <c r="T12" s="171">
        <v>1107</v>
      </c>
      <c r="U12" s="174">
        <v>1150</v>
      </c>
      <c r="V12" s="173">
        <f>+U12/T12</f>
        <v>1.0388437217705511</v>
      </c>
      <c r="W12" s="172">
        <f>+U12/2</f>
        <v>575</v>
      </c>
      <c r="X12" s="171"/>
      <c r="Y12" s="171"/>
      <c r="Z12" s="174"/>
      <c r="AA12" s="171"/>
      <c r="AB12" s="174"/>
      <c r="AC12" s="171"/>
      <c r="AD12" s="171">
        <f>1298</f>
        <v>1298</v>
      </c>
      <c r="AE12" s="174">
        <f>475*3</f>
        <v>1425</v>
      </c>
      <c r="AF12" s="173">
        <f>+AE12/AD12</f>
        <v>1.0978428351309708</v>
      </c>
      <c r="AG12" s="172">
        <f>+AE12/3</f>
        <v>475</v>
      </c>
      <c r="AH12" s="171"/>
      <c r="AI12" s="171"/>
      <c r="AJ12" s="174"/>
      <c r="AK12" s="171"/>
      <c r="AL12" s="174"/>
      <c r="AM12" s="171"/>
      <c r="AN12" s="171"/>
      <c r="AO12" s="174"/>
      <c r="AP12" s="171"/>
      <c r="AQ12" s="174"/>
      <c r="AR12" s="171"/>
      <c r="AS12" s="171"/>
      <c r="AT12" s="174"/>
      <c r="AU12" s="171"/>
      <c r="AV12" s="175"/>
    </row>
    <row r="13" spans="1:54">
      <c r="A13" s="176"/>
      <c r="B13" s="177"/>
      <c r="C13" s="177"/>
      <c r="D13" s="177"/>
      <c r="E13" s="177"/>
      <c r="F13" s="178"/>
      <c r="G13" s="179"/>
      <c r="H13" s="178"/>
      <c r="I13" s="177"/>
      <c r="J13" s="177"/>
      <c r="K13" s="180"/>
      <c r="L13" s="177"/>
      <c r="M13" s="180"/>
      <c r="N13" s="177"/>
      <c r="O13" s="177"/>
      <c r="P13" s="180"/>
      <c r="Q13" s="179"/>
      <c r="R13" s="178"/>
      <c r="S13" s="177"/>
      <c r="T13" s="177">
        <v>1198</v>
      </c>
      <c r="U13" s="180">
        <v>1200</v>
      </c>
      <c r="V13" s="179">
        <f>+U13/T13</f>
        <v>1.001669449081803</v>
      </c>
      <c r="W13" s="178">
        <f>+U13/2</f>
        <v>600</v>
      </c>
      <c r="X13" s="177"/>
      <c r="Y13" s="177"/>
      <c r="Z13" s="180"/>
      <c r="AA13" s="177"/>
      <c r="AB13" s="180"/>
      <c r="AC13" s="177"/>
      <c r="AD13" s="177"/>
      <c r="AE13" s="180"/>
      <c r="AF13" s="177"/>
      <c r="AG13" s="180"/>
      <c r="AH13" s="177"/>
      <c r="AI13" s="177"/>
      <c r="AJ13" s="180"/>
      <c r="AK13" s="177"/>
      <c r="AL13" s="180"/>
      <c r="AM13" s="177"/>
      <c r="AN13" s="177"/>
      <c r="AO13" s="180"/>
      <c r="AP13" s="177"/>
      <c r="AQ13" s="180"/>
      <c r="AR13" s="177"/>
      <c r="AS13" s="177"/>
      <c r="AT13" s="180"/>
      <c r="AU13" s="177"/>
      <c r="AV13" s="181"/>
    </row>
    <row r="14" spans="1:54">
      <c r="F14" s="167"/>
      <c r="G14" s="168"/>
      <c r="H14" s="167"/>
      <c r="K14" s="169"/>
      <c r="M14" s="169"/>
      <c r="P14" s="169"/>
      <c r="Q14" s="168"/>
      <c r="R14" s="167"/>
      <c r="T14" s="171">
        <f>1107-150</f>
        <v>957</v>
      </c>
      <c r="U14" s="169">
        <f>W14*2</f>
        <v>1200</v>
      </c>
      <c r="V14" s="182">
        <f>+U14/U14</f>
        <v>1</v>
      </c>
      <c r="W14" s="178">
        <v>600</v>
      </c>
      <c r="Z14" s="169"/>
      <c r="AB14" s="169"/>
      <c r="AE14" s="169"/>
      <c r="AG14" s="169"/>
      <c r="AJ14" s="169"/>
      <c r="AL14" s="169"/>
      <c r="AO14" s="169"/>
      <c r="AQ14" s="169"/>
      <c r="AT14" s="169"/>
      <c r="AV14" s="169"/>
    </row>
    <row r="15" spans="1:54">
      <c r="F15" s="167"/>
      <c r="G15" s="168"/>
      <c r="H15" s="167"/>
      <c r="K15" s="169"/>
      <c r="M15" s="169"/>
      <c r="P15" s="169"/>
      <c r="Q15" s="168"/>
      <c r="R15" s="167"/>
      <c r="T15" s="177">
        <v>1198</v>
      </c>
      <c r="U15" s="169">
        <f>V15*T15</f>
        <v>1497.5</v>
      </c>
      <c r="V15" s="140">
        <v>1.25</v>
      </c>
      <c r="W15" s="178">
        <f>+U15/2</f>
        <v>748.75</v>
      </c>
      <c r="Z15" s="169"/>
      <c r="AB15" s="169"/>
      <c r="AE15" s="169"/>
      <c r="AG15" s="169"/>
      <c r="AJ15" s="169"/>
      <c r="AL15" s="169"/>
      <c r="AO15" s="169"/>
      <c r="AQ15" s="169"/>
      <c r="AT15" s="169"/>
      <c r="AV15" s="169"/>
    </row>
    <row r="16" spans="1:54">
      <c r="F16" s="167"/>
      <c r="G16" s="168"/>
      <c r="H16" s="167"/>
      <c r="K16" s="169"/>
      <c r="M16" s="169"/>
      <c r="P16" s="169"/>
      <c r="Q16" s="168"/>
      <c r="R16" s="167"/>
      <c r="U16" s="169"/>
      <c r="W16" s="169"/>
      <c r="Z16" s="169"/>
      <c r="AB16" s="169"/>
      <c r="AE16" s="169"/>
      <c r="AG16" s="169"/>
      <c r="AJ16" s="169"/>
      <c r="AL16" s="169"/>
      <c r="AO16" s="169"/>
      <c r="AQ16" s="169"/>
      <c r="AT16" s="169"/>
      <c r="AV16" s="169"/>
    </row>
    <row r="17" spans="6:48">
      <c r="F17" s="167"/>
      <c r="G17" s="168"/>
      <c r="H17" s="167"/>
      <c r="K17" s="169"/>
      <c r="M17" s="169"/>
      <c r="P17" s="169"/>
      <c r="Q17" s="168"/>
      <c r="R17" s="167"/>
      <c r="U17" s="169"/>
      <c r="W17" s="169"/>
      <c r="Z17" s="169"/>
      <c r="AB17" s="169"/>
      <c r="AE17" s="169"/>
      <c r="AG17" s="169"/>
      <c r="AJ17" s="169"/>
      <c r="AL17" s="169"/>
      <c r="AO17" s="169"/>
      <c r="AQ17" s="169"/>
      <c r="AT17" s="169"/>
      <c r="AV17" s="169"/>
    </row>
    <row r="18" spans="6:48">
      <c r="F18" s="167"/>
      <c r="G18" s="168"/>
      <c r="H18" s="167"/>
      <c r="K18" s="169"/>
      <c r="M18" s="169"/>
      <c r="P18" s="169"/>
      <c r="Q18" s="168"/>
      <c r="R18" s="167"/>
      <c r="U18" s="169"/>
      <c r="W18" s="169"/>
      <c r="Z18" s="169"/>
      <c r="AB18" s="169"/>
      <c r="AE18" s="169"/>
      <c r="AG18" s="169"/>
      <c r="AJ18" s="169"/>
      <c r="AL18" s="169"/>
      <c r="AO18" s="169"/>
      <c r="AQ18" s="169"/>
      <c r="AT18" s="169"/>
      <c r="AV18" s="169"/>
    </row>
    <row r="19" spans="6:48">
      <c r="F19" s="167"/>
      <c r="G19" s="168"/>
      <c r="H19" s="167"/>
      <c r="K19" s="169"/>
      <c r="M19" s="169"/>
      <c r="P19" s="169"/>
      <c r="Q19" s="168"/>
      <c r="R19" s="167"/>
      <c r="U19" s="169"/>
      <c r="W19" s="169"/>
      <c r="Z19" s="169"/>
      <c r="AB19" s="169"/>
      <c r="AE19" s="169"/>
      <c r="AG19" s="169"/>
      <c r="AJ19" s="169"/>
      <c r="AL19" s="169"/>
      <c r="AO19" s="169"/>
      <c r="AQ19" s="169"/>
      <c r="AT19" s="169"/>
      <c r="AV19" s="169"/>
    </row>
    <row r="20" spans="6:48">
      <c r="F20" s="167"/>
      <c r="G20" s="168"/>
      <c r="H20" s="167"/>
      <c r="K20" s="169"/>
      <c r="M20" s="169"/>
      <c r="P20" s="169"/>
      <c r="Q20" s="168"/>
      <c r="R20" s="167"/>
      <c r="U20" s="169"/>
      <c r="W20" s="169"/>
      <c r="Z20" s="169"/>
      <c r="AB20" s="169"/>
      <c r="AE20" s="169"/>
      <c r="AG20" s="169"/>
      <c r="AJ20" s="169"/>
      <c r="AL20" s="169"/>
      <c r="AO20" s="169"/>
      <c r="AQ20" s="169"/>
      <c r="AT20" s="169"/>
      <c r="AV20" s="169"/>
    </row>
    <row r="21" spans="6:48">
      <c r="F21" s="167"/>
      <c r="G21" s="168"/>
      <c r="H21" s="167"/>
      <c r="K21" s="169"/>
      <c r="M21" s="169"/>
      <c r="P21" s="169"/>
      <c r="Q21" s="168"/>
      <c r="R21" s="167"/>
      <c r="U21" s="169"/>
      <c r="W21" s="169"/>
      <c r="Z21" s="169"/>
      <c r="AB21" s="169"/>
      <c r="AE21" s="169"/>
      <c r="AG21" s="169"/>
      <c r="AJ21" s="169"/>
      <c r="AL21" s="169"/>
      <c r="AO21" s="169"/>
      <c r="AQ21" s="169"/>
      <c r="AT21" s="169"/>
      <c r="AV21" s="169"/>
    </row>
    <row r="22" spans="6:48">
      <c r="F22" s="167"/>
      <c r="G22" s="168"/>
      <c r="H22" s="167"/>
      <c r="K22" s="169"/>
      <c r="M22" s="169"/>
      <c r="P22" s="169"/>
      <c r="Q22" s="168"/>
      <c r="R22" s="167"/>
      <c r="U22" s="169"/>
      <c r="W22" s="169"/>
      <c r="Z22" s="169"/>
      <c r="AB22" s="169"/>
      <c r="AE22" s="169"/>
      <c r="AG22" s="169"/>
      <c r="AJ22" s="169"/>
      <c r="AL22" s="169"/>
      <c r="AO22" s="169"/>
      <c r="AQ22" s="169"/>
      <c r="AT22" s="169"/>
      <c r="AV22" s="169"/>
    </row>
    <row r="23" spans="6:48">
      <c r="F23" s="167"/>
      <c r="G23" s="168"/>
      <c r="H23" s="167"/>
      <c r="K23" s="169"/>
      <c r="M23" s="169"/>
      <c r="P23" s="169"/>
      <c r="Q23" s="168"/>
      <c r="R23" s="167"/>
      <c r="U23" s="169"/>
      <c r="W23" s="169"/>
      <c r="Z23" s="169"/>
      <c r="AB23" s="169"/>
      <c r="AE23" s="169"/>
      <c r="AG23" s="169"/>
      <c r="AJ23" s="169"/>
      <c r="AL23" s="169"/>
      <c r="AO23" s="169"/>
      <c r="AQ23" s="169"/>
      <c r="AT23" s="169"/>
      <c r="AV23" s="169"/>
    </row>
    <row r="24" spans="6:48">
      <c r="F24" s="167"/>
      <c r="G24" s="168"/>
      <c r="H24" s="167"/>
      <c r="K24" s="169"/>
      <c r="M24" s="169"/>
      <c r="P24" s="169"/>
      <c r="Q24" s="168"/>
      <c r="R24" s="167"/>
      <c r="U24" s="169"/>
      <c r="W24" s="169"/>
      <c r="Z24" s="169"/>
      <c r="AB24" s="169"/>
      <c r="AE24" s="169"/>
      <c r="AG24" s="169"/>
      <c r="AJ24" s="169"/>
      <c r="AL24" s="169"/>
      <c r="AO24" s="169"/>
      <c r="AQ24" s="169"/>
      <c r="AT24" s="169"/>
      <c r="AV24" s="169"/>
    </row>
    <row r="25" spans="6:48">
      <c r="F25" s="167"/>
      <c r="G25" s="168"/>
      <c r="H25" s="167"/>
      <c r="K25" s="169"/>
      <c r="M25" s="169"/>
      <c r="P25" s="169"/>
      <c r="Q25" s="168"/>
      <c r="R25" s="167"/>
      <c r="U25" s="169"/>
      <c r="W25" s="169"/>
      <c r="Z25" s="169"/>
      <c r="AB25" s="169"/>
      <c r="AE25" s="169"/>
      <c r="AG25" s="169"/>
      <c r="AJ25" s="169"/>
      <c r="AL25" s="169"/>
      <c r="AO25" s="169"/>
      <c r="AQ25" s="169"/>
      <c r="AT25" s="169"/>
      <c r="AV25" s="169"/>
    </row>
    <row r="26" spans="6:48">
      <c r="F26" s="167"/>
      <c r="G26" s="168"/>
      <c r="H26" s="167"/>
      <c r="K26" s="169"/>
      <c r="M26" s="169"/>
      <c r="P26" s="169"/>
      <c r="Q26" s="168"/>
      <c r="R26" s="167"/>
      <c r="U26" s="169"/>
      <c r="W26" s="169"/>
      <c r="Z26" s="169"/>
      <c r="AB26" s="169"/>
      <c r="AE26" s="169"/>
      <c r="AG26" s="169"/>
      <c r="AJ26" s="169"/>
      <c r="AL26" s="169"/>
      <c r="AO26" s="169"/>
      <c r="AQ26" s="169"/>
      <c r="AT26" s="169"/>
      <c r="AV26" s="169"/>
    </row>
    <row r="27" spans="6:48">
      <c r="F27" s="167"/>
      <c r="G27" s="168"/>
      <c r="H27" s="167"/>
      <c r="K27" s="169"/>
      <c r="M27" s="169"/>
      <c r="P27" s="169"/>
      <c r="Q27" s="168"/>
      <c r="R27" s="167"/>
      <c r="U27" s="169"/>
      <c r="W27" s="169"/>
      <c r="Z27" s="169"/>
      <c r="AB27" s="169"/>
      <c r="AE27" s="169"/>
      <c r="AG27" s="169"/>
      <c r="AJ27" s="169"/>
      <c r="AL27" s="169"/>
      <c r="AO27" s="169"/>
      <c r="AQ27" s="169"/>
      <c r="AT27" s="169"/>
      <c r="AV27" s="169"/>
    </row>
    <row r="28" spans="6:48">
      <c r="F28" s="167"/>
      <c r="G28" s="168"/>
      <c r="H28" s="167"/>
      <c r="K28" s="169"/>
      <c r="M28" s="169"/>
      <c r="P28" s="169"/>
      <c r="Q28" s="168"/>
      <c r="R28" s="167"/>
      <c r="U28" s="169"/>
      <c r="W28" s="169"/>
      <c r="Z28" s="169"/>
      <c r="AB28" s="169"/>
      <c r="AE28" s="169"/>
      <c r="AG28" s="169"/>
      <c r="AJ28" s="169"/>
      <c r="AL28" s="169"/>
      <c r="AO28" s="169"/>
      <c r="AQ28" s="169"/>
      <c r="AT28" s="169"/>
      <c r="AV28" s="169"/>
    </row>
    <row r="29" spans="6:48">
      <c r="F29" s="167"/>
      <c r="G29" s="168"/>
      <c r="H29" s="167"/>
      <c r="K29" s="169"/>
      <c r="M29" s="169"/>
      <c r="P29" s="169"/>
      <c r="Q29" s="168"/>
      <c r="R29" s="167"/>
      <c r="U29" s="169"/>
      <c r="W29" s="169"/>
      <c r="Z29" s="169"/>
      <c r="AB29" s="169"/>
      <c r="AE29" s="169"/>
      <c r="AG29" s="169"/>
      <c r="AJ29" s="169"/>
      <c r="AL29" s="169"/>
      <c r="AO29" s="169"/>
      <c r="AQ29" s="169"/>
      <c r="AT29" s="169"/>
      <c r="AV29" s="169"/>
    </row>
    <row r="30" spans="6:48">
      <c r="F30" s="167"/>
      <c r="G30" s="168"/>
      <c r="H30" s="167"/>
      <c r="K30" s="169"/>
      <c r="M30" s="169"/>
      <c r="P30" s="169"/>
      <c r="Q30" s="168"/>
      <c r="R30" s="167"/>
      <c r="U30" s="169"/>
      <c r="W30" s="169"/>
      <c r="Z30" s="169"/>
      <c r="AB30" s="169"/>
      <c r="AE30" s="169"/>
      <c r="AG30" s="169"/>
      <c r="AJ30" s="169"/>
      <c r="AL30" s="169"/>
      <c r="AO30" s="169"/>
      <c r="AQ30" s="169"/>
      <c r="AT30" s="169"/>
      <c r="AV30" s="169"/>
    </row>
    <row r="31" spans="6:48">
      <c r="F31" s="167"/>
      <c r="G31" s="168"/>
      <c r="H31" s="167"/>
      <c r="K31" s="169"/>
      <c r="M31" s="169"/>
      <c r="P31" s="169"/>
      <c r="Q31" s="168"/>
      <c r="R31" s="167"/>
      <c r="U31" s="169"/>
      <c r="W31" s="169"/>
      <c r="Z31" s="169"/>
      <c r="AB31" s="169"/>
      <c r="AE31" s="169"/>
      <c r="AG31" s="169"/>
      <c r="AJ31" s="169"/>
      <c r="AL31" s="169"/>
      <c r="AO31" s="169"/>
      <c r="AQ31" s="169"/>
      <c r="AT31" s="169"/>
      <c r="AV31" s="169"/>
    </row>
    <row r="32" spans="6:48">
      <c r="F32" s="167"/>
      <c r="G32" s="168"/>
      <c r="H32" s="167"/>
      <c r="K32" s="169"/>
      <c r="M32" s="169"/>
      <c r="P32" s="169"/>
      <c r="Q32" s="168"/>
      <c r="R32" s="167"/>
      <c r="U32" s="169"/>
      <c r="W32" s="169"/>
      <c r="Z32" s="169"/>
      <c r="AB32" s="169"/>
      <c r="AE32" s="169"/>
      <c r="AG32" s="169"/>
      <c r="AJ32" s="169"/>
      <c r="AL32" s="169"/>
      <c r="AO32" s="169"/>
      <c r="AQ32" s="169"/>
      <c r="AT32" s="169"/>
      <c r="AV32" s="169"/>
    </row>
    <row r="33" spans="6:48">
      <c r="F33" s="167"/>
      <c r="G33" s="168"/>
      <c r="H33" s="167"/>
      <c r="K33" s="169"/>
      <c r="M33" s="169"/>
      <c r="P33" s="169"/>
      <c r="Q33" s="168"/>
      <c r="R33" s="167"/>
      <c r="U33" s="169"/>
      <c r="W33" s="169"/>
      <c r="Z33" s="169"/>
      <c r="AB33" s="169"/>
      <c r="AE33" s="169"/>
      <c r="AG33" s="169"/>
      <c r="AJ33" s="169"/>
      <c r="AL33" s="169"/>
      <c r="AO33" s="169"/>
      <c r="AQ33" s="169"/>
      <c r="AT33" s="169"/>
      <c r="AV33" s="169"/>
    </row>
    <row r="34" spans="6:48">
      <c r="F34" s="167"/>
      <c r="G34" s="168"/>
      <c r="H34" s="167"/>
      <c r="K34" s="169"/>
      <c r="M34" s="169"/>
      <c r="P34" s="169"/>
      <c r="Q34" s="168"/>
      <c r="R34" s="167"/>
      <c r="U34" s="169"/>
      <c r="W34" s="169"/>
      <c r="Z34" s="169"/>
      <c r="AB34" s="169"/>
      <c r="AE34" s="169"/>
      <c r="AG34" s="169"/>
      <c r="AJ34" s="169"/>
      <c r="AL34" s="169"/>
      <c r="AO34" s="169"/>
      <c r="AQ34" s="169"/>
      <c r="AT34" s="169"/>
      <c r="AV34" s="169"/>
    </row>
    <row r="35" spans="6:48">
      <c r="F35" s="167"/>
      <c r="G35" s="168"/>
      <c r="H35" s="167"/>
      <c r="K35" s="169"/>
      <c r="M35" s="169"/>
      <c r="P35" s="169"/>
      <c r="Q35" s="168"/>
      <c r="R35" s="167"/>
      <c r="U35" s="169"/>
      <c r="W35" s="169"/>
      <c r="Z35" s="169"/>
      <c r="AB35" s="169"/>
      <c r="AE35" s="169"/>
      <c r="AG35" s="169"/>
      <c r="AJ35" s="169"/>
      <c r="AL35" s="169"/>
      <c r="AO35" s="169"/>
      <c r="AQ35" s="169"/>
      <c r="AT35" s="169"/>
      <c r="AV35" s="169"/>
    </row>
    <row r="36" spans="6:48">
      <c r="F36" s="169"/>
      <c r="H36" s="169"/>
      <c r="K36" s="169"/>
      <c r="M36" s="169"/>
      <c r="P36" s="169"/>
      <c r="Q36" s="168"/>
      <c r="R36" s="167"/>
      <c r="U36" s="169"/>
      <c r="W36" s="169"/>
      <c r="Z36" s="169"/>
      <c r="AB36" s="169"/>
      <c r="AE36" s="169"/>
      <c r="AG36" s="169"/>
      <c r="AJ36" s="169"/>
      <c r="AL36" s="169"/>
      <c r="AO36" s="169"/>
      <c r="AQ36" s="169"/>
      <c r="AT36" s="169"/>
      <c r="AV36" s="169"/>
    </row>
    <row r="37" spans="6:48">
      <c r="F37" s="169"/>
      <c r="H37" s="169"/>
      <c r="K37" s="169"/>
      <c r="M37" s="169"/>
      <c r="P37" s="169"/>
      <c r="Q37" s="168"/>
      <c r="R37" s="167"/>
      <c r="U37" s="169"/>
      <c r="W37" s="169"/>
      <c r="Z37" s="169"/>
      <c r="AB37" s="169"/>
      <c r="AE37" s="169"/>
      <c r="AG37" s="169"/>
      <c r="AJ37" s="169"/>
      <c r="AL37" s="169"/>
      <c r="AO37" s="169"/>
      <c r="AQ37" s="169"/>
      <c r="AT37" s="169"/>
      <c r="AV37" s="169"/>
    </row>
    <row r="38" spans="6:48">
      <c r="F38" s="169"/>
      <c r="H38" s="169"/>
      <c r="K38" s="169"/>
      <c r="M38" s="169"/>
      <c r="P38" s="169"/>
      <c r="R38" s="169"/>
      <c r="U38" s="169"/>
      <c r="W38" s="169"/>
      <c r="Z38" s="169"/>
      <c r="AB38" s="169"/>
      <c r="AE38" s="169"/>
      <c r="AG38" s="169"/>
      <c r="AJ38" s="169"/>
      <c r="AL38" s="169"/>
      <c r="AO38" s="169"/>
      <c r="AQ38" s="169"/>
      <c r="AT38" s="169"/>
      <c r="AV38" s="169"/>
    </row>
    <row r="39" spans="6:48">
      <c r="F39" s="169"/>
      <c r="H39" s="169"/>
      <c r="K39" s="169"/>
      <c r="M39" s="169"/>
      <c r="P39" s="169"/>
      <c r="R39" s="169"/>
      <c r="U39" s="169"/>
      <c r="W39" s="169"/>
      <c r="Z39" s="169"/>
      <c r="AB39" s="169"/>
      <c r="AE39" s="169"/>
      <c r="AG39" s="169"/>
      <c r="AJ39" s="169"/>
      <c r="AL39" s="169"/>
      <c r="AO39" s="169"/>
      <c r="AQ39" s="169"/>
      <c r="AT39" s="169"/>
      <c r="AV39" s="169"/>
    </row>
    <row r="40" spans="6:48">
      <c r="F40" s="169"/>
      <c r="H40" s="169"/>
      <c r="K40" s="169"/>
      <c r="M40" s="169"/>
      <c r="P40" s="169"/>
      <c r="R40" s="169"/>
      <c r="U40" s="169"/>
      <c r="W40" s="169"/>
      <c r="Z40" s="169"/>
      <c r="AB40" s="169"/>
      <c r="AE40" s="169"/>
      <c r="AG40" s="169"/>
      <c r="AJ40" s="169"/>
      <c r="AL40" s="169"/>
      <c r="AO40" s="169"/>
      <c r="AQ40" s="169"/>
      <c r="AT40" s="169"/>
      <c r="AV40" s="169"/>
    </row>
    <row r="41" spans="6:48">
      <c r="F41" s="169"/>
      <c r="H41" s="169"/>
      <c r="K41" s="169"/>
      <c r="M41" s="169"/>
      <c r="P41" s="169"/>
      <c r="R41" s="169"/>
      <c r="U41" s="169"/>
      <c r="W41" s="169"/>
      <c r="Z41" s="169"/>
      <c r="AB41" s="169"/>
      <c r="AE41" s="169"/>
      <c r="AG41" s="169"/>
      <c r="AJ41" s="169"/>
      <c r="AL41" s="169"/>
      <c r="AO41" s="169"/>
      <c r="AQ41" s="169"/>
      <c r="AT41" s="169"/>
      <c r="AV41" s="169"/>
    </row>
    <row r="42" spans="6:48">
      <c r="F42" s="169"/>
      <c r="H42" s="169"/>
      <c r="K42" s="169"/>
      <c r="M42" s="169"/>
      <c r="P42" s="169"/>
      <c r="R42" s="169"/>
      <c r="U42" s="169"/>
      <c r="W42" s="169"/>
      <c r="Z42" s="169"/>
      <c r="AB42" s="169"/>
      <c r="AE42" s="169"/>
      <c r="AG42" s="169"/>
      <c r="AJ42" s="169"/>
      <c r="AL42" s="169"/>
      <c r="AO42" s="169"/>
      <c r="AQ42" s="169"/>
      <c r="AT42" s="169"/>
      <c r="AV42" s="169"/>
    </row>
    <row r="43" spans="6:48">
      <c r="F43" s="169"/>
      <c r="H43" s="169"/>
      <c r="K43" s="169"/>
      <c r="M43" s="169"/>
      <c r="P43" s="169"/>
      <c r="R43" s="169"/>
      <c r="U43" s="169"/>
      <c r="W43" s="169"/>
      <c r="Z43" s="169"/>
      <c r="AB43" s="169"/>
      <c r="AE43" s="169"/>
      <c r="AG43" s="169"/>
      <c r="AJ43" s="169"/>
      <c r="AL43" s="169"/>
      <c r="AO43" s="169"/>
      <c r="AQ43" s="169"/>
      <c r="AT43" s="169"/>
      <c r="AV43" s="169"/>
    </row>
    <row r="44" spans="6:48">
      <c r="F44" s="169"/>
      <c r="H44" s="169"/>
      <c r="K44" s="169"/>
      <c r="M44" s="169"/>
      <c r="P44" s="169"/>
      <c r="R44" s="169"/>
      <c r="U44" s="169"/>
      <c r="W44" s="169"/>
      <c r="Z44" s="169"/>
      <c r="AB44" s="169"/>
      <c r="AE44" s="169"/>
      <c r="AG44" s="169"/>
      <c r="AJ44" s="169"/>
      <c r="AL44" s="169"/>
      <c r="AO44" s="169"/>
      <c r="AQ44" s="169"/>
      <c r="AT44" s="169"/>
      <c r="AV44" s="169"/>
    </row>
    <row r="45" spans="6:48">
      <c r="F45" s="169"/>
      <c r="H45" s="169"/>
      <c r="K45" s="169"/>
      <c r="M45" s="169"/>
      <c r="P45" s="169"/>
      <c r="R45" s="169"/>
      <c r="U45" s="169"/>
      <c r="W45" s="169"/>
      <c r="Z45" s="169"/>
      <c r="AB45" s="169"/>
      <c r="AE45" s="169"/>
      <c r="AG45" s="169"/>
      <c r="AJ45" s="169"/>
      <c r="AL45" s="169"/>
      <c r="AO45" s="169"/>
      <c r="AQ45" s="169"/>
      <c r="AT45" s="169"/>
      <c r="AV45" s="169"/>
    </row>
    <row r="46" spans="6:48">
      <c r="F46" s="169"/>
      <c r="H46" s="169"/>
      <c r="K46" s="169"/>
      <c r="M46" s="169"/>
      <c r="P46" s="169"/>
      <c r="R46" s="169"/>
      <c r="U46" s="169"/>
      <c r="W46" s="169"/>
      <c r="Z46" s="169"/>
      <c r="AB46" s="169"/>
      <c r="AE46" s="169"/>
      <c r="AG46" s="169"/>
      <c r="AJ46" s="169"/>
      <c r="AL46" s="169"/>
      <c r="AO46" s="169"/>
      <c r="AQ46" s="169"/>
      <c r="AT46" s="169"/>
      <c r="AV46" s="169"/>
    </row>
    <row r="47" spans="6:48">
      <c r="F47" s="169"/>
      <c r="H47" s="169"/>
      <c r="K47" s="169"/>
      <c r="M47" s="169"/>
      <c r="P47" s="169"/>
      <c r="R47" s="169"/>
      <c r="U47" s="169"/>
      <c r="W47" s="169"/>
      <c r="Z47" s="169"/>
      <c r="AB47" s="169"/>
      <c r="AE47" s="169"/>
      <c r="AG47" s="169"/>
      <c r="AJ47" s="169"/>
      <c r="AL47" s="169"/>
      <c r="AO47" s="169"/>
      <c r="AQ47" s="169"/>
      <c r="AT47" s="169"/>
      <c r="AV47" s="169"/>
    </row>
    <row r="48" spans="6:48">
      <c r="F48" s="169"/>
      <c r="H48" s="169"/>
      <c r="K48" s="169"/>
      <c r="M48" s="169"/>
      <c r="P48" s="169"/>
      <c r="R48" s="169"/>
      <c r="U48" s="169"/>
      <c r="W48" s="169"/>
      <c r="Z48" s="169"/>
      <c r="AB48" s="169"/>
      <c r="AE48" s="169"/>
      <c r="AG48" s="169"/>
      <c r="AJ48" s="169"/>
      <c r="AL48" s="169"/>
      <c r="AO48" s="169"/>
      <c r="AQ48" s="169"/>
      <c r="AT48" s="169"/>
      <c r="AV48" s="169"/>
    </row>
    <row r="49" spans="6:48">
      <c r="F49" s="169"/>
      <c r="H49" s="169"/>
      <c r="K49" s="169"/>
      <c r="M49" s="169"/>
      <c r="P49" s="169"/>
      <c r="R49" s="169"/>
      <c r="U49" s="169"/>
      <c r="W49" s="169"/>
      <c r="Z49" s="169"/>
      <c r="AB49" s="169"/>
      <c r="AE49" s="169"/>
      <c r="AG49" s="169"/>
      <c r="AJ49" s="169"/>
      <c r="AL49" s="169"/>
      <c r="AO49" s="169"/>
      <c r="AQ49" s="169"/>
      <c r="AT49" s="169"/>
      <c r="AV49" s="169"/>
    </row>
    <row r="50" spans="6:48">
      <c r="F50" s="169"/>
      <c r="H50" s="169"/>
      <c r="K50" s="169"/>
      <c r="M50" s="169"/>
      <c r="P50" s="169"/>
      <c r="R50" s="169"/>
      <c r="U50" s="169"/>
      <c r="W50" s="169"/>
      <c r="Z50" s="169"/>
      <c r="AB50" s="169"/>
      <c r="AE50" s="169"/>
      <c r="AG50" s="169"/>
      <c r="AJ50" s="169"/>
      <c r="AL50" s="169"/>
      <c r="AO50" s="169"/>
      <c r="AQ50" s="169"/>
      <c r="AT50" s="169"/>
      <c r="AV50" s="169"/>
    </row>
    <row r="51" spans="6:48">
      <c r="F51" s="169"/>
      <c r="H51" s="169"/>
      <c r="K51" s="169"/>
      <c r="M51" s="169"/>
      <c r="P51" s="169"/>
      <c r="R51" s="169"/>
      <c r="U51" s="169"/>
      <c r="W51" s="169"/>
      <c r="Z51" s="169"/>
      <c r="AB51" s="169"/>
      <c r="AE51" s="169"/>
      <c r="AG51" s="169"/>
      <c r="AJ51" s="169"/>
      <c r="AL51" s="169"/>
      <c r="AO51" s="169"/>
      <c r="AQ51" s="169"/>
      <c r="AT51" s="169"/>
      <c r="AV51" s="169"/>
    </row>
    <row r="52" spans="6:48">
      <c r="F52" s="169"/>
      <c r="H52" s="169"/>
      <c r="K52" s="169"/>
      <c r="M52" s="169"/>
      <c r="P52" s="169"/>
      <c r="R52" s="169"/>
      <c r="U52" s="169"/>
      <c r="W52" s="169"/>
      <c r="Z52" s="169"/>
      <c r="AB52" s="169"/>
      <c r="AE52" s="169"/>
      <c r="AG52" s="169"/>
      <c r="AJ52" s="169"/>
      <c r="AL52" s="169"/>
      <c r="AO52" s="169"/>
      <c r="AQ52" s="169"/>
      <c r="AT52" s="169"/>
      <c r="AV52" s="169"/>
    </row>
    <row r="53" spans="6:48">
      <c r="F53" s="169"/>
      <c r="H53" s="169"/>
      <c r="K53" s="169"/>
      <c r="M53" s="169"/>
      <c r="P53" s="169"/>
      <c r="R53" s="169"/>
      <c r="U53" s="169"/>
      <c r="W53" s="169"/>
      <c r="Z53" s="169"/>
      <c r="AB53" s="169"/>
      <c r="AE53" s="169"/>
      <c r="AG53" s="169"/>
      <c r="AJ53" s="169"/>
      <c r="AL53" s="169"/>
      <c r="AO53" s="169"/>
      <c r="AQ53" s="169"/>
      <c r="AT53" s="169"/>
      <c r="AV53" s="169"/>
    </row>
    <row r="54" spans="6:48">
      <c r="F54" s="169"/>
      <c r="H54" s="169"/>
      <c r="K54" s="169"/>
      <c r="M54" s="169"/>
      <c r="P54" s="169"/>
      <c r="R54" s="169"/>
      <c r="U54" s="169"/>
      <c r="W54" s="169"/>
      <c r="Z54" s="169"/>
      <c r="AB54" s="169"/>
      <c r="AE54" s="169"/>
      <c r="AG54" s="169"/>
      <c r="AJ54" s="169"/>
      <c r="AL54" s="169"/>
      <c r="AO54" s="169"/>
      <c r="AQ54" s="169"/>
      <c r="AT54" s="169"/>
      <c r="AV54" s="169"/>
    </row>
    <row r="55" spans="6:48">
      <c r="F55" s="169"/>
      <c r="H55" s="169"/>
      <c r="K55" s="169"/>
      <c r="M55" s="169"/>
      <c r="P55" s="169"/>
      <c r="R55" s="169"/>
      <c r="U55" s="169"/>
      <c r="W55" s="169"/>
      <c r="Z55" s="169"/>
      <c r="AB55" s="169"/>
      <c r="AE55" s="169"/>
      <c r="AG55" s="169"/>
      <c r="AJ55" s="169"/>
      <c r="AL55" s="169"/>
      <c r="AO55" s="169"/>
      <c r="AQ55" s="169"/>
      <c r="AT55" s="169"/>
      <c r="AV55" s="169"/>
    </row>
    <row r="56" spans="6:48">
      <c r="F56" s="169"/>
      <c r="H56" s="169"/>
      <c r="K56" s="169"/>
      <c r="M56" s="169"/>
      <c r="P56" s="169"/>
      <c r="R56" s="169"/>
      <c r="U56" s="169"/>
      <c r="W56" s="169"/>
      <c r="Z56" s="169"/>
      <c r="AB56" s="169"/>
      <c r="AE56" s="169"/>
      <c r="AG56" s="169"/>
      <c r="AJ56" s="169"/>
      <c r="AL56" s="169"/>
      <c r="AO56" s="169"/>
      <c r="AQ56" s="169"/>
      <c r="AT56" s="169"/>
      <c r="AV56" s="169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ageMargins left="0.25" right="0.25" top="1" bottom="1" header="0.5" footer="0.5"/>
  <pageSetup paperSize="5" scale="64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AS39"/>
  <sheetViews>
    <sheetView workbookViewId="0"/>
  </sheetViews>
  <sheetFormatPr defaultRowHeight="12"/>
  <cols>
    <col min="1" max="1" width="23.42578125" bestFit="1" customWidth="1"/>
    <col min="2" max="2" width="16.140625" customWidth="1"/>
    <col min="3" max="3" width="9.7109375" customWidth="1"/>
    <col min="4" max="4" width="9.7109375" bestFit="1" customWidth="1"/>
  </cols>
  <sheetData>
    <row r="5" spans="1:45">
      <c r="B5" s="255" t="s">
        <v>412</v>
      </c>
      <c r="C5" s="254">
        <v>36861</v>
      </c>
      <c r="D5" s="254">
        <v>36892</v>
      </c>
      <c r="E5" s="254">
        <v>36923</v>
      </c>
      <c r="F5" s="254">
        <v>36951</v>
      </c>
      <c r="G5" s="254">
        <v>36982</v>
      </c>
      <c r="H5" s="254">
        <v>37012</v>
      </c>
      <c r="I5" s="254">
        <v>37043</v>
      </c>
      <c r="J5" s="254">
        <v>37073</v>
      </c>
      <c r="K5" s="254">
        <v>37104</v>
      </c>
      <c r="L5" s="254">
        <v>37135</v>
      </c>
      <c r="M5" s="254">
        <v>37165</v>
      </c>
      <c r="N5" s="254">
        <v>37196</v>
      </c>
      <c r="O5" s="254">
        <v>37226</v>
      </c>
      <c r="P5" s="259">
        <v>37257</v>
      </c>
      <c r="Q5" s="254">
        <v>37288</v>
      </c>
      <c r="R5" s="254">
        <v>37316</v>
      </c>
      <c r="S5" s="254">
        <v>37347</v>
      </c>
      <c r="T5" s="257">
        <v>37377</v>
      </c>
      <c r="U5" s="254">
        <v>37408</v>
      </c>
      <c r="V5" s="254">
        <v>37438</v>
      </c>
      <c r="W5" s="257">
        <v>37469</v>
      </c>
      <c r="X5" s="254">
        <v>37500</v>
      </c>
      <c r="Y5" s="254">
        <v>37530</v>
      </c>
      <c r="Z5" s="254">
        <v>37561</v>
      </c>
      <c r="AA5" s="254">
        <v>37591</v>
      </c>
      <c r="AB5" s="254">
        <v>37622</v>
      </c>
      <c r="AC5" s="254">
        <v>37653</v>
      </c>
      <c r="AD5" s="254">
        <v>37681</v>
      </c>
      <c r="AE5" s="254">
        <v>37712</v>
      </c>
      <c r="AF5" s="254">
        <v>37742</v>
      </c>
      <c r="AG5" s="254">
        <v>37773</v>
      </c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54"/>
    </row>
    <row r="6" spans="1:45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 s="260">
        <v>13</v>
      </c>
      <c r="Q6">
        <v>14</v>
      </c>
      <c r="R6">
        <v>15</v>
      </c>
      <c r="S6">
        <v>16</v>
      </c>
      <c r="T6" s="258">
        <v>17</v>
      </c>
      <c r="U6">
        <v>18</v>
      </c>
      <c r="V6">
        <v>19</v>
      </c>
      <c r="W6" s="258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</row>
    <row r="7" spans="1:45">
      <c r="A7" t="s">
        <v>413</v>
      </c>
      <c r="B7">
        <v>10</v>
      </c>
      <c r="C7" t="s">
        <v>194</v>
      </c>
    </row>
    <row r="8" spans="1:45">
      <c r="A8" t="s">
        <v>414</v>
      </c>
      <c r="B8">
        <v>10</v>
      </c>
      <c r="C8" t="s">
        <v>194</v>
      </c>
      <c r="D8" t="s">
        <v>194</v>
      </c>
    </row>
    <row r="9" spans="1:45">
      <c r="A9" t="s">
        <v>406</v>
      </c>
      <c r="B9">
        <v>1</v>
      </c>
      <c r="D9" t="s">
        <v>194</v>
      </c>
    </row>
    <row r="10" spans="1:45">
      <c r="A10" t="s">
        <v>407</v>
      </c>
      <c r="D10" t="s">
        <v>199</v>
      </c>
    </row>
    <row r="11" spans="1:45">
      <c r="A11" t="s">
        <v>408</v>
      </c>
      <c r="D11" t="s">
        <v>199</v>
      </c>
      <c r="E11" t="s">
        <v>199</v>
      </c>
    </row>
    <row r="12" spans="1:45">
      <c r="A12" t="s">
        <v>409</v>
      </c>
      <c r="D12" t="s">
        <v>199</v>
      </c>
      <c r="E12" t="s">
        <v>199</v>
      </c>
      <c r="F12" t="s">
        <v>199</v>
      </c>
    </row>
    <row r="13" spans="1:45">
      <c r="A13" t="s">
        <v>410</v>
      </c>
      <c r="F13" t="s">
        <v>199</v>
      </c>
    </row>
    <row r="14" spans="1:45">
      <c r="A14" t="s">
        <v>411</v>
      </c>
      <c r="F14" t="s">
        <v>199</v>
      </c>
      <c r="G14" t="s">
        <v>199</v>
      </c>
    </row>
    <row r="15" spans="1:45">
      <c r="A15" t="s">
        <v>415</v>
      </c>
      <c r="G15" t="s">
        <v>199</v>
      </c>
      <c r="H15" t="s">
        <v>199</v>
      </c>
    </row>
    <row r="16" spans="1:45">
      <c r="A16" t="s">
        <v>416</v>
      </c>
      <c r="B16" t="s">
        <v>441</v>
      </c>
      <c r="H16" t="s">
        <v>434</v>
      </c>
      <c r="I16" t="s">
        <v>435</v>
      </c>
      <c r="J16" t="s">
        <v>436</v>
      </c>
      <c r="K16" t="s">
        <v>437</v>
      </c>
      <c r="L16" t="s">
        <v>438</v>
      </c>
      <c r="M16" t="s">
        <v>439</v>
      </c>
    </row>
    <row r="17" spans="1:20">
      <c r="A17" s="96" t="s">
        <v>422</v>
      </c>
    </row>
    <row r="18" spans="1:20">
      <c r="A18" t="s">
        <v>426</v>
      </c>
      <c r="B18">
        <f>6*22</f>
        <v>132</v>
      </c>
      <c r="C18" t="s">
        <v>460</v>
      </c>
      <c r="H18" s="256">
        <f>ROUND(0.25*22,0)</f>
        <v>6</v>
      </c>
      <c r="I18" s="256">
        <f>ROUND(IF(SUM($H18:H18)+22&gt;$B18,$B18-SUM($H18:H18),22),0)</f>
        <v>22</v>
      </c>
      <c r="J18" s="256">
        <f>ROUND(IF(SUM($H18:I18)+22&gt;$B18,$B18-SUM($H18:I18),22),0)</f>
        <v>22</v>
      </c>
      <c r="K18" s="256">
        <f>ROUND(IF(SUM($H18:J18)+22&gt;$B18,$B18-SUM($H18:J18),22),0)</f>
        <v>22</v>
      </c>
      <c r="L18" s="256">
        <f>ROUND(IF(SUM($H18:K18)+22&gt;$B18,$B18-SUM($H18:K18),22),0)</f>
        <v>22</v>
      </c>
      <c r="M18" s="256">
        <f>ROUND(IF(SUM($H18:L18)+22&gt;$B18,$B18-SUM($H18:L18),22),0)</f>
        <v>22</v>
      </c>
      <c r="N18" s="256">
        <f>ROUND(IF(SUM($H18:M18)+22&gt;$B18,$B18-SUM($H18:M18),22),0)</f>
        <v>16</v>
      </c>
    </row>
    <row r="19" spans="1:20">
      <c r="A19" t="s">
        <v>427</v>
      </c>
      <c r="B19">
        <f>5*22</f>
        <v>110</v>
      </c>
      <c r="C19" t="s">
        <v>460</v>
      </c>
      <c r="I19" s="256">
        <f>ROUND(0.5*22,0)</f>
        <v>11</v>
      </c>
      <c r="J19" s="256">
        <f>ROUND(IF(SUM($H19:I19)+22&gt;$B19,$B19-SUM($H19:I19),22),0)</f>
        <v>22</v>
      </c>
      <c r="K19" s="256">
        <f>ROUND(IF(SUM($H19:J19)+22&gt;$B19,$B19-SUM($H19:J19),22),0)</f>
        <v>22</v>
      </c>
      <c r="L19" s="256">
        <f>ROUND(IF(SUM($H19:K19)+22&gt;$B19,$B19-SUM($H19:K19),22),0)</f>
        <v>22</v>
      </c>
      <c r="M19" s="256">
        <f>ROUND(IF(SUM($H19:L19)+22&gt;$B19,$B19-SUM($H19:L19),22),0)</f>
        <v>22</v>
      </c>
      <c r="N19" s="256">
        <f>ROUND(IF(SUM($H19:M19)+22&gt;$B19,$B19-SUM($H19:M19),22),0)</f>
        <v>11</v>
      </c>
      <c r="O19" s="256">
        <f>ROUND(IF(SUM($H19:N19)+22&gt;$B19,$B19-SUM($H19:N19),22),0)</f>
        <v>0</v>
      </c>
    </row>
    <row r="20" spans="1:20">
      <c r="A20" t="s">
        <v>428</v>
      </c>
      <c r="B20">
        <f t="shared" ref="B20:B25" si="0">5*22</f>
        <v>110</v>
      </c>
      <c r="C20" t="s">
        <v>460</v>
      </c>
      <c r="I20" s="256"/>
      <c r="J20" s="256">
        <f>ROUND(0.75*22,0)</f>
        <v>17</v>
      </c>
      <c r="K20" s="256">
        <f>ROUND(IF(SUM($H20:J20)+22&gt;$B20,$B20-SUM($H20:J20),22),0)</f>
        <v>22</v>
      </c>
      <c r="L20" s="256">
        <f>ROUND(IF(SUM($H20:K20)+22&gt;$B20,$B20-SUM($H20:K20),22),0)</f>
        <v>22</v>
      </c>
      <c r="M20" s="256">
        <f>ROUND(IF(SUM($H20:L20)+22&gt;$B20,$B20-SUM($H20:L20),22),0)</f>
        <v>22</v>
      </c>
      <c r="N20" s="256">
        <f>ROUND(IF(SUM($H20:M20)+22&gt;$B20,$B20-SUM($H20:M20),22),0)</f>
        <v>22</v>
      </c>
      <c r="O20" s="256">
        <f>ROUND(IF(SUM($H20:N20)+22&gt;$B20,$B20-SUM($H20:N20),22),0)</f>
        <v>5</v>
      </c>
      <c r="P20" s="256">
        <f>ROUND(IF(SUM($H20:O20)+22&gt;$B20,$B20-SUM($H20:O20),22),0)</f>
        <v>0</v>
      </c>
    </row>
    <row r="21" spans="1:20">
      <c r="A21" t="s">
        <v>429</v>
      </c>
      <c r="B21">
        <f t="shared" si="0"/>
        <v>110</v>
      </c>
      <c r="C21" t="s">
        <v>460</v>
      </c>
      <c r="K21" s="256">
        <f>ROUND(1*22,0)</f>
        <v>22</v>
      </c>
      <c r="L21" s="256">
        <f>ROUND(IF(SUM($H21:K21)+22&gt;$B21,$B21-SUM($H21:K21),22),0)</f>
        <v>22</v>
      </c>
      <c r="M21" s="256">
        <f>ROUND(IF(SUM($H21:L21)+22&gt;$B21,$B21-SUM($H21:L21),22),0)</f>
        <v>22</v>
      </c>
      <c r="N21" s="256">
        <f>ROUND(IF(SUM($H21:M21)+22&gt;$B21,$B21-SUM($H21:M21),22),0)</f>
        <v>22</v>
      </c>
      <c r="O21" s="256">
        <f>ROUND(IF(SUM($H21:N21)+22&gt;$B21,$B21-SUM($H21:N21),22),0)</f>
        <v>22</v>
      </c>
      <c r="P21" s="256">
        <f>ROUND(IF(SUM($H21:O21)+22&gt;$B21,$B21-SUM($H21:O21),22),0)</f>
        <v>0</v>
      </c>
      <c r="Q21" s="256">
        <f>ROUND(IF(SUM($H21:P21)+22&gt;$B21,$B21-SUM($H21:P21),22),0)</f>
        <v>0</v>
      </c>
    </row>
    <row r="22" spans="1:20">
      <c r="A22" t="s">
        <v>430</v>
      </c>
      <c r="B22">
        <f t="shared" si="0"/>
        <v>110</v>
      </c>
      <c r="C22" t="s">
        <v>460</v>
      </c>
      <c r="K22" s="256">
        <f>ROUND(0.25*22,0)</f>
        <v>6</v>
      </c>
      <c r="L22" s="256">
        <f>ROUND(IF(SUM($H22:K22)+22&gt;$B22,$B22-SUM($H22:K22),22),0)</f>
        <v>22</v>
      </c>
      <c r="M22" s="256">
        <f>ROUND(IF(SUM($H22:L22)+22&gt;$B22,$B22-SUM($H22:L22),22),0)</f>
        <v>22</v>
      </c>
      <c r="N22" s="256">
        <f>ROUND(IF(SUM($H22:M22)+22&gt;$B22,$B22-SUM($H22:M22),22),0)</f>
        <v>22</v>
      </c>
      <c r="O22" s="256">
        <f>ROUND(IF(SUM($H22:N22)+22&gt;$B22,$B22-SUM($H22:N22),22),0)</f>
        <v>22</v>
      </c>
      <c r="P22" s="256">
        <f>ROUND(IF(SUM($H22:O22)+22&gt;$B22,$B22-SUM($H22:O22),22),0)</f>
        <v>16</v>
      </c>
      <c r="Q22" s="256">
        <f>ROUND(IF(SUM($H22:P22)+22&gt;$B22,$B22-SUM($H22:P22),22),0)</f>
        <v>0</v>
      </c>
    </row>
    <row r="23" spans="1:20">
      <c r="A23" t="s">
        <v>431</v>
      </c>
      <c r="B23">
        <f t="shared" si="0"/>
        <v>110</v>
      </c>
      <c r="C23" t="s">
        <v>460</v>
      </c>
      <c r="L23" s="256">
        <f>ROUND(0.5*22,0)</f>
        <v>11</v>
      </c>
      <c r="M23" s="256">
        <f>ROUND(IF(SUM($H23:L23)+22&gt;$B23,$B23-SUM($H23:L23),22),0)</f>
        <v>22</v>
      </c>
      <c r="N23" s="256">
        <f>ROUND(IF(SUM($H23:M23)+22&gt;$B23,$B23-SUM($H23:M23),22),0)</f>
        <v>22</v>
      </c>
      <c r="O23" s="256">
        <f>ROUND(IF(SUM($H23:N23)+22&gt;$B23,$B23-SUM($H23:N23),22),0)</f>
        <v>22</v>
      </c>
      <c r="P23" s="256">
        <f>ROUND(IF(SUM($H23:O23)+22&gt;$B23,$B23-SUM($H23:O23),22),0)</f>
        <v>22</v>
      </c>
      <c r="Q23" s="256">
        <f>ROUND(IF(SUM($H23:P23)+22&gt;$B23,$B23-SUM($H23:P23),22),0)</f>
        <v>11</v>
      </c>
      <c r="R23" s="256">
        <f>ROUND(IF(SUM($H23:Q23)+22&gt;$B23,$B23-SUM($H23:Q23),22),0)</f>
        <v>0</v>
      </c>
    </row>
    <row r="24" spans="1:20">
      <c r="A24" t="s">
        <v>432</v>
      </c>
      <c r="B24">
        <f t="shared" si="0"/>
        <v>110</v>
      </c>
      <c r="C24" t="s">
        <v>460</v>
      </c>
      <c r="L24" s="256"/>
      <c r="M24" s="256">
        <f>ROUND(0.75*22,0)</f>
        <v>17</v>
      </c>
      <c r="N24" s="256">
        <f>ROUND(IF(SUM($H24:M24)+22&gt;$B24,$B24-SUM($H24:M24),22),0)</f>
        <v>22</v>
      </c>
      <c r="O24" s="256">
        <f>ROUND(IF(SUM($H24:N24)+22&gt;$B24,$B24-SUM($H24:N24),22),0)</f>
        <v>22</v>
      </c>
      <c r="P24" s="256">
        <f>ROUND(IF(SUM($H24:O24)+22&gt;$B24,$B24-SUM($H24:O24),22),0)</f>
        <v>22</v>
      </c>
      <c r="Q24" s="256">
        <f>ROUND(IF(SUM($H24:P24)+22&gt;$B24,$B24-SUM($H24:P24),22),0)</f>
        <v>22</v>
      </c>
      <c r="R24" s="256">
        <f>ROUND(IF(SUM($H24:Q24)+22&gt;$B24,$B24-SUM($H24:Q24),22),0)</f>
        <v>5</v>
      </c>
      <c r="S24" t="s">
        <v>199</v>
      </c>
    </row>
    <row r="25" spans="1:20">
      <c r="A25" t="s">
        <v>433</v>
      </c>
      <c r="B25">
        <f t="shared" si="0"/>
        <v>110</v>
      </c>
      <c r="C25" t="s">
        <v>460</v>
      </c>
      <c r="N25" s="256">
        <f>ROUND(1*22,0)</f>
        <v>22</v>
      </c>
      <c r="O25" s="256">
        <f>ROUND(IF(SUM($H25:N25)+22&gt;$B25,$B25-SUM($H25:N25),22),0)</f>
        <v>22</v>
      </c>
      <c r="P25" s="256">
        <f>ROUND(IF(SUM($H25:O25)+22&gt;$B25,$B25-SUM($H25:O25),22),0)</f>
        <v>22</v>
      </c>
      <c r="Q25" s="256">
        <f>ROUND(IF(SUM($H25:P25)+22&gt;$B25,$B25-SUM($H25:P25),22),0)</f>
        <v>22</v>
      </c>
      <c r="R25" s="256">
        <f>ROUND(IF(SUM($H25:Q25)+22&gt;$B25,$B25-SUM($H25:Q25),22),0)</f>
        <v>22</v>
      </c>
      <c r="S25" t="s">
        <v>199</v>
      </c>
    </row>
    <row r="27" spans="1:20">
      <c r="A27" s="96" t="s">
        <v>440</v>
      </c>
    </row>
    <row r="28" spans="1:20">
      <c r="A28" t="s">
        <v>423</v>
      </c>
      <c r="B28">
        <v>17</v>
      </c>
      <c r="C28" t="s">
        <v>445</v>
      </c>
      <c r="N28" s="244"/>
      <c r="P28" s="260">
        <v>17</v>
      </c>
    </row>
    <row r="29" spans="1:20">
      <c r="A29" t="s">
        <v>417</v>
      </c>
      <c r="B29">
        <v>17</v>
      </c>
      <c r="C29" t="s">
        <v>445</v>
      </c>
      <c r="N29" s="244"/>
      <c r="P29" s="260">
        <v>17</v>
      </c>
    </row>
    <row r="30" spans="1:20">
      <c r="A30" t="s">
        <v>418</v>
      </c>
      <c r="B30">
        <v>17</v>
      </c>
      <c r="C30" t="s">
        <v>445</v>
      </c>
      <c r="O30" s="244"/>
      <c r="T30" s="258">
        <v>17</v>
      </c>
    </row>
    <row r="31" spans="1:20">
      <c r="A31" t="s">
        <v>419</v>
      </c>
      <c r="B31">
        <v>17</v>
      </c>
      <c r="C31" t="s">
        <v>445</v>
      </c>
      <c r="O31" s="244"/>
      <c r="T31" s="258">
        <v>17</v>
      </c>
    </row>
    <row r="32" spans="1:20">
      <c r="A32" t="s">
        <v>420</v>
      </c>
      <c r="B32">
        <v>17</v>
      </c>
      <c r="C32" t="s">
        <v>445</v>
      </c>
      <c r="P32" s="244"/>
      <c r="T32" s="258">
        <v>17</v>
      </c>
    </row>
    <row r="33" spans="1:32">
      <c r="A33" t="s">
        <v>421</v>
      </c>
      <c r="B33">
        <v>16</v>
      </c>
      <c r="C33" t="s">
        <v>445</v>
      </c>
      <c r="Q33" s="244"/>
      <c r="T33" s="258">
        <v>17</v>
      </c>
    </row>
    <row r="34" spans="1:32">
      <c r="A34" t="s">
        <v>424</v>
      </c>
      <c r="B34">
        <v>16</v>
      </c>
      <c r="C34" t="s">
        <v>445</v>
      </c>
      <c r="R34" s="244"/>
      <c r="T34" s="258">
        <v>17</v>
      </c>
    </row>
    <row r="35" spans="1:32">
      <c r="A35" t="s">
        <v>425</v>
      </c>
      <c r="B35">
        <v>16</v>
      </c>
      <c r="C35" t="s">
        <v>445</v>
      </c>
      <c r="R35" s="244"/>
      <c r="T35" s="258">
        <v>17</v>
      </c>
    </row>
    <row r="36" spans="1:32">
      <c r="B36">
        <f>SUM(B28:B35)</f>
        <v>133</v>
      </c>
      <c r="C36" t="s">
        <v>445</v>
      </c>
    </row>
    <row r="37" spans="1:32">
      <c r="A37" t="s">
        <v>442</v>
      </c>
      <c r="AF37" s="261"/>
    </row>
    <row r="38" spans="1:32">
      <c r="A38" t="s">
        <v>444</v>
      </c>
      <c r="AD38" s="262"/>
      <c r="AE38" s="262"/>
    </row>
    <row r="39" spans="1:32">
      <c r="A39" t="s">
        <v>443</v>
      </c>
      <c r="AF39" s="263"/>
    </row>
  </sheetData>
  <printOptions horizontalCentered="1" gridLines="1"/>
  <pageMargins left="0.25" right="0.25" top="1" bottom="1" header="0.5" footer="0.5"/>
  <pageSetup scale="70" fitToWidth="2" orientation="landscape" horizontalDpi="4294967292" verticalDpi="300" r:id="rId1"/>
  <headerFooter alignWithMargins="0">
    <oddFooter>&amp;L&amp;8 F:\My Documents\CREEKSIDE\SM134\ &amp;F
 &amp;A&amp;C&amp;8 &amp;R&amp;8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64"/>
  <sheetViews>
    <sheetView topLeftCell="L1" workbookViewId="0">
      <pane xSplit="4650" ySplit="1110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5703125" defaultRowHeight="12"/>
  <cols>
    <col min="1" max="1" width="8.42578125" style="54" customWidth="1"/>
    <col min="2" max="2" width="24.85546875" style="38" customWidth="1"/>
    <col min="3" max="3" width="5.85546875" style="38" hidden="1" customWidth="1"/>
    <col min="4" max="4" width="5.42578125" style="38" hidden="1" customWidth="1"/>
    <col min="5" max="11" width="7.5703125" style="38" hidden="1" customWidth="1"/>
    <col min="12" max="12" width="11.42578125" style="38" customWidth="1"/>
    <col min="13" max="14" width="9.85546875" style="38" customWidth="1"/>
    <col min="15" max="15" width="1" style="38" customWidth="1"/>
    <col min="16" max="16" width="12" style="38" customWidth="1"/>
    <col min="17" max="17" width="11" style="38" customWidth="1"/>
    <col min="18" max="18" width="12.42578125" style="38" customWidth="1"/>
    <col min="19" max="19" width="1" style="38" customWidth="1"/>
    <col min="20" max="20" width="13.5703125" style="38" customWidth="1"/>
    <col min="21" max="22" width="11.42578125" style="38" customWidth="1"/>
    <col min="23" max="23" width="1" style="38" customWidth="1"/>
    <col min="24" max="26" width="11.42578125" style="38" customWidth="1"/>
    <col min="27" max="27" width="1" style="38" customWidth="1"/>
    <col min="28" max="28" width="12" style="38" customWidth="1"/>
    <col min="29" max="29" width="8.5703125" style="38" customWidth="1"/>
    <col min="30" max="30" width="7.5703125" style="38" customWidth="1"/>
    <col min="31" max="31" width="1" style="38" customWidth="1"/>
    <col min="32" max="32" width="11.42578125" style="38" customWidth="1"/>
    <col min="33" max="33" width="3.5703125" style="38" customWidth="1"/>
    <col min="34" max="34" width="24" style="38" customWidth="1"/>
    <col min="35" max="35" width="7.7109375" style="38" customWidth="1"/>
    <col min="36" max="36" width="13.7109375" style="38" customWidth="1"/>
    <col min="37" max="37" width="9.5703125" style="38" customWidth="1"/>
    <col min="38" max="38" width="9.42578125" style="38" customWidth="1"/>
    <col min="39" max="39" width="7.5703125" style="38" customWidth="1"/>
    <col min="40" max="40" width="11.42578125" style="38" customWidth="1"/>
    <col min="41" max="41" width="19" style="38" customWidth="1"/>
    <col min="42" max="42" width="16.28515625" style="38" customWidth="1"/>
    <col min="43" max="43" width="20" style="38" customWidth="1"/>
    <col min="44" max="16384" width="7.5703125" style="38"/>
  </cols>
  <sheetData>
    <row r="1" spans="1:38">
      <c r="A1" s="53"/>
      <c r="B1" s="22" t="s">
        <v>220</v>
      </c>
      <c r="C1" s="22"/>
      <c r="D1" s="22"/>
      <c r="E1" s="22"/>
      <c r="F1" s="22"/>
      <c r="G1" s="22"/>
      <c r="H1" s="22"/>
      <c r="I1" s="22"/>
      <c r="J1" s="22"/>
      <c r="K1" s="22"/>
      <c r="P1" s="34">
        <v>1.125</v>
      </c>
    </row>
    <row r="2" spans="1:38">
      <c r="B2" s="38" t="s">
        <v>1</v>
      </c>
      <c r="L2" s="37">
        <v>14</v>
      </c>
      <c r="P2" s="38" t="s">
        <v>202</v>
      </c>
      <c r="Q2" s="38">
        <v>133</v>
      </c>
    </row>
    <row r="3" spans="1:38" ht="12.75" thickBot="1">
      <c r="A3" s="54" t="s">
        <v>175</v>
      </c>
      <c r="B3" s="38" t="s">
        <v>181</v>
      </c>
      <c r="L3" s="38" t="s">
        <v>177</v>
      </c>
    </row>
    <row r="4" spans="1:38" s="10" customFormat="1" ht="12.75" thickBot="1">
      <c r="A4" s="54"/>
      <c r="B4" s="55" t="s">
        <v>221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7"/>
    </row>
    <row r="5" spans="1:38" s="10" customFormat="1">
      <c r="A5" s="19"/>
      <c r="E5" s="58" t="s">
        <v>182</v>
      </c>
      <c r="F5" s="58" t="s">
        <v>187</v>
      </c>
      <c r="G5" s="58" t="s">
        <v>68</v>
      </c>
      <c r="H5" s="58" t="s">
        <v>183</v>
      </c>
      <c r="I5" s="58" t="s">
        <v>184</v>
      </c>
      <c r="J5" s="58" t="s">
        <v>185</v>
      </c>
      <c r="K5" s="58" t="s">
        <v>186</v>
      </c>
      <c r="P5" s="326" t="s">
        <v>204</v>
      </c>
      <c r="Q5" s="326"/>
      <c r="R5" s="326"/>
      <c r="T5" s="326" t="s">
        <v>222</v>
      </c>
      <c r="U5" s="326"/>
      <c r="V5" s="326"/>
      <c r="W5" s="31"/>
      <c r="X5" s="326" t="s">
        <v>223</v>
      </c>
      <c r="Y5" s="326"/>
      <c r="Z5" s="326"/>
      <c r="AA5" s="31"/>
      <c r="AB5" s="326" t="s">
        <v>2</v>
      </c>
      <c r="AC5" s="326"/>
      <c r="AD5" s="326"/>
      <c r="AE5" s="31"/>
      <c r="AF5" s="31"/>
    </row>
    <row r="6" spans="1:38" s="10" customFormat="1" ht="22.9" customHeight="1">
      <c r="A6" s="19"/>
      <c r="B6" s="25" t="s">
        <v>75</v>
      </c>
      <c r="C6" s="59" t="s">
        <v>66</v>
      </c>
      <c r="D6" s="60" t="s">
        <v>176</v>
      </c>
      <c r="E6" s="58" t="s">
        <v>180</v>
      </c>
      <c r="F6" s="58" t="s">
        <v>188</v>
      </c>
      <c r="G6" s="58" t="s">
        <v>189</v>
      </c>
      <c r="H6" s="58" t="s">
        <v>190</v>
      </c>
      <c r="I6" s="58" t="s">
        <v>191</v>
      </c>
      <c r="J6" s="58" t="s">
        <v>192</v>
      </c>
      <c r="K6" s="58" t="s">
        <v>193</v>
      </c>
      <c r="L6" s="7" t="s">
        <v>74</v>
      </c>
      <c r="M6" s="7" t="s">
        <v>73</v>
      </c>
      <c r="N6" s="7" t="s">
        <v>0</v>
      </c>
      <c r="O6" s="7"/>
      <c r="P6" s="7" t="s">
        <v>74</v>
      </c>
      <c r="Q6" s="7" t="s">
        <v>73</v>
      </c>
      <c r="R6" s="7" t="s">
        <v>0</v>
      </c>
      <c r="T6" s="7" t="s">
        <v>74</v>
      </c>
      <c r="U6" s="7" t="s">
        <v>73</v>
      </c>
      <c r="V6" s="7" t="s">
        <v>0</v>
      </c>
      <c r="W6" s="7"/>
      <c r="X6" s="7" t="s">
        <v>74</v>
      </c>
      <c r="Y6" s="7" t="s">
        <v>73</v>
      </c>
      <c r="Z6" s="7" t="s">
        <v>0</v>
      </c>
      <c r="AA6" s="7"/>
      <c r="AB6" s="7" t="s">
        <v>74</v>
      </c>
      <c r="AC6" s="7" t="s">
        <v>73</v>
      </c>
      <c r="AD6" s="7" t="s">
        <v>0</v>
      </c>
      <c r="AE6" s="7"/>
      <c r="AF6" s="61"/>
      <c r="AH6" s="6" t="s">
        <v>75</v>
      </c>
      <c r="AI6" s="7" t="s">
        <v>178</v>
      </c>
      <c r="AJ6" s="7" t="s">
        <v>179</v>
      </c>
      <c r="AK6" s="7" t="s">
        <v>73</v>
      </c>
      <c r="AL6" s="7" t="s">
        <v>211</v>
      </c>
    </row>
    <row r="7" spans="1:38" s="10" customFormat="1" ht="22.9" customHeight="1">
      <c r="A7" s="19"/>
      <c r="B7" s="25" t="s">
        <v>201</v>
      </c>
      <c r="C7" s="59"/>
      <c r="D7" s="60"/>
      <c r="E7" s="58"/>
      <c r="F7" s="58"/>
      <c r="G7" s="58"/>
      <c r="H7" s="58"/>
      <c r="I7" s="58"/>
      <c r="J7" s="58"/>
      <c r="K7" s="58"/>
      <c r="L7" s="8">
        <f>TRUnits</f>
        <v>14</v>
      </c>
      <c r="M7" s="7"/>
      <c r="N7" s="7"/>
      <c r="O7" s="7"/>
      <c r="P7" s="8">
        <v>1</v>
      </c>
      <c r="Q7" s="7"/>
      <c r="R7" s="7"/>
      <c r="T7" s="8">
        <v>72</v>
      </c>
      <c r="U7" s="7"/>
      <c r="V7" s="7"/>
      <c r="W7" s="7"/>
      <c r="X7" s="8">
        <v>61</v>
      </c>
      <c r="Y7" s="7"/>
      <c r="Z7" s="7"/>
      <c r="AA7" s="7"/>
      <c r="AB7" s="8">
        <f>ROUND(X7+T7,0)</f>
        <v>133</v>
      </c>
      <c r="AC7" s="7"/>
      <c r="AD7" s="7"/>
      <c r="AE7" s="7"/>
      <c r="AF7" s="61"/>
      <c r="AH7" s="6"/>
      <c r="AI7" s="7"/>
      <c r="AJ7" s="7"/>
      <c r="AK7" s="8">
        <f>+AB7</f>
        <v>133</v>
      </c>
      <c r="AL7" s="9">
        <f>AB7*AC8</f>
        <v>159467</v>
      </c>
    </row>
    <row r="8" spans="1:38" s="10" customFormat="1" ht="22.9" customHeight="1">
      <c r="A8" s="19"/>
      <c r="B8" s="25" t="s">
        <v>203</v>
      </c>
      <c r="C8" s="59"/>
      <c r="D8" s="60"/>
      <c r="E8" s="58"/>
      <c r="F8" s="58"/>
      <c r="G8" s="58"/>
      <c r="H8" s="58"/>
      <c r="I8" s="58"/>
      <c r="J8" s="58"/>
      <c r="K8" s="58"/>
      <c r="L8" s="8"/>
      <c r="M8" s="7"/>
      <c r="N8" s="7"/>
      <c r="O8" s="7"/>
      <c r="P8" s="8"/>
      <c r="Q8" s="8">
        <v>1198</v>
      </c>
      <c r="R8" s="8">
        <f>+Q8+280+67</f>
        <v>1545</v>
      </c>
      <c r="T8" s="8"/>
      <c r="U8" s="8">
        <v>1107</v>
      </c>
      <c r="V8" s="8">
        <f>+U8</f>
        <v>1107</v>
      </c>
      <c r="W8" s="7"/>
      <c r="X8" s="8"/>
      <c r="Y8" s="8">
        <v>1287</v>
      </c>
      <c r="Z8" s="8">
        <f>+Y8+295+13</f>
        <v>1595</v>
      </c>
      <c r="AA8" s="7"/>
      <c r="AB8" s="7"/>
      <c r="AC8" s="8">
        <f>ROUND((Y8*$X7+U8*$T7+Q8*$P7)/$AB$7,0)</f>
        <v>1199</v>
      </c>
      <c r="AD8" s="8">
        <f>ROUND((Z8*$X7+V8*$T7+R8*$P7)/$AB$7,0)</f>
        <v>1342</v>
      </c>
      <c r="AE8" s="7"/>
      <c r="AF8" s="61"/>
      <c r="AH8" s="6"/>
      <c r="AI8" s="7"/>
      <c r="AJ8" s="7"/>
      <c r="AK8" s="7"/>
      <c r="AL8" s="7"/>
    </row>
    <row r="9" spans="1:38" s="10" customFormat="1">
      <c r="A9" s="19" t="s">
        <v>149</v>
      </c>
      <c r="B9" s="10" t="s">
        <v>3</v>
      </c>
      <c r="C9" s="62"/>
      <c r="D9" s="11">
        <f>L9/$L$88</f>
        <v>2.3716402841308496E-2</v>
      </c>
      <c r="E9" s="63" t="s">
        <v>194</v>
      </c>
      <c r="F9" s="63" t="s">
        <v>194</v>
      </c>
      <c r="G9" s="63" t="s">
        <v>194</v>
      </c>
      <c r="H9" s="63" t="s">
        <v>194</v>
      </c>
      <c r="I9" s="63" t="s">
        <v>194</v>
      </c>
      <c r="J9" s="63" t="s">
        <v>194</v>
      </c>
      <c r="K9" s="63" t="s">
        <v>194</v>
      </c>
      <c r="L9" s="21">
        <f t="shared" ref="L9:L51" si="0">M9*TRUnits</f>
        <v>16673.3</v>
      </c>
      <c r="M9" s="21">
        <f>2381.9/2</f>
        <v>1190.95</v>
      </c>
      <c r="N9" s="14">
        <f>M9/1376</f>
        <v>0.86551598837209309</v>
      </c>
      <c r="O9" s="14"/>
      <c r="P9" s="64">
        <f>Q9*P$7</f>
        <v>1166.4991733284885</v>
      </c>
      <c r="Q9" s="64">
        <f>Q$8*$N9*CMF</f>
        <v>1166.4991733284885</v>
      </c>
      <c r="R9" s="13">
        <f>+Q9/Q$8</f>
        <v>0.9737054869186047</v>
      </c>
      <c r="S9" s="21"/>
      <c r="T9" s="64">
        <f>U9*T$7</f>
        <v>77608.222129360467</v>
      </c>
      <c r="U9" s="64">
        <f>U$8*$N9*CMF</f>
        <v>1077.8919740188953</v>
      </c>
      <c r="V9" s="13">
        <f>+U9/U$8</f>
        <v>0.97370548691860459</v>
      </c>
      <c r="W9" s="21"/>
      <c r="X9" s="64">
        <f>Y9*X$7</f>
        <v>76442.696661518901</v>
      </c>
      <c r="Y9" s="64">
        <f>Y$8*$N9*CMF</f>
        <v>1253.1589616642443</v>
      </c>
      <c r="Z9" s="13">
        <f>+Y9/Y$8</f>
        <v>0.9737054869186047</v>
      </c>
      <c r="AA9" s="21"/>
      <c r="AB9" s="64">
        <f>+X9+T9</f>
        <v>154050.91879087937</v>
      </c>
      <c r="AC9" s="64">
        <f>AB9/AB$7</f>
        <v>1158.2775848938297</v>
      </c>
      <c r="AD9" s="13">
        <f>+AC9/AC$8</f>
        <v>0.96603635103738927</v>
      </c>
      <c r="AE9" s="21"/>
      <c r="AF9" s="65"/>
      <c r="AG9" s="66" t="s">
        <v>76</v>
      </c>
      <c r="AH9" s="10" t="s">
        <v>80</v>
      </c>
      <c r="AI9" s="11">
        <f t="shared" ref="AI9:AI23" si="1">AJ9/$AJ$48</f>
        <v>1.1703451186934373E-2</v>
      </c>
      <c r="AJ9" s="12">
        <f>+AB9</f>
        <v>154050.91879087937</v>
      </c>
      <c r="AK9" s="12">
        <f t="shared" ref="AK9:AK48" si="2">+AJ9/AK$7</f>
        <v>1158.2775848938297</v>
      </c>
      <c r="AL9" s="13">
        <f>+AJ9/AL$7</f>
        <v>0.96603635103738938</v>
      </c>
    </row>
    <row r="10" spans="1:38" s="10" customFormat="1">
      <c r="A10" s="19" t="s">
        <v>206</v>
      </c>
      <c r="B10" s="10" t="s">
        <v>205</v>
      </c>
      <c r="C10" s="62"/>
      <c r="D10" s="11"/>
      <c r="E10" s="63"/>
      <c r="F10" s="63"/>
      <c r="G10" s="63"/>
      <c r="H10" s="63"/>
      <c r="I10" s="63"/>
      <c r="J10" s="63"/>
      <c r="K10" s="63"/>
      <c r="L10" s="21"/>
      <c r="M10" s="21"/>
      <c r="N10" s="14"/>
      <c r="O10" s="14"/>
      <c r="P10" s="219">
        <f>Q10*P$7</f>
        <v>969.26305970149247</v>
      </c>
      <c r="Q10" s="219">
        <f>((68000+9450+28000+8000+2000)/134)*CMF</f>
        <v>969.26305970149247</v>
      </c>
      <c r="R10" s="223">
        <f>+Q10/Q$8</f>
        <v>0.80906766252211393</v>
      </c>
      <c r="S10" s="21"/>
      <c r="T10" s="219">
        <f>U10*T$7</f>
        <v>69786.940298507456</v>
      </c>
      <c r="U10" s="219">
        <f>((68000+9450+28000+8000+2000)/134)*CMF</f>
        <v>969.26305970149247</v>
      </c>
      <c r="V10" s="223">
        <f>+U10/U$8</f>
        <v>0.87557638636087842</v>
      </c>
      <c r="W10" s="21"/>
      <c r="X10" s="219">
        <f>Y10*X$7</f>
        <v>59125.046641791043</v>
      </c>
      <c r="Y10" s="219">
        <f>((68000+9450+28000+8000+2000)/134)*CMF</f>
        <v>969.26305970149247</v>
      </c>
      <c r="Z10" s="223">
        <f>+Y10/Y$8</f>
        <v>0.75311815050621012</v>
      </c>
      <c r="AA10" s="21"/>
      <c r="AB10" s="219">
        <f>+X10+T10</f>
        <v>128911.98694029849</v>
      </c>
      <c r="AC10" s="218">
        <f>+AB10/AB$7</f>
        <v>969.26305970149247</v>
      </c>
      <c r="AD10" s="223">
        <f>+AC10/AC$8</f>
        <v>0.80839287714886776</v>
      </c>
      <c r="AE10" s="21"/>
      <c r="AF10" s="65"/>
      <c r="AG10" s="66" t="s">
        <v>77</v>
      </c>
      <c r="AH10" s="10" t="s">
        <v>212</v>
      </c>
      <c r="AI10" s="11">
        <f t="shared" si="1"/>
        <v>9.7936134260552601E-3</v>
      </c>
      <c r="AJ10" s="12">
        <f>+AB10</f>
        <v>128911.98694029849</v>
      </c>
      <c r="AK10" s="12">
        <f t="shared" si="2"/>
        <v>969.26305970149247</v>
      </c>
      <c r="AL10" s="14">
        <f>+AJ10/AL$7</f>
        <v>0.80839287714886776</v>
      </c>
    </row>
    <row r="11" spans="1:38" s="10" customFormat="1">
      <c r="A11" s="19" t="s">
        <v>151</v>
      </c>
      <c r="B11" s="10" t="s">
        <v>146</v>
      </c>
      <c r="C11" s="62"/>
      <c r="D11" s="11">
        <f>L11/$L$88</f>
        <v>2.6186716265435722E-3</v>
      </c>
      <c r="E11" s="63" t="s">
        <v>194</v>
      </c>
      <c r="F11" s="63" t="s">
        <v>194</v>
      </c>
      <c r="G11" s="63" t="s">
        <v>194</v>
      </c>
      <c r="H11" s="63" t="s">
        <v>194</v>
      </c>
      <c r="I11" s="63" t="s">
        <v>194</v>
      </c>
      <c r="J11" s="63" t="s">
        <v>194</v>
      </c>
      <c r="K11" s="63" t="s">
        <v>194</v>
      </c>
      <c r="L11" s="21">
        <f t="shared" si="0"/>
        <v>1841</v>
      </c>
      <c r="M11" s="21">
        <f>263/2</f>
        <v>131.5</v>
      </c>
      <c r="N11" s="14">
        <f t="shared" ref="N11:N77" si="3">M11/1376</f>
        <v>9.5566860465116282E-2</v>
      </c>
      <c r="O11" s="14"/>
      <c r="P11" s="219">
        <f>Q11*P$7</f>
        <v>128.80023619186048</v>
      </c>
      <c r="Q11" s="219">
        <f>Q$8*$N11*CMF</f>
        <v>128.80023619186048</v>
      </c>
      <c r="R11" s="223">
        <f t="shared" ref="R11:R77" si="4">+Q11/Q$8</f>
        <v>0.10751271802325582</v>
      </c>
      <c r="S11" s="21"/>
      <c r="T11" s="219">
        <f>U11*T$7</f>
        <v>8569.193677325582</v>
      </c>
      <c r="U11" s="219">
        <f>U$8*$N11*CMF</f>
        <v>119.01657885174419</v>
      </c>
      <c r="V11" s="223">
        <f t="shared" ref="V11:V77" si="5">+U11/U$8</f>
        <v>0.10751271802325581</v>
      </c>
      <c r="W11" s="21"/>
      <c r="X11" s="219">
        <f>Y11*X$7</f>
        <v>8440.5009538517443</v>
      </c>
      <c r="Y11" s="219">
        <f>Y$8*$N11*CMF</f>
        <v>138.36886809593022</v>
      </c>
      <c r="Z11" s="223">
        <f t="shared" ref="Z11:Z77" si="6">+Y11/Y$8</f>
        <v>0.10751271802325581</v>
      </c>
      <c r="AA11" s="21"/>
      <c r="AB11" s="219">
        <f>+X11+T11</f>
        <v>17009.694631177328</v>
      </c>
      <c r="AC11" s="218">
        <f>+AB11/AB$7</f>
        <v>127.89244083591976</v>
      </c>
      <c r="AD11" s="223">
        <f>+AC11/AC$8</f>
        <v>0.10666592229851522</v>
      </c>
      <c r="AE11" s="21"/>
      <c r="AF11" s="65"/>
      <c r="AG11" s="66" t="s">
        <v>78</v>
      </c>
      <c r="AH11" s="10" t="s">
        <v>81</v>
      </c>
      <c r="AI11" s="11">
        <f t="shared" si="1"/>
        <v>0</v>
      </c>
      <c r="AJ11" s="12">
        <v>0</v>
      </c>
      <c r="AK11" s="12">
        <f t="shared" si="2"/>
        <v>0</v>
      </c>
      <c r="AL11" s="14">
        <f t="shared" ref="AL11:AL48" si="7">+AJ11/AL$7</f>
        <v>0</v>
      </c>
    </row>
    <row r="12" spans="1:38" s="10" customFormat="1">
      <c r="A12" s="19" t="s">
        <v>150</v>
      </c>
      <c r="B12" s="10" t="s">
        <v>147</v>
      </c>
      <c r="C12" s="62"/>
      <c r="D12" s="11">
        <f>L12/$L$88</f>
        <v>1.7424621089168256E-3</v>
      </c>
      <c r="E12" s="63"/>
      <c r="F12" s="63"/>
      <c r="G12" s="63"/>
      <c r="H12" s="63"/>
      <c r="I12" s="63"/>
      <c r="J12" s="63"/>
      <c r="K12" s="63"/>
      <c r="L12" s="21">
        <f t="shared" si="0"/>
        <v>1225</v>
      </c>
      <c r="M12" s="21">
        <f>175/2</f>
        <v>87.5</v>
      </c>
      <c r="N12" s="14">
        <f t="shared" si="3"/>
        <v>6.3590116279069769E-2</v>
      </c>
      <c r="O12" s="14"/>
      <c r="P12" s="219">
        <f>Q12*P$7</f>
        <v>98.4375</v>
      </c>
      <c r="Q12" s="219">
        <f>+$M12*CMF</f>
        <v>98.4375</v>
      </c>
      <c r="R12" s="223">
        <f t="shared" si="4"/>
        <v>8.2168196994991657E-2</v>
      </c>
      <c r="S12" s="21"/>
      <c r="T12" s="219">
        <f>U12*T$7</f>
        <v>7087.5</v>
      </c>
      <c r="U12" s="219">
        <f>+$M12*CMF</f>
        <v>98.4375</v>
      </c>
      <c r="V12" s="223">
        <f t="shared" si="5"/>
        <v>8.8922764227642281E-2</v>
      </c>
      <c r="W12" s="21"/>
      <c r="X12" s="219">
        <f>Y12*X$7</f>
        <v>6004.6875</v>
      </c>
      <c r="Y12" s="219">
        <f>+$M12*CMF</f>
        <v>98.4375</v>
      </c>
      <c r="Z12" s="223">
        <f t="shared" si="6"/>
        <v>7.6486013986013984E-2</v>
      </c>
      <c r="AA12" s="21"/>
      <c r="AB12" s="219">
        <f>+X12+T12</f>
        <v>13092.1875</v>
      </c>
      <c r="AC12" s="218">
        <f>+AB12/AB$7</f>
        <v>98.4375</v>
      </c>
      <c r="AD12" s="223">
        <f>+AC12/AC$8</f>
        <v>8.2099666388657219E-2</v>
      </c>
      <c r="AE12" s="21"/>
      <c r="AF12" s="65"/>
      <c r="AG12" s="66" t="s">
        <v>79</v>
      </c>
      <c r="AH12" s="10" t="s">
        <v>82</v>
      </c>
      <c r="AI12" s="11">
        <f t="shared" si="1"/>
        <v>1.5789864282454096E-2</v>
      </c>
      <c r="AJ12" s="12">
        <f>AB12+AB13</f>
        <v>207839.81250000003</v>
      </c>
      <c r="AK12" s="12">
        <f t="shared" si="2"/>
        <v>1562.7053571428573</v>
      </c>
      <c r="AL12" s="14">
        <f t="shared" si="7"/>
        <v>1.3033405814369119</v>
      </c>
    </row>
    <row r="13" spans="1:38" s="10" customFormat="1">
      <c r="A13" s="19" t="s">
        <v>150</v>
      </c>
      <c r="B13" s="10" t="s">
        <v>148</v>
      </c>
      <c r="C13" s="62"/>
      <c r="D13" s="11">
        <f>L13/$L$88</f>
        <v>2.5919301672393792E-2</v>
      </c>
      <c r="E13" s="63" t="s">
        <v>194</v>
      </c>
      <c r="F13" s="63" t="s">
        <v>194</v>
      </c>
      <c r="G13" s="63" t="s">
        <v>194</v>
      </c>
      <c r="H13" s="63" t="s">
        <v>194</v>
      </c>
      <c r="I13" s="63" t="s">
        <v>194</v>
      </c>
      <c r="J13" s="63" t="s">
        <v>194</v>
      </c>
      <c r="K13" s="63" t="s">
        <v>194</v>
      </c>
      <c r="L13" s="21">
        <f t="shared" si="0"/>
        <v>18222</v>
      </c>
      <c r="M13" s="21">
        <f>(6797+11425)/14</f>
        <v>1301.5714285714287</v>
      </c>
      <c r="N13" s="14">
        <f t="shared" si="3"/>
        <v>0.94590946843853829</v>
      </c>
      <c r="O13" s="14"/>
      <c r="P13" s="219">
        <f>Q13*P$7</f>
        <v>1464.2678571428573</v>
      </c>
      <c r="Q13" s="219">
        <f>+$M13*CMF</f>
        <v>1464.2678571428573</v>
      </c>
      <c r="R13" s="223">
        <f t="shared" si="4"/>
        <v>1.2222603148103985</v>
      </c>
      <c r="S13" s="21"/>
      <c r="T13" s="219">
        <f>U13*T$7</f>
        <v>105427.28571428572</v>
      </c>
      <c r="U13" s="219">
        <f>+$M13*CMF</f>
        <v>1464.2678571428573</v>
      </c>
      <c r="V13" s="223">
        <f t="shared" si="5"/>
        <v>1.3227351916376309</v>
      </c>
      <c r="W13" s="21"/>
      <c r="X13" s="219">
        <f>Y13*X$7</f>
        <v>89320.339285714304</v>
      </c>
      <c r="Y13" s="219">
        <f>+$M13*CMF</f>
        <v>1464.2678571428573</v>
      </c>
      <c r="Z13" s="223">
        <f t="shared" si="6"/>
        <v>1.1377372627372628</v>
      </c>
      <c r="AA13" s="21"/>
      <c r="AB13" s="219">
        <f>+X13+T13</f>
        <v>194747.62500000003</v>
      </c>
      <c r="AC13" s="218">
        <f>+AB13/AB$7</f>
        <v>1464.2678571428573</v>
      </c>
      <c r="AD13" s="223">
        <f>+AC13/AC$8</f>
        <v>1.2212409150482546</v>
      </c>
      <c r="AE13" s="21"/>
      <c r="AF13" s="65"/>
      <c r="AG13" s="66" t="s">
        <v>91</v>
      </c>
      <c r="AH13" s="10" t="s">
        <v>83</v>
      </c>
      <c r="AI13" s="11">
        <f t="shared" si="1"/>
        <v>9.6905450820738218E-2</v>
      </c>
      <c r="AJ13" s="12">
        <f>+AB15</f>
        <v>1275553.125</v>
      </c>
      <c r="AK13" s="12">
        <f t="shared" si="2"/>
        <v>9590.625</v>
      </c>
      <c r="AL13" s="14">
        <f t="shared" si="7"/>
        <v>7.9988532110091741</v>
      </c>
    </row>
    <row r="14" spans="1:38" s="10" customFormat="1">
      <c r="A14" s="19"/>
      <c r="B14" s="25" t="s">
        <v>5</v>
      </c>
      <c r="C14" s="62"/>
      <c r="E14" s="63"/>
      <c r="F14" s="63"/>
      <c r="G14" s="63"/>
      <c r="H14" s="63"/>
      <c r="I14" s="63"/>
      <c r="J14" s="63"/>
      <c r="K14" s="63"/>
      <c r="L14" s="21"/>
      <c r="M14" s="21"/>
      <c r="N14" s="14"/>
      <c r="O14" s="14"/>
      <c r="P14" s="219"/>
      <c r="Q14" s="219"/>
      <c r="R14" s="223"/>
      <c r="S14" s="21"/>
      <c r="T14" s="219"/>
      <c r="U14" s="219"/>
      <c r="V14" s="223"/>
      <c r="W14" s="21"/>
      <c r="X14" s="219"/>
      <c r="Y14" s="219"/>
      <c r="Z14" s="223"/>
      <c r="AA14" s="21"/>
      <c r="AB14" s="219"/>
      <c r="AC14" s="218"/>
      <c r="AD14" s="223"/>
      <c r="AE14" s="21"/>
      <c r="AF14" s="65"/>
      <c r="AG14" s="66" t="s">
        <v>92</v>
      </c>
      <c r="AH14" s="10" t="s">
        <v>84</v>
      </c>
      <c r="AI14" s="11">
        <f t="shared" si="1"/>
        <v>4.9532481997976364E-2</v>
      </c>
      <c r="AJ14" s="12">
        <f>+AB19+AB20</f>
        <v>651989.25</v>
      </c>
      <c r="AK14" s="12">
        <f t="shared" si="2"/>
        <v>4902.1748120300754</v>
      </c>
      <c r="AL14" s="14">
        <f t="shared" si="7"/>
        <v>4.0885528040284198</v>
      </c>
    </row>
    <row r="15" spans="1:38" s="10" customFormat="1">
      <c r="A15" s="19" t="s">
        <v>161</v>
      </c>
      <c r="B15" s="10" t="s">
        <v>6</v>
      </c>
      <c r="C15" s="62"/>
      <c r="D15" s="11">
        <f>L15/$L$88</f>
        <v>2.887508637633597E-3</v>
      </c>
      <c r="E15" s="63" t="s">
        <v>194</v>
      </c>
      <c r="F15" s="63" t="s">
        <v>194</v>
      </c>
      <c r="G15" s="63" t="s">
        <v>194</v>
      </c>
      <c r="H15" s="63" t="s">
        <v>194</v>
      </c>
      <c r="I15" s="63" t="s">
        <v>194</v>
      </c>
      <c r="J15" s="63" t="s">
        <v>194</v>
      </c>
      <c r="K15" s="63" t="s">
        <v>194</v>
      </c>
      <c r="L15" s="21">
        <f t="shared" si="0"/>
        <v>2030</v>
      </c>
      <c r="M15" s="21">
        <f>290/2</f>
        <v>145</v>
      </c>
      <c r="N15" s="14">
        <f t="shared" si="3"/>
        <v>0.10537790697674419</v>
      </c>
      <c r="O15" s="14"/>
      <c r="P15" s="219">
        <f>Q15*P$7</f>
        <v>9559.6875</v>
      </c>
      <c r="Q15" s="219">
        <f>5.5*R8*CMF</f>
        <v>9559.6875</v>
      </c>
      <c r="R15" s="223">
        <f t="shared" si="4"/>
        <v>7.9797057595993319</v>
      </c>
      <c r="S15" s="21"/>
      <c r="T15" s="219">
        <f>U15*T$7</f>
        <v>690525</v>
      </c>
      <c r="U15" s="219">
        <f>5.5*1550*CMF</f>
        <v>9590.625</v>
      </c>
      <c r="V15" s="223">
        <f t="shared" si="5"/>
        <v>8.6636178861788622</v>
      </c>
      <c r="W15" s="21"/>
      <c r="X15" s="219">
        <f>Y15*X$7</f>
        <v>585028.125</v>
      </c>
      <c r="Y15" s="219">
        <f>5.5*1550*CMF</f>
        <v>9590.625</v>
      </c>
      <c r="Z15" s="223">
        <f t="shared" si="6"/>
        <v>7.4519230769230766</v>
      </c>
      <c r="AA15" s="21"/>
      <c r="AB15" s="219">
        <f t="shared" ref="AB15:AB78" si="8">+X15+T15</f>
        <v>1275553.125</v>
      </c>
      <c r="AC15" s="218">
        <f>+AB15/AB$7</f>
        <v>9590.625</v>
      </c>
      <c r="AD15" s="223">
        <f>+AC15/AC$8</f>
        <v>7.9988532110091741</v>
      </c>
      <c r="AE15" s="21"/>
      <c r="AF15" s="65"/>
      <c r="AG15" s="66" t="s">
        <v>93</v>
      </c>
      <c r="AH15" s="10" t="s">
        <v>89</v>
      </c>
      <c r="AI15" s="11">
        <f t="shared" si="1"/>
        <v>0.16274097863681983</v>
      </c>
      <c r="AJ15" s="12">
        <f>SUM(AB23:AB25)+SUM(AB28:AB32)+AB35</f>
        <v>2142137.1254931479</v>
      </c>
      <c r="AK15" s="12">
        <f t="shared" si="2"/>
        <v>16106.294176640209</v>
      </c>
      <c r="AL15" s="14">
        <f t="shared" si="7"/>
        <v>13.433106068924278</v>
      </c>
    </row>
    <row r="16" spans="1:38" s="10" customFormat="1">
      <c r="A16" s="19" t="s">
        <v>161</v>
      </c>
      <c r="B16" s="10" t="s">
        <v>7</v>
      </c>
      <c r="C16" s="62"/>
      <c r="D16" s="11">
        <f>L16/$L$88</f>
        <v>2.5937793107019033E-2</v>
      </c>
      <c r="E16" s="63" t="s">
        <v>194</v>
      </c>
      <c r="F16" s="63" t="s">
        <v>194</v>
      </c>
      <c r="G16" s="63" t="s">
        <v>194</v>
      </c>
      <c r="H16" s="63" t="s">
        <v>194</v>
      </c>
      <c r="I16" s="63" t="s">
        <v>194</v>
      </c>
      <c r="J16" s="63" t="s">
        <v>194</v>
      </c>
      <c r="K16" s="63" t="s">
        <v>194</v>
      </c>
      <c r="L16" s="21">
        <f t="shared" si="0"/>
        <v>18235</v>
      </c>
      <c r="M16" s="21">
        <f>2605/2</f>
        <v>1302.5</v>
      </c>
      <c r="N16" s="14">
        <f t="shared" si="3"/>
        <v>0.94658430232558144</v>
      </c>
      <c r="O16" s="14"/>
      <c r="P16" s="219"/>
      <c r="Q16" s="219"/>
      <c r="R16" s="223">
        <f t="shared" si="4"/>
        <v>0</v>
      </c>
      <c r="S16" s="21"/>
      <c r="T16" s="219"/>
      <c r="U16" s="219"/>
      <c r="V16" s="223">
        <f t="shared" si="5"/>
        <v>0</v>
      </c>
      <c r="W16" s="21"/>
      <c r="X16" s="219"/>
      <c r="Y16" s="219"/>
      <c r="Z16" s="223">
        <f t="shared" si="6"/>
        <v>0</v>
      </c>
      <c r="AA16" s="21"/>
      <c r="AB16" s="219">
        <f t="shared" si="8"/>
        <v>0</v>
      </c>
      <c r="AC16" s="218">
        <f>+AB16/AB$7</f>
        <v>0</v>
      </c>
      <c r="AD16" s="223">
        <f>+AC16/AC$8</f>
        <v>0</v>
      </c>
      <c r="AE16" s="21"/>
      <c r="AF16" s="65"/>
      <c r="AG16" s="66" t="s">
        <v>94</v>
      </c>
      <c r="AH16" s="10" t="s">
        <v>88</v>
      </c>
      <c r="AI16" s="11">
        <f t="shared" si="1"/>
        <v>8.0781934188819213E-3</v>
      </c>
      <c r="AJ16" s="12">
        <f>AB40+AB41</f>
        <v>106332.14924999999</v>
      </c>
      <c r="AK16" s="12">
        <f t="shared" si="2"/>
        <v>799.48984398496236</v>
      </c>
      <c r="AL16" s="14">
        <f t="shared" si="7"/>
        <v>0.6667972009882922</v>
      </c>
    </row>
    <row r="17" spans="1:38" s="10" customFormat="1">
      <c r="A17" s="19" t="s">
        <v>161</v>
      </c>
      <c r="B17" s="10" t="s">
        <v>8</v>
      </c>
      <c r="C17" s="62"/>
      <c r="D17" s="11">
        <f>L17/$L$88</f>
        <v>7.4955741462433501E-2</v>
      </c>
      <c r="E17" s="63" t="s">
        <v>194</v>
      </c>
      <c r="F17" s="63" t="s">
        <v>194</v>
      </c>
      <c r="G17" s="63" t="s">
        <v>194</v>
      </c>
      <c r="H17" s="63" t="s">
        <v>194</v>
      </c>
      <c r="I17" s="63" t="s">
        <v>194</v>
      </c>
      <c r="J17" s="63" t="s">
        <v>194</v>
      </c>
      <c r="K17" s="63" t="s">
        <v>194</v>
      </c>
      <c r="L17" s="21">
        <f t="shared" si="0"/>
        <v>52696</v>
      </c>
      <c r="M17" s="21">
        <f>7528/2</f>
        <v>3764</v>
      </c>
      <c r="N17" s="14">
        <f t="shared" si="3"/>
        <v>2.73546511627907</v>
      </c>
      <c r="O17" s="14"/>
      <c r="P17" s="219"/>
      <c r="Q17" s="219"/>
      <c r="R17" s="223">
        <f t="shared" si="4"/>
        <v>0</v>
      </c>
      <c r="S17" s="21"/>
      <c r="T17" s="219"/>
      <c r="U17" s="219"/>
      <c r="V17" s="223">
        <f t="shared" si="5"/>
        <v>0</v>
      </c>
      <c r="W17" s="21"/>
      <c r="X17" s="219"/>
      <c r="Y17" s="219"/>
      <c r="Z17" s="223">
        <f t="shared" si="6"/>
        <v>0</v>
      </c>
      <c r="AA17" s="21"/>
      <c r="AB17" s="219">
        <f t="shared" si="8"/>
        <v>0</v>
      </c>
      <c r="AC17" s="218">
        <f>+AB17/AB$7</f>
        <v>0</v>
      </c>
      <c r="AD17" s="223">
        <f>+AC17/AC$8</f>
        <v>0</v>
      </c>
      <c r="AE17" s="21"/>
      <c r="AF17" s="65"/>
      <c r="AG17" s="66" t="s">
        <v>95</v>
      </c>
      <c r="AH17" s="10" t="s">
        <v>90</v>
      </c>
      <c r="AI17" s="11">
        <f t="shared" si="1"/>
        <v>1.6676398391391435E-2</v>
      </c>
      <c r="AJ17" s="12">
        <f>AB26+AB33</f>
        <v>219509.13908066862</v>
      </c>
      <c r="AK17" s="12">
        <f t="shared" si="2"/>
        <v>1650.4446547418693</v>
      </c>
      <c r="AL17" s="14">
        <f t="shared" si="7"/>
        <v>1.3765176436546034</v>
      </c>
    </row>
    <row r="18" spans="1:38" s="10" customFormat="1">
      <c r="A18" s="19"/>
      <c r="B18" s="25" t="s">
        <v>9</v>
      </c>
      <c r="C18" s="62"/>
      <c r="E18" s="63"/>
      <c r="F18" s="63"/>
      <c r="G18" s="63"/>
      <c r="H18" s="63"/>
      <c r="I18" s="63"/>
      <c r="J18" s="63"/>
      <c r="K18" s="63"/>
      <c r="L18" s="21">
        <f t="shared" si="0"/>
        <v>0</v>
      </c>
      <c r="M18" s="21"/>
      <c r="N18" s="14">
        <f t="shared" si="3"/>
        <v>0</v>
      </c>
      <c r="O18" s="14"/>
      <c r="P18" s="219"/>
      <c r="Q18" s="219"/>
      <c r="R18" s="223"/>
      <c r="S18" s="21"/>
      <c r="T18" s="219"/>
      <c r="U18" s="219"/>
      <c r="V18" s="223"/>
      <c r="W18" s="21"/>
      <c r="X18" s="219"/>
      <c r="Y18" s="219"/>
      <c r="Z18" s="223"/>
      <c r="AA18" s="21"/>
      <c r="AB18" s="219"/>
      <c r="AC18" s="218"/>
      <c r="AD18" s="223"/>
      <c r="AE18" s="21"/>
      <c r="AF18" s="65"/>
      <c r="AG18" s="66" t="s">
        <v>96</v>
      </c>
      <c r="AH18" s="10" t="s">
        <v>85</v>
      </c>
      <c r="AI18" s="11">
        <f t="shared" si="1"/>
        <v>6.8160515978690477E-3</v>
      </c>
      <c r="AJ18" s="12">
        <f>+AB34</f>
        <v>89718.75</v>
      </c>
      <c r="AK18" s="12">
        <f t="shared" si="2"/>
        <v>674.57706766917295</v>
      </c>
      <c r="AL18" s="14">
        <f t="shared" si="7"/>
        <v>0.56261640339380559</v>
      </c>
    </row>
    <row r="19" spans="1:38" s="10" customFormat="1">
      <c r="A19" s="19" t="s">
        <v>162</v>
      </c>
      <c r="B19" s="10" t="s">
        <v>10</v>
      </c>
      <c r="C19" s="62">
        <v>0.33300000000000002</v>
      </c>
      <c r="D19" s="11">
        <f>L19/$L$88</f>
        <v>4.5433454874214144E-2</v>
      </c>
      <c r="E19" s="63" t="s">
        <v>194</v>
      </c>
      <c r="F19" s="63" t="s">
        <v>194</v>
      </c>
      <c r="G19" s="63" t="s">
        <v>194</v>
      </c>
      <c r="H19" s="63" t="s">
        <v>194</v>
      </c>
      <c r="I19" s="63" t="s">
        <v>194</v>
      </c>
      <c r="J19" s="63" t="s">
        <v>194</v>
      </c>
      <c r="K19" s="63" t="s">
        <v>194</v>
      </c>
      <c r="L19" s="21">
        <f t="shared" si="0"/>
        <v>31941</v>
      </c>
      <c r="M19" s="21">
        <f>4563/2</f>
        <v>2281.5</v>
      </c>
      <c r="N19" s="14">
        <f t="shared" si="3"/>
        <v>1.6580668604651163</v>
      </c>
      <c r="O19" s="14"/>
      <c r="P19" s="219">
        <f t="shared" ref="P19:P79" si="9">Q19*P$7</f>
        <v>2283.1875</v>
      </c>
      <c r="Q19" s="219">
        <f>(13500+300-1500)/2*0.33*CMF</f>
        <v>2283.1875</v>
      </c>
      <c r="R19" s="223">
        <f t="shared" si="4"/>
        <v>1.9058326377295491</v>
      </c>
      <c r="S19" s="21"/>
      <c r="T19" s="219">
        <f t="shared" ref="T19:T79" si="10">U19*T$7</f>
        <v>169735.5</v>
      </c>
      <c r="U19" s="219">
        <f>(13500+300-1100)/2*0.33*CMF</f>
        <v>2357.4375</v>
      </c>
      <c r="V19" s="223">
        <f t="shared" si="5"/>
        <v>2.1295731707317072</v>
      </c>
      <c r="W19" s="21"/>
      <c r="X19" s="219">
        <f t="shared" ref="X19:X79" si="11">Y19*X$7</f>
        <v>156259.125</v>
      </c>
      <c r="Y19" s="219">
        <f>(13500+300)/2*0.33*CMF</f>
        <v>2561.625</v>
      </c>
      <c r="Z19" s="223">
        <f t="shared" si="6"/>
        <v>1.9903846153846154</v>
      </c>
      <c r="AA19" s="21"/>
      <c r="AB19" s="219">
        <f t="shared" si="8"/>
        <v>325994.625</v>
      </c>
      <c r="AC19" s="218">
        <f>+AB19/AB$7</f>
        <v>2451.0874060150377</v>
      </c>
      <c r="AD19" s="223">
        <f>+AC19/AC$8</f>
        <v>2.0442764020142099</v>
      </c>
      <c r="AE19" s="21"/>
      <c r="AF19" s="65"/>
      <c r="AG19" s="66" t="s">
        <v>97</v>
      </c>
      <c r="AH19" s="10" t="s">
        <v>86</v>
      </c>
      <c r="AI19" s="11">
        <f t="shared" si="1"/>
        <v>1.1178198686038749E-2</v>
      </c>
      <c r="AJ19" s="12">
        <f>+AB62</f>
        <v>147137.09234193314</v>
      </c>
      <c r="AK19" s="12">
        <f t="shared" si="2"/>
        <v>1106.2939273829559</v>
      </c>
      <c r="AL19" s="14">
        <f t="shared" si="7"/>
        <v>0.92268050657460876</v>
      </c>
    </row>
    <row r="20" spans="1:38" s="10" customFormat="1" ht="12.75" thickBot="1">
      <c r="A20" s="19" t="s">
        <v>163</v>
      </c>
      <c r="B20" s="10" t="s">
        <v>11</v>
      </c>
      <c r="C20" s="62">
        <v>0.33300000000000002</v>
      </c>
      <c r="D20" s="11">
        <f>L20/$L$88</f>
        <v>4.5433454874214144E-2</v>
      </c>
      <c r="E20" s="63" t="s">
        <v>194</v>
      </c>
      <c r="F20" s="63" t="s">
        <v>194</v>
      </c>
      <c r="G20" s="63" t="s">
        <v>194</v>
      </c>
      <c r="H20" s="63" t="s">
        <v>194</v>
      </c>
      <c r="I20" s="63" t="s">
        <v>194</v>
      </c>
      <c r="J20" s="63" t="s">
        <v>194</v>
      </c>
      <c r="K20" s="63" t="s">
        <v>194</v>
      </c>
      <c r="L20" s="21">
        <f t="shared" si="0"/>
        <v>31941</v>
      </c>
      <c r="M20" s="21">
        <f>4563/2</f>
        <v>2281.5</v>
      </c>
      <c r="N20" s="14">
        <f t="shared" si="3"/>
        <v>1.6580668604651163</v>
      </c>
      <c r="O20" s="14"/>
      <c r="P20" s="219">
        <f t="shared" si="9"/>
        <v>2283.1875</v>
      </c>
      <c r="Q20" s="219">
        <f>(13500+300-1500)/2*0.33*CMF</f>
        <v>2283.1875</v>
      </c>
      <c r="R20" s="223">
        <f t="shared" si="4"/>
        <v>1.9058326377295491</v>
      </c>
      <c r="S20" s="21"/>
      <c r="T20" s="219">
        <f t="shared" si="10"/>
        <v>169735.5</v>
      </c>
      <c r="U20" s="219">
        <f>(13500+300-1100)/2*0.33*CMF</f>
        <v>2357.4375</v>
      </c>
      <c r="V20" s="223">
        <f t="shared" si="5"/>
        <v>2.1295731707317072</v>
      </c>
      <c r="W20" s="21"/>
      <c r="X20" s="219">
        <f t="shared" si="11"/>
        <v>156259.125</v>
      </c>
      <c r="Y20" s="219">
        <f>(13500+300)/2*0.33*CMF</f>
        <v>2561.625</v>
      </c>
      <c r="Z20" s="223">
        <f t="shared" si="6"/>
        <v>1.9903846153846154</v>
      </c>
      <c r="AA20" s="21"/>
      <c r="AB20" s="219">
        <f t="shared" si="8"/>
        <v>325994.625</v>
      </c>
      <c r="AC20" s="218">
        <f>+AB20/AB$7</f>
        <v>2451.0874060150377</v>
      </c>
      <c r="AD20" s="223">
        <f>+AC20/AC$8</f>
        <v>2.0442764020142099</v>
      </c>
      <c r="AE20" s="21"/>
      <c r="AF20" s="65"/>
      <c r="AG20" s="66" t="s">
        <v>98</v>
      </c>
      <c r="AH20" s="15" t="s">
        <v>87</v>
      </c>
      <c r="AI20" s="11">
        <f t="shared" si="1"/>
        <v>1.7678646452233198E-2</v>
      </c>
      <c r="AJ20" s="12">
        <f>AB43+AB44</f>
        <v>232701.59250000003</v>
      </c>
      <c r="AK20" s="12">
        <f t="shared" si="2"/>
        <v>1749.6360338345867</v>
      </c>
      <c r="AL20" s="14">
        <f t="shared" si="7"/>
        <v>1.4592460665843092</v>
      </c>
    </row>
    <row r="21" spans="1:38" s="10" customFormat="1" ht="12.75" thickBot="1">
      <c r="A21" s="19" t="s">
        <v>163</v>
      </c>
      <c r="B21" s="10" t="s">
        <v>12</v>
      </c>
      <c r="C21" s="62">
        <v>0.33300000000000002</v>
      </c>
      <c r="D21" s="11">
        <f>L21/$L$88</f>
        <v>4.5433454874214144E-2</v>
      </c>
      <c r="E21" s="63" t="s">
        <v>194</v>
      </c>
      <c r="F21" s="63" t="s">
        <v>194</v>
      </c>
      <c r="G21" s="67"/>
      <c r="H21" s="63" t="s">
        <v>194</v>
      </c>
      <c r="I21" s="63" t="s">
        <v>194</v>
      </c>
      <c r="J21" s="67"/>
      <c r="K21" s="68" t="s">
        <v>194</v>
      </c>
      <c r="L21" s="21">
        <f t="shared" si="0"/>
        <v>31941</v>
      </c>
      <c r="M21" s="21">
        <f>4563/2</f>
        <v>2281.5</v>
      </c>
      <c r="N21" s="14">
        <f t="shared" si="3"/>
        <v>1.6580668604651163</v>
      </c>
      <c r="O21" s="14"/>
      <c r="P21" s="219">
        <f t="shared" si="9"/>
        <v>2283.1875</v>
      </c>
      <c r="Q21" s="219">
        <f>(13500+300-1500)/2*0.33*CMF</f>
        <v>2283.1875</v>
      </c>
      <c r="R21" s="223">
        <f t="shared" si="4"/>
        <v>1.9058326377295491</v>
      </c>
      <c r="S21" s="21"/>
      <c r="T21" s="219">
        <f t="shared" si="10"/>
        <v>169735.5</v>
      </c>
      <c r="U21" s="219">
        <f>(13500+300-1100)/2*0.33*CMF</f>
        <v>2357.4375</v>
      </c>
      <c r="V21" s="223">
        <f t="shared" si="5"/>
        <v>2.1295731707317072</v>
      </c>
      <c r="W21" s="21"/>
      <c r="X21" s="219">
        <f t="shared" si="11"/>
        <v>156259.125</v>
      </c>
      <c r="Y21" s="219">
        <f>(13500+300)/2*0.33*CMF</f>
        <v>2561.625</v>
      </c>
      <c r="Z21" s="223">
        <f t="shared" si="6"/>
        <v>1.9903846153846154</v>
      </c>
      <c r="AA21" s="21"/>
      <c r="AB21" s="219">
        <f t="shared" si="8"/>
        <v>325994.625</v>
      </c>
      <c r="AC21" s="218">
        <f>+AB21/AB$7</f>
        <v>2451.0874060150377</v>
      </c>
      <c r="AD21" s="223">
        <f>+AC21/AC$8</f>
        <v>2.0442764020142099</v>
      </c>
      <c r="AE21" s="21"/>
      <c r="AF21" s="65"/>
      <c r="AG21" s="66" t="s">
        <v>99</v>
      </c>
      <c r="AH21" s="10" t="s">
        <v>127</v>
      </c>
      <c r="AI21" s="11">
        <f t="shared" si="1"/>
        <v>1.3521935289660938E-2</v>
      </c>
      <c r="AJ21" s="12">
        <f>AB50</f>
        <v>177987.375</v>
      </c>
      <c r="AK21" s="12">
        <f t="shared" si="2"/>
        <v>1338.250939849624</v>
      </c>
      <c r="AL21" s="14">
        <f t="shared" si="7"/>
        <v>1.1161392325684938</v>
      </c>
    </row>
    <row r="22" spans="1:38" s="10" customFormat="1">
      <c r="A22" s="19"/>
      <c r="B22" s="25" t="s">
        <v>13</v>
      </c>
      <c r="C22" s="62"/>
      <c r="E22" s="63"/>
      <c r="F22" s="63"/>
      <c r="G22" s="63"/>
      <c r="H22" s="63"/>
      <c r="I22" s="63"/>
      <c r="J22" s="63"/>
      <c r="K22" s="63"/>
      <c r="L22" s="21"/>
      <c r="M22" s="21"/>
      <c r="N22" s="14">
        <f t="shared" si="3"/>
        <v>0</v>
      </c>
      <c r="O22" s="14"/>
      <c r="P22" s="219"/>
      <c r="Q22" s="219"/>
      <c r="R22" s="223"/>
      <c r="S22" s="21"/>
      <c r="T22" s="219"/>
      <c r="U22" s="219"/>
      <c r="V22" s="223"/>
      <c r="W22" s="21"/>
      <c r="X22" s="219"/>
      <c r="Y22" s="219"/>
      <c r="Z22" s="223"/>
      <c r="AA22" s="21"/>
      <c r="AB22" s="219"/>
      <c r="AC22" s="218"/>
      <c r="AD22" s="223"/>
      <c r="AE22" s="21"/>
      <c r="AF22" s="65"/>
      <c r="AG22" s="66" t="s">
        <v>100</v>
      </c>
      <c r="AH22" s="10" t="s">
        <v>128</v>
      </c>
      <c r="AI22" s="11">
        <f t="shared" si="1"/>
        <v>1.3521935289660938E-2</v>
      </c>
      <c r="AJ22" s="12">
        <f>AB51</f>
        <v>177987.375</v>
      </c>
      <c r="AK22" s="12">
        <f t="shared" si="2"/>
        <v>1338.250939849624</v>
      </c>
      <c r="AL22" s="14">
        <f t="shared" si="7"/>
        <v>1.1161392325684938</v>
      </c>
    </row>
    <row r="23" spans="1:38" s="10" customFormat="1">
      <c r="A23" s="19" t="s">
        <v>164</v>
      </c>
      <c r="B23" s="10" t="s">
        <v>14</v>
      </c>
      <c r="C23" s="62">
        <v>0.15</v>
      </c>
      <c r="D23" s="11">
        <f>L23/$L$88</f>
        <v>1.4487327819851322E-2</v>
      </c>
      <c r="E23" s="63" t="s">
        <v>194</v>
      </c>
      <c r="F23" s="63" t="s">
        <v>194</v>
      </c>
      <c r="G23" s="63" t="s">
        <v>194</v>
      </c>
      <c r="H23" s="63" t="s">
        <v>194</v>
      </c>
      <c r="I23" s="63" t="s">
        <v>194</v>
      </c>
      <c r="J23" s="63" t="s">
        <v>194</v>
      </c>
      <c r="K23" s="63" t="s">
        <v>194</v>
      </c>
      <c r="L23" s="21">
        <f t="shared" si="0"/>
        <v>10185</v>
      </c>
      <c r="M23" s="21">
        <f>1455/2</f>
        <v>727.5</v>
      </c>
      <c r="N23" s="14">
        <f t="shared" si="3"/>
        <v>0.52870639534883723</v>
      </c>
      <c r="O23" s="14"/>
      <c r="P23" s="219">
        <f t="shared" si="9"/>
        <v>712.56404433139528</v>
      </c>
      <c r="Q23" s="219">
        <f>Q$8*$N23*CMF</f>
        <v>712.56404433139528</v>
      </c>
      <c r="R23" s="223">
        <f t="shared" si="4"/>
        <v>0.59479469476744184</v>
      </c>
      <c r="S23" s="21"/>
      <c r="T23" s="219">
        <f t="shared" si="10"/>
        <v>47407.516351744191</v>
      </c>
      <c r="U23" s="219">
        <f>U$8*$N23*CMF</f>
        <v>658.4377271075582</v>
      </c>
      <c r="V23" s="223">
        <f t="shared" si="5"/>
        <v>0.59479469476744196</v>
      </c>
      <c r="W23" s="21"/>
      <c r="X23" s="219">
        <f t="shared" si="11"/>
        <v>46695.547102107557</v>
      </c>
      <c r="Y23" s="219">
        <f>Y$8*$N23*CMF</f>
        <v>765.50077216569764</v>
      </c>
      <c r="Z23" s="223">
        <f t="shared" si="6"/>
        <v>0.59479469476744184</v>
      </c>
      <c r="AA23" s="21"/>
      <c r="AB23" s="219">
        <f t="shared" si="8"/>
        <v>94103.063453851748</v>
      </c>
      <c r="AC23" s="218">
        <f>+AB23/AB$7</f>
        <v>707.54183048008838</v>
      </c>
      <c r="AD23" s="223">
        <f>+AC23/AC$8</f>
        <v>0.59010995035870595</v>
      </c>
      <c r="AE23" s="21"/>
      <c r="AF23" s="65"/>
      <c r="AG23" s="66" t="s">
        <v>101</v>
      </c>
      <c r="AH23" s="10" t="s">
        <v>129</v>
      </c>
      <c r="AI23" s="11">
        <f t="shared" si="1"/>
        <v>1.1493644996211796E-2</v>
      </c>
      <c r="AJ23" s="18">
        <f>AB52</f>
        <v>151289.26874999999</v>
      </c>
      <c r="AK23" s="12">
        <f t="shared" si="2"/>
        <v>1137.5132988721803</v>
      </c>
      <c r="AL23" s="14">
        <f t="shared" si="7"/>
        <v>0.94871834768321961</v>
      </c>
    </row>
    <row r="24" spans="1:38" s="10" customFormat="1">
      <c r="A24" s="19" t="s">
        <v>164</v>
      </c>
      <c r="B24" s="10" t="s">
        <v>15</v>
      </c>
      <c r="C24" s="62">
        <v>0.25</v>
      </c>
      <c r="D24" s="11">
        <f>L24/$L$88</f>
        <v>2.4145546366418868E-2</v>
      </c>
      <c r="E24" s="63" t="s">
        <v>194</v>
      </c>
      <c r="F24" s="63" t="s">
        <v>194</v>
      </c>
      <c r="G24" s="63" t="s">
        <v>194</v>
      </c>
      <c r="H24" s="63" t="s">
        <v>194</v>
      </c>
      <c r="I24" s="63" t="s">
        <v>194</v>
      </c>
      <c r="J24" s="63" t="s">
        <v>194</v>
      </c>
      <c r="K24" s="63" t="s">
        <v>194</v>
      </c>
      <c r="L24" s="21">
        <f t="shared" si="0"/>
        <v>16975</v>
      </c>
      <c r="M24" s="21">
        <f>2425/2</f>
        <v>1212.5</v>
      </c>
      <c r="N24" s="14">
        <f t="shared" si="3"/>
        <v>0.88117732558139539</v>
      </c>
      <c r="O24" s="14"/>
      <c r="P24" s="219">
        <f t="shared" si="9"/>
        <v>1187.6067405523256</v>
      </c>
      <c r="Q24" s="219">
        <f t="shared" ref="Q24:Q33" si="12">Q$8*$N24*CMF</f>
        <v>1187.6067405523256</v>
      </c>
      <c r="R24" s="223">
        <f t="shared" si="4"/>
        <v>0.99132449127906985</v>
      </c>
      <c r="S24" s="21"/>
      <c r="T24" s="219">
        <f t="shared" si="10"/>
        <v>79012.527252906992</v>
      </c>
      <c r="U24" s="219">
        <f t="shared" ref="U24:U33" si="13">U$8*$N24*CMF</f>
        <v>1097.3962118459303</v>
      </c>
      <c r="V24" s="223">
        <f t="shared" si="5"/>
        <v>0.99132449127906985</v>
      </c>
      <c r="W24" s="21"/>
      <c r="X24" s="219">
        <f t="shared" si="11"/>
        <v>77825.911836845931</v>
      </c>
      <c r="Y24" s="219">
        <f t="shared" ref="Y24:Y33" si="14">Y$8*$N24*CMF</f>
        <v>1275.8346202761629</v>
      </c>
      <c r="Z24" s="223">
        <f t="shared" si="6"/>
        <v>0.99132449127906985</v>
      </c>
      <c r="AA24" s="21"/>
      <c r="AB24" s="219">
        <f t="shared" si="8"/>
        <v>156838.43908975291</v>
      </c>
      <c r="AC24" s="218">
        <f>+AB24/AB$7</f>
        <v>1179.2363841334804</v>
      </c>
      <c r="AD24" s="223">
        <f>+AC24/AC$8</f>
        <v>0.98351658393117636</v>
      </c>
      <c r="AE24" s="21"/>
      <c r="AF24" s="65"/>
      <c r="AG24" s="66" t="s">
        <v>102</v>
      </c>
      <c r="AH24" s="10" t="s">
        <v>130</v>
      </c>
      <c r="AI24" s="10" t="s">
        <v>141</v>
      </c>
      <c r="AJ24" s="12"/>
      <c r="AK24" s="12">
        <f t="shared" si="2"/>
        <v>0</v>
      </c>
      <c r="AL24" s="14">
        <f t="shared" si="7"/>
        <v>0</v>
      </c>
    </row>
    <row r="25" spans="1:38" s="10" customFormat="1">
      <c r="A25" s="19" t="s">
        <v>164</v>
      </c>
      <c r="B25" s="10" t="s">
        <v>16</v>
      </c>
      <c r="C25" s="62">
        <v>0.25</v>
      </c>
      <c r="D25" s="11">
        <f>L25/$L$88</f>
        <v>2.4145546366418868E-2</v>
      </c>
      <c r="E25" s="63" t="s">
        <v>194</v>
      </c>
      <c r="F25" s="63" t="s">
        <v>194</v>
      </c>
      <c r="G25" s="63" t="s">
        <v>194</v>
      </c>
      <c r="H25" s="63" t="s">
        <v>194</v>
      </c>
      <c r="I25" s="63" t="s">
        <v>194</v>
      </c>
      <c r="J25" s="63" t="s">
        <v>194</v>
      </c>
      <c r="K25" s="63" t="s">
        <v>194</v>
      </c>
      <c r="L25" s="21">
        <f t="shared" si="0"/>
        <v>16975</v>
      </c>
      <c r="M25" s="21">
        <f>2425/2</f>
        <v>1212.5</v>
      </c>
      <c r="N25" s="14">
        <f t="shared" si="3"/>
        <v>0.88117732558139539</v>
      </c>
      <c r="O25" s="14"/>
      <c r="P25" s="219">
        <f t="shared" si="9"/>
        <v>1187.6067405523256</v>
      </c>
      <c r="Q25" s="219">
        <f t="shared" si="12"/>
        <v>1187.6067405523256</v>
      </c>
      <c r="R25" s="223">
        <f t="shared" si="4"/>
        <v>0.99132449127906985</v>
      </c>
      <c r="S25" s="21"/>
      <c r="T25" s="219">
        <f t="shared" si="10"/>
        <v>79012.527252906992</v>
      </c>
      <c r="U25" s="219">
        <f t="shared" si="13"/>
        <v>1097.3962118459303</v>
      </c>
      <c r="V25" s="223">
        <f t="shared" si="5"/>
        <v>0.99132449127906985</v>
      </c>
      <c r="W25" s="21"/>
      <c r="X25" s="219">
        <f t="shared" si="11"/>
        <v>77825.911836845931</v>
      </c>
      <c r="Y25" s="219">
        <f t="shared" si="14"/>
        <v>1275.8346202761629</v>
      </c>
      <c r="Z25" s="223">
        <f t="shared" si="6"/>
        <v>0.99132449127906985</v>
      </c>
      <c r="AA25" s="21"/>
      <c r="AB25" s="219">
        <f t="shared" si="8"/>
        <v>156838.43908975291</v>
      </c>
      <c r="AC25" s="218">
        <f>+AB25/AB$7</f>
        <v>1179.2363841334804</v>
      </c>
      <c r="AD25" s="223">
        <f>+AC25/AC$8</f>
        <v>0.98351658393117636</v>
      </c>
      <c r="AE25" s="21"/>
      <c r="AF25" s="65"/>
      <c r="AG25" s="66" t="s">
        <v>103</v>
      </c>
      <c r="AH25" s="10" t="s">
        <v>131</v>
      </c>
      <c r="AI25" s="11">
        <f t="shared" ref="AI25:AI47" si="15">AJ25/$AJ$48</f>
        <v>2.4766240998988182E-2</v>
      </c>
      <c r="AJ25" s="12">
        <f>+AB21</f>
        <v>325994.625</v>
      </c>
      <c r="AK25" s="12">
        <f t="shared" si="2"/>
        <v>2451.0874060150377</v>
      </c>
      <c r="AL25" s="14">
        <f t="shared" si="7"/>
        <v>2.0442764020142099</v>
      </c>
    </row>
    <row r="26" spans="1:38" s="10" customFormat="1">
      <c r="A26" s="19" t="s">
        <v>165</v>
      </c>
      <c r="B26" s="10" t="s">
        <v>17</v>
      </c>
      <c r="C26" s="62">
        <v>0.35</v>
      </c>
      <c r="D26" s="11">
        <f>L26/$L$88</f>
        <v>3.379380798664975E-2</v>
      </c>
      <c r="E26" s="63" t="s">
        <v>194</v>
      </c>
      <c r="F26" s="63" t="s">
        <v>194</v>
      </c>
      <c r="G26" s="63" t="s">
        <v>194</v>
      </c>
      <c r="H26" s="63" t="s">
        <v>194</v>
      </c>
      <c r="I26" s="63" t="s">
        <v>194</v>
      </c>
      <c r="J26" s="63" t="s">
        <v>194</v>
      </c>
      <c r="K26" s="63" t="s">
        <v>194</v>
      </c>
      <c r="L26" s="21">
        <f t="shared" si="0"/>
        <v>23758</v>
      </c>
      <c r="M26" s="21">
        <f>3394/2</f>
        <v>1697</v>
      </c>
      <c r="N26" s="14">
        <f t="shared" si="3"/>
        <v>1.2332848837209303</v>
      </c>
      <c r="O26" s="14"/>
      <c r="P26" s="219">
        <f t="shared" si="9"/>
        <v>1662.1597020348836</v>
      </c>
      <c r="Q26" s="219">
        <f t="shared" si="12"/>
        <v>1662.1597020348836</v>
      </c>
      <c r="R26" s="223">
        <f t="shared" si="4"/>
        <v>1.3874454941860463</v>
      </c>
      <c r="S26" s="21"/>
      <c r="T26" s="219">
        <f t="shared" si="10"/>
        <v>110584.95566860467</v>
      </c>
      <c r="U26" s="219">
        <f t="shared" si="13"/>
        <v>1535.9021620639537</v>
      </c>
      <c r="V26" s="223">
        <f t="shared" si="5"/>
        <v>1.3874454941860468</v>
      </c>
      <c r="W26" s="21"/>
      <c r="X26" s="219">
        <f t="shared" si="11"/>
        <v>108924.18341206397</v>
      </c>
      <c r="Y26" s="219">
        <f t="shared" si="14"/>
        <v>1785.642351017442</v>
      </c>
      <c r="Z26" s="223">
        <f t="shared" si="6"/>
        <v>1.3874454941860466</v>
      </c>
      <c r="AA26" s="21"/>
      <c r="AB26" s="219">
        <f t="shared" si="8"/>
        <v>219509.13908066862</v>
      </c>
      <c r="AC26" s="218">
        <f>+AB26/AB$7</f>
        <v>1650.4446547418693</v>
      </c>
      <c r="AD26" s="223">
        <f>+AC26/AC$8</f>
        <v>1.3765176436546032</v>
      </c>
      <c r="AE26" s="21"/>
      <c r="AF26" s="65"/>
      <c r="AG26" s="66" t="s">
        <v>104</v>
      </c>
      <c r="AH26" s="10" t="s">
        <v>140</v>
      </c>
      <c r="AI26" s="11">
        <f t="shared" si="15"/>
        <v>4.6889734268099137E-3</v>
      </c>
      <c r="AJ26" s="10">
        <f>+AB37+AB38</f>
        <v>61720.3125</v>
      </c>
      <c r="AK26" s="12">
        <f t="shared" si="2"/>
        <v>464.0625</v>
      </c>
      <c r="AL26" s="14">
        <f t="shared" si="7"/>
        <v>0.38704128440366975</v>
      </c>
    </row>
    <row r="27" spans="1:38" s="10" customFormat="1">
      <c r="A27" s="19"/>
      <c r="B27" s="25" t="s">
        <v>18</v>
      </c>
      <c r="C27" s="62"/>
      <c r="E27" s="69"/>
      <c r="F27" s="69"/>
      <c r="G27" s="69"/>
      <c r="H27" s="69"/>
      <c r="I27" s="69"/>
      <c r="J27" s="69"/>
      <c r="K27" s="69"/>
      <c r="L27" s="21"/>
      <c r="M27" s="21"/>
      <c r="N27" s="14"/>
      <c r="O27" s="14"/>
      <c r="P27" s="219"/>
      <c r="Q27" s="219"/>
      <c r="R27" s="223"/>
      <c r="S27" s="21"/>
      <c r="T27" s="219"/>
      <c r="U27" s="219"/>
      <c r="V27" s="223"/>
      <c r="W27" s="21"/>
      <c r="X27" s="219"/>
      <c r="Y27" s="219"/>
      <c r="Z27" s="223"/>
      <c r="AA27" s="21"/>
      <c r="AB27" s="219"/>
      <c r="AC27" s="218"/>
      <c r="AD27" s="223"/>
      <c r="AE27" s="21"/>
      <c r="AF27" s="65"/>
      <c r="AG27" s="66" t="s">
        <v>105</v>
      </c>
      <c r="AH27" s="10" t="s">
        <v>132</v>
      </c>
      <c r="AI27" s="11">
        <f t="shared" si="15"/>
        <v>0</v>
      </c>
      <c r="AJ27" s="12">
        <v>0</v>
      </c>
      <c r="AK27" s="12">
        <f t="shared" si="2"/>
        <v>0</v>
      </c>
      <c r="AL27" s="14">
        <f t="shared" si="7"/>
        <v>0</v>
      </c>
    </row>
    <row r="28" spans="1:38" s="10" customFormat="1">
      <c r="A28" s="19" t="s">
        <v>164</v>
      </c>
      <c r="B28" s="10" t="s">
        <v>67</v>
      </c>
      <c r="C28" s="62"/>
      <c r="D28" s="11">
        <f t="shared" ref="D28:D35" si="16">L28/$L$88</f>
        <v>6.4909202788735923E-2</v>
      </c>
      <c r="E28" s="63" t="s">
        <v>194</v>
      </c>
      <c r="F28" s="63" t="s">
        <v>194</v>
      </c>
      <c r="G28" s="63" t="s">
        <v>194</v>
      </c>
      <c r="H28" s="63" t="s">
        <v>194</v>
      </c>
      <c r="I28" s="63" t="s">
        <v>194</v>
      </c>
      <c r="J28" s="63" t="s">
        <v>194</v>
      </c>
      <c r="K28" s="63" t="s">
        <v>194</v>
      </c>
      <c r="L28" s="21">
        <f t="shared" si="0"/>
        <v>45633</v>
      </c>
      <c r="M28" s="70">
        <f>(2975+(24808/7))/2</f>
        <v>3259.5</v>
      </c>
      <c r="N28" s="14">
        <f t="shared" si="3"/>
        <v>2.3688226744186047</v>
      </c>
      <c r="O28" s="14"/>
      <c r="P28" s="219">
        <f t="shared" si="9"/>
        <v>3192.5807594476746</v>
      </c>
      <c r="Q28" s="219">
        <f t="shared" si="12"/>
        <v>3192.5807594476746</v>
      </c>
      <c r="R28" s="223">
        <f t="shared" si="4"/>
        <v>2.6649255087209305</v>
      </c>
      <c r="S28" s="21"/>
      <c r="T28" s="219">
        <f t="shared" si="10"/>
        <v>212405.22274709304</v>
      </c>
      <c r="U28" s="219">
        <f t="shared" si="13"/>
        <v>2950.0725381540701</v>
      </c>
      <c r="V28" s="223">
        <f t="shared" si="5"/>
        <v>2.6649255087209305</v>
      </c>
      <c r="W28" s="21"/>
      <c r="X28" s="219">
        <f t="shared" si="11"/>
        <v>209215.30691315408</v>
      </c>
      <c r="Y28" s="219">
        <f t="shared" si="14"/>
        <v>3429.7591297238373</v>
      </c>
      <c r="Z28" s="223">
        <f t="shared" si="6"/>
        <v>2.6649255087209305</v>
      </c>
      <c r="AA28" s="21"/>
      <c r="AB28" s="219">
        <f t="shared" si="8"/>
        <v>421620.52966024715</v>
      </c>
      <c r="AC28" s="218">
        <f t="shared" ref="AC28:AC35" si="17">+AB28/AB$7</f>
        <v>3170.0791703777982</v>
      </c>
      <c r="AD28" s="223">
        <f t="shared" ref="AD28:AD35" si="18">+AC28/AC$8</f>
        <v>2.6439359219164289</v>
      </c>
      <c r="AE28" s="21"/>
      <c r="AF28" s="65"/>
      <c r="AG28" s="66" t="s">
        <v>106</v>
      </c>
      <c r="AH28" s="10" t="s">
        <v>133</v>
      </c>
      <c r="AI28" s="11">
        <f t="shared" si="15"/>
        <v>4.8589541453291071E-2</v>
      </c>
      <c r="AJ28" s="12">
        <f>+AB54+AB55</f>
        <v>639577.4532612646</v>
      </c>
      <c r="AK28" s="12">
        <f t="shared" si="2"/>
        <v>4808.853032039583</v>
      </c>
      <c r="AL28" s="14">
        <f t="shared" si="7"/>
        <v>4.0107197931939815</v>
      </c>
    </row>
    <row r="29" spans="1:38" s="10" customFormat="1">
      <c r="A29" s="19" t="s">
        <v>164</v>
      </c>
      <c r="B29" s="10" t="s">
        <v>200</v>
      </c>
      <c r="C29" s="62"/>
      <c r="D29" s="11">
        <f t="shared" si="16"/>
        <v>5.8226682798783881E-2</v>
      </c>
      <c r="E29" s="63" t="s">
        <v>194</v>
      </c>
      <c r="F29" s="63" t="s">
        <v>194</v>
      </c>
      <c r="G29" s="63" t="s">
        <v>194</v>
      </c>
      <c r="H29" s="63" t="s">
        <v>194</v>
      </c>
      <c r="I29" s="63" t="s">
        <v>194</v>
      </c>
      <c r="J29" s="63" t="s">
        <v>194</v>
      </c>
      <c r="K29" s="63" t="s">
        <v>194</v>
      </c>
      <c r="L29" s="21">
        <f t="shared" si="0"/>
        <v>40935</v>
      </c>
      <c r="M29" s="70">
        <f>(2465+(23680/7))/2</f>
        <v>2923.9285714285716</v>
      </c>
      <c r="N29" s="14">
        <f t="shared" si="3"/>
        <v>2.1249480897009967</v>
      </c>
      <c r="O29" s="14"/>
      <c r="P29" s="219">
        <f t="shared" si="9"/>
        <v>2863.8987878945181</v>
      </c>
      <c r="Q29" s="219">
        <f t="shared" si="12"/>
        <v>2863.8987878945181</v>
      </c>
      <c r="R29" s="223">
        <f t="shared" si="4"/>
        <v>2.3905666009136213</v>
      </c>
      <c r="S29" s="21"/>
      <c r="T29" s="219">
        <f t="shared" si="10"/>
        <v>190537.72035921927</v>
      </c>
      <c r="U29" s="219">
        <f t="shared" si="13"/>
        <v>2646.3572272113788</v>
      </c>
      <c r="V29" s="223">
        <f t="shared" si="5"/>
        <v>2.3905666009136213</v>
      </c>
      <c r="W29" s="21"/>
      <c r="X29" s="219">
        <f t="shared" si="11"/>
        <v>187676.21213792567</v>
      </c>
      <c r="Y29" s="219">
        <f t="shared" si="14"/>
        <v>3076.6592153758306</v>
      </c>
      <c r="Z29" s="223">
        <f t="shared" si="6"/>
        <v>2.3905666009136213</v>
      </c>
      <c r="AA29" s="21"/>
      <c r="AB29" s="219">
        <f t="shared" si="8"/>
        <v>378213.93249714491</v>
      </c>
      <c r="AC29" s="218">
        <f t="shared" si="17"/>
        <v>2843.7137781740221</v>
      </c>
      <c r="AD29" s="223">
        <f t="shared" si="18"/>
        <v>2.3717379300867574</v>
      </c>
      <c r="AE29" s="21"/>
      <c r="AF29" s="65"/>
      <c r="AG29" s="66" t="s">
        <v>107</v>
      </c>
      <c r="AH29" s="10" t="s">
        <v>145</v>
      </c>
      <c r="AI29" s="11">
        <f t="shared" si="15"/>
        <v>2.515381414901954E-2</v>
      </c>
      <c r="AJ29" s="12">
        <f>+AB56+SUM(AB58:AB60)+AB72</f>
        <v>331096.19708393893</v>
      </c>
      <c r="AK29" s="12">
        <f t="shared" si="2"/>
        <v>2489.4450908566837</v>
      </c>
      <c r="AL29" s="14">
        <f t="shared" si="7"/>
        <v>2.0762677988796359</v>
      </c>
    </row>
    <row r="30" spans="1:38" s="10" customFormat="1">
      <c r="A30" s="19" t="s">
        <v>164</v>
      </c>
      <c r="B30" s="10" t="s">
        <v>19</v>
      </c>
      <c r="C30" s="62"/>
      <c r="D30" s="11">
        <f t="shared" si="16"/>
        <v>0.13193923088718204</v>
      </c>
      <c r="E30" s="63" t="s">
        <v>194</v>
      </c>
      <c r="F30" s="63" t="s">
        <v>194</v>
      </c>
      <c r="G30" s="63" t="s">
        <v>194</v>
      </c>
      <c r="H30" s="63" t="s">
        <v>194</v>
      </c>
      <c r="I30" s="63" t="s">
        <v>194</v>
      </c>
      <c r="J30" s="63" t="s">
        <v>194</v>
      </c>
      <c r="K30" s="63" t="s">
        <v>194</v>
      </c>
      <c r="L30" s="21">
        <f t="shared" si="0"/>
        <v>92757</v>
      </c>
      <c r="M30" s="70">
        <f>13251/2</f>
        <v>6625.5</v>
      </c>
      <c r="N30" s="14">
        <f t="shared" si="3"/>
        <v>4.8150436046511631</v>
      </c>
      <c r="O30" s="14"/>
      <c r="P30" s="219">
        <f t="shared" si="9"/>
        <v>6489.4750181686049</v>
      </c>
      <c r="Q30" s="219">
        <f t="shared" si="12"/>
        <v>6489.4750181686049</v>
      </c>
      <c r="R30" s="223">
        <f t="shared" si="4"/>
        <v>5.4169240552325588</v>
      </c>
      <c r="S30" s="21"/>
      <c r="T30" s="219">
        <f t="shared" si="10"/>
        <v>431750.51489825587</v>
      </c>
      <c r="U30" s="219">
        <f t="shared" si="13"/>
        <v>5996.5349291424427</v>
      </c>
      <c r="V30" s="223">
        <f t="shared" si="5"/>
        <v>5.4169240552325588</v>
      </c>
      <c r="W30" s="21"/>
      <c r="X30" s="219">
        <f t="shared" si="11"/>
        <v>425266.45680414245</v>
      </c>
      <c r="Y30" s="219">
        <f t="shared" si="14"/>
        <v>6971.5812590843025</v>
      </c>
      <c r="Z30" s="223">
        <f t="shared" si="6"/>
        <v>5.4169240552325579</v>
      </c>
      <c r="AA30" s="21"/>
      <c r="AB30" s="219">
        <f t="shared" si="8"/>
        <v>857016.97170239827</v>
      </c>
      <c r="AC30" s="218">
        <f t="shared" si="17"/>
        <v>6443.7366293413406</v>
      </c>
      <c r="AD30" s="223">
        <f t="shared" si="18"/>
        <v>5.3742590736791831</v>
      </c>
      <c r="AE30" s="21"/>
      <c r="AF30" s="65"/>
      <c r="AG30" s="66" t="s">
        <v>108</v>
      </c>
      <c r="AH30" s="10" t="s">
        <v>134</v>
      </c>
      <c r="AI30" s="11">
        <f t="shared" si="15"/>
        <v>1.9324254122610553E-2</v>
      </c>
      <c r="AJ30" s="12">
        <f>AB66+AB67</f>
        <v>254362.5</v>
      </c>
      <c r="AK30" s="12">
        <f t="shared" si="2"/>
        <v>1912.5</v>
      </c>
      <c r="AL30" s="14">
        <f t="shared" si="7"/>
        <v>1.5950792326939116</v>
      </c>
    </row>
    <row r="31" spans="1:38" s="10" customFormat="1">
      <c r="A31" s="19" t="s">
        <v>164</v>
      </c>
      <c r="B31" s="10" t="s">
        <v>20</v>
      </c>
      <c r="C31" s="62"/>
      <c r="D31" s="11">
        <f t="shared" si="16"/>
        <v>0</v>
      </c>
      <c r="E31" s="63" t="s">
        <v>194</v>
      </c>
      <c r="F31" s="63" t="s">
        <v>194</v>
      </c>
      <c r="G31" s="63" t="s">
        <v>194</v>
      </c>
      <c r="H31" s="63" t="s">
        <v>194</v>
      </c>
      <c r="I31" s="63" t="s">
        <v>194</v>
      </c>
      <c r="J31" s="63" t="s">
        <v>194</v>
      </c>
      <c r="K31" s="63" t="s">
        <v>194</v>
      </c>
      <c r="L31" s="21">
        <f t="shared" si="0"/>
        <v>0</v>
      </c>
      <c r="M31" s="21"/>
      <c r="N31" s="14">
        <f t="shared" si="3"/>
        <v>0</v>
      </c>
      <c r="O31" s="14"/>
      <c r="P31" s="219">
        <f t="shared" si="9"/>
        <v>0</v>
      </c>
      <c r="Q31" s="219">
        <f t="shared" si="12"/>
        <v>0</v>
      </c>
      <c r="R31" s="223">
        <f t="shared" si="4"/>
        <v>0</v>
      </c>
      <c r="S31" s="21"/>
      <c r="T31" s="219">
        <f t="shared" si="10"/>
        <v>0</v>
      </c>
      <c r="U31" s="219">
        <f t="shared" si="13"/>
        <v>0</v>
      </c>
      <c r="V31" s="223">
        <f t="shared" si="5"/>
        <v>0</v>
      </c>
      <c r="W31" s="21"/>
      <c r="X31" s="219">
        <f t="shared" si="11"/>
        <v>0</v>
      </c>
      <c r="Y31" s="219">
        <f t="shared" si="14"/>
        <v>0</v>
      </c>
      <c r="Z31" s="223">
        <f t="shared" si="6"/>
        <v>0</v>
      </c>
      <c r="AA31" s="21"/>
      <c r="AB31" s="219">
        <f t="shared" si="8"/>
        <v>0</v>
      </c>
      <c r="AC31" s="218">
        <f t="shared" si="17"/>
        <v>0</v>
      </c>
      <c r="AD31" s="223">
        <f t="shared" si="18"/>
        <v>0</v>
      </c>
      <c r="AE31" s="21"/>
      <c r="AF31" s="65"/>
      <c r="AG31" s="66" t="s">
        <v>109</v>
      </c>
      <c r="AH31" s="10" t="s">
        <v>135</v>
      </c>
      <c r="AI31" s="11">
        <f t="shared" si="15"/>
        <v>0</v>
      </c>
      <c r="AJ31" s="12">
        <v>0</v>
      </c>
      <c r="AK31" s="12">
        <f t="shared" si="2"/>
        <v>0</v>
      </c>
      <c r="AL31" s="14">
        <f t="shared" si="7"/>
        <v>0</v>
      </c>
    </row>
    <row r="32" spans="1:38" s="10" customFormat="1">
      <c r="A32" s="19" t="s">
        <v>164</v>
      </c>
      <c r="B32" s="10" t="s">
        <v>21</v>
      </c>
      <c r="C32" s="62"/>
      <c r="D32" s="11">
        <f t="shared" si="16"/>
        <v>0</v>
      </c>
      <c r="E32" s="63" t="s">
        <v>194</v>
      </c>
      <c r="F32" s="63" t="s">
        <v>194</v>
      </c>
      <c r="G32" s="63" t="s">
        <v>194</v>
      </c>
      <c r="H32" s="63" t="s">
        <v>194</v>
      </c>
      <c r="I32" s="63" t="s">
        <v>194</v>
      </c>
      <c r="J32" s="63" t="s">
        <v>194</v>
      </c>
      <c r="K32" s="63" t="s">
        <v>194</v>
      </c>
      <c r="L32" s="21">
        <f t="shared" si="0"/>
        <v>0</v>
      </c>
      <c r="M32" s="21"/>
      <c r="N32" s="14">
        <f t="shared" si="3"/>
        <v>0</v>
      </c>
      <c r="O32" s="14"/>
      <c r="P32" s="219">
        <f t="shared" si="9"/>
        <v>0</v>
      </c>
      <c r="Q32" s="219">
        <f t="shared" si="12"/>
        <v>0</v>
      </c>
      <c r="R32" s="223">
        <f t="shared" si="4"/>
        <v>0</v>
      </c>
      <c r="S32" s="21"/>
      <c r="T32" s="219">
        <f t="shared" si="10"/>
        <v>0</v>
      </c>
      <c r="U32" s="219">
        <f t="shared" si="13"/>
        <v>0</v>
      </c>
      <c r="V32" s="223">
        <f t="shared" si="5"/>
        <v>0</v>
      </c>
      <c r="W32" s="21"/>
      <c r="X32" s="219">
        <f t="shared" si="11"/>
        <v>0</v>
      </c>
      <c r="Y32" s="219">
        <f t="shared" si="14"/>
        <v>0</v>
      </c>
      <c r="Z32" s="223">
        <f t="shared" si="6"/>
        <v>0</v>
      </c>
      <c r="AA32" s="21"/>
      <c r="AB32" s="219">
        <f t="shared" si="8"/>
        <v>0</v>
      </c>
      <c r="AC32" s="218">
        <f t="shared" si="17"/>
        <v>0</v>
      </c>
      <c r="AD32" s="223">
        <f t="shared" si="18"/>
        <v>0</v>
      </c>
      <c r="AE32" s="21"/>
      <c r="AF32" s="65"/>
      <c r="AG32" s="66" t="s">
        <v>110</v>
      </c>
      <c r="AH32" s="10" t="s">
        <v>136</v>
      </c>
      <c r="AI32" s="11">
        <f t="shared" si="15"/>
        <v>1.1178198686038749E-2</v>
      </c>
      <c r="AJ32" s="12">
        <f>AB63+AB64</f>
        <v>147137.09234193314</v>
      </c>
      <c r="AK32" s="12">
        <f t="shared" si="2"/>
        <v>1106.2939273829559</v>
      </c>
      <c r="AL32" s="14">
        <f t="shared" si="7"/>
        <v>0.92268050657460876</v>
      </c>
    </row>
    <row r="33" spans="1:38" s="10" customFormat="1">
      <c r="A33" s="19" t="s">
        <v>165</v>
      </c>
      <c r="B33" s="10" t="s">
        <v>22</v>
      </c>
      <c r="C33" s="62"/>
      <c r="D33" s="11">
        <f t="shared" si="16"/>
        <v>0</v>
      </c>
      <c r="E33" s="63" t="s">
        <v>194</v>
      </c>
      <c r="F33" s="63" t="s">
        <v>194</v>
      </c>
      <c r="G33" s="63" t="s">
        <v>194</v>
      </c>
      <c r="H33" s="63" t="s">
        <v>194</v>
      </c>
      <c r="I33" s="63" t="s">
        <v>194</v>
      </c>
      <c r="J33" s="63" t="s">
        <v>194</v>
      </c>
      <c r="K33" s="63" t="s">
        <v>194</v>
      </c>
      <c r="L33" s="21">
        <f t="shared" si="0"/>
        <v>0</v>
      </c>
      <c r="N33" s="14">
        <f t="shared" si="3"/>
        <v>0</v>
      </c>
      <c r="O33" s="14"/>
      <c r="P33" s="219">
        <f t="shared" si="9"/>
        <v>0</v>
      </c>
      <c r="Q33" s="219">
        <f t="shared" si="12"/>
        <v>0</v>
      </c>
      <c r="R33" s="223">
        <f t="shared" si="4"/>
        <v>0</v>
      </c>
      <c r="S33" s="21"/>
      <c r="T33" s="219">
        <f t="shared" si="10"/>
        <v>0</v>
      </c>
      <c r="U33" s="219">
        <f t="shared" si="13"/>
        <v>0</v>
      </c>
      <c r="V33" s="223">
        <f t="shared" si="5"/>
        <v>0</v>
      </c>
      <c r="W33" s="21"/>
      <c r="X33" s="219">
        <f t="shared" si="11"/>
        <v>0</v>
      </c>
      <c r="Y33" s="219">
        <f t="shared" si="14"/>
        <v>0</v>
      </c>
      <c r="Z33" s="223">
        <f t="shared" si="6"/>
        <v>0</v>
      </c>
      <c r="AA33" s="21"/>
      <c r="AB33" s="219">
        <f t="shared" si="8"/>
        <v>0</v>
      </c>
      <c r="AC33" s="218">
        <f t="shared" si="17"/>
        <v>0</v>
      </c>
      <c r="AD33" s="223">
        <f t="shared" si="18"/>
        <v>0</v>
      </c>
      <c r="AE33" s="21"/>
      <c r="AF33" s="65"/>
      <c r="AG33" s="66" t="s">
        <v>111</v>
      </c>
      <c r="AH33" s="10" t="s">
        <v>137</v>
      </c>
      <c r="AI33" s="11">
        <f t="shared" si="15"/>
        <v>0</v>
      </c>
      <c r="AJ33" s="12">
        <v>0</v>
      </c>
      <c r="AK33" s="12">
        <f t="shared" si="2"/>
        <v>0</v>
      </c>
      <c r="AL33" s="14">
        <f t="shared" si="7"/>
        <v>0</v>
      </c>
    </row>
    <row r="34" spans="1:38" s="10" customFormat="1">
      <c r="A34" s="19" t="s">
        <v>166</v>
      </c>
      <c r="B34" s="10" t="s">
        <v>23</v>
      </c>
      <c r="C34" s="62"/>
      <c r="D34" s="11">
        <f t="shared" si="16"/>
        <v>8.9014921449808125E-3</v>
      </c>
      <c r="E34" s="63" t="s">
        <v>194</v>
      </c>
      <c r="F34" s="63" t="s">
        <v>194</v>
      </c>
      <c r="G34" s="63" t="s">
        <v>194</v>
      </c>
      <c r="H34" s="63" t="s">
        <v>194</v>
      </c>
      <c r="I34" s="63" t="s">
        <v>194</v>
      </c>
      <c r="J34" s="63" t="s">
        <v>194</v>
      </c>
      <c r="K34" s="63" t="s">
        <v>194</v>
      </c>
      <c r="L34" s="21">
        <f t="shared" si="0"/>
        <v>6258</v>
      </c>
      <c r="M34" s="21">
        <f>894/2</f>
        <v>447</v>
      </c>
      <c r="N34" s="14">
        <f t="shared" si="3"/>
        <v>0.32485465116279072</v>
      </c>
      <c r="O34" s="14"/>
      <c r="P34" s="219">
        <f t="shared" si="9"/>
        <v>348.75</v>
      </c>
      <c r="Q34" s="219">
        <f>(120+80+70+40)*CMF</f>
        <v>348.75</v>
      </c>
      <c r="R34" s="223">
        <f t="shared" si="4"/>
        <v>0.291110183639399</v>
      </c>
      <c r="S34" s="21"/>
      <c r="T34" s="219">
        <f t="shared" si="10"/>
        <v>43740</v>
      </c>
      <c r="U34" s="219">
        <f>(120+3*70+2*65+2*40)*CMF</f>
        <v>607.5</v>
      </c>
      <c r="V34" s="223">
        <f t="shared" si="5"/>
        <v>0.54878048780487809</v>
      </c>
      <c r="W34" s="21"/>
      <c r="X34" s="219">
        <f t="shared" si="11"/>
        <v>45978.75</v>
      </c>
      <c r="Y34" s="219">
        <f>(120+4*80+70+4*40)*CMF</f>
        <v>753.75</v>
      </c>
      <c r="Z34" s="223">
        <f t="shared" si="6"/>
        <v>0.58566433566433562</v>
      </c>
      <c r="AA34" s="21"/>
      <c r="AB34" s="219">
        <f t="shared" si="8"/>
        <v>89718.75</v>
      </c>
      <c r="AC34" s="218">
        <f t="shared" si="17"/>
        <v>674.57706766917295</v>
      </c>
      <c r="AD34" s="223">
        <f t="shared" si="18"/>
        <v>0.56261640339380559</v>
      </c>
      <c r="AE34" s="21"/>
      <c r="AF34" s="65"/>
      <c r="AG34" s="66" t="s">
        <v>112</v>
      </c>
      <c r="AH34" s="10" t="s">
        <v>49</v>
      </c>
      <c r="AI34" s="11">
        <f t="shared" si="15"/>
        <v>1.0230487476676176E-2</v>
      </c>
      <c r="AJ34" s="12">
        <f>+AB70</f>
        <v>134662.5</v>
      </c>
      <c r="AK34" s="12">
        <f t="shared" si="2"/>
        <v>1012.5</v>
      </c>
      <c r="AL34" s="14">
        <f t="shared" si="7"/>
        <v>0.84445371142618852</v>
      </c>
    </row>
    <row r="35" spans="1:38" s="10" customFormat="1">
      <c r="A35" s="19" t="s">
        <v>164</v>
      </c>
      <c r="B35" s="10" t="s">
        <v>24</v>
      </c>
      <c r="C35" s="62"/>
      <c r="D35" s="11">
        <f t="shared" si="16"/>
        <v>5.9741558020005451E-3</v>
      </c>
      <c r="E35" s="63" t="s">
        <v>194</v>
      </c>
      <c r="F35" s="63" t="s">
        <v>194</v>
      </c>
      <c r="G35" s="63" t="s">
        <v>194</v>
      </c>
      <c r="H35" s="63" t="s">
        <v>194</v>
      </c>
      <c r="I35" s="63" t="s">
        <v>194</v>
      </c>
      <c r="J35" s="63" t="s">
        <v>194</v>
      </c>
      <c r="K35" s="63" t="s">
        <v>194</v>
      </c>
      <c r="L35" s="21">
        <f t="shared" si="0"/>
        <v>4200</v>
      </c>
      <c r="M35" s="71">
        <f>600/2</f>
        <v>300</v>
      </c>
      <c r="N35" s="14">
        <f t="shared" si="3"/>
        <v>0.21802325581395349</v>
      </c>
      <c r="O35" s="14"/>
      <c r="P35" s="219">
        <f t="shared" si="9"/>
        <v>582.75</v>
      </c>
      <c r="Q35" s="219">
        <f>((75+46+13)*2+180+70)*CMF</f>
        <v>582.75</v>
      </c>
      <c r="R35" s="223">
        <f t="shared" si="4"/>
        <v>0.48643572621035058</v>
      </c>
      <c r="S35" s="21"/>
      <c r="T35" s="219">
        <f t="shared" si="10"/>
        <v>41958</v>
      </c>
      <c r="U35" s="219">
        <f>((75+46+13)*2+180+70)*CMF</f>
        <v>582.75</v>
      </c>
      <c r="V35" s="223">
        <f t="shared" si="5"/>
        <v>0.52642276422764223</v>
      </c>
      <c r="W35" s="21"/>
      <c r="X35" s="219">
        <f t="shared" si="11"/>
        <v>35547.75</v>
      </c>
      <c r="Y35" s="219">
        <f>((75+46+13)*2+180+70)*CMF</f>
        <v>582.75</v>
      </c>
      <c r="Z35" s="223">
        <f t="shared" si="6"/>
        <v>0.45279720279720281</v>
      </c>
      <c r="AA35" s="21"/>
      <c r="AB35" s="219">
        <f t="shared" si="8"/>
        <v>77505.75</v>
      </c>
      <c r="AC35" s="218">
        <f t="shared" si="17"/>
        <v>582.75</v>
      </c>
      <c r="AD35" s="223">
        <f t="shared" si="18"/>
        <v>0.48603002502085069</v>
      </c>
      <c r="AE35" s="21"/>
      <c r="AF35" s="65"/>
      <c r="AG35" s="66" t="s">
        <v>113</v>
      </c>
      <c r="AH35" s="10" t="s">
        <v>138</v>
      </c>
      <c r="AI35" s="11">
        <f t="shared" si="15"/>
        <v>1.6496761053386343E-2</v>
      </c>
      <c r="AJ35" s="12">
        <f>+AB71</f>
        <v>217144.59749999997</v>
      </c>
      <c r="AK35" s="12">
        <f t="shared" si="2"/>
        <v>1632.6661466165413</v>
      </c>
      <c r="AL35" s="14">
        <f t="shared" si="7"/>
        <v>1.3616898637335624</v>
      </c>
    </row>
    <row r="36" spans="1:38" s="10" customFormat="1">
      <c r="A36" s="19"/>
      <c r="B36" s="25" t="s">
        <v>218</v>
      </c>
      <c r="C36" s="62"/>
      <c r="D36" s="11"/>
      <c r="E36" s="63"/>
      <c r="F36" s="63"/>
      <c r="G36" s="63"/>
      <c r="H36" s="63"/>
      <c r="I36" s="63"/>
      <c r="J36" s="63"/>
      <c r="K36" s="63"/>
      <c r="L36" s="21"/>
      <c r="M36" s="21"/>
      <c r="N36" s="14"/>
      <c r="O36" s="14"/>
      <c r="P36" s="219"/>
      <c r="Q36" s="219"/>
      <c r="R36" s="223"/>
      <c r="S36" s="21"/>
      <c r="T36" s="219"/>
      <c r="U36" s="219"/>
      <c r="V36" s="223"/>
      <c r="W36" s="21"/>
      <c r="X36" s="219"/>
      <c r="Y36" s="219"/>
      <c r="Z36" s="223"/>
      <c r="AA36" s="21"/>
      <c r="AB36" s="219"/>
      <c r="AC36" s="218"/>
      <c r="AD36" s="223"/>
      <c r="AE36" s="21"/>
      <c r="AF36" s="65"/>
      <c r="AG36" s="66" t="s">
        <v>114</v>
      </c>
      <c r="AH36" s="10" t="s">
        <v>139</v>
      </c>
      <c r="AI36" s="11">
        <f t="shared" si="15"/>
        <v>3.8364328037535657E-3</v>
      </c>
      <c r="AJ36" s="12">
        <f>SUM(AB73:AB76)</f>
        <v>50498.4375</v>
      </c>
      <c r="AK36" s="12">
        <f t="shared" si="2"/>
        <v>379.6875</v>
      </c>
      <c r="AL36" s="14">
        <f t="shared" si="7"/>
        <v>0.31667014178482067</v>
      </c>
    </row>
    <row r="37" spans="1:38" s="10" customFormat="1">
      <c r="A37" s="19" t="s">
        <v>219</v>
      </c>
      <c r="B37" s="10" t="s">
        <v>26</v>
      </c>
      <c r="C37" s="62"/>
      <c r="D37" s="11"/>
      <c r="E37" s="63"/>
      <c r="F37" s="63"/>
      <c r="G37" s="63"/>
      <c r="H37" s="63"/>
      <c r="I37" s="63"/>
      <c r="J37" s="63"/>
      <c r="K37" s="63"/>
      <c r="L37" s="21">
        <v>0</v>
      </c>
      <c r="M37" s="21">
        <v>0</v>
      </c>
      <c r="N37" s="14"/>
      <c r="O37" s="14"/>
      <c r="P37" s="219">
        <f t="shared" si="9"/>
        <v>168.75</v>
      </c>
      <c r="Q37" s="219">
        <f>(28-3)*3*2*CMF</f>
        <v>168.75</v>
      </c>
      <c r="R37" s="223">
        <f t="shared" si="4"/>
        <v>0.14085976627712854</v>
      </c>
      <c r="S37" s="21"/>
      <c r="T37" s="219">
        <f t="shared" si="10"/>
        <v>12150</v>
      </c>
      <c r="U37" s="219">
        <f>(28-3)*3*2*CMF</f>
        <v>168.75</v>
      </c>
      <c r="V37" s="223">
        <f t="shared" si="5"/>
        <v>0.1524390243902439</v>
      </c>
      <c r="W37" s="21"/>
      <c r="X37" s="219">
        <f t="shared" si="11"/>
        <v>10293.75</v>
      </c>
      <c r="Y37" s="219">
        <f>(28-3)*3*2*CMF</f>
        <v>168.75</v>
      </c>
      <c r="Z37" s="223">
        <f t="shared" si="6"/>
        <v>0.13111888111888112</v>
      </c>
      <c r="AA37" s="21"/>
      <c r="AB37" s="219">
        <f t="shared" si="8"/>
        <v>22443.75</v>
      </c>
      <c r="AC37" s="218">
        <f>+AB37/AB$7</f>
        <v>168.75</v>
      </c>
      <c r="AD37" s="223">
        <f>+AC37/AC$8</f>
        <v>0.14074228523769808</v>
      </c>
      <c r="AE37" s="21"/>
      <c r="AF37" s="65"/>
      <c r="AG37" s="66" t="s">
        <v>115</v>
      </c>
      <c r="AH37" s="10" t="s">
        <v>47</v>
      </c>
      <c r="AI37" s="11">
        <f t="shared" si="15"/>
        <v>6.9707418565838324E-3</v>
      </c>
      <c r="AJ37" s="12">
        <f>+AB68</f>
        <v>91754.916606104642</v>
      </c>
      <c r="AK37" s="12">
        <f t="shared" si="2"/>
        <v>689.88659102334316</v>
      </c>
      <c r="AL37" s="14">
        <f t="shared" si="7"/>
        <v>0.57538498000278826</v>
      </c>
    </row>
    <row r="38" spans="1:38" s="10" customFormat="1">
      <c r="A38" s="19" t="s">
        <v>219</v>
      </c>
      <c r="B38" s="10" t="s">
        <v>27</v>
      </c>
      <c r="C38" s="62"/>
      <c r="D38" s="11"/>
      <c r="E38" s="63"/>
      <c r="F38" s="63"/>
      <c r="G38" s="63"/>
      <c r="H38" s="63"/>
      <c r="I38" s="63"/>
      <c r="J38" s="63"/>
      <c r="K38" s="63"/>
      <c r="L38" s="21">
        <v>0</v>
      </c>
      <c r="M38" s="21">
        <v>0</v>
      </c>
      <c r="N38" s="14"/>
      <c r="O38" s="14"/>
      <c r="P38" s="219">
        <f t="shared" si="9"/>
        <v>295.3125</v>
      </c>
      <c r="Q38" s="219">
        <f>(28-3)*3*3.5*CMF</f>
        <v>295.3125</v>
      </c>
      <c r="R38" s="223">
        <f t="shared" si="4"/>
        <v>0.24650459098497496</v>
      </c>
      <c r="S38" s="21"/>
      <c r="T38" s="219">
        <f t="shared" si="10"/>
        <v>21262.5</v>
      </c>
      <c r="U38" s="219">
        <f>(28-3)*3*3.5*CMF</f>
        <v>295.3125</v>
      </c>
      <c r="V38" s="223">
        <f t="shared" si="5"/>
        <v>0.26676829268292684</v>
      </c>
      <c r="W38" s="21"/>
      <c r="X38" s="219">
        <f t="shared" si="11"/>
        <v>18014.0625</v>
      </c>
      <c r="Y38" s="219">
        <f>(28-3)*3*3.5*CMF</f>
        <v>295.3125</v>
      </c>
      <c r="Z38" s="223">
        <f t="shared" si="6"/>
        <v>0.22945804195804195</v>
      </c>
      <c r="AA38" s="21"/>
      <c r="AB38" s="219">
        <f t="shared" si="8"/>
        <v>39276.5625</v>
      </c>
      <c r="AC38" s="218">
        <f>+AB38/AB$7</f>
        <v>295.3125</v>
      </c>
      <c r="AD38" s="223">
        <f>+AC38/AC$8</f>
        <v>0.24629899916597164</v>
      </c>
      <c r="AE38" s="21"/>
      <c r="AF38" s="65"/>
      <c r="AG38" s="66" t="s">
        <v>116</v>
      </c>
      <c r="AH38" s="10" t="s">
        <v>144</v>
      </c>
      <c r="AI38" s="11">
        <f t="shared" si="15"/>
        <v>1.0024929035321508E-2</v>
      </c>
      <c r="AJ38" s="12">
        <f>SUM(AB77:AB79)</f>
        <v>131956.76250000001</v>
      </c>
      <c r="AK38" s="12">
        <f t="shared" si="2"/>
        <v>992.15610902255651</v>
      </c>
      <c r="AL38" s="14">
        <f t="shared" si="7"/>
        <v>0.82748632946001377</v>
      </c>
    </row>
    <row r="39" spans="1:38" s="10" customFormat="1">
      <c r="A39" s="19"/>
      <c r="B39" s="25" t="s">
        <v>25</v>
      </c>
      <c r="C39" s="62"/>
      <c r="D39" s="11"/>
      <c r="E39" s="63"/>
      <c r="F39" s="63"/>
      <c r="G39" s="63"/>
      <c r="H39" s="63"/>
      <c r="I39" s="63"/>
      <c r="J39" s="63"/>
      <c r="K39" s="63"/>
      <c r="L39" s="21"/>
      <c r="M39" s="21"/>
      <c r="N39" s="14"/>
      <c r="O39" s="14"/>
      <c r="P39" s="219"/>
      <c r="Q39" s="219"/>
      <c r="R39" s="223"/>
      <c r="S39" s="21"/>
      <c r="T39" s="219"/>
      <c r="U39" s="219"/>
      <c r="V39" s="223"/>
      <c r="W39" s="21"/>
      <c r="X39" s="219"/>
      <c r="Y39" s="219"/>
      <c r="Z39" s="223"/>
      <c r="AA39" s="21"/>
      <c r="AB39" s="219"/>
      <c r="AC39" s="218"/>
      <c r="AD39" s="223"/>
      <c r="AE39" s="21"/>
      <c r="AF39" s="65"/>
      <c r="AG39" s="66" t="s">
        <v>117</v>
      </c>
      <c r="AH39" s="10" t="s">
        <v>142</v>
      </c>
      <c r="AI39" s="11">
        <f t="shared" si="15"/>
        <v>1.8338581420220268E-2</v>
      </c>
      <c r="AJ39" s="18">
        <f>SUM(AB81:AB85)</f>
        <v>241388.22574491281</v>
      </c>
      <c r="AK39" s="12">
        <f t="shared" si="2"/>
        <v>1814.9490657512242</v>
      </c>
      <c r="AL39" s="14">
        <f t="shared" si="7"/>
        <v>1.5137189872820884</v>
      </c>
    </row>
    <row r="40" spans="1:38" s="10" customFormat="1" ht="14.45" customHeight="1">
      <c r="A40" s="19" t="s">
        <v>167</v>
      </c>
      <c r="B40" s="10" t="s">
        <v>26</v>
      </c>
      <c r="C40" s="62"/>
      <c r="D40" s="11">
        <f>L40/$L$88</f>
        <v>7.4676947525006811E-3</v>
      </c>
      <c r="E40" s="63" t="s">
        <v>194</v>
      </c>
      <c r="F40" s="63" t="s">
        <v>194</v>
      </c>
      <c r="G40" s="63" t="s">
        <v>194</v>
      </c>
      <c r="H40" s="63" t="s">
        <v>194</v>
      </c>
      <c r="I40" s="63" t="s">
        <v>194</v>
      </c>
      <c r="J40" s="63" t="s">
        <v>194</v>
      </c>
      <c r="K40" s="63" t="s">
        <v>194</v>
      </c>
      <c r="L40" s="21">
        <f t="shared" si="0"/>
        <v>5250</v>
      </c>
      <c r="M40" s="21">
        <f>750/2</f>
        <v>375</v>
      </c>
      <c r="N40" s="14">
        <f t="shared" si="3"/>
        <v>0.27252906976744184</v>
      </c>
      <c r="O40" s="14"/>
      <c r="P40" s="219">
        <f t="shared" si="9"/>
        <v>490.15125</v>
      </c>
      <c r="Q40" s="219">
        <f>((R$8*1.2)/100*23.5)*CMF</f>
        <v>490.15125</v>
      </c>
      <c r="R40" s="223">
        <f t="shared" si="4"/>
        <v>0.40914127712854759</v>
      </c>
      <c r="S40" s="21"/>
      <c r="T40" s="219">
        <f t="shared" si="10"/>
        <v>25286.093999999997</v>
      </c>
      <c r="U40" s="219">
        <f>((V$8*1.2)/100*23.5)*CMF</f>
        <v>351.19574999999998</v>
      </c>
      <c r="V40" s="223">
        <f t="shared" si="5"/>
        <v>0.31724999999999998</v>
      </c>
      <c r="W40" s="21"/>
      <c r="X40" s="219">
        <f t="shared" si="11"/>
        <v>30866.838750000003</v>
      </c>
      <c r="Y40" s="219">
        <f>((Z$8*1.2)/100*23.5)*CMF</f>
        <v>506.01375000000002</v>
      </c>
      <c r="Z40" s="223">
        <f t="shared" si="6"/>
        <v>0.39317307692307696</v>
      </c>
      <c r="AA40" s="21"/>
      <c r="AB40" s="219">
        <f t="shared" si="8"/>
        <v>56152.93275</v>
      </c>
      <c r="AC40" s="218">
        <f>+AB40/AB$7</f>
        <v>422.20250187969924</v>
      </c>
      <c r="AD40" s="223">
        <f>+AC40/AC$8</f>
        <v>0.35212885894887341</v>
      </c>
      <c r="AE40" s="21"/>
      <c r="AF40" s="65"/>
      <c r="AG40" s="66" t="s">
        <v>118</v>
      </c>
      <c r="AH40" s="10" t="s">
        <v>126</v>
      </c>
      <c r="AI40" s="11">
        <f t="shared" si="15"/>
        <v>0</v>
      </c>
      <c r="AJ40" s="18"/>
      <c r="AK40" s="12">
        <f t="shared" si="2"/>
        <v>0</v>
      </c>
      <c r="AL40" s="14">
        <f t="shared" si="7"/>
        <v>0</v>
      </c>
    </row>
    <row r="41" spans="1:38" s="10" customFormat="1">
      <c r="A41" s="19" t="s">
        <v>167</v>
      </c>
      <c r="B41" s="10" t="s">
        <v>27</v>
      </c>
      <c r="C41" s="62"/>
      <c r="D41" s="11">
        <f>L41/$L$88</f>
        <v>7.069417699033978E-3</v>
      </c>
      <c r="E41" s="63" t="s">
        <v>194</v>
      </c>
      <c r="F41" s="63" t="s">
        <v>194</v>
      </c>
      <c r="G41" s="63" t="s">
        <v>194</v>
      </c>
      <c r="H41" s="63" t="s">
        <v>194</v>
      </c>
      <c r="I41" s="63" t="s">
        <v>194</v>
      </c>
      <c r="J41" s="63" t="s">
        <v>194</v>
      </c>
      <c r="K41" s="63" t="s">
        <v>194</v>
      </c>
      <c r="L41" s="21">
        <f t="shared" si="0"/>
        <v>4970</v>
      </c>
      <c r="M41" s="21">
        <f>710/2</f>
        <v>355</v>
      </c>
      <c r="N41" s="14">
        <f t="shared" si="3"/>
        <v>0.25799418604651164</v>
      </c>
      <c r="O41" s="14"/>
      <c r="P41" s="219">
        <f t="shared" si="9"/>
        <v>438.00749999999999</v>
      </c>
      <c r="Q41" s="219">
        <f>((R$8*1.2)/100*21)*CMF</f>
        <v>438.00749999999999</v>
      </c>
      <c r="R41" s="223">
        <f t="shared" si="4"/>
        <v>0.36561560934891485</v>
      </c>
      <c r="S41" s="21"/>
      <c r="T41" s="219">
        <f t="shared" si="10"/>
        <v>22596.083999999999</v>
      </c>
      <c r="U41" s="219">
        <f>((V$8*1.2)/100*21)*CMF</f>
        <v>313.83449999999999</v>
      </c>
      <c r="V41" s="223">
        <f t="shared" si="5"/>
        <v>0.28349999999999997</v>
      </c>
      <c r="W41" s="21"/>
      <c r="X41" s="219">
        <f t="shared" si="11"/>
        <v>27583.1325</v>
      </c>
      <c r="Y41" s="219">
        <f>((Z$8*1.2)/100*21)*CMF</f>
        <v>452.1825</v>
      </c>
      <c r="Z41" s="223">
        <f t="shared" si="6"/>
        <v>0.35134615384615386</v>
      </c>
      <c r="AA41" s="21"/>
      <c r="AB41" s="219">
        <f t="shared" si="8"/>
        <v>50179.216499999995</v>
      </c>
      <c r="AC41" s="218">
        <f>+AB41/AB$7</f>
        <v>377.28734210526312</v>
      </c>
      <c r="AD41" s="223">
        <f>+AC41/AC$8</f>
        <v>0.31466834203941879</v>
      </c>
      <c r="AE41" s="21"/>
      <c r="AF41" s="65"/>
      <c r="AG41" s="66" t="s">
        <v>119</v>
      </c>
      <c r="AH41" s="10" t="s">
        <v>125</v>
      </c>
      <c r="AI41" s="11">
        <f t="shared" si="15"/>
        <v>2.8044223306512815E-2</v>
      </c>
      <c r="AJ41" s="18">
        <f>(SUM(AJ9:AJ40)+SUM(AJ42:AJ45))*1.0125*0.7*0.095/12*6</f>
        <v>369142.25540308724</v>
      </c>
      <c r="AK41" s="12">
        <f t="shared" si="2"/>
        <v>2775.5056797224606</v>
      </c>
      <c r="AL41" s="14">
        <f t="shared" si="7"/>
        <v>2.3148504418035531</v>
      </c>
    </row>
    <row r="42" spans="1:38" s="10" customFormat="1">
      <c r="A42" s="19"/>
      <c r="B42" s="25" t="s">
        <v>28</v>
      </c>
      <c r="C42" s="62"/>
      <c r="E42" s="63"/>
      <c r="F42" s="63"/>
      <c r="G42" s="63"/>
      <c r="H42" s="63"/>
      <c r="I42" s="63"/>
      <c r="J42" s="63"/>
      <c r="K42" s="63"/>
      <c r="L42" s="21"/>
      <c r="M42" s="21"/>
      <c r="N42" s="14"/>
      <c r="O42" s="14"/>
      <c r="P42" s="219"/>
      <c r="Q42" s="219"/>
      <c r="R42" s="223"/>
      <c r="S42" s="21"/>
      <c r="T42" s="219"/>
      <c r="U42" s="219"/>
      <c r="V42" s="223"/>
      <c r="W42" s="21"/>
      <c r="X42" s="219"/>
      <c r="Y42" s="219"/>
      <c r="Z42" s="223"/>
      <c r="AA42" s="21"/>
      <c r="AB42" s="219"/>
      <c r="AC42" s="218" t="s">
        <v>71</v>
      </c>
      <c r="AD42" s="223"/>
      <c r="AE42" s="21"/>
      <c r="AF42" s="65"/>
      <c r="AG42" s="66" t="s">
        <v>120</v>
      </c>
      <c r="AH42" s="10" t="s">
        <v>124</v>
      </c>
      <c r="AI42" s="11">
        <f t="shared" si="15"/>
        <v>0.14390258953825832</v>
      </c>
      <c r="AJ42" s="18">
        <f>(2.5*43560+75000)*10.3</f>
        <v>1894170.0000000002</v>
      </c>
      <c r="AK42" s="12">
        <f t="shared" si="2"/>
        <v>14241.879699248122</v>
      </c>
      <c r="AL42" s="14">
        <f t="shared" si="7"/>
        <v>11.878131525644806</v>
      </c>
    </row>
    <row r="43" spans="1:38" s="10" customFormat="1">
      <c r="A43" s="19" t="s">
        <v>168</v>
      </c>
      <c r="B43" s="10" t="s">
        <v>29</v>
      </c>
      <c r="C43" s="62">
        <v>0.1</v>
      </c>
      <c r="D43" s="11">
        <f>L43/$L$88</f>
        <v>2.9870779010002725E-3</v>
      </c>
      <c r="E43" s="63" t="s">
        <v>194</v>
      </c>
      <c r="F43" s="63" t="s">
        <v>194</v>
      </c>
      <c r="G43" s="63" t="s">
        <v>194</v>
      </c>
      <c r="H43" s="63" t="s">
        <v>194</v>
      </c>
      <c r="I43" s="63" t="s">
        <v>194</v>
      </c>
      <c r="J43" s="63" t="s">
        <v>194</v>
      </c>
      <c r="K43" s="63" t="s">
        <v>194</v>
      </c>
      <c r="L43" s="21">
        <f t="shared" si="0"/>
        <v>2100</v>
      </c>
      <c r="M43" s="21">
        <f>300/2</f>
        <v>150</v>
      </c>
      <c r="N43" s="14">
        <f t="shared" si="3"/>
        <v>0.10901162790697674</v>
      </c>
      <c r="O43" s="14"/>
      <c r="P43" s="219">
        <f t="shared" si="9"/>
        <v>63.439849624060152</v>
      </c>
      <c r="Q43" s="219">
        <f>7500/SM134Units*CMF</f>
        <v>63.439849624060152</v>
      </c>
      <c r="R43" s="223">
        <f t="shared" si="4"/>
        <v>5.2954799352303968E-2</v>
      </c>
      <c r="S43" s="21"/>
      <c r="T43" s="219">
        <f t="shared" si="10"/>
        <v>4567.6691729323311</v>
      </c>
      <c r="U43" s="219">
        <f>7500/SM134Units*CMF</f>
        <v>63.439849624060152</v>
      </c>
      <c r="V43" s="223">
        <f t="shared" si="5"/>
        <v>5.7307903906106732E-2</v>
      </c>
      <c r="W43" s="21"/>
      <c r="X43" s="219">
        <f t="shared" si="11"/>
        <v>3869.8308270676694</v>
      </c>
      <c r="Y43" s="219">
        <f>7500/SM134Units*CMF</f>
        <v>63.439849624060152</v>
      </c>
      <c r="Z43" s="223">
        <f t="shared" si="6"/>
        <v>4.9292812450707185E-2</v>
      </c>
      <c r="AA43" s="21"/>
      <c r="AB43" s="219">
        <f t="shared" si="8"/>
        <v>8437.5</v>
      </c>
      <c r="AC43" s="218">
        <f>+AB43/AB$7</f>
        <v>63.439849624060152</v>
      </c>
      <c r="AD43" s="223">
        <f>+AC43/AC$8</f>
        <v>5.2910633548006798E-2</v>
      </c>
      <c r="AE43" s="21"/>
      <c r="AF43" s="65"/>
      <c r="AG43" s="66" t="s">
        <v>121</v>
      </c>
      <c r="AH43" s="10" t="s">
        <v>123</v>
      </c>
      <c r="AI43" s="11">
        <f t="shared" si="15"/>
        <v>1.2659457210463331E-2</v>
      </c>
      <c r="AJ43" s="18">
        <f>AB11+AB86</f>
        <v>166634.69463117732</v>
      </c>
      <c r="AK43" s="12">
        <f t="shared" si="2"/>
        <v>1252.8924408359196</v>
      </c>
      <c r="AL43" s="14">
        <f t="shared" si="7"/>
        <v>1.0449478238831691</v>
      </c>
    </row>
    <row r="44" spans="1:38" s="10" customFormat="1" ht="12.75" thickBot="1">
      <c r="A44" s="19" t="s">
        <v>168</v>
      </c>
      <c r="B44" s="10" t="s">
        <v>10</v>
      </c>
      <c r="C44" s="62">
        <v>0.5</v>
      </c>
      <c r="D44" s="11">
        <f>L44/$L$88</f>
        <v>3.0975997833372827E-2</v>
      </c>
      <c r="E44" s="63" t="s">
        <v>194</v>
      </c>
      <c r="F44" s="63" t="s">
        <v>194</v>
      </c>
      <c r="G44" s="63" t="s">
        <v>194</v>
      </c>
      <c r="H44" s="63" t="s">
        <v>194</v>
      </c>
      <c r="I44" s="63" t="s">
        <v>194</v>
      </c>
      <c r="J44" s="63" t="s">
        <v>194</v>
      </c>
      <c r="K44" s="63" t="s">
        <v>194</v>
      </c>
      <c r="L44" s="21">
        <f t="shared" si="0"/>
        <v>21777</v>
      </c>
      <c r="M44" s="21">
        <f>3111/2</f>
        <v>1555.5</v>
      </c>
      <c r="N44" s="14">
        <f t="shared" si="3"/>
        <v>1.1304505813953489</v>
      </c>
      <c r="O44" s="14"/>
      <c r="P44" s="219">
        <f t="shared" si="9"/>
        <v>1698.1650000000002</v>
      </c>
      <c r="Q44" s="219">
        <f>2.1*CMF*60%*Q$8</f>
        <v>1698.1650000000002</v>
      </c>
      <c r="R44" s="223">
        <f t="shared" si="4"/>
        <v>1.4175000000000002</v>
      </c>
      <c r="S44" s="21"/>
      <c r="T44" s="219">
        <f t="shared" si="10"/>
        <v>112980.42000000001</v>
      </c>
      <c r="U44" s="219">
        <f>2.1*CMF*60%*U$8</f>
        <v>1569.1725000000001</v>
      </c>
      <c r="V44" s="223">
        <f t="shared" si="5"/>
        <v>1.4175000000000002</v>
      </c>
      <c r="W44" s="21"/>
      <c r="X44" s="219">
        <f t="shared" si="11"/>
        <v>111283.67250000002</v>
      </c>
      <c r="Y44" s="219">
        <f>2.1*CMF*60%*Y$8</f>
        <v>1824.3225000000002</v>
      </c>
      <c r="Z44" s="223">
        <f t="shared" si="6"/>
        <v>1.4175000000000002</v>
      </c>
      <c r="AA44" s="21"/>
      <c r="AB44" s="219">
        <f t="shared" si="8"/>
        <v>224264.09250000003</v>
      </c>
      <c r="AC44" s="218">
        <f>+AB44/AB$7</f>
        <v>1686.1961842105266</v>
      </c>
      <c r="AD44" s="223">
        <f>+AC44/AC$8</f>
        <v>1.4063354330363025</v>
      </c>
      <c r="AE44" s="21"/>
      <c r="AF44" s="65"/>
      <c r="AG44" s="66" t="s">
        <v>122</v>
      </c>
      <c r="AH44" s="10" t="s">
        <v>143</v>
      </c>
      <c r="AI44" s="11">
        <f t="shared" si="15"/>
        <v>1.7552835459286223E-2</v>
      </c>
      <c r="AJ44" s="18">
        <f>AB45+AB47+AB48+AB69</f>
        <v>231045.55969840119</v>
      </c>
      <c r="AK44" s="12">
        <f t="shared" si="2"/>
        <v>1737.1846593864752</v>
      </c>
      <c r="AL44" s="14">
        <f t="shared" si="7"/>
        <v>1.4488612672114054</v>
      </c>
    </row>
    <row r="45" spans="1:38" s="10" customFormat="1" ht="12.75" thickBot="1">
      <c r="A45" s="19" t="s">
        <v>158</v>
      </c>
      <c r="B45" s="26" t="s">
        <v>30</v>
      </c>
      <c r="C45" s="62">
        <v>0.4</v>
      </c>
      <c r="D45" s="11">
        <f>L45/$L$88</f>
        <v>2.4782789651965596E-2</v>
      </c>
      <c r="E45" s="63" t="s">
        <v>194</v>
      </c>
      <c r="F45" s="63" t="s">
        <v>194</v>
      </c>
      <c r="G45" s="67"/>
      <c r="H45" s="63" t="s">
        <v>194</v>
      </c>
      <c r="I45" s="63" t="s">
        <v>194</v>
      </c>
      <c r="J45" s="67"/>
      <c r="K45" s="68" t="s">
        <v>194</v>
      </c>
      <c r="L45" s="21">
        <f t="shared" si="0"/>
        <v>17423</v>
      </c>
      <c r="M45" s="21">
        <f>2489/2</f>
        <v>1244.5</v>
      </c>
      <c r="N45" s="14">
        <f t="shared" si="3"/>
        <v>0.90443313953488369</v>
      </c>
      <c r="O45" s="14"/>
      <c r="P45" s="219">
        <f t="shared" si="9"/>
        <v>1132.1100000000001</v>
      </c>
      <c r="Q45" s="219">
        <f>2.1*CMF*40%*Q$8</f>
        <v>1132.1100000000001</v>
      </c>
      <c r="R45" s="223">
        <f t="shared" si="4"/>
        <v>0.94500000000000006</v>
      </c>
      <c r="S45" s="21"/>
      <c r="T45" s="219">
        <f t="shared" si="10"/>
        <v>75320.280000000013</v>
      </c>
      <c r="U45" s="219">
        <f>2.1*CMF*40%*U$8</f>
        <v>1046.1150000000002</v>
      </c>
      <c r="V45" s="223">
        <f t="shared" si="5"/>
        <v>0.94500000000000017</v>
      </c>
      <c r="W45" s="21"/>
      <c r="X45" s="219">
        <f t="shared" si="11"/>
        <v>74189.115000000005</v>
      </c>
      <c r="Y45" s="219">
        <f>2.1*CMF*40%*Y$8</f>
        <v>1216.2150000000001</v>
      </c>
      <c r="Z45" s="223">
        <f t="shared" si="6"/>
        <v>0.94500000000000006</v>
      </c>
      <c r="AA45" s="21"/>
      <c r="AB45" s="219">
        <f t="shared" si="8"/>
        <v>149509.39500000002</v>
      </c>
      <c r="AC45" s="218">
        <f>+AB45/AB$7</f>
        <v>1124.1307894736844</v>
      </c>
      <c r="AD45" s="223">
        <f>+AC45/AC$8</f>
        <v>0.93755695535753503</v>
      </c>
      <c r="AE45" s="21"/>
      <c r="AF45" s="65"/>
      <c r="AG45" s="66" t="s">
        <v>210</v>
      </c>
      <c r="AH45" s="10" t="s">
        <v>70</v>
      </c>
      <c r="AI45" s="11">
        <f t="shared" si="15"/>
        <v>1.3877822924187919E-2</v>
      </c>
      <c r="AJ45" s="19">
        <f>+AB87</f>
        <v>182671.875</v>
      </c>
      <c r="AK45" s="12">
        <f t="shared" si="2"/>
        <v>1373.4727443609022</v>
      </c>
      <c r="AL45" s="14">
        <f t="shared" si="7"/>
        <v>1.1455152163143472</v>
      </c>
    </row>
    <row r="46" spans="1:38">
      <c r="A46" s="19"/>
      <c r="B46" s="25" t="s">
        <v>31</v>
      </c>
      <c r="C46" s="62"/>
      <c r="D46" s="10"/>
      <c r="E46" s="63"/>
      <c r="F46" s="63"/>
      <c r="G46" s="63"/>
      <c r="H46" s="63"/>
      <c r="I46" s="63"/>
      <c r="J46" s="63"/>
      <c r="K46" s="63"/>
      <c r="L46" s="21"/>
      <c r="M46" s="10"/>
      <c r="N46" s="14"/>
      <c r="O46" s="14"/>
      <c r="P46" s="219"/>
      <c r="Q46" s="220"/>
      <c r="R46" s="224"/>
      <c r="S46" s="36"/>
      <c r="T46" s="222"/>
      <c r="U46" s="222"/>
      <c r="V46" s="224"/>
      <c r="W46" s="36"/>
      <c r="X46" s="222"/>
      <c r="Y46" s="222"/>
      <c r="Z46" s="224"/>
      <c r="AA46" s="36"/>
      <c r="AB46" s="219"/>
      <c r="AC46" s="221" t="s">
        <v>71</v>
      </c>
      <c r="AD46" s="224"/>
      <c r="AE46" s="36"/>
      <c r="AF46" s="72"/>
      <c r="AG46" s="73" t="s">
        <v>121</v>
      </c>
      <c r="AH46" s="38" t="s">
        <v>216</v>
      </c>
      <c r="AI46" s="74">
        <f t="shared" si="15"/>
        <v>3.092633315063564E-2</v>
      </c>
      <c r="AJ46" s="54">
        <f>(SUM(AJ$43:AJ45)+SUM(AJ$9:AJ$40))*0.1-500000</f>
        <v>407079.07100146625</v>
      </c>
      <c r="AK46" s="75">
        <f t="shared" si="2"/>
        <v>3060.7448947478665</v>
      </c>
      <c r="AL46" s="35">
        <f>+AJ46/AL$7</f>
        <v>2.5527480356529328</v>
      </c>
    </row>
    <row r="47" spans="1:38">
      <c r="A47" s="54" t="s">
        <v>158</v>
      </c>
      <c r="B47" s="38" t="s">
        <v>10</v>
      </c>
      <c r="C47" s="76">
        <v>0.75</v>
      </c>
      <c r="D47" s="74">
        <f t="shared" ref="D47:D52" si="19">L47/$L$88</f>
        <v>0</v>
      </c>
      <c r="E47" s="77" t="s">
        <v>194</v>
      </c>
      <c r="F47" s="77" t="s">
        <v>194</v>
      </c>
      <c r="G47" s="77" t="s">
        <v>194</v>
      </c>
      <c r="H47" s="77" t="s">
        <v>194</v>
      </c>
      <c r="I47" s="77" t="s">
        <v>194</v>
      </c>
      <c r="J47" s="77" t="s">
        <v>194</v>
      </c>
      <c r="K47" s="77" t="s">
        <v>194</v>
      </c>
      <c r="L47" s="36">
        <f t="shared" si="0"/>
        <v>0</v>
      </c>
      <c r="M47" s="36">
        <v>0</v>
      </c>
      <c r="N47" s="35">
        <f t="shared" si="3"/>
        <v>0</v>
      </c>
      <c r="O47" s="35"/>
      <c r="P47" s="222">
        <f t="shared" si="9"/>
        <v>0</v>
      </c>
      <c r="Q47" s="222">
        <f>0*CMF</f>
        <v>0</v>
      </c>
      <c r="R47" s="224">
        <f t="shared" si="4"/>
        <v>0</v>
      </c>
      <c r="S47" s="36"/>
      <c r="T47" s="222">
        <f t="shared" si="10"/>
        <v>0</v>
      </c>
      <c r="U47" s="222">
        <f>0*CMF</f>
        <v>0</v>
      </c>
      <c r="V47" s="224">
        <f t="shared" si="5"/>
        <v>0</v>
      </c>
      <c r="W47" s="36"/>
      <c r="X47" s="222">
        <f t="shared" si="11"/>
        <v>0</v>
      </c>
      <c r="Y47" s="222">
        <f>0*CMF</f>
        <v>0</v>
      </c>
      <c r="Z47" s="224">
        <f t="shared" si="6"/>
        <v>0</v>
      </c>
      <c r="AA47" s="36"/>
      <c r="AB47" s="219">
        <f t="shared" si="8"/>
        <v>0</v>
      </c>
      <c r="AC47" s="221">
        <f>+AB47/AB$7</f>
        <v>0</v>
      </c>
      <c r="AD47" s="224">
        <f>+AC47/AC$8</f>
        <v>0</v>
      </c>
      <c r="AE47" s="36"/>
      <c r="AF47" s="72"/>
      <c r="AG47" s="73" t="s">
        <v>122</v>
      </c>
      <c r="AH47" s="38" t="s">
        <v>215</v>
      </c>
      <c r="AI47" s="74">
        <f t="shared" si="15"/>
        <v>0.10800693745502987</v>
      </c>
      <c r="AJ47" s="54">
        <f>(SUM(AJ$43:AJ46)+SUM(AJ$9:AJ$40))*0.15</f>
        <v>1421680.4671524193</v>
      </c>
      <c r="AK47" s="75">
        <f t="shared" si="2"/>
        <v>10689.326820694881</v>
      </c>
      <c r="AL47" s="35">
        <f>+AJ47/AL$7</f>
        <v>8.9152016853168323</v>
      </c>
    </row>
    <row r="48" spans="1:38" s="10" customFormat="1" ht="12.75" thickBot="1">
      <c r="A48" s="54" t="s">
        <v>158</v>
      </c>
      <c r="B48" s="38" t="s">
        <v>30</v>
      </c>
      <c r="C48" s="76">
        <v>0.25</v>
      </c>
      <c r="D48" s="74">
        <f t="shared" si="19"/>
        <v>3.9827705346670303E-3</v>
      </c>
      <c r="E48" s="77" t="s">
        <v>194</v>
      </c>
      <c r="F48" s="77" t="s">
        <v>194</v>
      </c>
      <c r="G48" s="77" t="s">
        <v>194</v>
      </c>
      <c r="H48" s="77" t="s">
        <v>194</v>
      </c>
      <c r="I48" s="77" t="s">
        <v>194</v>
      </c>
      <c r="J48" s="77" t="s">
        <v>194</v>
      </c>
      <c r="K48" s="77" t="s">
        <v>194</v>
      </c>
      <c r="L48" s="36">
        <f t="shared" si="0"/>
        <v>2800</v>
      </c>
      <c r="M48" s="36">
        <f>400/2</f>
        <v>200</v>
      </c>
      <c r="N48" s="35">
        <f t="shared" si="3"/>
        <v>0.14534883720930233</v>
      </c>
      <c r="O48" s="35"/>
      <c r="P48" s="222">
        <f t="shared" si="9"/>
        <v>225</v>
      </c>
      <c r="Q48" s="222">
        <f>$M48*CMF</f>
        <v>225</v>
      </c>
      <c r="R48" s="224">
        <f t="shared" si="4"/>
        <v>0.18781302170283806</v>
      </c>
      <c r="S48" s="36"/>
      <c r="T48" s="222">
        <f t="shared" si="10"/>
        <v>16200</v>
      </c>
      <c r="U48" s="222">
        <f>$M48*CMF</f>
        <v>225</v>
      </c>
      <c r="V48" s="224">
        <f t="shared" si="5"/>
        <v>0.2032520325203252</v>
      </c>
      <c r="W48" s="36"/>
      <c r="X48" s="222">
        <f t="shared" si="11"/>
        <v>13725</v>
      </c>
      <c r="Y48" s="222">
        <f>$M48*CMF</f>
        <v>225</v>
      </c>
      <c r="Z48" s="224">
        <f t="shared" si="6"/>
        <v>0.17482517482517482</v>
      </c>
      <c r="AA48" s="36"/>
      <c r="AB48" s="219">
        <f t="shared" si="8"/>
        <v>29925</v>
      </c>
      <c r="AC48" s="221">
        <f>+AB48/AB$7</f>
        <v>225</v>
      </c>
      <c r="AD48" s="224">
        <f>+AC48/AC$8</f>
        <v>0.18765638031693077</v>
      </c>
      <c r="AE48" s="36"/>
      <c r="AF48" s="72"/>
      <c r="AG48" s="73"/>
      <c r="AH48" s="16" t="s">
        <v>74</v>
      </c>
      <c r="AI48" s="17">
        <f>SUM(AI9:AI47)</f>
        <v>1</v>
      </c>
      <c r="AJ48" s="5">
        <f>SUM(AJ9:AJ47)</f>
        <v>13162862.503571633</v>
      </c>
      <c r="AK48" s="5">
        <f t="shared" si="2"/>
        <v>98968.891004297999</v>
      </c>
      <c r="AL48" s="3">
        <f t="shared" si="7"/>
        <v>82.542861554877391</v>
      </c>
    </row>
    <row r="49" spans="1:40" s="10" customFormat="1" ht="12.75" thickTop="1">
      <c r="A49" s="19"/>
      <c r="B49" s="25" t="s">
        <v>32</v>
      </c>
      <c r="C49" s="62"/>
      <c r="D49" s="11"/>
      <c r="E49" s="63"/>
      <c r="F49" s="63"/>
      <c r="G49" s="63"/>
      <c r="H49" s="63"/>
      <c r="I49" s="63"/>
      <c r="J49" s="63"/>
      <c r="K49" s="63"/>
      <c r="L49" s="21">
        <f t="shared" si="0"/>
        <v>0</v>
      </c>
      <c r="M49" s="21"/>
      <c r="N49" s="14"/>
      <c r="O49" s="14"/>
      <c r="P49" s="219"/>
      <c r="Q49" s="219"/>
      <c r="R49" s="223"/>
      <c r="S49" s="21"/>
      <c r="T49" s="219"/>
      <c r="U49" s="219"/>
      <c r="V49" s="223"/>
      <c r="W49" s="21"/>
      <c r="X49" s="219"/>
      <c r="Y49" s="219"/>
      <c r="Z49" s="223"/>
      <c r="AA49" s="21"/>
      <c r="AB49" s="219"/>
      <c r="AC49" s="218" t="s">
        <v>71</v>
      </c>
      <c r="AD49" s="223"/>
      <c r="AE49" s="21"/>
      <c r="AF49" s="65"/>
      <c r="AG49" s="66"/>
      <c r="AH49" s="29" t="s">
        <v>207</v>
      </c>
    </row>
    <row r="50" spans="1:40" s="10" customFormat="1" ht="12.75" thickBot="1">
      <c r="A50" s="19" t="s">
        <v>169</v>
      </c>
      <c r="B50" s="10" t="s">
        <v>10</v>
      </c>
      <c r="C50" s="62">
        <v>0.6</v>
      </c>
      <c r="D50" s="11">
        <f t="shared" si="19"/>
        <v>2.389662320800218E-2</v>
      </c>
      <c r="E50" s="63" t="s">
        <v>194</v>
      </c>
      <c r="F50" s="63" t="s">
        <v>194</v>
      </c>
      <c r="G50" s="63" t="s">
        <v>194</v>
      </c>
      <c r="H50" s="63" t="s">
        <v>194</v>
      </c>
      <c r="I50" s="63" t="s">
        <v>194</v>
      </c>
      <c r="J50" s="63" t="s">
        <v>194</v>
      </c>
      <c r="K50" s="63" t="s">
        <v>194</v>
      </c>
      <c r="L50" s="21">
        <f t="shared" si="0"/>
        <v>16800</v>
      </c>
      <c r="M50" s="21">
        <f>2400/2</f>
        <v>1200</v>
      </c>
      <c r="N50" s="14">
        <f t="shared" si="3"/>
        <v>0.87209302325581395</v>
      </c>
      <c r="O50" s="14"/>
      <c r="P50" s="219">
        <f t="shared" si="9"/>
        <v>1347.75</v>
      </c>
      <c r="Q50" s="219">
        <f>1*Q$8*CMF</f>
        <v>1347.75</v>
      </c>
      <c r="R50" s="223">
        <f t="shared" si="4"/>
        <v>1.125</v>
      </c>
      <c r="S50" s="21"/>
      <c r="T50" s="219">
        <f t="shared" si="10"/>
        <v>89667</v>
      </c>
      <c r="U50" s="219">
        <f>1*U$8*CMF</f>
        <v>1245.375</v>
      </c>
      <c r="V50" s="223">
        <f t="shared" si="5"/>
        <v>1.125</v>
      </c>
      <c r="W50" s="21"/>
      <c r="X50" s="219">
        <f t="shared" si="11"/>
        <v>88320.375</v>
      </c>
      <c r="Y50" s="219">
        <f>1*Y$8*CMF</f>
        <v>1447.875</v>
      </c>
      <c r="Z50" s="223">
        <f t="shared" si="6"/>
        <v>1.125</v>
      </c>
      <c r="AA50" s="21"/>
      <c r="AB50" s="219">
        <f t="shared" si="8"/>
        <v>177987.375</v>
      </c>
      <c r="AC50" s="218">
        <f>+AB50/AB$7</f>
        <v>1338.250939849624</v>
      </c>
      <c r="AD50" s="223">
        <f>+AC50/AC$8</f>
        <v>1.1161392325684938</v>
      </c>
      <c r="AE50" s="21"/>
      <c r="AF50" s="65"/>
      <c r="AG50" s="66"/>
      <c r="AH50" s="10" t="s">
        <v>208</v>
      </c>
      <c r="AI50" s="11">
        <f>AJ50/$AJ$48</f>
        <v>-0.14390258953825832</v>
      </c>
      <c r="AJ50" s="10">
        <f>-AJ42</f>
        <v>-1894170.0000000002</v>
      </c>
      <c r="AK50" s="21">
        <f t="shared" ref="AK50:AL53" si="20">AJ50/AK$7</f>
        <v>-14241.879699248122</v>
      </c>
      <c r="AL50" s="20">
        <f t="shared" si="20"/>
        <v>-8.9309259591314333E-2</v>
      </c>
    </row>
    <row r="51" spans="1:40" s="10" customFormat="1" ht="12.75" thickBot="1">
      <c r="A51" s="19" t="s">
        <v>170</v>
      </c>
      <c r="B51" s="10" t="s">
        <v>33</v>
      </c>
      <c r="C51" s="62">
        <v>0.4</v>
      </c>
      <c r="D51" s="11">
        <f t="shared" si="19"/>
        <v>1.5931082138668121E-2</v>
      </c>
      <c r="E51" s="63" t="s">
        <v>194</v>
      </c>
      <c r="F51" s="63" t="s">
        <v>194</v>
      </c>
      <c r="G51" s="67"/>
      <c r="H51" s="63" t="s">
        <v>194</v>
      </c>
      <c r="I51" s="63" t="s">
        <v>194</v>
      </c>
      <c r="J51" s="68" t="s">
        <v>194</v>
      </c>
      <c r="K51" s="63" t="s">
        <v>194</v>
      </c>
      <c r="L51" s="21">
        <f t="shared" si="0"/>
        <v>11200</v>
      </c>
      <c r="M51" s="21">
        <f>1600/2</f>
        <v>800</v>
      </c>
      <c r="N51" s="14">
        <f t="shared" si="3"/>
        <v>0.58139534883720934</v>
      </c>
      <c r="O51" s="14"/>
      <c r="P51" s="219">
        <f t="shared" si="9"/>
        <v>1347.75</v>
      </c>
      <c r="Q51" s="219">
        <f>1*Q$8*CMF</f>
        <v>1347.75</v>
      </c>
      <c r="R51" s="223">
        <f t="shared" si="4"/>
        <v>1.125</v>
      </c>
      <c r="S51" s="21"/>
      <c r="T51" s="219">
        <f t="shared" si="10"/>
        <v>89667</v>
      </c>
      <c r="U51" s="219">
        <f>1*U$8*CMF</f>
        <v>1245.375</v>
      </c>
      <c r="V51" s="223">
        <f t="shared" si="5"/>
        <v>1.125</v>
      </c>
      <c r="W51" s="21"/>
      <c r="X51" s="219">
        <f t="shared" si="11"/>
        <v>88320.375</v>
      </c>
      <c r="Y51" s="219">
        <f>1*Y$8*CMF</f>
        <v>1447.875</v>
      </c>
      <c r="Z51" s="223">
        <f t="shared" si="6"/>
        <v>1.125</v>
      </c>
      <c r="AA51" s="21"/>
      <c r="AB51" s="219">
        <f t="shared" si="8"/>
        <v>177987.375</v>
      </c>
      <c r="AC51" s="218">
        <f>+AB51/AB$7</f>
        <v>1338.250939849624</v>
      </c>
      <c r="AD51" s="223">
        <f>+AC51/AC$8</f>
        <v>1.1161392325684938</v>
      </c>
      <c r="AE51" s="21"/>
      <c r="AF51" s="65"/>
      <c r="AG51" s="66"/>
      <c r="AH51" s="10" t="s">
        <v>209</v>
      </c>
      <c r="AI51" s="11">
        <f>AJ51/$AJ$48</f>
        <v>-2.8044223306512815E-2</v>
      </c>
      <c r="AJ51" s="10">
        <f>-AJ41</f>
        <v>-369142.25540308724</v>
      </c>
      <c r="AK51" s="21">
        <f t="shared" si="20"/>
        <v>-2775.5056797224606</v>
      </c>
      <c r="AL51" s="20">
        <f t="shared" si="20"/>
        <v>-1.7404890539876341E-2</v>
      </c>
    </row>
    <row r="52" spans="1:40" s="10" customFormat="1">
      <c r="A52" s="19" t="s">
        <v>171</v>
      </c>
      <c r="B52" s="25" t="s">
        <v>34</v>
      </c>
      <c r="C52" s="62"/>
      <c r="D52" s="11">
        <f t="shared" si="19"/>
        <v>9.5905114474782085E-3</v>
      </c>
      <c r="E52" s="63" t="s">
        <v>194</v>
      </c>
      <c r="F52" s="63" t="s">
        <v>194</v>
      </c>
      <c r="G52" s="63" t="s">
        <v>194</v>
      </c>
      <c r="H52" s="63" t="s">
        <v>194</v>
      </c>
      <c r="I52" s="63" t="s">
        <v>194</v>
      </c>
      <c r="J52" s="63" t="s">
        <v>194</v>
      </c>
      <c r="K52" s="63" t="s">
        <v>194</v>
      </c>
      <c r="L52" s="21">
        <f>M52*TRUnits</f>
        <v>6742.4</v>
      </c>
      <c r="M52" s="21">
        <f>(1376*0.7)/2</f>
        <v>481.59999999999997</v>
      </c>
      <c r="N52" s="14">
        <f t="shared" si="3"/>
        <v>0.35</v>
      </c>
      <c r="O52" s="14"/>
      <c r="P52" s="219">
        <f t="shared" si="9"/>
        <v>1145.5874999999999</v>
      </c>
      <c r="Q52" s="219">
        <f>Q$8*0.85*CMF</f>
        <v>1145.5874999999999</v>
      </c>
      <c r="R52" s="223">
        <f t="shared" si="4"/>
        <v>0.95624999999999993</v>
      </c>
      <c r="S52" s="21"/>
      <c r="T52" s="219">
        <f t="shared" si="10"/>
        <v>76216.95</v>
      </c>
      <c r="U52" s="219">
        <f>U$8*0.85*CMF</f>
        <v>1058.5687499999999</v>
      </c>
      <c r="V52" s="223">
        <f t="shared" si="5"/>
        <v>0.95624999999999993</v>
      </c>
      <c r="W52" s="21"/>
      <c r="X52" s="219">
        <f t="shared" si="11"/>
        <v>75072.318750000006</v>
      </c>
      <c r="Y52" s="219">
        <f>Y$8*0.85*CMF</f>
        <v>1230.6937500000001</v>
      </c>
      <c r="Z52" s="223">
        <f t="shared" si="6"/>
        <v>0.95625000000000016</v>
      </c>
      <c r="AA52" s="21"/>
      <c r="AB52" s="219">
        <f t="shared" si="8"/>
        <v>151289.26874999999</v>
      </c>
      <c r="AC52" s="218">
        <f>+AB52/AB$7</f>
        <v>1137.5132988721803</v>
      </c>
      <c r="AD52" s="223">
        <f>+AC52/AC$8</f>
        <v>0.94871834768321961</v>
      </c>
      <c r="AE52" s="21"/>
      <c r="AF52" s="65"/>
      <c r="AG52" s="66"/>
      <c r="AH52" s="10" t="s">
        <v>216</v>
      </c>
      <c r="AI52" s="11">
        <f>AJ52/$AJ$48</f>
        <v>-3.092633315063564E-2</v>
      </c>
      <c r="AJ52" s="10">
        <f>-AJ46</f>
        <v>-407079.07100146625</v>
      </c>
      <c r="AK52" s="21">
        <f t="shared" si="20"/>
        <v>-3060.7448947478665</v>
      </c>
      <c r="AL52" s="20">
        <f t="shared" si="20"/>
        <v>-1.9193594253029571E-2</v>
      </c>
    </row>
    <row r="53" spans="1:40" s="10" customFormat="1">
      <c r="A53" s="19" t="s">
        <v>172</v>
      </c>
      <c r="B53" s="25" t="s">
        <v>35</v>
      </c>
      <c r="C53" s="62"/>
      <c r="E53" s="63"/>
      <c r="F53" s="63"/>
      <c r="G53" s="63"/>
      <c r="H53" s="63"/>
      <c r="I53" s="63"/>
      <c r="K53" s="63"/>
      <c r="L53" s="21"/>
      <c r="M53" s="21"/>
      <c r="N53" s="14"/>
      <c r="O53" s="14"/>
      <c r="P53" s="219"/>
      <c r="Q53" s="219"/>
      <c r="R53" s="223"/>
      <c r="S53" s="21"/>
      <c r="T53" s="219"/>
      <c r="U53" s="219"/>
      <c r="V53" s="223"/>
      <c r="W53" s="21"/>
      <c r="X53" s="219"/>
      <c r="Y53" s="219"/>
      <c r="Z53" s="223"/>
      <c r="AA53" s="21"/>
      <c r="AB53" s="219"/>
      <c r="AC53" s="218" t="s">
        <v>71</v>
      </c>
      <c r="AD53" s="223"/>
      <c r="AE53" s="21"/>
      <c r="AF53" s="65"/>
      <c r="AG53" s="66"/>
      <c r="AH53" s="10" t="s">
        <v>217</v>
      </c>
      <c r="AI53" s="11">
        <f>AJ53/$AJ$48</f>
        <v>-0.10800693745502987</v>
      </c>
      <c r="AJ53" s="10">
        <f>-AJ47</f>
        <v>-1421680.4671524193</v>
      </c>
      <c r="AK53" s="21">
        <f t="shared" si="20"/>
        <v>-10689.326820694881</v>
      </c>
      <c r="AL53" s="20">
        <f t="shared" si="20"/>
        <v>-6.7031591618923553E-2</v>
      </c>
    </row>
    <row r="54" spans="1:40" s="10" customFormat="1" ht="12.75" thickBot="1">
      <c r="A54" s="19" t="s">
        <v>172</v>
      </c>
      <c r="B54" s="10" t="s">
        <v>36</v>
      </c>
      <c r="C54" s="62"/>
      <c r="D54" s="11">
        <f>L54/$L$88</f>
        <v>2.9069246439900987E-2</v>
      </c>
      <c r="E54" s="63" t="s">
        <v>194</v>
      </c>
      <c r="F54" s="63" t="s">
        <v>194</v>
      </c>
      <c r="G54" s="63" t="s">
        <v>194</v>
      </c>
      <c r="H54" s="63" t="s">
        <v>194</v>
      </c>
      <c r="I54" s="63" t="s">
        <v>194</v>
      </c>
      <c r="J54" s="63" t="s">
        <v>194</v>
      </c>
      <c r="K54" s="63" t="s">
        <v>194</v>
      </c>
      <c r="L54" s="21">
        <f t="shared" ref="L54:L76" si="21">7*M54</f>
        <v>20436.5</v>
      </c>
      <c r="M54" s="21">
        <f>(2739+(21700/7))/2</f>
        <v>2919.5</v>
      </c>
      <c r="N54" s="14">
        <f t="shared" si="3"/>
        <v>2.1217296511627906</v>
      </c>
      <c r="O54" s="14"/>
      <c r="P54" s="219">
        <f t="shared" si="9"/>
        <v>2859.5611373546508</v>
      </c>
      <c r="Q54" s="219">
        <f>Q$8*$N54*CMF</f>
        <v>2859.5611373546508</v>
      </c>
      <c r="R54" s="223">
        <f t="shared" si="4"/>
        <v>2.386945857558139</v>
      </c>
      <c r="S54" s="21"/>
      <c r="T54" s="219">
        <f t="shared" si="10"/>
        <v>190249.13263081393</v>
      </c>
      <c r="U54" s="219">
        <f>U$8*$N54*CMF</f>
        <v>2642.3490643168602</v>
      </c>
      <c r="V54" s="223">
        <f t="shared" si="5"/>
        <v>2.3869458575581395</v>
      </c>
      <c r="W54" s="21"/>
      <c r="X54" s="219">
        <f t="shared" si="11"/>
        <v>187391.95843931686</v>
      </c>
      <c r="Y54" s="219">
        <f>Y$8*$N54*CMF</f>
        <v>3071.9993186773254</v>
      </c>
      <c r="Z54" s="223">
        <f t="shared" si="6"/>
        <v>2.3869458575581395</v>
      </c>
      <c r="AA54" s="21"/>
      <c r="AB54" s="219">
        <f t="shared" si="8"/>
        <v>377641.09107013082</v>
      </c>
      <c r="AC54" s="218">
        <f>+AB54/AB$7</f>
        <v>2839.4066997754198</v>
      </c>
      <c r="AD54" s="223">
        <f>+AC54/AC$8</f>
        <v>2.3681457045666554</v>
      </c>
      <c r="AE54" s="21"/>
      <c r="AF54" s="65"/>
      <c r="AG54" s="66"/>
      <c r="AH54" s="16" t="s">
        <v>214</v>
      </c>
      <c r="AI54" s="17">
        <f>AJ54/$AJ$48</f>
        <v>0.6891199165495635</v>
      </c>
      <c r="AJ54" s="5">
        <f>SUM(AJ48:AJ53)</f>
        <v>9070790.7100146618</v>
      </c>
      <c r="AK54" s="5">
        <f>+AJ54/AK$7</f>
        <v>68201.433909884669</v>
      </c>
      <c r="AL54" s="3">
        <f>+AJ54/AL$7</f>
        <v>56.881929866459281</v>
      </c>
    </row>
    <row r="55" spans="1:40" s="10" customFormat="1" ht="13.5" thickTop="1" thickBot="1">
      <c r="A55" s="19" t="s">
        <v>172</v>
      </c>
      <c r="B55" s="10" t="s">
        <v>72</v>
      </c>
      <c r="C55" s="62"/>
      <c r="D55" s="11">
        <f>L55/$L$88</f>
        <v>2.0162775831751838E-2</v>
      </c>
      <c r="E55" s="63" t="s">
        <v>194</v>
      </c>
      <c r="F55" s="63" t="s">
        <v>194</v>
      </c>
      <c r="G55" s="68" t="s">
        <v>194</v>
      </c>
      <c r="H55" s="63" t="s">
        <v>194</v>
      </c>
      <c r="I55" s="63" t="s">
        <v>194</v>
      </c>
      <c r="J55" s="68" t="s">
        <v>194</v>
      </c>
      <c r="K55" s="68" t="s">
        <v>194</v>
      </c>
      <c r="L55" s="21">
        <f t="shared" si="21"/>
        <v>14175</v>
      </c>
      <c r="M55" s="21">
        <f>4050/2</f>
        <v>2025</v>
      </c>
      <c r="N55" s="14">
        <f t="shared" si="3"/>
        <v>1.4716569767441861</v>
      </c>
      <c r="O55" s="14"/>
      <c r="P55" s="219">
        <f t="shared" si="9"/>
        <v>1983.4256904069766</v>
      </c>
      <c r="Q55" s="219">
        <f>Q$8*$N55*CMF</f>
        <v>1983.4256904069766</v>
      </c>
      <c r="R55" s="223">
        <f t="shared" si="4"/>
        <v>1.6556140988372092</v>
      </c>
      <c r="S55" s="21"/>
      <c r="T55" s="219">
        <f t="shared" si="10"/>
        <v>131959.06613372092</v>
      </c>
      <c r="U55" s="219">
        <f>U$8*$N55*CMF</f>
        <v>1832.7648074127906</v>
      </c>
      <c r="V55" s="223">
        <f t="shared" si="5"/>
        <v>1.6556140988372092</v>
      </c>
      <c r="W55" s="21"/>
      <c r="X55" s="219">
        <f t="shared" si="11"/>
        <v>129977.29605741281</v>
      </c>
      <c r="Y55" s="219">
        <f>Y$8*$N55*CMF</f>
        <v>2130.7753452034885</v>
      </c>
      <c r="Z55" s="223">
        <f t="shared" si="6"/>
        <v>1.6556140988372094</v>
      </c>
      <c r="AA55" s="21"/>
      <c r="AB55" s="219">
        <f t="shared" si="8"/>
        <v>261936.36219113372</v>
      </c>
      <c r="AC55" s="218">
        <f>+AB55/AB$7</f>
        <v>1969.4463322641634</v>
      </c>
      <c r="AD55" s="223">
        <f>+AC55/AC$8</f>
        <v>1.6425740886273257</v>
      </c>
      <c r="AE55" s="21"/>
      <c r="AF55" s="65"/>
      <c r="AG55" s="66"/>
    </row>
    <row r="56" spans="1:40" s="10" customFormat="1" ht="12.75" thickBot="1">
      <c r="A56" s="19" t="s">
        <v>159</v>
      </c>
      <c r="B56" s="27" t="s">
        <v>37</v>
      </c>
      <c r="C56" s="62"/>
      <c r="D56" s="11">
        <f>L56/$L$88</f>
        <v>3.634278112883665E-3</v>
      </c>
      <c r="E56" s="63" t="s">
        <v>194</v>
      </c>
      <c r="F56" s="63" t="s">
        <v>194</v>
      </c>
      <c r="G56" s="67"/>
      <c r="H56" s="63" t="s">
        <v>194</v>
      </c>
      <c r="I56" s="63" t="s">
        <v>194</v>
      </c>
      <c r="J56" s="68" t="s">
        <v>194</v>
      </c>
      <c r="K56" s="68" t="s">
        <v>194</v>
      </c>
      <c r="L56" s="21">
        <f t="shared" si="21"/>
        <v>2555</v>
      </c>
      <c r="M56" s="21">
        <f>730/2</f>
        <v>365</v>
      </c>
      <c r="N56" s="14">
        <f t="shared" si="3"/>
        <v>0.26526162790697677</v>
      </c>
      <c r="O56" s="14"/>
      <c r="P56" s="219">
        <f t="shared" si="9"/>
        <v>225</v>
      </c>
      <c r="Q56" s="219">
        <f>200*CMF</f>
        <v>225</v>
      </c>
      <c r="R56" s="223">
        <f t="shared" si="4"/>
        <v>0.18781302170283806</v>
      </c>
      <c r="S56" s="21"/>
      <c r="T56" s="219">
        <f t="shared" si="10"/>
        <v>0</v>
      </c>
      <c r="U56" s="219">
        <v>0</v>
      </c>
      <c r="V56" s="223">
        <f t="shared" si="5"/>
        <v>0</v>
      </c>
      <c r="W56" s="21"/>
      <c r="X56" s="219">
        <f t="shared" si="11"/>
        <v>13725</v>
      </c>
      <c r="Y56" s="219">
        <f>200*CMF</f>
        <v>225</v>
      </c>
      <c r="Z56" s="223">
        <f t="shared" si="6"/>
        <v>0.17482517482517482</v>
      </c>
      <c r="AA56" s="21"/>
      <c r="AB56" s="219">
        <f t="shared" si="8"/>
        <v>13725</v>
      </c>
      <c r="AC56" s="218">
        <f>+AB56/AB$7</f>
        <v>103.19548872180451</v>
      </c>
      <c r="AD56" s="223">
        <f>+AC56/AC$8</f>
        <v>8.6067963904757724E-2</v>
      </c>
      <c r="AE56" s="21"/>
      <c r="AF56" s="65"/>
      <c r="AG56" s="66"/>
      <c r="AJ56" s="10">
        <f>0.75*AJ48</f>
        <v>9872146.8776787259</v>
      </c>
    </row>
    <row r="57" spans="1:40" s="10" customFormat="1" ht="12.75" thickBot="1">
      <c r="A57" s="19" t="s">
        <v>159</v>
      </c>
      <c r="B57" s="25" t="s">
        <v>38</v>
      </c>
      <c r="C57" s="62"/>
      <c r="D57" s="11"/>
      <c r="E57" s="63"/>
      <c r="F57" s="63"/>
      <c r="G57" s="63"/>
      <c r="H57" s="63"/>
      <c r="I57" s="63"/>
      <c r="J57" s="63"/>
      <c r="K57" s="63"/>
      <c r="L57" s="21"/>
      <c r="M57" s="78"/>
      <c r="N57" s="14"/>
      <c r="O57" s="14"/>
      <c r="P57" s="219"/>
      <c r="Q57" s="219"/>
      <c r="R57" s="223"/>
      <c r="S57" s="21"/>
      <c r="T57" s="219"/>
      <c r="U57" s="219"/>
      <c r="V57" s="223"/>
      <c r="W57" s="21"/>
      <c r="X57" s="219"/>
      <c r="Y57" s="219"/>
      <c r="Z57" s="223"/>
      <c r="AA57" s="21"/>
      <c r="AB57" s="219"/>
      <c r="AC57" s="218" t="s">
        <v>71</v>
      </c>
      <c r="AD57" s="223"/>
      <c r="AE57" s="21"/>
      <c r="AF57" s="65"/>
      <c r="AG57" s="66"/>
      <c r="AJ57" s="10">
        <f>+AJ48-AJ56</f>
        <v>3290715.6258929074</v>
      </c>
    </row>
    <row r="58" spans="1:40" s="10" customFormat="1" ht="12.75" thickBot="1">
      <c r="A58" s="19" t="s">
        <v>159</v>
      </c>
      <c r="B58" s="10" t="s">
        <v>39</v>
      </c>
      <c r="C58" s="62"/>
      <c r="D58" s="11">
        <f t="shared" ref="D58:D64" si="22">L58/$L$88</f>
        <v>7.3432331732923364E-3</v>
      </c>
      <c r="E58" s="63" t="s">
        <v>194</v>
      </c>
      <c r="F58" s="63" t="s">
        <v>194</v>
      </c>
      <c r="G58" s="67"/>
      <c r="H58" s="63" t="s">
        <v>194</v>
      </c>
      <c r="I58" s="63" t="s">
        <v>194</v>
      </c>
      <c r="J58" s="68" t="s">
        <v>194</v>
      </c>
      <c r="K58" s="68" t="s">
        <v>194</v>
      </c>
      <c r="L58" s="21">
        <f t="shared" si="21"/>
        <v>5162.5</v>
      </c>
      <c r="M58" s="21">
        <f>1475/2</f>
        <v>737.5</v>
      </c>
      <c r="N58" s="14">
        <f t="shared" si="3"/>
        <v>0.53597383720930236</v>
      </c>
      <c r="O58" s="14"/>
      <c r="P58" s="219">
        <f t="shared" si="9"/>
        <v>1012.5</v>
      </c>
      <c r="Q58" s="219">
        <f>12*75*CMF</f>
        <v>1012.5</v>
      </c>
      <c r="R58" s="223">
        <f t="shared" si="4"/>
        <v>0.84515859766277124</v>
      </c>
      <c r="S58" s="21"/>
      <c r="T58" s="219">
        <f t="shared" si="10"/>
        <v>72900</v>
      </c>
      <c r="U58" s="219">
        <f>12*75*CMF</f>
        <v>1012.5</v>
      </c>
      <c r="V58" s="223">
        <f t="shared" si="5"/>
        <v>0.91463414634146345</v>
      </c>
      <c r="W58" s="21"/>
      <c r="X58" s="219">
        <f t="shared" si="11"/>
        <v>61762.5</v>
      </c>
      <c r="Y58" s="219">
        <f>12*75*CMF</f>
        <v>1012.5</v>
      </c>
      <c r="Z58" s="223">
        <f t="shared" si="6"/>
        <v>0.78671328671328666</v>
      </c>
      <c r="AA58" s="21"/>
      <c r="AB58" s="219">
        <f t="shared" si="8"/>
        <v>134662.5</v>
      </c>
      <c r="AC58" s="218">
        <f>+AB58/AB$7</f>
        <v>1012.5</v>
      </c>
      <c r="AD58" s="223">
        <f>+AC58/AC$8</f>
        <v>0.84445371142618852</v>
      </c>
      <c r="AE58" s="21"/>
      <c r="AF58" s="65"/>
      <c r="AG58" s="66"/>
      <c r="AI58" s="11"/>
      <c r="AJ58" s="12">
        <f>AJ57-AJ47-AJ46</f>
        <v>1461956.087739022</v>
      </c>
    </row>
    <row r="59" spans="1:40" s="10" customFormat="1" ht="12.75" thickBot="1">
      <c r="A59" s="19" t="s">
        <v>159</v>
      </c>
      <c r="B59" s="10" t="s">
        <v>40</v>
      </c>
      <c r="C59" s="62"/>
      <c r="D59" s="11">
        <f t="shared" si="22"/>
        <v>6.2977559079422409E-3</v>
      </c>
      <c r="E59" s="63" t="s">
        <v>194</v>
      </c>
      <c r="F59" s="63" t="s">
        <v>194</v>
      </c>
      <c r="G59" s="67"/>
      <c r="H59" s="63" t="s">
        <v>194</v>
      </c>
      <c r="I59" s="63" t="s">
        <v>194</v>
      </c>
      <c r="J59" s="68" t="s">
        <v>194</v>
      </c>
      <c r="K59" s="68" t="s">
        <v>194</v>
      </c>
      <c r="L59" s="21">
        <f t="shared" si="21"/>
        <v>4427.5</v>
      </c>
      <c r="M59" s="21">
        <f>1265/2</f>
        <v>632.5</v>
      </c>
      <c r="N59" s="14">
        <f t="shared" si="3"/>
        <v>0.45966569767441862</v>
      </c>
      <c r="O59" s="14"/>
      <c r="P59" s="219">
        <f t="shared" si="9"/>
        <v>619.51444404069764</v>
      </c>
      <c r="Q59" s="219">
        <f>Q$8*$N59*CMF</f>
        <v>619.51444404069764</v>
      </c>
      <c r="R59" s="223">
        <f t="shared" si="4"/>
        <v>0.51712390988372092</v>
      </c>
      <c r="S59" s="21"/>
      <c r="T59" s="219">
        <f t="shared" si="10"/>
        <v>41216.844113372092</v>
      </c>
      <c r="U59" s="219">
        <f t="shared" ref="U59:U72" si="23">U$8*$N59*CMF</f>
        <v>572.4561682412791</v>
      </c>
      <c r="V59" s="223">
        <f t="shared" si="5"/>
        <v>0.51712390988372092</v>
      </c>
      <c r="W59" s="21"/>
      <c r="X59" s="219">
        <f t="shared" si="11"/>
        <v>40597.846793241282</v>
      </c>
      <c r="Y59" s="219">
        <f t="shared" ref="Y59:Y72" si="24">Y$8*$N59*CMF</f>
        <v>665.53847202034888</v>
      </c>
      <c r="Z59" s="223">
        <f t="shared" si="6"/>
        <v>0.51712390988372092</v>
      </c>
      <c r="AA59" s="21"/>
      <c r="AB59" s="219">
        <f t="shared" si="8"/>
        <v>81814.690906613367</v>
      </c>
      <c r="AC59" s="218">
        <f>+AB59/AB$7</f>
        <v>615.14805192942379</v>
      </c>
      <c r="AD59" s="223">
        <f>+AC59/AC$8</f>
        <v>0.5130509190403868</v>
      </c>
      <c r="AE59" s="21"/>
      <c r="AF59" s="65"/>
      <c r="AG59" s="66"/>
      <c r="AI59" s="11"/>
      <c r="AJ59" s="12"/>
    </row>
    <row r="60" spans="1:40" s="10" customFormat="1" ht="12.75" thickBot="1">
      <c r="A60" s="19" t="s">
        <v>159</v>
      </c>
      <c r="B60" s="10" t="s">
        <v>27</v>
      </c>
      <c r="C60" s="62"/>
      <c r="D60" s="11">
        <f t="shared" si="22"/>
        <v>6.2081435709122335E-3</v>
      </c>
      <c r="E60" s="63" t="s">
        <v>194</v>
      </c>
      <c r="F60" s="63" t="s">
        <v>194</v>
      </c>
      <c r="G60" s="67"/>
      <c r="H60" s="63" t="s">
        <v>194</v>
      </c>
      <c r="I60" s="63" t="s">
        <v>194</v>
      </c>
      <c r="J60" s="68" t="s">
        <v>194</v>
      </c>
      <c r="K60" s="68" t="s">
        <v>194</v>
      </c>
      <c r="L60" s="21">
        <f t="shared" si="21"/>
        <v>4364.5</v>
      </c>
      <c r="M60" s="21">
        <f>1247/2</f>
        <v>623.5</v>
      </c>
      <c r="N60" s="14">
        <f t="shared" si="3"/>
        <v>0.453125</v>
      </c>
      <c r="O60" s="14"/>
      <c r="P60" s="219">
        <f t="shared" si="9"/>
        <v>610.69921875</v>
      </c>
      <c r="Q60" s="219">
        <f>Q$8*$N60*CMF</f>
        <v>610.69921875</v>
      </c>
      <c r="R60" s="223">
        <f t="shared" si="4"/>
        <v>0.509765625</v>
      </c>
      <c r="S60" s="21"/>
      <c r="T60" s="219">
        <f t="shared" si="10"/>
        <v>40630.359375</v>
      </c>
      <c r="U60" s="219">
        <f t="shared" si="23"/>
        <v>564.310546875</v>
      </c>
      <c r="V60" s="223">
        <f t="shared" si="5"/>
        <v>0.509765625</v>
      </c>
      <c r="W60" s="21"/>
      <c r="X60" s="219">
        <f t="shared" si="11"/>
        <v>40020.169921875</v>
      </c>
      <c r="Y60" s="219">
        <f t="shared" si="24"/>
        <v>656.068359375</v>
      </c>
      <c r="Z60" s="223">
        <f t="shared" si="6"/>
        <v>0.509765625</v>
      </c>
      <c r="AA60" s="21"/>
      <c r="AB60" s="219">
        <f t="shared" si="8"/>
        <v>80650.529296875</v>
      </c>
      <c r="AC60" s="218">
        <f>+AB60/AB$7</f>
        <v>606.39495711936092</v>
      </c>
      <c r="AD60" s="223">
        <f>+AC60/AC$8</f>
        <v>0.50575058975759879</v>
      </c>
      <c r="AE60" s="21"/>
      <c r="AF60" s="65"/>
      <c r="AG60" s="66"/>
      <c r="AI60" s="11"/>
      <c r="AJ60" s="21">
        <f>X7</f>
        <v>61</v>
      </c>
      <c r="AK60" s="10">
        <f>475*3</f>
        <v>1425</v>
      </c>
      <c r="AL60" s="10">
        <f>AK60*AJ60</f>
        <v>86925</v>
      </c>
      <c r="AN60" s="13">
        <f>AK60/AC$8</f>
        <v>1.188490408673895</v>
      </c>
    </row>
    <row r="61" spans="1:40" s="10" customFormat="1">
      <c r="A61" s="19"/>
      <c r="B61" s="25" t="s">
        <v>41</v>
      </c>
      <c r="C61" s="62"/>
      <c r="D61" s="11">
        <f t="shared" si="22"/>
        <v>0</v>
      </c>
      <c r="E61" s="63"/>
      <c r="F61" s="63"/>
      <c r="G61" s="63"/>
      <c r="H61" s="63"/>
      <c r="I61" s="63"/>
      <c r="J61" s="63"/>
      <c r="K61" s="63"/>
      <c r="L61" s="21"/>
      <c r="M61" s="21"/>
      <c r="N61" s="14"/>
      <c r="O61" s="14"/>
      <c r="P61" s="219"/>
      <c r="Q61" s="219"/>
      <c r="R61" s="223"/>
      <c r="S61" s="21"/>
      <c r="T61" s="219"/>
      <c r="U61" s="219"/>
      <c r="V61" s="223"/>
      <c r="W61" s="21"/>
      <c r="X61" s="219"/>
      <c r="Y61" s="219"/>
      <c r="Z61" s="223"/>
      <c r="AA61" s="21"/>
      <c r="AB61" s="219"/>
      <c r="AC61" s="218" t="s">
        <v>71</v>
      </c>
      <c r="AD61" s="223"/>
      <c r="AE61" s="21"/>
      <c r="AF61" s="65"/>
      <c r="AG61" s="66"/>
      <c r="AI61" s="11"/>
      <c r="AJ61" s="21">
        <f>T7</f>
        <v>72</v>
      </c>
      <c r="AK61" s="10">
        <v>1200</v>
      </c>
      <c r="AL61" s="10">
        <f>AK61*AJ61</f>
        <v>86400</v>
      </c>
      <c r="AN61" s="13">
        <f>AK61/U$8</f>
        <v>1.084010840108401</v>
      </c>
    </row>
    <row r="62" spans="1:40" s="10" customFormat="1" ht="12.75" thickBot="1">
      <c r="A62" s="19" t="s">
        <v>173</v>
      </c>
      <c r="B62" s="10" t="s">
        <v>42</v>
      </c>
      <c r="C62" s="62"/>
      <c r="D62" s="11">
        <f t="shared" si="22"/>
        <v>1.1326003707959366E-2</v>
      </c>
      <c r="E62" s="63" t="s">
        <v>194</v>
      </c>
      <c r="F62" s="63" t="s">
        <v>194</v>
      </c>
      <c r="G62" s="63" t="s">
        <v>194</v>
      </c>
      <c r="H62" s="63" t="s">
        <v>194</v>
      </c>
      <c r="I62" s="63" t="s">
        <v>194</v>
      </c>
      <c r="J62" s="63" t="s">
        <v>194</v>
      </c>
      <c r="K62" s="63" t="s">
        <v>194</v>
      </c>
      <c r="L62" s="21">
        <f t="shared" si="21"/>
        <v>7962.5</v>
      </c>
      <c r="M62" s="21">
        <f>2275/2</f>
        <v>1137.5</v>
      </c>
      <c r="N62" s="14">
        <f t="shared" si="3"/>
        <v>0.82667151162790697</v>
      </c>
      <c r="O62" s="14"/>
      <c r="P62" s="219">
        <f t="shared" si="9"/>
        <v>1003.7671875000001</v>
      </c>
      <c r="Q62" s="219">
        <f>1.75*R$8*0.33*CMF</f>
        <v>1003.7671875000001</v>
      </c>
      <c r="R62" s="223">
        <f t="shared" si="4"/>
        <v>0.83786910475792997</v>
      </c>
      <c r="S62" s="21"/>
      <c r="T62" s="219">
        <f t="shared" si="10"/>
        <v>74125.154433139542</v>
      </c>
      <c r="U62" s="219">
        <f t="shared" si="23"/>
        <v>1029.5160337936047</v>
      </c>
      <c r="V62" s="223">
        <f t="shared" si="5"/>
        <v>0.93000545058139539</v>
      </c>
      <c r="W62" s="21"/>
      <c r="X62" s="219">
        <f t="shared" si="11"/>
        <v>73011.937908793596</v>
      </c>
      <c r="Y62" s="219">
        <f t="shared" si="24"/>
        <v>1196.9170148982557</v>
      </c>
      <c r="Z62" s="223">
        <f t="shared" si="6"/>
        <v>0.93000545058139528</v>
      </c>
      <c r="AA62" s="21"/>
      <c r="AB62" s="219">
        <f t="shared" si="8"/>
        <v>147137.09234193314</v>
      </c>
      <c r="AC62" s="218">
        <f>+AB62/AB$7</f>
        <v>1106.2939273829559</v>
      </c>
      <c r="AD62" s="223">
        <f>+AC62/AC$8</f>
        <v>0.92268050657460876</v>
      </c>
      <c r="AE62" s="21"/>
      <c r="AF62" s="65"/>
      <c r="AG62" s="66"/>
      <c r="AI62" s="11"/>
      <c r="AJ62" s="10">
        <f>P7</f>
        <v>1</v>
      </c>
      <c r="AK62" s="21">
        <v>1250</v>
      </c>
      <c r="AL62" s="10">
        <f>AK62*AJ62</f>
        <v>1250</v>
      </c>
      <c r="AM62" s="10">
        <f>SUM(AL60:AL62)</f>
        <v>174575</v>
      </c>
      <c r="AN62" s="13">
        <f>AK62/Q$8</f>
        <v>1.0434056761268782</v>
      </c>
    </row>
    <row r="63" spans="1:40" s="10" customFormat="1" ht="12.75" thickBot="1">
      <c r="A63" s="19" t="s">
        <v>174</v>
      </c>
      <c r="B63" s="10" t="s">
        <v>43</v>
      </c>
      <c r="C63" s="62"/>
      <c r="D63" s="11">
        <f t="shared" si="22"/>
        <v>9.0608029663674927E-3</v>
      </c>
      <c r="E63" s="63" t="s">
        <v>194</v>
      </c>
      <c r="F63" s="63" t="s">
        <v>194</v>
      </c>
      <c r="G63" s="67"/>
      <c r="H63" s="63" t="s">
        <v>194</v>
      </c>
      <c r="I63" s="63" t="s">
        <v>194</v>
      </c>
      <c r="J63" s="68" t="s">
        <v>194</v>
      </c>
      <c r="K63" s="68" t="s">
        <v>194</v>
      </c>
      <c r="L63" s="21">
        <f t="shared" si="21"/>
        <v>6370</v>
      </c>
      <c r="M63" s="21">
        <f>1820/2</f>
        <v>910</v>
      </c>
      <c r="N63" s="14">
        <f t="shared" si="3"/>
        <v>0.66133720930232553</v>
      </c>
      <c r="O63" s="14"/>
      <c r="P63" s="219">
        <f t="shared" si="9"/>
        <v>2037.9515625000001</v>
      </c>
      <c r="Q63" s="219">
        <f>1.75*R$8*0.67*CMF</f>
        <v>2037.9515625000001</v>
      </c>
      <c r="R63" s="223">
        <f t="shared" si="4"/>
        <v>1.7011281823873123</v>
      </c>
      <c r="S63" s="21"/>
      <c r="T63" s="219">
        <f t="shared" si="10"/>
        <v>59300.123546511626</v>
      </c>
      <c r="U63" s="219">
        <f t="shared" si="23"/>
        <v>823.61282703488371</v>
      </c>
      <c r="V63" s="223">
        <f t="shared" si="5"/>
        <v>0.74400436046511631</v>
      </c>
      <c r="W63" s="21"/>
      <c r="X63" s="219">
        <f t="shared" si="11"/>
        <v>58409.550327034871</v>
      </c>
      <c r="Y63" s="219">
        <f t="shared" si="24"/>
        <v>957.53361191860449</v>
      </c>
      <c r="Z63" s="223">
        <f t="shared" si="6"/>
        <v>0.7440043604651162</v>
      </c>
      <c r="AA63" s="21"/>
      <c r="AB63" s="219">
        <f t="shared" si="8"/>
        <v>117709.6738735465</v>
      </c>
      <c r="AC63" s="218">
        <f>+AB63/AB$7</f>
        <v>885.03514190636474</v>
      </c>
      <c r="AD63" s="223">
        <f>+AC63/AC$8</f>
        <v>0.73814440525968705</v>
      </c>
      <c r="AE63" s="21"/>
      <c r="AF63" s="65"/>
      <c r="AG63" s="66"/>
      <c r="AI63" s="11"/>
      <c r="AJ63" s="10">
        <f>2900000/28</f>
        <v>103571.42857142857</v>
      </c>
      <c r="AK63" s="13">
        <f>AJ63/1343</f>
        <v>77.119455377087533</v>
      </c>
      <c r="AL63" s="21"/>
    </row>
    <row r="64" spans="1:40" s="10" customFormat="1" ht="12.75" thickBot="1">
      <c r="A64" s="19" t="s">
        <v>174</v>
      </c>
      <c r="B64" s="10" t="s">
        <v>44</v>
      </c>
      <c r="C64" s="62"/>
      <c r="D64" s="11">
        <f t="shared" si="22"/>
        <v>2.2652007415918732E-3</v>
      </c>
      <c r="E64" s="63" t="s">
        <v>194</v>
      </c>
      <c r="F64" s="63" t="s">
        <v>194</v>
      </c>
      <c r="G64" s="67"/>
      <c r="H64" s="63" t="s">
        <v>194</v>
      </c>
      <c r="I64" s="63" t="s">
        <v>194</v>
      </c>
      <c r="J64" s="68" t="s">
        <v>194</v>
      </c>
      <c r="K64" s="68" t="s">
        <v>194</v>
      </c>
      <c r="L64" s="21">
        <f t="shared" si="21"/>
        <v>1592.5</v>
      </c>
      <c r="M64" s="21">
        <f>455/2</f>
        <v>227.5</v>
      </c>
      <c r="N64" s="14">
        <f t="shared" si="3"/>
        <v>0.16533430232558138</v>
      </c>
      <c r="O64" s="14"/>
      <c r="P64" s="219">
        <f t="shared" si="9"/>
        <v>222.8293059593023</v>
      </c>
      <c r="Q64" s="219">
        <f>Q$8*$N64*CMF</f>
        <v>222.8293059593023</v>
      </c>
      <c r="R64" s="223">
        <f t="shared" si="4"/>
        <v>0.18600109011627905</v>
      </c>
      <c r="S64" s="21"/>
      <c r="T64" s="219">
        <f t="shared" si="10"/>
        <v>14825.030886627907</v>
      </c>
      <c r="U64" s="219">
        <f t="shared" si="23"/>
        <v>205.90320675872093</v>
      </c>
      <c r="V64" s="223">
        <f t="shared" si="5"/>
        <v>0.18600109011627908</v>
      </c>
      <c r="W64" s="21"/>
      <c r="X64" s="219">
        <f t="shared" si="11"/>
        <v>14602.387581758718</v>
      </c>
      <c r="Y64" s="219">
        <f t="shared" si="24"/>
        <v>239.38340297965112</v>
      </c>
      <c r="Z64" s="223">
        <f t="shared" si="6"/>
        <v>0.18600109011627905</v>
      </c>
      <c r="AA64" s="21"/>
      <c r="AB64" s="219">
        <f t="shared" si="8"/>
        <v>29427.418468386626</v>
      </c>
      <c r="AC64" s="218">
        <f>+AB64/AB$7</f>
        <v>221.25878547659119</v>
      </c>
      <c r="AD64" s="223">
        <f>+AC64/AC$8</f>
        <v>0.18453610131492176</v>
      </c>
      <c r="AE64" s="21"/>
      <c r="AF64" s="65"/>
      <c r="AG64" s="66"/>
      <c r="AJ64" s="10">
        <f>2700000/28</f>
        <v>96428.571428571435</v>
      </c>
      <c r="AK64" s="13">
        <f>AJ64/1343</f>
        <v>71.800872247633237</v>
      </c>
    </row>
    <row r="65" spans="1:41" s="10" customFormat="1">
      <c r="A65" s="19"/>
      <c r="B65" s="25" t="s">
        <v>45</v>
      </c>
      <c r="C65" s="62"/>
      <c r="D65" s="11"/>
      <c r="E65" s="63"/>
      <c r="F65" s="63"/>
      <c r="G65" s="63"/>
      <c r="H65" s="63"/>
      <c r="I65" s="63"/>
      <c r="J65" s="63"/>
      <c r="K65" s="63"/>
      <c r="L65" s="21"/>
      <c r="M65" s="21"/>
      <c r="N65" s="14">
        <f t="shared" si="3"/>
        <v>0</v>
      </c>
      <c r="O65" s="14"/>
      <c r="P65" s="219"/>
      <c r="Q65" s="219"/>
      <c r="R65" s="223"/>
      <c r="S65" s="21"/>
      <c r="T65" s="219"/>
      <c r="U65" s="219"/>
      <c r="V65" s="223"/>
      <c r="W65" s="21"/>
      <c r="X65" s="219"/>
      <c r="Y65" s="219"/>
      <c r="Z65" s="223"/>
      <c r="AA65" s="21"/>
      <c r="AB65" s="219"/>
      <c r="AC65" s="218" t="s">
        <v>71</v>
      </c>
      <c r="AD65" s="223"/>
      <c r="AE65" s="21"/>
      <c r="AF65" s="65"/>
      <c r="AG65" s="66"/>
    </row>
    <row r="66" spans="1:41" s="10" customFormat="1" ht="12.75" thickBot="1">
      <c r="A66" s="19" t="s">
        <v>160</v>
      </c>
      <c r="B66" s="10" t="s">
        <v>46</v>
      </c>
      <c r="C66" s="62"/>
      <c r="D66" s="11">
        <f t="shared" ref="D66:D79" si="25">L66/$L$88</f>
        <v>9.4391661671608604E-3</v>
      </c>
      <c r="E66" s="63" t="s">
        <v>194</v>
      </c>
      <c r="F66" s="63" t="s">
        <v>194</v>
      </c>
      <c r="G66" s="63" t="s">
        <v>194</v>
      </c>
      <c r="H66" s="63" t="s">
        <v>194</v>
      </c>
      <c r="I66" s="63" t="s">
        <v>194</v>
      </c>
      <c r="J66" s="63" t="s">
        <v>194</v>
      </c>
      <c r="K66" s="63" t="s">
        <v>194</v>
      </c>
      <c r="L66" s="21">
        <f t="shared" si="21"/>
        <v>6636</v>
      </c>
      <c r="M66" s="21">
        <f>1896/2</f>
        <v>948</v>
      </c>
      <c r="N66" s="14">
        <f t="shared" si="3"/>
        <v>0.68895348837209303</v>
      </c>
      <c r="O66" s="14"/>
      <c r="P66" s="219">
        <f t="shared" si="9"/>
        <v>1237.5</v>
      </c>
      <c r="Q66" s="219">
        <f>1100*CMF</f>
        <v>1237.5</v>
      </c>
      <c r="R66" s="223">
        <f t="shared" si="4"/>
        <v>1.0329716193656093</v>
      </c>
      <c r="S66" s="21"/>
      <c r="T66" s="219">
        <f t="shared" si="10"/>
        <v>89100</v>
      </c>
      <c r="U66" s="219">
        <f>1100*CMF</f>
        <v>1237.5</v>
      </c>
      <c r="V66" s="223">
        <f t="shared" si="5"/>
        <v>1.1178861788617886</v>
      </c>
      <c r="W66" s="21"/>
      <c r="X66" s="219">
        <f t="shared" si="11"/>
        <v>75487.5</v>
      </c>
      <c r="Y66" s="219">
        <f>1100*CMF</f>
        <v>1237.5</v>
      </c>
      <c r="Z66" s="223">
        <f t="shared" si="6"/>
        <v>0.96153846153846156</v>
      </c>
      <c r="AA66" s="21"/>
      <c r="AB66" s="219">
        <f t="shared" si="8"/>
        <v>164587.5</v>
      </c>
      <c r="AC66" s="218">
        <f t="shared" ref="AC66:AC79" si="26">+AB66/AB$7</f>
        <v>1237.5</v>
      </c>
      <c r="AD66" s="223">
        <f t="shared" ref="AD66:AD77" si="27">+AC66/AC$8</f>
        <v>1.0321100917431192</v>
      </c>
      <c r="AE66" s="21"/>
      <c r="AF66" s="65"/>
      <c r="AG66" s="66"/>
      <c r="AJ66" s="79">
        <f>0.0725/12</f>
        <v>6.0416666666666665E-3</v>
      </c>
    </row>
    <row r="67" spans="1:41" s="10" customFormat="1" ht="12.75" thickBot="1">
      <c r="A67" s="19" t="s">
        <v>160</v>
      </c>
      <c r="B67" s="19" t="s">
        <v>65</v>
      </c>
      <c r="C67" s="62"/>
      <c r="D67" s="11">
        <f t="shared" si="25"/>
        <v>5.8845434649705368E-3</v>
      </c>
      <c r="E67" s="63" t="s">
        <v>194</v>
      </c>
      <c r="F67" s="63" t="s">
        <v>194</v>
      </c>
      <c r="G67" s="67"/>
      <c r="H67" s="63" t="s">
        <v>194</v>
      </c>
      <c r="I67" s="63" t="s">
        <v>194</v>
      </c>
      <c r="J67" s="67"/>
      <c r="K67" s="80" t="s">
        <v>199</v>
      </c>
      <c r="L67" s="21">
        <f t="shared" si="21"/>
        <v>4137</v>
      </c>
      <c r="M67" s="21">
        <f>1182/2</f>
        <v>591</v>
      </c>
      <c r="N67" s="14">
        <f t="shared" si="3"/>
        <v>0.42950581395348836</v>
      </c>
      <c r="O67" s="14"/>
      <c r="P67" s="219">
        <f t="shared" si="9"/>
        <v>675</v>
      </c>
      <c r="Q67" s="219">
        <f>600*CMF</f>
        <v>675</v>
      </c>
      <c r="R67" s="223">
        <f t="shared" si="4"/>
        <v>0.56343906510851416</v>
      </c>
      <c r="S67" s="21"/>
      <c r="T67" s="219">
        <f t="shared" si="10"/>
        <v>48600</v>
      </c>
      <c r="U67" s="219">
        <f>600*CMF</f>
        <v>675</v>
      </c>
      <c r="V67" s="223">
        <f t="shared" si="5"/>
        <v>0.6097560975609756</v>
      </c>
      <c r="W67" s="21"/>
      <c r="X67" s="219">
        <f t="shared" si="11"/>
        <v>41175</v>
      </c>
      <c r="Y67" s="219">
        <f>600*CMF</f>
        <v>675</v>
      </c>
      <c r="Z67" s="223">
        <f t="shared" si="6"/>
        <v>0.52447552447552448</v>
      </c>
      <c r="AA67" s="21"/>
      <c r="AB67" s="219">
        <f t="shared" si="8"/>
        <v>89775</v>
      </c>
      <c r="AC67" s="218">
        <f t="shared" si="26"/>
        <v>675</v>
      </c>
      <c r="AD67" s="223">
        <f t="shared" si="27"/>
        <v>0.56296914095079231</v>
      </c>
      <c r="AE67" s="21"/>
      <c r="AF67" s="65"/>
      <c r="AG67" s="66"/>
      <c r="AJ67" s="10">
        <v>360</v>
      </c>
    </row>
    <row r="68" spans="1:41" s="10" customFormat="1" ht="12.75" thickBot="1">
      <c r="A68" s="19" t="s">
        <v>153</v>
      </c>
      <c r="B68" s="19" t="s">
        <v>230</v>
      </c>
      <c r="C68" s="62"/>
      <c r="D68" s="11">
        <f t="shared" si="25"/>
        <v>4.7594107889271011E-3</v>
      </c>
      <c r="E68" s="63" t="s">
        <v>194</v>
      </c>
      <c r="F68" s="63" t="s">
        <v>194</v>
      </c>
      <c r="G68" s="67"/>
      <c r="H68" s="63" t="s">
        <v>194</v>
      </c>
      <c r="I68" s="63" t="s">
        <v>194</v>
      </c>
      <c r="J68" s="67"/>
      <c r="K68" s="68" t="s">
        <v>194</v>
      </c>
      <c r="L68" s="21">
        <f t="shared" si="21"/>
        <v>3346</v>
      </c>
      <c r="M68" s="21">
        <f>956/2</f>
        <v>478</v>
      </c>
      <c r="N68" s="14">
        <f t="shared" si="3"/>
        <v>0.34738372093023256</v>
      </c>
      <c r="O68" s="14"/>
      <c r="P68" s="219">
        <f t="shared" si="9"/>
        <v>693.18640988372101</v>
      </c>
      <c r="Q68" s="219">
        <f>(Q$8*$N68+200)*CMF</f>
        <v>693.18640988372101</v>
      </c>
      <c r="R68" s="223">
        <f t="shared" si="4"/>
        <v>0.57861970774934979</v>
      </c>
      <c r="S68" s="21"/>
      <c r="T68" s="219">
        <f t="shared" si="10"/>
        <v>47348.85610465116</v>
      </c>
      <c r="U68" s="219">
        <f>(U$8*$N68+200)*CMF</f>
        <v>657.62300145348831</v>
      </c>
      <c r="V68" s="223">
        <f t="shared" si="5"/>
        <v>0.59405871856683679</v>
      </c>
      <c r="W68" s="21"/>
      <c r="X68" s="219">
        <f t="shared" si="11"/>
        <v>44406.060501453489</v>
      </c>
      <c r="Y68" s="219">
        <f>(Y$8*$N68+200)*CMF</f>
        <v>727.96820494186045</v>
      </c>
      <c r="Z68" s="223">
        <f t="shared" si="6"/>
        <v>0.56563186087168649</v>
      </c>
      <c r="AA68" s="21"/>
      <c r="AB68" s="219">
        <f t="shared" si="8"/>
        <v>91754.916606104642</v>
      </c>
      <c r="AC68" s="218">
        <f t="shared" si="26"/>
        <v>689.88659102334316</v>
      </c>
      <c r="AD68" s="223">
        <f t="shared" si="27"/>
        <v>0.57538498000278826</v>
      </c>
      <c r="AE68" s="21"/>
      <c r="AF68" s="65"/>
      <c r="AG68" s="66"/>
      <c r="AI68" s="11"/>
      <c r="AJ68" s="21">
        <f>PMT(AJ66,AJ67,AJ48)</f>
        <v>-89793.925775776268</v>
      </c>
      <c r="AK68" s="21"/>
    </row>
    <row r="69" spans="1:41" s="10" customFormat="1" ht="12.75" thickBot="1">
      <c r="A69" s="19" t="s">
        <v>158</v>
      </c>
      <c r="B69" s="19" t="s">
        <v>48</v>
      </c>
      <c r="C69" s="62"/>
      <c r="D69" s="11">
        <f t="shared" si="25"/>
        <v>3.9728136083303622E-3</v>
      </c>
      <c r="E69" s="63" t="s">
        <v>194</v>
      </c>
      <c r="F69" s="63" t="s">
        <v>194</v>
      </c>
      <c r="G69" s="67"/>
      <c r="H69" s="63" t="s">
        <v>194</v>
      </c>
      <c r="I69" s="63" t="s">
        <v>194</v>
      </c>
      <c r="J69" s="68" t="s">
        <v>194</v>
      </c>
      <c r="K69" s="68" t="s">
        <v>194</v>
      </c>
      <c r="L69" s="21">
        <f t="shared" si="21"/>
        <v>2793</v>
      </c>
      <c r="M69" s="21">
        <f>798/2</f>
        <v>399</v>
      </c>
      <c r="N69" s="14">
        <f t="shared" si="3"/>
        <v>0.28997093023255816</v>
      </c>
      <c r="O69" s="14"/>
      <c r="P69" s="219">
        <f t="shared" si="9"/>
        <v>390.80832122093022</v>
      </c>
      <c r="Q69" s="219">
        <f>Q$8*$N69*CMF</f>
        <v>390.80832122093022</v>
      </c>
      <c r="R69" s="223">
        <f t="shared" si="4"/>
        <v>0.3262172965116279</v>
      </c>
      <c r="S69" s="21"/>
      <c r="T69" s="219">
        <f t="shared" si="10"/>
        <v>26000.82340116279</v>
      </c>
      <c r="U69" s="219">
        <f t="shared" si="23"/>
        <v>361.12254723837208</v>
      </c>
      <c r="V69" s="223">
        <f t="shared" si="5"/>
        <v>0.3262172965116279</v>
      </c>
      <c r="W69" s="21"/>
      <c r="X69" s="219">
        <f t="shared" si="11"/>
        <v>25610.341297238374</v>
      </c>
      <c r="Y69" s="219">
        <f t="shared" si="24"/>
        <v>419.84166061046517</v>
      </c>
      <c r="Z69" s="223">
        <f t="shared" si="6"/>
        <v>0.32621729651162795</v>
      </c>
      <c r="AA69" s="21"/>
      <c r="AB69" s="219">
        <f t="shared" si="8"/>
        <v>51611.16469840116</v>
      </c>
      <c r="AC69" s="218">
        <f t="shared" si="26"/>
        <v>388.05386991279067</v>
      </c>
      <c r="AD69" s="223">
        <f t="shared" si="27"/>
        <v>0.32364793153693966</v>
      </c>
      <c r="AE69" s="21"/>
      <c r="AF69" s="65"/>
      <c r="AG69" s="66"/>
      <c r="AI69" s="11" t="s">
        <v>237</v>
      </c>
      <c r="AJ69" s="21">
        <f>+AM62</f>
        <v>174575</v>
      </c>
      <c r="AK69" s="21"/>
      <c r="AL69" s="21">
        <f>2700000*0.105</f>
        <v>283500</v>
      </c>
    </row>
    <row r="70" spans="1:41" s="10" customFormat="1" ht="12.75" thickBot="1">
      <c r="A70" s="19" t="s">
        <v>156</v>
      </c>
      <c r="B70" s="19" t="s">
        <v>49</v>
      </c>
      <c r="C70" s="62"/>
      <c r="D70" s="11">
        <f t="shared" si="25"/>
        <v>1.0385074169144281E-2</v>
      </c>
      <c r="E70" s="63" t="s">
        <v>194</v>
      </c>
      <c r="F70" s="63" t="s">
        <v>194</v>
      </c>
      <c r="G70" s="67"/>
      <c r="H70" s="63" t="s">
        <v>194</v>
      </c>
      <c r="I70" s="63" t="s">
        <v>194</v>
      </c>
      <c r="J70" s="68" t="s">
        <v>194</v>
      </c>
      <c r="K70" s="68" t="s">
        <v>194</v>
      </c>
      <c r="L70" s="21">
        <f t="shared" si="21"/>
        <v>7301</v>
      </c>
      <c r="M70" s="21">
        <f>2086/2</f>
        <v>1043</v>
      </c>
      <c r="N70" s="14">
        <f t="shared" si="3"/>
        <v>0.75799418604651159</v>
      </c>
      <c r="O70" s="14"/>
      <c r="P70" s="219">
        <f t="shared" si="9"/>
        <v>1012.5</v>
      </c>
      <c r="Q70" s="219">
        <f>(250+300+250+100)*CMF</f>
        <v>1012.5</v>
      </c>
      <c r="R70" s="223">
        <f t="shared" si="4"/>
        <v>0.84515859766277124</v>
      </c>
      <c r="S70" s="21"/>
      <c r="T70" s="219">
        <f t="shared" si="10"/>
        <v>72900</v>
      </c>
      <c r="U70" s="219">
        <f>(250+300+250+100)*CMF</f>
        <v>1012.5</v>
      </c>
      <c r="V70" s="223">
        <f t="shared" si="5"/>
        <v>0.91463414634146345</v>
      </c>
      <c r="W70" s="21"/>
      <c r="X70" s="219">
        <f t="shared" si="11"/>
        <v>61762.5</v>
      </c>
      <c r="Y70" s="219">
        <f>(250+300+250+100)*CMF</f>
        <v>1012.5</v>
      </c>
      <c r="Z70" s="223">
        <f t="shared" si="6"/>
        <v>0.78671328671328666</v>
      </c>
      <c r="AA70" s="21"/>
      <c r="AB70" s="219">
        <f t="shared" si="8"/>
        <v>134662.5</v>
      </c>
      <c r="AC70" s="218">
        <f t="shared" si="26"/>
        <v>1012.5</v>
      </c>
      <c r="AD70" s="223">
        <f t="shared" si="27"/>
        <v>0.84445371142618852</v>
      </c>
      <c r="AE70" s="21"/>
      <c r="AF70" s="65"/>
      <c r="AG70" s="66"/>
      <c r="AH70" s="6"/>
      <c r="AJ70" s="21">
        <f>0.9*AJ69</f>
        <v>157117.5</v>
      </c>
      <c r="AK70" s="21"/>
      <c r="AL70" s="21">
        <f>AL69/12</f>
        <v>23625</v>
      </c>
    </row>
    <row r="71" spans="1:41" s="10" customFormat="1" ht="12.75" thickBot="1">
      <c r="A71" s="19" t="s">
        <v>157</v>
      </c>
      <c r="B71" s="19" t="s">
        <v>63</v>
      </c>
      <c r="C71" s="62"/>
      <c r="D71" s="11">
        <f t="shared" si="25"/>
        <v>1.5931082138668121E-2</v>
      </c>
      <c r="E71" s="63" t="s">
        <v>194</v>
      </c>
      <c r="F71" s="63" t="s">
        <v>194</v>
      </c>
      <c r="G71" s="67"/>
      <c r="H71" s="63" t="s">
        <v>194</v>
      </c>
      <c r="I71" s="63" t="s">
        <v>194</v>
      </c>
      <c r="J71" s="67"/>
      <c r="K71" s="68" t="s">
        <v>194</v>
      </c>
      <c r="L71" s="21">
        <f t="shared" si="21"/>
        <v>11200</v>
      </c>
      <c r="M71" s="21">
        <f>3200/2</f>
        <v>1600</v>
      </c>
      <c r="N71" s="14">
        <f t="shared" si="3"/>
        <v>1.1627906976744187</v>
      </c>
      <c r="O71" s="14"/>
      <c r="P71" s="219">
        <f t="shared" si="9"/>
        <v>1644.2549999999999</v>
      </c>
      <c r="Q71" s="219">
        <f>1.22*Q$8*CMF</f>
        <v>1644.2549999999999</v>
      </c>
      <c r="R71" s="223">
        <f t="shared" si="4"/>
        <v>1.3724999999999998</v>
      </c>
      <c r="S71" s="21"/>
      <c r="T71" s="219">
        <f t="shared" si="10"/>
        <v>109393.74</v>
      </c>
      <c r="U71" s="219">
        <f>1.22*U$8*CMF</f>
        <v>1519.3575000000001</v>
      </c>
      <c r="V71" s="223">
        <f t="shared" si="5"/>
        <v>1.3725000000000001</v>
      </c>
      <c r="W71" s="21"/>
      <c r="X71" s="219">
        <f t="shared" si="11"/>
        <v>107750.85749999998</v>
      </c>
      <c r="Y71" s="219">
        <f>1.22*Y$8*CMF</f>
        <v>1766.4074999999998</v>
      </c>
      <c r="Z71" s="223">
        <f t="shared" si="6"/>
        <v>1.3724999999999998</v>
      </c>
      <c r="AA71" s="21"/>
      <c r="AB71" s="219">
        <f t="shared" si="8"/>
        <v>217144.59749999997</v>
      </c>
      <c r="AC71" s="218">
        <f t="shared" si="26"/>
        <v>1632.6661466165413</v>
      </c>
      <c r="AD71" s="223">
        <f t="shared" si="27"/>
        <v>1.3616898637335624</v>
      </c>
      <c r="AE71" s="21"/>
      <c r="AF71" s="65"/>
      <c r="AG71" s="66"/>
      <c r="AI71" s="11"/>
      <c r="AJ71" s="81">
        <f>((110000/28/1343)*1187*134)/12</f>
        <v>38773.313122717438</v>
      </c>
      <c r="AK71" s="21"/>
      <c r="AL71" s="21"/>
    </row>
    <row r="72" spans="1:41" s="10" customFormat="1" ht="12.75" thickBot="1">
      <c r="A72" s="19" t="s">
        <v>159</v>
      </c>
      <c r="B72" s="19" t="s">
        <v>64</v>
      </c>
      <c r="C72" s="62"/>
      <c r="D72" s="11">
        <f t="shared" si="25"/>
        <v>1.5582589716884754E-3</v>
      </c>
      <c r="E72" s="63" t="s">
        <v>194</v>
      </c>
      <c r="F72" s="63" t="s">
        <v>194</v>
      </c>
      <c r="G72" s="80" t="s">
        <v>199</v>
      </c>
      <c r="H72" s="63" t="s">
        <v>194</v>
      </c>
      <c r="I72" s="63" t="s">
        <v>194</v>
      </c>
      <c r="J72" s="67"/>
      <c r="K72" s="80" t="s">
        <v>199</v>
      </c>
      <c r="L72" s="21">
        <f t="shared" si="21"/>
        <v>1095.5</v>
      </c>
      <c r="M72" s="21">
        <f>313/2</f>
        <v>156.5</v>
      </c>
      <c r="N72" s="14">
        <f t="shared" si="3"/>
        <v>0.11373546511627906</v>
      </c>
      <c r="O72" s="14"/>
      <c r="P72" s="219">
        <f t="shared" si="9"/>
        <v>153.28697311046511</v>
      </c>
      <c r="Q72" s="219">
        <f>Q$8*$N72*CMF</f>
        <v>153.28697311046511</v>
      </c>
      <c r="R72" s="223">
        <f t="shared" si="4"/>
        <v>0.12795239825581395</v>
      </c>
      <c r="S72" s="21"/>
      <c r="T72" s="219">
        <f t="shared" si="10"/>
        <v>10198.317950581395</v>
      </c>
      <c r="U72" s="219">
        <f t="shared" si="23"/>
        <v>141.64330486918604</v>
      </c>
      <c r="V72" s="223">
        <f t="shared" si="5"/>
        <v>0.12795239825581395</v>
      </c>
      <c r="W72" s="21"/>
      <c r="X72" s="219">
        <f t="shared" si="11"/>
        <v>10045.158929869185</v>
      </c>
      <c r="Y72" s="219">
        <f t="shared" si="24"/>
        <v>164.67473655523256</v>
      </c>
      <c r="Z72" s="223">
        <f t="shared" si="6"/>
        <v>0.12795239825581395</v>
      </c>
      <c r="AA72" s="21"/>
      <c r="AB72" s="219">
        <f t="shared" si="8"/>
        <v>20243.47688045058</v>
      </c>
      <c r="AC72" s="218">
        <f t="shared" si="26"/>
        <v>152.20659308609459</v>
      </c>
      <c r="AD72" s="223">
        <f t="shared" si="27"/>
        <v>0.1269446147507044</v>
      </c>
      <c r="AE72" s="21"/>
      <c r="AF72" s="65"/>
      <c r="AG72" s="66"/>
      <c r="AI72" s="11"/>
      <c r="AJ72" s="21">
        <f>+AJ70-AJ71</f>
        <v>118344.18687728257</v>
      </c>
      <c r="AK72" s="21"/>
      <c r="AL72" s="21"/>
    </row>
    <row r="73" spans="1:41" s="10" customFormat="1">
      <c r="A73" s="19" t="s">
        <v>154</v>
      </c>
      <c r="B73" s="27" t="s">
        <v>50</v>
      </c>
      <c r="C73" s="62"/>
      <c r="D73" s="11">
        <f t="shared" si="25"/>
        <v>1.5707051296093101E-2</v>
      </c>
      <c r="E73" s="63"/>
      <c r="F73" s="63"/>
      <c r="G73" s="63"/>
      <c r="H73" s="63"/>
      <c r="I73" s="63"/>
      <c r="J73" s="63"/>
      <c r="K73" s="63"/>
      <c r="L73" s="21">
        <f t="shared" si="21"/>
        <v>11042.5</v>
      </c>
      <c r="M73" s="21">
        <f>3155/2</f>
        <v>1577.5</v>
      </c>
      <c r="N73" s="14">
        <f t="shared" si="3"/>
        <v>1.1464389534883721</v>
      </c>
      <c r="O73" s="14"/>
      <c r="P73" s="219">
        <f t="shared" si="9"/>
        <v>379.6875</v>
      </c>
      <c r="Q73" s="219">
        <f>15*10*2.25*CMF</f>
        <v>379.6875</v>
      </c>
      <c r="R73" s="223">
        <f t="shared" si="4"/>
        <v>0.31693447412353926</v>
      </c>
      <c r="S73" s="21"/>
      <c r="T73" s="219">
        <f t="shared" si="10"/>
        <v>27337.5</v>
      </c>
      <c r="U73" s="219">
        <f>15*10*2.25*CMF</f>
        <v>379.6875</v>
      </c>
      <c r="V73" s="223">
        <f t="shared" si="5"/>
        <v>0.34298780487804881</v>
      </c>
      <c r="W73" s="21"/>
      <c r="X73" s="219">
        <f t="shared" si="11"/>
        <v>23160.9375</v>
      </c>
      <c r="Y73" s="219">
        <f>15*10*2.25*CMF</f>
        <v>379.6875</v>
      </c>
      <c r="Z73" s="223">
        <f t="shared" si="6"/>
        <v>0.2950174825174825</v>
      </c>
      <c r="AA73" s="21"/>
      <c r="AB73" s="219">
        <f t="shared" si="8"/>
        <v>50498.4375</v>
      </c>
      <c r="AC73" s="218">
        <f t="shared" si="26"/>
        <v>379.6875</v>
      </c>
      <c r="AD73" s="223">
        <f t="shared" si="27"/>
        <v>0.31667014178482067</v>
      </c>
      <c r="AE73" s="21"/>
      <c r="AF73" s="65"/>
      <c r="AG73" s="66"/>
      <c r="AI73" s="11"/>
      <c r="AJ73" s="81">
        <f>+AJ72/-AJ68</f>
        <v>1.3179531449911093</v>
      </c>
      <c r="AK73" s="21"/>
      <c r="AL73" s="21"/>
    </row>
    <row r="74" spans="1:41" s="10" customFormat="1" ht="12.75" thickBot="1">
      <c r="A74" s="19" t="s">
        <v>154</v>
      </c>
      <c r="B74" s="19" t="s">
        <v>51</v>
      </c>
      <c r="C74" s="62"/>
      <c r="D74" s="11">
        <f t="shared" si="25"/>
        <v>0</v>
      </c>
      <c r="E74" s="63" t="s">
        <v>194</v>
      </c>
      <c r="F74" s="63" t="s">
        <v>194</v>
      </c>
      <c r="G74" s="63" t="s">
        <v>194</v>
      </c>
      <c r="H74" s="63" t="s">
        <v>194</v>
      </c>
      <c r="I74" s="63" t="s">
        <v>194</v>
      </c>
      <c r="J74" s="63" t="s">
        <v>194</v>
      </c>
      <c r="K74" s="63" t="s">
        <v>194</v>
      </c>
      <c r="L74" s="21">
        <f t="shared" si="21"/>
        <v>0</v>
      </c>
      <c r="M74" s="21"/>
      <c r="N74" s="14">
        <f t="shared" si="3"/>
        <v>0</v>
      </c>
      <c r="O74" s="14"/>
      <c r="P74" s="219">
        <f t="shared" si="9"/>
        <v>0</v>
      </c>
      <c r="Q74" s="219">
        <f>$M74*CMF</f>
        <v>0</v>
      </c>
      <c r="R74" s="223">
        <f t="shared" si="4"/>
        <v>0</v>
      </c>
      <c r="S74" s="21"/>
      <c r="T74" s="219">
        <f t="shared" si="10"/>
        <v>0</v>
      </c>
      <c r="U74" s="219">
        <f>$M74*CMF</f>
        <v>0</v>
      </c>
      <c r="V74" s="223">
        <f t="shared" si="5"/>
        <v>0</v>
      </c>
      <c r="W74" s="21"/>
      <c r="X74" s="219">
        <f t="shared" si="11"/>
        <v>0</v>
      </c>
      <c r="Y74" s="219">
        <f>$M74*CMF</f>
        <v>0</v>
      </c>
      <c r="Z74" s="223">
        <f t="shared" si="6"/>
        <v>0</v>
      </c>
      <c r="AA74" s="21"/>
      <c r="AB74" s="219">
        <f t="shared" si="8"/>
        <v>0</v>
      </c>
      <c r="AC74" s="218">
        <f t="shared" si="26"/>
        <v>0</v>
      </c>
      <c r="AD74" s="223">
        <f t="shared" si="27"/>
        <v>0</v>
      </c>
      <c r="AE74" s="21"/>
      <c r="AF74" s="65"/>
      <c r="AG74" s="66"/>
      <c r="AH74" s="6"/>
      <c r="AI74" s="11"/>
      <c r="AJ74" s="21"/>
      <c r="AK74" s="21"/>
      <c r="AL74" s="21"/>
    </row>
    <row r="75" spans="1:41" s="10" customFormat="1" ht="12.75" thickBot="1">
      <c r="A75" s="19" t="s">
        <v>154</v>
      </c>
      <c r="B75" s="19" t="s">
        <v>52</v>
      </c>
      <c r="C75" s="62"/>
      <c r="D75" s="11">
        <f t="shared" si="25"/>
        <v>0</v>
      </c>
      <c r="E75" s="63" t="s">
        <v>194</v>
      </c>
      <c r="F75" s="63" t="s">
        <v>194</v>
      </c>
      <c r="G75" s="67"/>
      <c r="H75" s="63" t="s">
        <v>194</v>
      </c>
      <c r="I75" s="63" t="s">
        <v>194</v>
      </c>
      <c r="J75" s="67"/>
      <c r="K75" s="80" t="s">
        <v>199</v>
      </c>
      <c r="L75" s="21">
        <f t="shared" si="21"/>
        <v>0</v>
      </c>
      <c r="M75" s="21"/>
      <c r="N75" s="14">
        <f t="shared" si="3"/>
        <v>0</v>
      </c>
      <c r="O75" s="14"/>
      <c r="P75" s="219">
        <f t="shared" si="9"/>
        <v>0</v>
      </c>
      <c r="Q75" s="219">
        <f>$M75*CMF</f>
        <v>0</v>
      </c>
      <c r="R75" s="223">
        <f t="shared" si="4"/>
        <v>0</v>
      </c>
      <c r="S75" s="21"/>
      <c r="T75" s="219">
        <f t="shared" si="10"/>
        <v>0</v>
      </c>
      <c r="U75" s="219">
        <f>$M75*CMF</f>
        <v>0</v>
      </c>
      <c r="V75" s="223">
        <f t="shared" si="5"/>
        <v>0</v>
      </c>
      <c r="W75" s="21"/>
      <c r="X75" s="219">
        <f t="shared" si="11"/>
        <v>0</v>
      </c>
      <c r="Y75" s="219">
        <f>$M75*CMF</f>
        <v>0</v>
      </c>
      <c r="Z75" s="223">
        <f t="shared" si="6"/>
        <v>0</v>
      </c>
      <c r="AA75" s="21"/>
      <c r="AB75" s="219">
        <f t="shared" si="8"/>
        <v>0</v>
      </c>
      <c r="AC75" s="218">
        <f t="shared" si="26"/>
        <v>0</v>
      </c>
      <c r="AD75" s="223">
        <f t="shared" si="27"/>
        <v>0</v>
      </c>
      <c r="AE75" s="21"/>
      <c r="AF75" s="65"/>
      <c r="AG75" s="66"/>
      <c r="AJ75" s="21">
        <f>+AJ69-AJ71+0.05*AJ69</f>
        <v>144530.43687728257</v>
      </c>
      <c r="AK75" s="21"/>
      <c r="AL75" s="10">
        <f>AO75*12</f>
        <v>16517764.21454658</v>
      </c>
      <c r="AO75" s="43">
        <f>AJ75/0.105</f>
        <v>1376480.3512122149</v>
      </c>
    </row>
    <row r="76" spans="1:41" s="10" customFormat="1" ht="12.75" thickBot="1">
      <c r="A76" s="19" t="s">
        <v>154</v>
      </c>
      <c r="B76" s="19" t="s">
        <v>53</v>
      </c>
      <c r="C76" s="62"/>
      <c r="D76" s="11">
        <f t="shared" si="25"/>
        <v>0</v>
      </c>
      <c r="E76" s="63" t="s">
        <v>194</v>
      </c>
      <c r="F76" s="63" t="s">
        <v>194</v>
      </c>
      <c r="G76" s="67"/>
      <c r="H76" s="63" t="s">
        <v>194</v>
      </c>
      <c r="I76" s="63" t="s">
        <v>194</v>
      </c>
      <c r="J76" s="67"/>
      <c r="K76" s="80" t="s">
        <v>199</v>
      </c>
      <c r="L76" s="21">
        <f t="shared" si="21"/>
        <v>0</v>
      </c>
      <c r="M76" s="21"/>
      <c r="N76" s="14">
        <f t="shared" si="3"/>
        <v>0</v>
      </c>
      <c r="O76" s="14"/>
      <c r="P76" s="219">
        <f t="shared" si="9"/>
        <v>0</v>
      </c>
      <c r="Q76" s="219">
        <f>$M76*CMF</f>
        <v>0</v>
      </c>
      <c r="R76" s="223">
        <f t="shared" si="4"/>
        <v>0</v>
      </c>
      <c r="S76" s="21"/>
      <c r="T76" s="219">
        <f t="shared" si="10"/>
        <v>0</v>
      </c>
      <c r="U76" s="219">
        <f>$M76*CMF</f>
        <v>0</v>
      </c>
      <c r="V76" s="223">
        <f t="shared" si="5"/>
        <v>0</v>
      </c>
      <c r="W76" s="21"/>
      <c r="X76" s="219">
        <f t="shared" si="11"/>
        <v>0</v>
      </c>
      <c r="Y76" s="219">
        <f>$M76*CMF</f>
        <v>0</v>
      </c>
      <c r="Z76" s="223">
        <f t="shared" si="6"/>
        <v>0</v>
      </c>
      <c r="AA76" s="21"/>
      <c r="AB76" s="219">
        <f t="shared" si="8"/>
        <v>0</v>
      </c>
      <c r="AC76" s="218">
        <f t="shared" si="26"/>
        <v>0</v>
      </c>
      <c r="AD76" s="223">
        <f t="shared" si="27"/>
        <v>0</v>
      </c>
      <c r="AE76" s="21"/>
      <c r="AF76" s="65"/>
      <c r="AG76" s="66"/>
      <c r="AI76" s="11"/>
      <c r="AJ76" s="21">
        <f>+AJ68</f>
        <v>-89793.925775776268</v>
      </c>
      <c r="AK76" s="21"/>
      <c r="AL76" s="21">
        <f>0.8*AL75</f>
        <v>13214211.371637264</v>
      </c>
    </row>
    <row r="77" spans="1:41" s="10" customFormat="1" ht="12.75" thickBot="1">
      <c r="A77" s="19" t="s">
        <v>155</v>
      </c>
      <c r="B77" s="27" t="s">
        <v>196</v>
      </c>
      <c r="C77" s="62"/>
      <c r="D77" s="11">
        <f t="shared" si="25"/>
        <v>7.9207349008190552E-3</v>
      </c>
      <c r="E77" s="63" t="s">
        <v>194</v>
      </c>
      <c r="F77" s="63" t="s">
        <v>194</v>
      </c>
      <c r="G77" s="63" t="s">
        <v>194</v>
      </c>
      <c r="H77" s="63" t="s">
        <v>194</v>
      </c>
      <c r="I77" s="63" t="s">
        <v>194</v>
      </c>
      <c r="J77" s="63" t="s">
        <v>194</v>
      </c>
      <c r="K77" s="63" t="s">
        <v>194</v>
      </c>
      <c r="L77" s="21">
        <f t="shared" ref="L77:L87" si="28">7*M77</f>
        <v>5568.5</v>
      </c>
      <c r="M77" s="21">
        <f>1591/2</f>
        <v>795.5</v>
      </c>
      <c r="N77" s="14">
        <f t="shared" si="3"/>
        <v>0.578125</v>
      </c>
      <c r="O77" s="14"/>
      <c r="P77" s="219">
        <f t="shared" si="9"/>
        <v>810</v>
      </c>
      <c r="Q77" s="219">
        <f>(28+20)*15*CMF</f>
        <v>810</v>
      </c>
      <c r="R77" s="223">
        <f t="shared" si="4"/>
        <v>0.67612687813021699</v>
      </c>
      <c r="S77" s="21"/>
      <c r="T77" s="219">
        <f t="shared" si="10"/>
        <v>43533.45</v>
      </c>
      <c r="U77" s="219">
        <f>(15.83+20)*15*CMF</f>
        <v>604.63124999999991</v>
      </c>
      <c r="V77" s="223">
        <f t="shared" si="5"/>
        <v>0.54618902439024386</v>
      </c>
      <c r="W77" s="21"/>
      <c r="X77" s="219">
        <f t="shared" si="11"/>
        <v>47351.25</v>
      </c>
      <c r="Y77" s="219">
        <f>(26+20)*15*CMF</f>
        <v>776.25</v>
      </c>
      <c r="Z77" s="223">
        <f t="shared" si="6"/>
        <v>0.60314685314685312</v>
      </c>
      <c r="AA77" s="21"/>
      <c r="AB77" s="219">
        <f t="shared" si="8"/>
        <v>90884.7</v>
      </c>
      <c r="AC77" s="218">
        <f t="shared" si="26"/>
        <v>683.34360902255639</v>
      </c>
      <c r="AD77" s="223">
        <f t="shared" si="27"/>
        <v>0.56992794747502618</v>
      </c>
      <c r="AE77" s="21"/>
      <c r="AF77" s="65"/>
      <c r="AG77" s="66"/>
      <c r="AH77" s="6"/>
      <c r="AJ77" s="21">
        <f>+AJ76+AJ75</f>
        <v>54736.511101506301</v>
      </c>
      <c r="AK77" s="21"/>
      <c r="AL77" s="21"/>
    </row>
    <row r="78" spans="1:41" s="10" customFormat="1" ht="12.75" thickBot="1">
      <c r="A78" s="19" t="s">
        <v>155</v>
      </c>
      <c r="B78" s="27" t="s">
        <v>197</v>
      </c>
      <c r="C78" s="62"/>
      <c r="D78" s="11">
        <f t="shared" si="25"/>
        <v>2.7331762794152495E-3</v>
      </c>
      <c r="E78" s="63" t="s">
        <v>194</v>
      </c>
      <c r="F78" s="63" t="s">
        <v>194</v>
      </c>
      <c r="G78" s="67"/>
      <c r="H78" s="63" t="s">
        <v>194</v>
      </c>
      <c r="I78" s="63" t="s">
        <v>194</v>
      </c>
      <c r="J78" s="67"/>
      <c r="K78" s="67"/>
      <c r="L78" s="21">
        <f t="shared" si="28"/>
        <v>1921.5</v>
      </c>
      <c r="M78" s="21">
        <f>549/2</f>
        <v>274.5</v>
      </c>
      <c r="N78" s="14">
        <f t="shared" ref="N78:N88" si="29">M78/1376</f>
        <v>0.19949127906976744</v>
      </c>
      <c r="O78" s="14"/>
      <c r="P78" s="219">
        <f t="shared" si="9"/>
        <v>0</v>
      </c>
      <c r="Q78" s="21">
        <v>0</v>
      </c>
      <c r="R78" s="223">
        <f t="shared" ref="R78:R87" si="30">+Q78/Q$8</f>
        <v>0</v>
      </c>
      <c r="S78" s="21"/>
      <c r="T78" s="219">
        <f t="shared" si="10"/>
        <v>22234.5</v>
      </c>
      <c r="U78" s="219">
        <f>$M78*CMF</f>
        <v>308.8125</v>
      </c>
      <c r="V78" s="223">
        <f t="shared" ref="V78:V87" si="31">+U78/U$8</f>
        <v>0.27896341463414637</v>
      </c>
      <c r="W78" s="21"/>
      <c r="X78" s="219">
        <f t="shared" si="11"/>
        <v>18837.5625</v>
      </c>
      <c r="Y78" s="219">
        <f>$M78*CMF</f>
        <v>308.8125</v>
      </c>
      <c r="Z78" s="223">
        <f t="shared" ref="Z78:Z87" si="32">+Y78/Y$8</f>
        <v>0.23994755244755245</v>
      </c>
      <c r="AA78" s="21"/>
      <c r="AB78" s="219">
        <f t="shared" si="8"/>
        <v>41072.0625</v>
      </c>
      <c r="AC78" s="218">
        <f t="shared" si="26"/>
        <v>308.8125</v>
      </c>
      <c r="AD78" s="223">
        <f t="shared" ref="AD78:AD87" si="33">+AC78/AC$8</f>
        <v>0.25755838198498748</v>
      </c>
      <c r="AE78" s="21"/>
      <c r="AF78" s="65"/>
      <c r="AG78" s="66"/>
      <c r="AI78" s="11"/>
      <c r="AJ78" s="21">
        <f>AJ77*12</f>
        <v>656838.13321807561</v>
      </c>
      <c r="AK78" s="21"/>
      <c r="AL78" s="21"/>
    </row>
    <row r="79" spans="1:41" s="10" customFormat="1">
      <c r="A79" s="19" t="s">
        <v>155</v>
      </c>
      <c r="B79" s="10" t="s">
        <v>62</v>
      </c>
      <c r="C79" s="62"/>
      <c r="D79" s="11">
        <f t="shared" si="25"/>
        <v>0</v>
      </c>
      <c r="E79" s="63" t="s">
        <v>195</v>
      </c>
      <c r="F79" s="63"/>
      <c r="G79" s="63"/>
      <c r="H79" s="63"/>
      <c r="I79" s="63"/>
      <c r="J79" s="63"/>
      <c r="K79" s="63"/>
      <c r="L79" s="21">
        <f t="shared" si="28"/>
        <v>0</v>
      </c>
      <c r="M79" s="21">
        <f>0/2</f>
        <v>0</v>
      </c>
      <c r="N79" s="14">
        <f t="shared" si="29"/>
        <v>0</v>
      </c>
      <c r="O79" s="14"/>
      <c r="P79" s="219">
        <f t="shared" si="9"/>
        <v>0</v>
      </c>
      <c r="Q79" s="219"/>
      <c r="R79" s="223">
        <f t="shared" si="30"/>
        <v>0</v>
      </c>
      <c r="S79" s="21"/>
      <c r="T79" s="219">
        <f t="shared" si="10"/>
        <v>0</v>
      </c>
      <c r="U79" s="219"/>
      <c r="V79" s="223">
        <f t="shared" si="31"/>
        <v>0</v>
      </c>
      <c r="W79" s="21"/>
      <c r="X79" s="219">
        <f t="shared" si="11"/>
        <v>0</v>
      </c>
      <c r="Y79" s="219"/>
      <c r="Z79" s="223">
        <f t="shared" si="32"/>
        <v>0</v>
      </c>
      <c r="AA79" s="21"/>
      <c r="AB79" s="219">
        <f t="shared" ref="AB79:AB87" si="34">+X79+T79</f>
        <v>0</v>
      </c>
      <c r="AC79" s="218">
        <f t="shared" si="26"/>
        <v>0</v>
      </c>
      <c r="AD79" s="223">
        <f t="shared" si="33"/>
        <v>0</v>
      </c>
      <c r="AE79" s="21"/>
      <c r="AF79" s="65"/>
      <c r="AG79" s="66"/>
      <c r="AI79" s="11"/>
      <c r="AJ79" s="21">
        <f>AJ78/0.105</f>
        <v>6255601.2687435774</v>
      </c>
      <c r="AK79" s="20"/>
      <c r="AL79" s="21"/>
    </row>
    <row r="80" spans="1:41" s="10" customFormat="1" ht="12.75" thickBot="1">
      <c r="A80" s="19"/>
      <c r="B80" s="25" t="s">
        <v>54</v>
      </c>
      <c r="C80" s="62"/>
      <c r="D80" s="11"/>
      <c r="E80" s="63"/>
      <c r="F80" s="63"/>
      <c r="G80" s="63"/>
      <c r="H80" s="63"/>
      <c r="I80" s="63"/>
      <c r="J80" s="63"/>
      <c r="K80" s="63"/>
      <c r="L80" s="21"/>
      <c r="M80" s="21"/>
      <c r="N80" s="14">
        <f t="shared" si="29"/>
        <v>0</v>
      </c>
      <c r="O80" s="14"/>
      <c r="P80" s="219"/>
      <c r="Q80" s="219"/>
      <c r="R80" s="223"/>
      <c r="S80" s="21"/>
      <c r="T80" s="219"/>
      <c r="U80" s="219"/>
      <c r="V80" s="223"/>
      <c r="W80" s="21"/>
      <c r="X80" s="219"/>
      <c r="Y80" s="219"/>
      <c r="Z80" s="223"/>
      <c r="AA80" s="21"/>
      <c r="AB80" s="219"/>
      <c r="AC80" s="218" t="s">
        <v>71</v>
      </c>
      <c r="AD80" s="223"/>
      <c r="AE80" s="21"/>
      <c r="AF80" s="65"/>
      <c r="AG80" s="66"/>
      <c r="AI80" s="11"/>
      <c r="AJ80" s="21"/>
      <c r="AK80" s="21"/>
      <c r="AL80" s="21"/>
    </row>
    <row r="81" spans="1:38" s="10" customFormat="1" ht="12.75" thickBot="1">
      <c r="A81" s="19" t="s">
        <v>152</v>
      </c>
      <c r="B81" s="10" t="s">
        <v>55</v>
      </c>
      <c r="C81" s="62"/>
      <c r="D81" s="11">
        <f t="shared" ref="D81:D87" si="35">L81/$L$88</f>
        <v>4.7843031047687702E-3</v>
      </c>
      <c r="E81" s="63" t="s">
        <v>194</v>
      </c>
      <c r="F81" s="63" t="s">
        <v>194</v>
      </c>
      <c r="G81" s="67"/>
      <c r="H81" s="63" t="s">
        <v>194</v>
      </c>
      <c r="I81" s="63" t="s">
        <v>194</v>
      </c>
      <c r="J81" s="67"/>
      <c r="K81" s="68" t="s">
        <v>194</v>
      </c>
      <c r="L81" s="21">
        <f t="shared" si="28"/>
        <v>3363.5</v>
      </c>
      <c r="M81" s="21">
        <f>961/2</f>
        <v>480.5</v>
      </c>
      <c r="N81" s="14">
        <f t="shared" si="29"/>
        <v>0.34920058139534882</v>
      </c>
      <c r="O81" s="14"/>
      <c r="P81" s="219">
        <f t="shared" ref="P81:P87" si="36">Q81*P$7</f>
        <v>540.5625</v>
      </c>
      <c r="Q81" s="219">
        <f>$M81*CMF</f>
        <v>540.5625</v>
      </c>
      <c r="R81" s="223">
        <f t="shared" si="30"/>
        <v>0.45122078464106846</v>
      </c>
      <c r="S81" s="21"/>
      <c r="T81" s="219">
        <f t="shared" ref="T81:T87" si="37">U81*T$7</f>
        <v>38920.5</v>
      </c>
      <c r="U81" s="219">
        <f>$M81*CMF</f>
        <v>540.5625</v>
      </c>
      <c r="V81" s="223">
        <f t="shared" si="31"/>
        <v>0.48831300813008133</v>
      </c>
      <c r="W81" s="21"/>
      <c r="X81" s="219">
        <f t="shared" ref="X81:X87" si="38">Y81*X$7</f>
        <v>32974.3125</v>
      </c>
      <c r="Y81" s="219">
        <f>$M81*CMF</f>
        <v>540.5625</v>
      </c>
      <c r="Z81" s="223">
        <f t="shared" si="32"/>
        <v>0.4200174825174825</v>
      </c>
      <c r="AA81" s="21"/>
      <c r="AB81" s="219">
        <f t="shared" si="34"/>
        <v>71894.8125</v>
      </c>
      <c r="AC81" s="218">
        <f t="shared" ref="AC81:AC87" si="39">+AB81/AB$7</f>
        <v>540.5625</v>
      </c>
      <c r="AD81" s="223">
        <f t="shared" si="33"/>
        <v>0.45084445371142617</v>
      </c>
      <c r="AE81" s="21"/>
      <c r="AF81" s="65"/>
      <c r="AG81" s="66"/>
      <c r="AH81" s="6"/>
      <c r="AJ81" s="21">
        <v>7000</v>
      </c>
      <c r="AK81" s="21"/>
      <c r="AL81" s="21"/>
    </row>
    <row r="82" spans="1:38" s="10" customFormat="1" ht="12.75" thickBot="1">
      <c r="A82" s="19" t="s">
        <v>152</v>
      </c>
      <c r="B82" s="10" t="s">
        <v>56</v>
      </c>
      <c r="C82" s="62"/>
      <c r="D82" s="11">
        <f t="shared" si="35"/>
        <v>1.7424621089168256E-3</v>
      </c>
      <c r="E82" s="63" t="s">
        <v>194</v>
      </c>
      <c r="F82" s="63" t="s">
        <v>194</v>
      </c>
      <c r="G82" s="67"/>
      <c r="H82" s="63" t="s">
        <v>194</v>
      </c>
      <c r="I82" s="63" t="s">
        <v>194</v>
      </c>
      <c r="J82" s="67"/>
      <c r="K82" s="68" t="s">
        <v>194</v>
      </c>
      <c r="L82" s="21">
        <f t="shared" si="28"/>
        <v>1225</v>
      </c>
      <c r="M82" s="21">
        <f>350/2</f>
        <v>175</v>
      </c>
      <c r="N82" s="14">
        <f t="shared" si="29"/>
        <v>0.12718023255813954</v>
      </c>
      <c r="O82" s="14"/>
      <c r="P82" s="219">
        <f t="shared" si="36"/>
        <v>171.40715843023258</v>
      </c>
      <c r="Q82" s="219">
        <f>Q$8*$N82*CMF</f>
        <v>171.40715843023258</v>
      </c>
      <c r="R82" s="223">
        <f t="shared" si="30"/>
        <v>0.143077761627907</v>
      </c>
      <c r="S82" s="21"/>
      <c r="T82" s="219">
        <f t="shared" si="37"/>
        <v>11403.869912790698</v>
      </c>
      <c r="U82" s="219">
        <f>U$8*$N82*CMF</f>
        <v>158.38708212209303</v>
      </c>
      <c r="V82" s="223">
        <f t="shared" si="31"/>
        <v>0.14307776162790697</v>
      </c>
      <c r="W82" s="21"/>
      <c r="X82" s="219">
        <f t="shared" si="38"/>
        <v>11232.605832122093</v>
      </c>
      <c r="Y82" s="219">
        <f>Y$8*$N82*CMF</f>
        <v>184.14107921511629</v>
      </c>
      <c r="Z82" s="223">
        <f t="shared" si="32"/>
        <v>0.14307776162790697</v>
      </c>
      <c r="AA82" s="21"/>
      <c r="AB82" s="219">
        <f t="shared" si="34"/>
        <v>22636.475744912794</v>
      </c>
      <c r="AC82" s="218">
        <f t="shared" si="39"/>
        <v>170.19906575122403</v>
      </c>
      <c r="AD82" s="223">
        <f t="shared" si="33"/>
        <v>0.14195084716532447</v>
      </c>
      <c r="AE82" s="21"/>
      <c r="AF82" s="65"/>
      <c r="AG82" s="66"/>
      <c r="AI82" s="11"/>
      <c r="AJ82" s="21">
        <f>1250*14+1220*14</f>
        <v>34580</v>
      </c>
      <c r="AK82" s="21"/>
      <c r="AL82" s="21"/>
    </row>
    <row r="83" spans="1:38" s="10" customFormat="1" ht="12.75" thickBot="1">
      <c r="A83" s="19" t="s">
        <v>152</v>
      </c>
      <c r="B83" s="10" t="s">
        <v>57</v>
      </c>
      <c r="C83" s="62"/>
      <c r="D83" s="11">
        <f t="shared" si="35"/>
        <v>4.8838723681354458E-3</v>
      </c>
      <c r="E83" s="63" t="s">
        <v>194</v>
      </c>
      <c r="F83" s="63" t="s">
        <v>194</v>
      </c>
      <c r="G83" s="67"/>
      <c r="H83" s="63" t="s">
        <v>194</v>
      </c>
      <c r="I83" s="63" t="s">
        <v>194</v>
      </c>
      <c r="J83" s="67"/>
      <c r="K83" s="68" t="s">
        <v>194</v>
      </c>
      <c r="L83" s="21">
        <f t="shared" si="28"/>
        <v>3433.5</v>
      </c>
      <c r="M83" s="21">
        <f>981/2</f>
        <v>490.5</v>
      </c>
      <c r="N83" s="14">
        <f t="shared" si="29"/>
        <v>0.35646802325581395</v>
      </c>
      <c r="O83" s="14"/>
      <c r="P83" s="219">
        <f t="shared" si="36"/>
        <v>551.8125</v>
      </c>
      <c r="Q83" s="219">
        <f>$M83*CMF</f>
        <v>551.8125</v>
      </c>
      <c r="R83" s="223">
        <f t="shared" si="30"/>
        <v>0.46061143572621033</v>
      </c>
      <c r="S83" s="21"/>
      <c r="T83" s="219">
        <f t="shared" si="37"/>
        <v>39730.5</v>
      </c>
      <c r="U83" s="219">
        <f>$M83*CMF</f>
        <v>551.8125</v>
      </c>
      <c r="V83" s="223">
        <f t="shared" si="31"/>
        <v>0.49847560975609756</v>
      </c>
      <c r="W83" s="21"/>
      <c r="X83" s="219">
        <f t="shared" si="38"/>
        <v>33660.5625</v>
      </c>
      <c r="Y83" s="219">
        <f>$M83*CMF</f>
        <v>551.8125</v>
      </c>
      <c r="Z83" s="223">
        <f t="shared" si="32"/>
        <v>0.42875874125874125</v>
      </c>
      <c r="AA83" s="21"/>
      <c r="AB83" s="219">
        <f t="shared" si="34"/>
        <v>73391.0625</v>
      </c>
      <c r="AC83" s="218">
        <f t="shared" si="39"/>
        <v>551.8125</v>
      </c>
      <c r="AD83" s="223">
        <f t="shared" si="33"/>
        <v>0.46022727272727271</v>
      </c>
      <c r="AE83" s="21"/>
      <c r="AF83" s="65"/>
      <c r="AG83" s="66"/>
      <c r="AI83" s="11"/>
      <c r="AJ83" s="21">
        <f>28*3*475</f>
        <v>39900</v>
      </c>
      <c r="AK83" s="21"/>
      <c r="AL83" s="21"/>
    </row>
    <row r="84" spans="1:38" s="10" customFormat="1" ht="12.75" thickBot="1">
      <c r="A84" s="19" t="s">
        <v>152</v>
      </c>
      <c r="B84" s="10" t="s">
        <v>58</v>
      </c>
      <c r="C84" s="62"/>
      <c r="D84" s="11">
        <f t="shared" si="35"/>
        <v>4.3959829776387344E-3</v>
      </c>
      <c r="E84" s="63" t="s">
        <v>194</v>
      </c>
      <c r="F84" s="63" t="s">
        <v>194</v>
      </c>
      <c r="G84" s="67"/>
      <c r="H84" s="63" t="s">
        <v>194</v>
      </c>
      <c r="I84" s="63" t="s">
        <v>194</v>
      </c>
      <c r="J84" s="67"/>
      <c r="K84" s="68" t="s">
        <v>194</v>
      </c>
      <c r="L84" s="21">
        <f t="shared" si="28"/>
        <v>3090.5</v>
      </c>
      <c r="M84" s="21">
        <f>883/2</f>
        <v>441.5</v>
      </c>
      <c r="N84" s="14">
        <f t="shared" si="29"/>
        <v>0.32085755813953487</v>
      </c>
      <c r="O84" s="14"/>
      <c r="P84" s="219">
        <f t="shared" si="36"/>
        <v>496.6875</v>
      </c>
      <c r="Q84" s="219">
        <f>$M84*CMF</f>
        <v>496.6875</v>
      </c>
      <c r="R84" s="223">
        <f t="shared" si="30"/>
        <v>0.41459724540901505</v>
      </c>
      <c r="S84" s="21"/>
      <c r="T84" s="219">
        <f t="shared" si="37"/>
        <v>35761.5</v>
      </c>
      <c r="U84" s="219">
        <f>$M84*CMF</f>
        <v>496.6875</v>
      </c>
      <c r="V84" s="223">
        <f t="shared" si="31"/>
        <v>0.44867886178861788</v>
      </c>
      <c r="W84" s="21"/>
      <c r="X84" s="219">
        <f t="shared" si="38"/>
        <v>30297.9375</v>
      </c>
      <c r="Y84" s="219">
        <f>$M84*CMF</f>
        <v>496.6875</v>
      </c>
      <c r="Z84" s="223">
        <f t="shared" si="32"/>
        <v>0.38592657342657344</v>
      </c>
      <c r="AA84" s="21"/>
      <c r="AB84" s="219">
        <f t="shared" si="34"/>
        <v>66059.4375</v>
      </c>
      <c r="AC84" s="218">
        <f t="shared" si="39"/>
        <v>496.6875</v>
      </c>
      <c r="AD84" s="223">
        <f t="shared" si="33"/>
        <v>0.41425145954962467</v>
      </c>
      <c r="AE84" s="21"/>
      <c r="AF84" s="65"/>
      <c r="AH84" s="6"/>
      <c r="AJ84" s="21">
        <f>+AJ83-AJ82</f>
        <v>5320</v>
      </c>
      <c r="AK84" s="21"/>
      <c r="AL84" s="21"/>
    </row>
    <row r="85" spans="1:38" s="10" customFormat="1" ht="12.75" thickBot="1">
      <c r="A85" s="19" t="s">
        <v>152</v>
      </c>
      <c r="B85" s="10" t="s">
        <v>59</v>
      </c>
      <c r="C85" s="62"/>
      <c r="D85" s="11">
        <f t="shared" si="35"/>
        <v>4.9286785366504493E-4</v>
      </c>
      <c r="E85" s="63" t="s">
        <v>194</v>
      </c>
      <c r="F85" s="63" t="s">
        <v>194</v>
      </c>
      <c r="G85" s="67"/>
      <c r="H85" s="63" t="s">
        <v>194</v>
      </c>
      <c r="I85" s="63" t="s">
        <v>194</v>
      </c>
      <c r="J85" s="67"/>
      <c r="K85" s="68" t="s">
        <v>194</v>
      </c>
      <c r="L85" s="21">
        <f t="shared" si="28"/>
        <v>346.5</v>
      </c>
      <c r="M85" s="21">
        <f>99/2</f>
        <v>49.5</v>
      </c>
      <c r="N85" s="14">
        <f t="shared" si="29"/>
        <v>3.5973837209302327E-2</v>
      </c>
      <c r="O85" s="14"/>
      <c r="P85" s="219">
        <f t="shared" si="36"/>
        <v>55.6875</v>
      </c>
      <c r="Q85" s="219">
        <f>$M85*CMF</f>
        <v>55.6875</v>
      </c>
      <c r="R85" s="223">
        <f t="shared" si="30"/>
        <v>4.6483722871452422E-2</v>
      </c>
      <c r="S85" s="21"/>
      <c r="T85" s="219">
        <f t="shared" si="37"/>
        <v>4009.5</v>
      </c>
      <c r="U85" s="219">
        <f>$M85*CMF</f>
        <v>55.6875</v>
      </c>
      <c r="V85" s="223">
        <f t="shared" si="31"/>
        <v>5.0304878048780491E-2</v>
      </c>
      <c r="W85" s="21"/>
      <c r="X85" s="219">
        <f t="shared" si="38"/>
        <v>3396.9375</v>
      </c>
      <c r="Y85" s="219">
        <f>$M85*CMF</f>
        <v>55.6875</v>
      </c>
      <c r="Z85" s="223">
        <f t="shared" si="32"/>
        <v>4.3269230769230768E-2</v>
      </c>
      <c r="AA85" s="21"/>
      <c r="AB85" s="219">
        <f t="shared" si="34"/>
        <v>7406.4375</v>
      </c>
      <c r="AC85" s="218">
        <f t="shared" si="39"/>
        <v>55.6875</v>
      </c>
      <c r="AD85" s="223">
        <f t="shared" si="33"/>
        <v>4.6444954128440366E-2</v>
      </c>
      <c r="AE85" s="21"/>
      <c r="AF85" s="65"/>
      <c r="AG85" s="21"/>
      <c r="AI85" s="11"/>
      <c r="AJ85" s="21">
        <f>+AJ84+AJ81</f>
        <v>12320</v>
      </c>
      <c r="AK85" s="21"/>
      <c r="AL85" s="21"/>
    </row>
    <row r="86" spans="1:38" s="10" customFormat="1" ht="12.75" thickBot="1">
      <c r="A86" s="19" t="s">
        <v>151</v>
      </c>
      <c r="B86" s="25" t="s">
        <v>60</v>
      </c>
      <c r="C86" s="62"/>
      <c r="D86" s="11">
        <f t="shared" si="35"/>
        <v>9.9569263366675754E-3</v>
      </c>
      <c r="E86" s="63" t="s">
        <v>194</v>
      </c>
      <c r="F86" s="63" t="s">
        <v>194</v>
      </c>
      <c r="G86" s="67"/>
      <c r="H86" s="63" t="s">
        <v>194</v>
      </c>
      <c r="I86" s="63" t="s">
        <v>194</v>
      </c>
      <c r="J86" s="67"/>
      <c r="K86" s="68" t="s">
        <v>194</v>
      </c>
      <c r="L86" s="21">
        <f t="shared" si="28"/>
        <v>7000</v>
      </c>
      <c r="M86" s="21">
        <f>2000/2</f>
        <v>1000</v>
      </c>
      <c r="N86" s="14">
        <f t="shared" si="29"/>
        <v>0.72674418604651159</v>
      </c>
      <c r="O86" s="14"/>
      <c r="P86" s="219">
        <f t="shared" si="36"/>
        <v>1125</v>
      </c>
      <c r="Q86" s="219">
        <f>$M86*CMF</f>
        <v>1125</v>
      </c>
      <c r="R86" s="223">
        <f t="shared" si="30"/>
        <v>0.93906510851419034</v>
      </c>
      <c r="S86" s="21"/>
      <c r="T86" s="219">
        <f t="shared" si="37"/>
        <v>81000</v>
      </c>
      <c r="U86" s="219">
        <f>$M86*CMF</f>
        <v>1125</v>
      </c>
      <c r="V86" s="223">
        <f t="shared" si="31"/>
        <v>1.0162601626016261</v>
      </c>
      <c r="W86" s="21"/>
      <c r="X86" s="219">
        <f t="shared" si="38"/>
        <v>68625</v>
      </c>
      <c r="Y86" s="219">
        <f>$M86*CMF</f>
        <v>1125</v>
      </c>
      <c r="Z86" s="223">
        <f t="shared" si="32"/>
        <v>0.87412587412587417</v>
      </c>
      <c r="AA86" s="21"/>
      <c r="AB86" s="219">
        <f t="shared" si="34"/>
        <v>149625</v>
      </c>
      <c r="AC86" s="218">
        <f t="shared" si="39"/>
        <v>1125</v>
      </c>
      <c r="AD86" s="223">
        <f t="shared" si="33"/>
        <v>0.93828190158465385</v>
      </c>
      <c r="AE86" s="21"/>
      <c r="AF86" s="65"/>
      <c r="AI86" s="11"/>
      <c r="AJ86" s="21">
        <f>AJ85*0.58</f>
        <v>7145.5999999999995</v>
      </c>
      <c r="AK86" s="21"/>
      <c r="AL86" s="21"/>
    </row>
    <row r="87" spans="1:38" s="10" customFormat="1" ht="12.75" thickBot="1">
      <c r="A87" s="19" t="s">
        <v>213</v>
      </c>
      <c r="B87" s="25" t="s">
        <v>61</v>
      </c>
      <c r="C87" s="62"/>
      <c r="D87" s="11">
        <f t="shared" si="35"/>
        <v>1.2799628805786167E-2</v>
      </c>
      <c r="E87" s="63" t="s">
        <v>194</v>
      </c>
      <c r="F87" s="63" t="s">
        <v>194</v>
      </c>
      <c r="G87" s="67"/>
      <c r="H87" s="63" t="s">
        <v>194</v>
      </c>
      <c r="I87" s="63" t="s">
        <v>194</v>
      </c>
      <c r="J87" s="67"/>
      <c r="K87" s="68" t="s">
        <v>194</v>
      </c>
      <c r="L87" s="21">
        <f t="shared" si="28"/>
        <v>8998.5</v>
      </c>
      <c r="M87" s="21">
        <f>2571/2</f>
        <v>1285.5</v>
      </c>
      <c r="N87" s="14">
        <f t="shared" si="29"/>
        <v>0.93422965116279066</v>
      </c>
      <c r="O87" s="14"/>
      <c r="P87" s="219">
        <f t="shared" si="36"/>
        <v>1373.4727443609022</v>
      </c>
      <c r="Q87" s="219">
        <f>(((1000+500+500+500)*4.33*15)*CMF)/SM134Units</f>
        <v>1373.4727443609022</v>
      </c>
      <c r="R87" s="223">
        <f t="shared" si="30"/>
        <v>1.1464714059773808</v>
      </c>
      <c r="S87" s="21"/>
      <c r="T87" s="219">
        <f t="shared" si="37"/>
        <v>98890.037593984962</v>
      </c>
      <c r="U87" s="219">
        <f>(((1000+500+500+500)*4.33*15)*CMF)/SM134Units</f>
        <v>1373.4727443609022</v>
      </c>
      <c r="V87" s="223">
        <f t="shared" si="31"/>
        <v>1.2407161195672107</v>
      </c>
      <c r="W87" s="21"/>
      <c r="X87" s="219">
        <f t="shared" si="38"/>
        <v>83781.837406015038</v>
      </c>
      <c r="Y87" s="219">
        <f>(((1000+500+500+500)*4.33*15)*CMF)/SM134Units</f>
        <v>1373.4727443609022</v>
      </c>
      <c r="Z87" s="223">
        <f t="shared" si="32"/>
        <v>1.0671893895578106</v>
      </c>
      <c r="AA87" s="21"/>
      <c r="AB87" s="219">
        <f t="shared" si="34"/>
        <v>182671.875</v>
      </c>
      <c r="AC87" s="218">
        <f t="shared" si="39"/>
        <v>1373.4727443609022</v>
      </c>
      <c r="AD87" s="223">
        <f t="shared" si="33"/>
        <v>1.1455152163143472</v>
      </c>
      <c r="AE87" s="21"/>
      <c r="AF87" s="65"/>
      <c r="AH87" s="21"/>
      <c r="AJ87" s="10">
        <f>0.5*AJ78/12</f>
        <v>27368.255550753151</v>
      </c>
      <c r="AL87" s="21"/>
    </row>
    <row r="88" spans="1:38" s="10" customFormat="1" ht="12.75" thickBot="1">
      <c r="A88" s="82"/>
      <c r="B88" s="28" t="s">
        <v>254</v>
      </c>
      <c r="C88" s="28"/>
      <c r="D88" s="83">
        <f>SUM(D9:D87)</f>
        <v>0.99999999999999978</v>
      </c>
      <c r="E88" s="84" t="s">
        <v>198</v>
      </c>
      <c r="F88" s="84" t="s">
        <v>198</v>
      </c>
      <c r="G88" s="84"/>
      <c r="H88" s="84" t="s">
        <v>198</v>
      </c>
      <c r="I88" s="84" t="s">
        <v>198</v>
      </c>
      <c r="J88" s="84"/>
      <c r="K88" s="84"/>
      <c r="L88" s="24">
        <f>+SUM(L9:L87)</f>
        <v>703028.20000000007</v>
      </c>
      <c r="M88" s="24">
        <f>+SUM(M9:M87)</f>
        <v>60898.049999999996</v>
      </c>
      <c r="N88" s="85">
        <f t="shared" si="29"/>
        <v>44.257303779069765</v>
      </c>
      <c r="O88" s="85"/>
      <c r="P88" s="23">
        <f>+SUM(P9:P87)</f>
        <v>68702.035872488355</v>
      </c>
      <c r="Q88" s="24">
        <f>+SUM(Q9:Q87)</f>
        <v>68702.035872488355</v>
      </c>
      <c r="R88" s="23">
        <f>+Q88/Q$8</f>
        <v>57.347275352661399</v>
      </c>
      <c r="S88" s="39"/>
      <c r="T88" s="24">
        <f>+SUM(T9:T87)</f>
        <v>4682102.4296054998</v>
      </c>
      <c r="U88" s="24">
        <f>+SUM(U9:U87)</f>
        <v>65029.200411187485</v>
      </c>
      <c r="V88" s="23">
        <f>+U88/U$8</f>
        <v>58.743631807757438</v>
      </c>
      <c r="W88" s="40"/>
      <c r="X88" s="24">
        <f>+SUM(X9:X87)</f>
        <v>4388688.280409161</v>
      </c>
      <c r="Y88" s="24">
        <f>+SUM(Y9:Y87)</f>
        <v>71945.709514904273</v>
      </c>
      <c r="Z88" s="23">
        <f>+Y88/Y$8</f>
        <v>55.901872194952816</v>
      </c>
      <c r="AA88" s="40"/>
      <c r="AB88" s="47">
        <f>+SUM(AB9:AB87)</f>
        <v>9070790.7100146599</v>
      </c>
      <c r="AC88" s="24">
        <f>+SUM(AC9:AC87)</f>
        <v>68201.433909884669</v>
      </c>
      <c r="AD88" s="23">
        <f>+AC88/AC$8</f>
        <v>56.881929866459274</v>
      </c>
      <c r="AE88" s="86"/>
      <c r="AF88" s="87"/>
      <c r="AJ88" s="10">
        <f>+AJ87+AJ86</f>
        <v>34513.855550753149</v>
      </c>
    </row>
    <row r="89" spans="1:38" s="10" customFormat="1" ht="12.75" thickTop="1">
      <c r="A89" s="19"/>
      <c r="L89" s="12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65"/>
    </row>
    <row r="90" spans="1:38" s="89" customFormat="1">
      <c r="A90" s="1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88" t="s">
        <v>253</v>
      </c>
      <c r="M90" s="88" t="s">
        <v>252</v>
      </c>
    </row>
    <row r="91" spans="1:38" s="10" customFormat="1">
      <c r="A91" s="90"/>
      <c r="B91" s="25" t="s">
        <v>238</v>
      </c>
      <c r="L91" s="10">
        <f>10.3*43560*2.5</f>
        <v>1121670.0000000002</v>
      </c>
      <c r="M91" s="10">
        <f>L91/10.3</f>
        <v>108900.00000000001</v>
      </c>
      <c r="P91" s="41">
        <f t="shared" ref="P91:P108" si="40">Q91*P$7</f>
        <v>8433.609022556393</v>
      </c>
      <c r="Q91" s="41">
        <f>+$L91/SM134Units</f>
        <v>8433.609022556393</v>
      </c>
      <c r="R91" s="13">
        <f t="shared" ref="R91:R120" si="41">+Q91/Q$8</f>
        <v>7.0397404194961544</v>
      </c>
      <c r="T91" s="41">
        <f t="shared" ref="T91:T101" si="42">U91*T$7</f>
        <v>607219.84962406033</v>
      </c>
      <c r="U91" s="41">
        <f>+$L91/SM134Units</f>
        <v>8433.609022556393</v>
      </c>
      <c r="V91" s="13">
        <f t="shared" ref="V91:V102" si="43">+U91/U$8</f>
        <v>7.6184363347392887</v>
      </c>
      <c r="X91" s="41">
        <f t="shared" ref="X91:X101" si="44">Y91*X$7</f>
        <v>514450.15037593996</v>
      </c>
      <c r="Y91" s="41">
        <f>+$L91/SM134Units</f>
        <v>8433.609022556393</v>
      </c>
      <c r="Z91" s="13">
        <f t="shared" ref="Z91:Z102" si="45">+Y91/Y$8</f>
        <v>6.552920763447081</v>
      </c>
      <c r="AB91" s="64">
        <f>+X91+T91</f>
        <v>1121670.0000000002</v>
      </c>
      <c r="AC91" s="41">
        <f t="shared" ref="AC91:AC102" si="46">+AB91/AB$7</f>
        <v>8433.609022556393</v>
      </c>
      <c r="AD91" s="13">
        <f t="shared" ref="AD91:AD102" si="47">+AC91/AC$8</f>
        <v>7.0338690763606282</v>
      </c>
    </row>
    <row r="92" spans="1:38" s="10" customFormat="1">
      <c r="A92" s="19"/>
      <c r="B92" s="29" t="s">
        <v>239</v>
      </c>
      <c r="P92" s="42"/>
      <c r="R92" s="14"/>
    </row>
    <row r="93" spans="1:38" s="10" customFormat="1">
      <c r="A93" s="19"/>
      <c r="B93" s="10" t="s">
        <v>249</v>
      </c>
      <c r="L93" s="10">
        <f>+L148*CMF</f>
        <v>294300</v>
      </c>
      <c r="M93" s="10">
        <f t="shared" ref="M93:M102" si="48">L93/10.3</f>
        <v>28572.815533980582</v>
      </c>
      <c r="P93" s="42">
        <f t="shared" si="40"/>
        <v>2212.781954887218</v>
      </c>
      <c r="Q93" s="10">
        <f>+$L93/SM134Units</f>
        <v>2212.781954887218</v>
      </c>
      <c r="R93" s="13">
        <f t="shared" si="41"/>
        <v>1.8470634014083622</v>
      </c>
      <c r="T93" s="41">
        <f t="shared" si="42"/>
        <v>159320.30075187969</v>
      </c>
      <c r="U93" s="10">
        <f>+$L93/SM134Units</f>
        <v>2212.781954887218</v>
      </c>
      <c r="V93" s="13">
        <f t="shared" si="43"/>
        <v>1.9988996882450027</v>
      </c>
      <c r="X93" s="41">
        <f t="shared" si="44"/>
        <v>134979.69924812031</v>
      </c>
      <c r="Y93" s="10">
        <f>+$L93/SM134Units</f>
        <v>2212.781954887218</v>
      </c>
      <c r="Z93" s="13">
        <f t="shared" si="45"/>
        <v>1.7193332982806666</v>
      </c>
      <c r="AB93" s="64">
        <f>+X93+T93</f>
        <v>294300</v>
      </c>
      <c r="AC93" s="41">
        <f t="shared" si="46"/>
        <v>2212.781954887218</v>
      </c>
      <c r="AD93" s="13">
        <f t="shared" si="47"/>
        <v>1.8455228981544771</v>
      </c>
    </row>
    <row r="94" spans="1:38" s="10" customFormat="1">
      <c r="A94" s="19"/>
      <c r="B94" s="10" t="s">
        <v>250</v>
      </c>
      <c r="L94" s="10">
        <f>+L149*8*CMF</f>
        <v>41202</v>
      </c>
      <c r="M94" s="10">
        <f t="shared" si="48"/>
        <v>4000.1941747572814</v>
      </c>
      <c r="P94" s="42">
        <f t="shared" si="40"/>
        <v>309.78947368421052</v>
      </c>
      <c r="Q94" s="10">
        <f t="shared" ref="Q94:Q108" si="49">+$L94/SM134Units</f>
        <v>309.78947368421052</v>
      </c>
      <c r="R94" s="14">
        <f t="shared" si="41"/>
        <v>0.25858887619717069</v>
      </c>
      <c r="T94" s="42">
        <f t="shared" si="42"/>
        <v>22304.842105263157</v>
      </c>
      <c r="U94" s="10">
        <f t="shared" ref="U94:U108" si="50">+$L94/SM134Units</f>
        <v>309.78947368421052</v>
      </c>
      <c r="V94" s="14">
        <f t="shared" si="43"/>
        <v>0.27984595635430037</v>
      </c>
      <c r="X94" s="42">
        <f t="shared" si="44"/>
        <v>18897.157894736843</v>
      </c>
      <c r="Y94" s="10">
        <f t="shared" ref="Y94:Y108" si="51">+$L94/SM134Units</f>
        <v>309.78947368421052</v>
      </c>
      <c r="Z94" s="14">
        <f t="shared" si="45"/>
        <v>0.24070666175929334</v>
      </c>
      <c r="AB94" s="21">
        <f t="shared" ref="AB94:AB99" si="52">+X94+T94</f>
        <v>41202</v>
      </c>
      <c r="AC94" s="43">
        <f t="shared" si="46"/>
        <v>309.78947368421052</v>
      </c>
      <c r="AD94" s="14">
        <f t="shared" si="47"/>
        <v>0.25837320574162681</v>
      </c>
    </row>
    <row r="95" spans="1:38" s="10" customFormat="1">
      <c r="A95" s="19"/>
      <c r="B95" s="10" t="s">
        <v>251</v>
      </c>
      <c r="L95" s="10">
        <f>L147*0.5*CMF</f>
        <v>73575</v>
      </c>
      <c r="M95" s="10">
        <f t="shared" si="48"/>
        <v>7143.2038834951454</v>
      </c>
      <c r="P95" s="42">
        <f t="shared" si="40"/>
        <v>553.19548872180451</v>
      </c>
      <c r="Q95" s="10">
        <f t="shared" si="49"/>
        <v>553.19548872180451</v>
      </c>
      <c r="R95" s="14">
        <f t="shared" si="41"/>
        <v>0.46176585035209056</v>
      </c>
      <c r="T95" s="42">
        <f t="shared" si="42"/>
        <v>39830.075187969924</v>
      </c>
      <c r="U95" s="10">
        <f t="shared" si="50"/>
        <v>553.19548872180451</v>
      </c>
      <c r="V95" s="14">
        <f t="shared" si="43"/>
        <v>0.49972492206125069</v>
      </c>
      <c r="X95" s="42">
        <f t="shared" si="44"/>
        <v>33744.924812030076</v>
      </c>
      <c r="Y95" s="10">
        <f t="shared" si="51"/>
        <v>553.19548872180451</v>
      </c>
      <c r="Z95" s="14">
        <f t="shared" si="45"/>
        <v>0.42983332457016665</v>
      </c>
      <c r="AB95" s="21">
        <f t="shared" si="52"/>
        <v>73575</v>
      </c>
      <c r="AC95" s="43">
        <f t="shared" si="46"/>
        <v>553.19548872180451</v>
      </c>
      <c r="AD95" s="14">
        <f t="shared" si="47"/>
        <v>0.46138072453861928</v>
      </c>
    </row>
    <row r="96" spans="1:38" s="10" customFormat="1">
      <c r="A96" s="19"/>
      <c r="B96" s="10" t="s">
        <v>240</v>
      </c>
      <c r="L96" s="10">
        <f>545*4*35*CMF</f>
        <v>85837.5</v>
      </c>
      <c r="M96" s="10">
        <f t="shared" si="48"/>
        <v>8333.7378640776697</v>
      </c>
      <c r="P96" s="42">
        <f t="shared" si="40"/>
        <v>645.39473684210532</v>
      </c>
      <c r="Q96" s="10">
        <f t="shared" si="49"/>
        <v>645.39473684210532</v>
      </c>
      <c r="R96" s="14">
        <f t="shared" si="41"/>
        <v>0.53872682541077244</v>
      </c>
      <c r="T96" s="42">
        <f t="shared" si="42"/>
        <v>46468.42105263158</v>
      </c>
      <c r="U96" s="10">
        <f t="shared" si="50"/>
        <v>645.39473684210532</v>
      </c>
      <c r="V96" s="14">
        <f t="shared" si="43"/>
        <v>0.58301240907145924</v>
      </c>
      <c r="X96" s="42">
        <f t="shared" si="44"/>
        <v>39369.078947368427</v>
      </c>
      <c r="Y96" s="10">
        <f t="shared" si="51"/>
        <v>645.39473684210532</v>
      </c>
      <c r="Z96" s="14">
        <f t="shared" si="45"/>
        <v>0.50147221199852787</v>
      </c>
      <c r="AB96" s="21">
        <f t="shared" si="52"/>
        <v>85837.5</v>
      </c>
      <c r="AC96" s="43">
        <f t="shared" si="46"/>
        <v>645.39473684210532</v>
      </c>
      <c r="AD96" s="14">
        <f t="shared" si="47"/>
        <v>0.53827751196172258</v>
      </c>
    </row>
    <row r="97" spans="1:30" s="10" customFormat="1">
      <c r="A97" s="19"/>
      <c r="B97" s="10" t="s">
        <v>241</v>
      </c>
      <c r="L97" s="10">
        <f>N141*1.5*CMF</f>
        <v>237908.27980621456</v>
      </c>
      <c r="M97" s="10">
        <f t="shared" si="48"/>
        <v>23097.891243321799</v>
      </c>
      <c r="P97" s="42">
        <f t="shared" si="40"/>
        <v>1788.7840586933426</v>
      </c>
      <c r="Q97" s="10">
        <f t="shared" si="49"/>
        <v>1788.7840586933426</v>
      </c>
      <c r="R97" s="14">
        <f t="shared" si="41"/>
        <v>1.4931419521647267</v>
      </c>
      <c r="T97" s="42">
        <f t="shared" si="42"/>
        <v>128792.45222592066</v>
      </c>
      <c r="U97" s="10">
        <f t="shared" si="50"/>
        <v>1788.7840586933426</v>
      </c>
      <c r="V97" s="14">
        <f t="shared" si="43"/>
        <v>1.6158844251972382</v>
      </c>
      <c r="X97" s="42">
        <f t="shared" si="44"/>
        <v>109115.8275802939</v>
      </c>
      <c r="Y97" s="10">
        <f t="shared" si="51"/>
        <v>1788.7840586933426</v>
      </c>
      <c r="Z97" s="14">
        <f t="shared" si="45"/>
        <v>1.3898866034913306</v>
      </c>
      <c r="AB97" s="21">
        <f t="shared" si="52"/>
        <v>237908.27980621456</v>
      </c>
      <c r="AC97" s="43">
        <f t="shared" si="46"/>
        <v>1788.7840586933426</v>
      </c>
      <c r="AD97" s="14">
        <f t="shared" si="47"/>
        <v>1.4918966294356486</v>
      </c>
    </row>
    <row r="98" spans="1:30" s="10" customFormat="1">
      <c r="A98" s="19"/>
      <c r="B98" s="10" t="s">
        <v>242</v>
      </c>
      <c r="L98" s="10">
        <f>+L158*CMF</f>
        <v>11250</v>
      </c>
      <c r="M98" s="10">
        <f t="shared" si="48"/>
        <v>1092.2330097087379</v>
      </c>
      <c r="P98" s="42">
        <f t="shared" si="40"/>
        <v>84.58646616541354</v>
      </c>
      <c r="Q98" s="10">
        <f t="shared" si="49"/>
        <v>84.58646616541354</v>
      </c>
      <c r="R98" s="14">
        <f t="shared" si="41"/>
        <v>7.060639913640529E-2</v>
      </c>
      <c r="T98" s="42">
        <f t="shared" si="42"/>
        <v>6090.2255639097748</v>
      </c>
      <c r="U98" s="10">
        <f t="shared" si="50"/>
        <v>84.58646616541354</v>
      </c>
      <c r="V98" s="14">
        <f t="shared" si="43"/>
        <v>7.6410538541475642E-2</v>
      </c>
      <c r="X98" s="42">
        <f t="shared" si="44"/>
        <v>5159.7744360902261</v>
      </c>
      <c r="Y98" s="10">
        <f t="shared" si="51"/>
        <v>84.58646616541354</v>
      </c>
      <c r="Z98" s="14">
        <f t="shared" si="45"/>
        <v>6.5723749934276252E-2</v>
      </c>
      <c r="AB98" s="21">
        <f t="shared" si="52"/>
        <v>11250</v>
      </c>
      <c r="AC98" s="43">
        <f t="shared" si="46"/>
        <v>84.58646616541354</v>
      </c>
      <c r="AD98" s="14">
        <f t="shared" si="47"/>
        <v>7.0547511397342402E-2</v>
      </c>
    </row>
    <row r="99" spans="1:30" s="10" customFormat="1">
      <c r="A99" s="19"/>
      <c r="B99" s="10" t="s">
        <v>243</v>
      </c>
      <c r="L99" s="10">
        <f>+L161*CMF</f>
        <v>35437.5</v>
      </c>
      <c r="M99" s="10">
        <f t="shared" si="48"/>
        <v>3440.5339805825242</v>
      </c>
      <c r="P99" s="42">
        <f t="shared" si="40"/>
        <v>266.44736842105266</v>
      </c>
      <c r="Q99" s="10">
        <f t="shared" si="49"/>
        <v>266.44736842105266</v>
      </c>
      <c r="R99" s="14">
        <f t="shared" si="41"/>
        <v>0.22241015727967667</v>
      </c>
      <c r="T99" s="42">
        <f t="shared" si="42"/>
        <v>19184.21052631579</v>
      </c>
      <c r="U99" s="10">
        <f t="shared" si="50"/>
        <v>266.44736842105266</v>
      </c>
      <c r="V99" s="14">
        <f t="shared" si="43"/>
        <v>0.24069319640564829</v>
      </c>
      <c r="X99" s="42">
        <f t="shared" si="44"/>
        <v>16253.289473684212</v>
      </c>
      <c r="Y99" s="10">
        <f t="shared" si="51"/>
        <v>266.44736842105266</v>
      </c>
      <c r="Z99" s="14">
        <f t="shared" si="45"/>
        <v>0.20702981229297021</v>
      </c>
      <c r="AB99" s="21">
        <f t="shared" si="52"/>
        <v>35437.5</v>
      </c>
      <c r="AC99" s="43">
        <f t="shared" si="46"/>
        <v>266.44736842105266</v>
      </c>
      <c r="AD99" s="14">
        <f t="shared" si="47"/>
        <v>0.22222466090162857</v>
      </c>
    </row>
    <row r="100" spans="1:30" s="10" customFormat="1">
      <c r="A100" s="19"/>
      <c r="B100" s="10" t="s">
        <v>228</v>
      </c>
      <c r="L100" s="10">
        <f>+L157*CMF</f>
        <v>28125</v>
      </c>
      <c r="M100" s="10">
        <f t="shared" si="48"/>
        <v>2730.5825242718442</v>
      </c>
      <c r="P100" s="42">
        <f t="shared" si="40"/>
        <v>211.46616541353384</v>
      </c>
      <c r="Q100" s="10">
        <f t="shared" si="49"/>
        <v>211.46616541353384</v>
      </c>
      <c r="R100" s="14">
        <f t="shared" si="41"/>
        <v>0.17651599784101321</v>
      </c>
      <c r="T100" s="42">
        <f t="shared" si="42"/>
        <v>15225.563909774437</v>
      </c>
      <c r="U100" s="10">
        <f t="shared" si="50"/>
        <v>211.46616541353384</v>
      </c>
      <c r="V100" s="14">
        <f t="shared" si="43"/>
        <v>0.19102634635368912</v>
      </c>
      <c r="X100" s="42">
        <f t="shared" si="44"/>
        <v>12899.436090225565</v>
      </c>
      <c r="Y100" s="10">
        <f t="shared" si="51"/>
        <v>211.46616541353384</v>
      </c>
      <c r="Z100" s="14">
        <f t="shared" si="45"/>
        <v>0.16430937483569064</v>
      </c>
      <c r="AB100" s="21">
        <f>+X100+T100</f>
        <v>28125</v>
      </c>
      <c r="AC100" s="43">
        <f t="shared" si="46"/>
        <v>211.46616541353384</v>
      </c>
      <c r="AD100" s="14">
        <f t="shared" si="47"/>
        <v>0.176368778493356</v>
      </c>
    </row>
    <row r="101" spans="1:30" s="10" customFormat="1">
      <c r="A101" s="19"/>
      <c r="B101" s="10" t="s">
        <v>232</v>
      </c>
      <c r="L101" s="10">
        <f>+L160*CMF</f>
        <v>16875</v>
      </c>
      <c r="M101" s="10">
        <f t="shared" si="48"/>
        <v>1638.3495145631066</v>
      </c>
      <c r="P101" s="42">
        <f t="shared" si="40"/>
        <v>126.8796992481203</v>
      </c>
      <c r="Q101" s="10">
        <f t="shared" si="49"/>
        <v>126.8796992481203</v>
      </c>
      <c r="R101" s="14">
        <f t="shared" si="41"/>
        <v>0.10590959870460794</v>
      </c>
      <c r="T101" s="42">
        <f t="shared" si="42"/>
        <v>9135.3383458646622</v>
      </c>
      <c r="U101" s="10">
        <f t="shared" si="50"/>
        <v>126.8796992481203</v>
      </c>
      <c r="V101" s="14">
        <f t="shared" si="43"/>
        <v>0.11461580781221346</v>
      </c>
      <c r="X101" s="42">
        <f t="shared" si="44"/>
        <v>7739.6616541353387</v>
      </c>
      <c r="Y101" s="10">
        <f t="shared" si="51"/>
        <v>126.8796992481203</v>
      </c>
      <c r="Z101" s="14">
        <f t="shared" si="45"/>
        <v>9.858562490141437E-2</v>
      </c>
      <c r="AB101" s="21">
        <f>+X101+T101</f>
        <v>16875</v>
      </c>
      <c r="AC101" s="43">
        <f t="shared" si="46"/>
        <v>126.8796992481203</v>
      </c>
      <c r="AD101" s="14">
        <f t="shared" si="47"/>
        <v>0.1058212670960136</v>
      </c>
    </row>
    <row r="102" spans="1:30" s="10" customFormat="1">
      <c r="A102" s="19"/>
      <c r="B102" s="10" t="s">
        <v>256</v>
      </c>
      <c r="L102" s="10">
        <f>15000*CMF</f>
        <v>16875</v>
      </c>
      <c r="M102" s="10">
        <f t="shared" si="48"/>
        <v>1638.3495145631066</v>
      </c>
      <c r="P102" s="42">
        <f>Q102*P$7</f>
        <v>126.8796992481203</v>
      </c>
      <c r="Q102" s="10">
        <f t="shared" si="49"/>
        <v>126.8796992481203</v>
      </c>
      <c r="R102" s="14">
        <f t="shared" si="41"/>
        <v>0.10590959870460794</v>
      </c>
      <c r="T102" s="42">
        <f>U102*T$7</f>
        <v>9135.3383458646622</v>
      </c>
      <c r="U102" s="10">
        <f t="shared" si="50"/>
        <v>126.8796992481203</v>
      </c>
      <c r="V102" s="14">
        <f t="shared" si="43"/>
        <v>0.11461580781221346</v>
      </c>
      <c r="X102" s="42">
        <f>Y102*X$7</f>
        <v>7739.6616541353387</v>
      </c>
      <c r="Y102" s="10">
        <f t="shared" si="51"/>
        <v>126.8796992481203</v>
      </c>
      <c r="Z102" s="14">
        <f t="shared" si="45"/>
        <v>9.858562490141437E-2</v>
      </c>
      <c r="AB102" s="21">
        <f>+X102+T102</f>
        <v>16875</v>
      </c>
      <c r="AC102" s="43">
        <f t="shared" si="46"/>
        <v>126.8796992481203</v>
      </c>
      <c r="AD102" s="14">
        <f t="shared" si="47"/>
        <v>0.1058212670960136</v>
      </c>
    </row>
    <row r="103" spans="1:30" s="10" customFormat="1">
      <c r="A103" s="19"/>
      <c r="B103" s="30" t="s">
        <v>263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>
        <f>SUM(L93:L101)</f>
        <v>824510.27980621462</v>
      </c>
      <c r="M103" s="30">
        <f>SUM(M93:M101)</f>
        <v>80049.54172875869</v>
      </c>
      <c r="P103" s="44">
        <f>SUM(P93:P102)</f>
        <v>6326.2051113249208</v>
      </c>
      <c r="Q103" s="44">
        <f>SUM(Q93:Q102)</f>
        <v>6326.2051113249208</v>
      </c>
      <c r="R103" s="45">
        <f>SUM(R93:R102)</f>
        <v>5.280638657199435</v>
      </c>
      <c r="T103" s="44">
        <f>SUM(T93:T102)</f>
        <v>455486.76801539434</v>
      </c>
      <c r="U103" s="44">
        <f>SUM(U93:U102)</f>
        <v>6326.2051113249208</v>
      </c>
      <c r="V103" s="45">
        <f>SUM(V93:V102)</f>
        <v>5.7147290978544909</v>
      </c>
      <c r="X103" s="44">
        <f>SUM(X93:X102)</f>
        <v>385898.51179082022</v>
      </c>
      <c r="Y103" s="44">
        <f>SUM(Y93:Y102)</f>
        <v>6326.2051113249208</v>
      </c>
      <c r="Z103" s="45">
        <f>SUM(Z93:Z102)</f>
        <v>4.9154662869657511</v>
      </c>
      <c r="AB103" s="44">
        <f>SUM(AB93:AB102)</f>
        <v>841385.27980621462</v>
      </c>
      <c r="AC103" s="44">
        <f>SUM(AC93:AC102)</f>
        <v>6326.2051113249208</v>
      </c>
      <c r="AD103" s="45">
        <f>SUM(AD93:AD102)</f>
        <v>5.276234454816449</v>
      </c>
    </row>
    <row r="104" spans="1:30" s="10" customFormat="1">
      <c r="A104" s="19"/>
      <c r="P104" s="42"/>
      <c r="R104" s="14"/>
      <c r="U104" s="10">
        <f t="shared" si="50"/>
        <v>0</v>
      </c>
      <c r="Y104" s="10">
        <f t="shared" si="51"/>
        <v>0</v>
      </c>
    </row>
    <row r="105" spans="1:30" s="10" customFormat="1">
      <c r="A105" s="19"/>
      <c r="B105" s="29" t="s">
        <v>247</v>
      </c>
      <c r="P105" s="42"/>
      <c r="R105" s="14"/>
      <c r="U105" s="10">
        <f t="shared" si="50"/>
        <v>0</v>
      </c>
      <c r="Y105" s="10">
        <f t="shared" si="51"/>
        <v>0</v>
      </c>
    </row>
    <row r="106" spans="1:30" s="10" customFormat="1">
      <c r="A106" s="19"/>
      <c r="B106" s="10" t="s">
        <v>244</v>
      </c>
      <c r="L106" s="10">
        <f>75000*CMF</f>
        <v>84375</v>
      </c>
      <c r="M106" s="10">
        <f>L106/10.3</f>
        <v>8191.7475728155332</v>
      </c>
      <c r="P106" s="41">
        <f t="shared" si="40"/>
        <v>634.3984962406015</v>
      </c>
      <c r="Q106" s="41">
        <f t="shared" si="49"/>
        <v>634.3984962406015</v>
      </c>
      <c r="R106" s="13">
        <f t="shared" si="41"/>
        <v>0.52954799352303961</v>
      </c>
      <c r="T106" s="41">
        <f>U106*T$7</f>
        <v>45676.691729323305</v>
      </c>
      <c r="U106" s="41">
        <f t="shared" si="50"/>
        <v>634.3984962406015</v>
      </c>
      <c r="V106" s="13">
        <f t="shared" ref="V106:V114" si="53">+U106/U$8</f>
        <v>0.57307903906106727</v>
      </c>
      <c r="X106" s="41">
        <f>Y106*X$7</f>
        <v>38698.308270676695</v>
      </c>
      <c r="Y106" s="41">
        <f t="shared" si="51"/>
        <v>634.3984962406015</v>
      </c>
      <c r="Z106" s="13">
        <f t="shared" ref="Z106:Z114" si="54">+Y106/Y$8</f>
        <v>0.49292812450707185</v>
      </c>
      <c r="AB106" s="64">
        <f>+X106+T106</f>
        <v>84375</v>
      </c>
      <c r="AC106" s="43">
        <f>+AB106/AB$7</f>
        <v>634.3984962406015</v>
      </c>
      <c r="AD106" s="14">
        <f>+AC106/AC$8</f>
        <v>0.52910633548006802</v>
      </c>
    </row>
    <row r="107" spans="1:30" s="10" customFormat="1">
      <c r="A107" s="19"/>
      <c r="B107" s="10" t="s">
        <v>246</v>
      </c>
      <c r="L107" s="10">
        <f>4000*CMF</f>
        <v>4500</v>
      </c>
      <c r="M107" s="10">
        <f>L107/10.3</f>
        <v>436.89320388349512</v>
      </c>
      <c r="P107" s="42">
        <f t="shared" si="40"/>
        <v>33.834586466165412</v>
      </c>
      <c r="Q107" s="10">
        <f t="shared" si="49"/>
        <v>33.834586466165412</v>
      </c>
      <c r="R107" s="14">
        <f t="shared" si="41"/>
        <v>2.8242559654562113E-2</v>
      </c>
      <c r="T107" s="42">
        <f>U107*T$7</f>
        <v>2436.0902255639098</v>
      </c>
      <c r="U107" s="10">
        <f t="shared" si="50"/>
        <v>33.834586466165412</v>
      </c>
      <c r="V107" s="14">
        <f t="shared" si="53"/>
        <v>3.0564215416590254E-2</v>
      </c>
      <c r="X107" s="42">
        <f>Y107*X$7</f>
        <v>2063.9097744360902</v>
      </c>
      <c r="Y107" s="10">
        <f t="shared" si="51"/>
        <v>33.834586466165412</v>
      </c>
      <c r="Z107" s="14">
        <f t="shared" si="54"/>
        <v>2.6289499973710499E-2</v>
      </c>
      <c r="AB107" s="21">
        <f>+X107+T107</f>
        <v>4500</v>
      </c>
      <c r="AC107" s="43">
        <f>+AB107/AB$7</f>
        <v>33.834586466165412</v>
      </c>
      <c r="AD107" s="14">
        <f>+AC107/AC$8</f>
        <v>2.8219004558936958E-2</v>
      </c>
    </row>
    <row r="108" spans="1:30" s="10" customFormat="1">
      <c r="A108" s="19"/>
      <c r="B108" s="10" t="s">
        <v>245</v>
      </c>
      <c r="L108" s="10">
        <f>4000*CMF</f>
        <v>4500</v>
      </c>
      <c r="M108" s="10">
        <f>L108/10.3</f>
        <v>436.89320388349512</v>
      </c>
      <c r="P108" s="42">
        <f t="shared" si="40"/>
        <v>33.834586466165412</v>
      </c>
      <c r="Q108" s="10">
        <f t="shared" si="49"/>
        <v>33.834586466165412</v>
      </c>
      <c r="R108" s="14">
        <f t="shared" si="41"/>
        <v>2.8242559654562113E-2</v>
      </c>
      <c r="T108" s="42">
        <f>U108*T$7</f>
        <v>2436.0902255639098</v>
      </c>
      <c r="U108" s="10">
        <f t="shared" si="50"/>
        <v>33.834586466165412</v>
      </c>
      <c r="V108" s="14">
        <f t="shared" si="53"/>
        <v>3.0564215416590254E-2</v>
      </c>
      <c r="X108" s="42">
        <f>Y108*X$7</f>
        <v>2063.9097744360902</v>
      </c>
      <c r="Y108" s="10">
        <f t="shared" si="51"/>
        <v>33.834586466165412</v>
      </c>
      <c r="Z108" s="14">
        <f t="shared" si="54"/>
        <v>2.6289499973710499E-2</v>
      </c>
      <c r="AB108" s="21">
        <f>+X108+T108</f>
        <v>4500</v>
      </c>
      <c r="AC108" s="43">
        <f>+AB108/AB$7</f>
        <v>33.834586466165412</v>
      </c>
      <c r="AD108" s="14">
        <f>+AC108/AC$8</f>
        <v>2.8219004558936958E-2</v>
      </c>
    </row>
    <row r="109" spans="1:30" s="10" customFormat="1">
      <c r="A109" s="19"/>
      <c r="B109" s="22" t="s">
        <v>394</v>
      </c>
      <c r="P109" s="42">
        <v>0</v>
      </c>
      <c r="Q109" s="10">
        <v>0</v>
      </c>
      <c r="R109" s="14">
        <f t="shared" si="41"/>
        <v>0</v>
      </c>
      <c r="T109" s="42">
        <f>U109*T$7</f>
        <v>53687.712194592415</v>
      </c>
      <c r="U109" s="10">
        <f>+$Q123/SM134Units</f>
        <v>745.66266936933914</v>
      </c>
      <c r="V109" s="14">
        <f t="shared" si="53"/>
        <v>0.67358868055044185</v>
      </c>
      <c r="X109" s="42">
        <f>Y109*X$7</f>
        <v>45485.422831529686</v>
      </c>
      <c r="Y109" s="10">
        <f>+$Q123/SM134Units</f>
        <v>745.66266936933914</v>
      </c>
      <c r="Z109" s="14">
        <f t="shared" si="54"/>
        <v>0.57938047348044996</v>
      </c>
      <c r="AB109" s="21">
        <f>+X109+T109</f>
        <v>99173.135026122094</v>
      </c>
      <c r="AC109" s="43">
        <f>+AB109/AB$7</f>
        <v>745.66266936933903</v>
      </c>
      <c r="AD109" s="14">
        <f>+AC109/AC$8</f>
        <v>0.62190381098360215</v>
      </c>
    </row>
    <row r="110" spans="1:30" s="10" customFormat="1">
      <c r="A110" s="19"/>
      <c r="B110" s="30" t="s">
        <v>248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>
        <f>SUM(L106:L108)</f>
        <v>93375</v>
      </c>
      <c r="M110" s="30">
        <f>SUM(M106:M108)</f>
        <v>9065.5339805825242</v>
      </c>
      <c r="P110" s="44">
        <f>SUM(P106:P109)</f>
        <v>702.06766917293237</v>
      </c>
      <c r="Q110" s="44">
        <f>SUM(Q106:Q108)</f>
        <v>702.06766917293237</v>
      </c>
      <c r="R110" s="45">
        <f>+Q110/Q$8</f>
        <v>0.58603311283216386</v>
      </c>
      <c r="T110" s="44">
        <f>SUM(T106:T109)</f>
        <v>104236.58437504355</v>
      </c>
      <c r="U110" s="44">
        <f>SUM(U106:U108)</f>
        <v>702.06766917293237</v>
      </c>
      <c r="V110" s="45">
        <f t="shared" si="53"/>
        <v>0.63420746989424781</v>
      </c>
      <c r="X110" s="44">
        <f>SUM(X106:X109)</f>
        <v>88311.550651078564</v>
      </c>
      <c r="Y110" s="44">
        <f>SUM(Y106:Y108)</f>
        <v>702.06766917293237</v>
      </c>
      <c r="Z110" s="45">
        <f t="shared" si="54"/>
        <v>0.5455071244544929</v>
      </c>
      <c r="AB110" s="44">
        <f>SUM(AB106:AB109)</f>
        <v>192548.13502612209</v>
      </c>
      <c r="AC110" s="44">
        <f>SUM(AC106:AC108)</f>
        <v>702.06766917293237</v>
      </c>
      <c r="AD110" s="45">
        <f>SUM(AD106:AD108)</f>
        <v>0.58554434459794202</v>
      </c>
    </row>
    <row r="111" spans="1:30" s="10" customFormat="1">
      <c r="A111" s="19"/>
      <c r="B111" s="48" t="s">
        <v>264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>
        <f>+L110+L103</f>
        <v>917885.27980621462</v>
      </c>
      <c r="M111" s="30">
        <f>+M110+M103</f>
        <v>89115.07570934121</v>
      </c>
      <c r="P111" s="44">
        <f>+P110+P103</f>
        <v>7028.2727804978531</v>
      </c>
      <c r="Q111" s="44">
        <f>+Q110+Q103</f>
        <v>7028.2727804978531</v>
      </c>
      <c r="R111" s="45">
        <f>+Q111/Q$8</f>
        <v>5.8666717700315969</v>
      </c>
      <c r="T111" s="44">
        <f>+T110+T103</f>
        <v>559723.35239043785</v>
      </c>
      <c r="U111" s="44">
        <f>+U110+U103</f>
        <v>7028.2727804978531</v>
      </c>
      <c r="V111" s="45">
        <f t="shared" si="53"/>
        <v>6.3489365677487379</v>
      </c>
      <c r="X111" s="44">
        <f>+X110+X103</f>
        <v>474210.0624418988</v>
      </c>
      <c r="Y111" s="44">
        <f>+Y110+Y103</f>
        <v>7028.2727804978531</v>
      </c>
      <c r="Z111" s="45">
        <f t="shared" si="54"/>
        <v>5.4609734114202428</v>
      </c>
      <c r="AB111" s="44">
        <f>+AB110+AB103</f>
        <v>1033933.4148323367</v>
      </c>
      <c r="AC111" s="44">
        <f>+AC110+AC103</f>
        <v>7028.2727804978531</v>
      </c>
      <c r="AD111" s="45">
        <f>+AD110+AD103</f>
        <v>5.8617787994143908</v>
      </c>
    </row>
    <row r="112" spans="1:30" s="10" customFormat="1">
      <c r="A112" s="19"/>
      <c r="B112" s="48" t="s">
        <v>255</v>
      </c>
      <c r="C112" s="48"/>
      <c r="D112" s="91"/>
      <c r="E112" s="92"/>
      <c r="F112" s="92"/>
      <c r="G112" s="92"/>
      <c r="H112" s="92"/>
      <c r="I112" s="92"/>
      <c r="J112" s="92"/>
      <c r="K112" s="92"/>
      <c r="L112" s="49">
        <f>+L111+L91</f>
        <v>2039555.2798062149</v>
      </c>
      <c r="M112" s="49">
        <f>+M111+M91</f>
        <v>198015.07570934121</v>
      </c>
      <c r="N112" s="93"/>
      <c r="O112" s="93"/>
      <c r="P112" s="49">
        <f>+P111+P91</f>
        <v>15461.881803054246</v>
      </c>
      <c r="Q112" s="49">
        <f>+Q111+Q91</f>
        <v>15461.881803054246</v>
      </c>
      <c r="R112" s="50">
        <f>+Q112/Q$8</f>
        <v>12.906412189527751</v>
      </c>
      <c r="S112" s="51"/>
      <c r="T112" s="49">
        <f>+T111+T91</f>
        <v>1166943.2020144982</v>
      </c>
      <c r="U112" s="49">
        <f>+U111+U91</f>
        <v>15461.881803054246</v>
      </c>
      <c r="V112" s="50">
        <f t="shared" si="53"/>
        <v>13.967372902488027</v>
      </c>
      <c r="W112" s="51"/>
      <c r="X112" s="49">
        <f>+X111+X91</f>
        <v>988660.21281783876</v>
      </c>
      <c r="Y112" s="49">
        <f>+Y111+Y91</f>
        <v>15461.881803054246</v>
      </c>
      <c r="Z112" s="50">
        <f t="shared" si="54"/>
        <v>12.013894174867325</v>
      </c>
      <c r="AA112" s="51"/>
      <c r="AB112" s="52">
        <f>+AB111+AB91</f>
        <v>2155603.4148323368</v>
      </c>
      <c r="AC112" s="49">
        <f>+AC111+AC91</f>
        <v>15461.881803054246</v>
      </c>
      <c r="AD112" s="50">
        <f>+AD111+AD91</f>
        <v>12.895647875775019</v>
      </c>
    </row>
    <row r="113" spans="1:30" s="10" customFormat="1">
      <c r="A113" s="19"/>
      <c r="B113" s="26" t="s">
        <v>217</v>
      </c>
      <c r="L113" s="10">
        <f>0.15*(L111+L88)</f>
        <v>243137.02197093217</v>
      </c>
      <c r="P113" s="10">
        <f>0.15*(P111+P88)</f>
        <v>11359.546297947931</v>
      </c>
      <c r="Q113" s="10">
        <f>0.15*(Q111+Q88)</f>
        <v>11359.546297947931</v>
      </c>
      <c r="R113" s="20">
        <f>+Q113/Q$8</f>
        <v>9.4820920684039489</v>
      </c>
      <c r="T113" s="10">
        <f>0.15*(T111+T88)</f>
        <v>786273.86729939061</v>
      </c>
      <c r="U113" s="10">
        <f>0.15*(U111+U88)</f>
        <v>10808.620978752801</v>
      </c>
      <c r="V113" s="20">
        <f t="shared" si="53"/>
        <v>9.763885256325926</v>
      </c>
      <c r="X113" s="10">
        <f>0.15*(X111+X88)</f>
        <v>729434.75142765895</v>
      </c>
      <c r="Y113" s="10">
        <f>0.15*(Y111+Y88)</f>
        <v>11846.097344310318</v>
      </c>
      <c r="Z113" s="20">
        <f t="shared" si="54"/>
        <v>9.2044268409559571</v>
      </c>
      <c r="AB113" s="10">
        <f>+X113+T113</f>
        <v>1515708.6187270496</v>
      </c>
      <c r="AC113" s="10">
        <f>0.15*(AC111+AC88)</f>
        <v>11284.456003557378</v>
      </c>
      <c r="AD113" s="10">
        <f>0.15*(AD111+AD88)</f>
        <v>9.4115562998810489</v>
      </c>
    </row>
    <row r="114" spans="1:30" s="10" customFormat="1">
      <c r="A114" s="19"/>
      <c r="B114" s="48" t="s">
        <v>265</v>
      </c>
      <c r="C114" s="48"/>
      <c r="D114" s="91"/>
      <c r="E114" s="92"/>
      <c r="F114" s="92"/>
      <c r="G114" s="92"/>
      <c r="H114" s="92"/>
      <c r="I114" s="92"/>
      <c r="J114" s="92"/>
      <c r="K114" s="92"/>
      <c r="L114" s="49">
        <f>+L113+L112+L88</f>
        <v>2985720.5017771474</v>
      </c>
      <c r="M114" s="49"/>
      <c r="N114" s="93"/>
      <c r="O114" s="93"/>
      <c r="P114" s="49">
        <f>+P113+P112+P88</f>
        <v>95523.463973490536</v>
      </c>
      <c r="Q114" s="49">
        <f>+Q113+Q112+Q88</f>
        <v>95523.463973490536</v>
      </c>
      <c r="R114" s="50">
        <f>+Q114/Q$8</f>
        <v>79.735779610593099</v>
      </c>
      <c r="S114" s="51"/>
      <c r="T114" s="49">
        <f>+T113+T112+T88</f>
        <v>6635319.4989193883</v>
      </c>
      <c r="U114" s="49">
        <f>+U113+U112+U88</f>
        <v>91299.703192994522</v>
      </c>
      <c r="V114" s="50">
        <f t="shared" si="53"/>
        <v>82.474889966571382</v>
      </c>
      <c r="W114" s="51"/>
      <c r="X114" s="49">
        <f>+X113+X112+X88</f>
        <v>6106783.2446546592</v>
      </c>
      <c r="Y114" s="49">
        <f>+Y113+Y112+Y88</f>
        <v>99253.688662268833</v>
      </c>
      <c r="Z114" s="50">
        <f t="shared" si="54"/>
        <v>77.120193210776094</v>
      </c>
      <c r="AA114" s="51"/>
      <c r="AB114" s="52">
        <f>+AB113+AB112+AB88</f>
        <v>12742102.743574046</v>
      </c>
      <c r="AC114" s="49">
        <f>+AC113+AC112+AC88</f>
        <v>94947.771716496296</v>
      </c>
      <c r="AD114" s="50">
        <f>+AD113+AD112+AD88</f>
        <v>79.189134042115342</v>
      </c>
    </row>
    <row r="115" spans="1:30" s="10" customFormat="1">
      <c r="A115" s="19"/>
      <c r="B115" s="26"/>
      <c r="R115" s="14"/>
    </row>
    <row r="116" spans="1:30" s="10" customFormat="1">
      <c r="A116" s="19"/>
      <c r="B116" s="29" t="s">
        <v>257</v>
      </c>
    </row>
    <row r="117" spans="1:30" s="10" customFormat="1">
      <c r="A117" s="19"/>
      <c r="B117" s="10" t="s">
        <v>69</v>
      </c>
      <c r="L117" s="10">
        <v>4000</v>
      </c>
      <c r="P117" s="41">
        <f>Q117*P$7</f>
        <v>30.075187969924812</v>
      </c>
      <c r="Q117" s="41">
        <f>+$L117/SM134Units</f>
        <v>30.075187969924812</v>
      </c>
      <c r="R117" s="13">
        <f t="shared" si="41"/>
        <v>2.5104497470721882E-2</v>
      </c>
      <c r="T117" s="41">
        <f>U117*T$7</f>
        <v>2165.4135338345864</v>
      </c>
      <c r="U117" s="41">
        <f>+$L117/SM134Units</f>
        <v>30.075187969924812</v>
      </c>
      <c r="V117" s="13">
        <f>+U117/U$8</f>
        <v>2.716819148141356E-2</v>
      </c>
      <c r="X117" s="41">
        <f>Y117*X$7</f>
        <v>1834.5864661654136</v>
      </c>
      <c r="Y117" s="41">
        <f>+$L117/SM134Units</f>
        <v>30.075187969924812</v>
      </c>
      <c r="Z117" s="13">
        <f>+Y117/Y$8</f>
        <v>2.3368444421075999E-2</v>
      </c>
      <c r="AB117" s="64">
        <f>+X117+T117</f>
        <v>4000</v>
      </c>
      <c r="AC117" s="43">
        <f>+AB117/AB$7</f>
        <v>30.075187969924812</v>
      </c>
      <c r="AD117" s="14">
        <f>+AC117/AC$8</f>
        <v>2.5083559607943964E-2</v>
      </c>
    </row>
    <row r="118" spans="1:30" s="10" customFormat="1">
      <c r="A118" s="19"/>
      <c r="B118" s="10" t="s">
        <v>258</v>
      </c>
      <c r="L118" s="10">
        <f>0.0075*0.75*13000000</f>
        <v>73125</v>
      </c>
      <c r="P118" s="42">
        <f>Q118*P$7</f>
        <v>549.81203007518798</v>
      </c>
      <c r="Q118" s="10">
        <f>+$L118/SM134Units</f>
        <v>549.81203007518798</v>
      </c>
      <c r="R118" s="14">
        <f t="shared" si="41"/>
        <v>0.45894159438663434</v>
      </c>
      <c r="T118" s="42">
        <f>U118*T$7</f>
        <v>39586.466165413534</v>
      </c>
      <c r="U118" s="10">
        <f>+$L118/SM134Units</f>
        <v>549.81203007518798</v>
      </c>
      <c r="V118" s="14">
        <f>+U118/U$8</f>
        <v>0.49666850051959166</v>
      </c>
      <c r="X118" s="42">
        <f>Y118*X$7</f>
        <v>33538.533834586466</v>
      </c>
      <c r="Y118" s="10">
        <f>+$L118/SM134Units</f>
        <v>549.81203007518798</v>
      </c>
      <c r="Z118" s="14">
        <f>+Y118/Y$8</f>
        <v>0.42720437457279564</v>
      </c>
      <c r="AB118" s="21">
        <f>+X118+T118</f>
        <v>73125</v>
      </c>
      <c r="AC118" s="43">
        <f>+AB118/AB$7</f>
        <v>549.81203007518798</v>
      </c>
      <c r="AD118" s="14">
        <f>+AC118/AC$8</f>
        <v>0.45855882408272558</v>
      </c>
    </row>
    <row r="119" spans="1:30" s="10" customFormat="1">
      <c r="A119" s="19"/>
      <c r="B119" s="10" t="s">
        <v>262</v>
      </c>
      <c r="L119" s="10">
        <f>0.0025*0.75*13000000</f>
        <v>24375</v>
      </c>
      <c r="P119" s="42">
        <f>Q119*P$7</f>
        <v>183.27067669172934</v>
      </c>
      <c r="Q119" s="10">
        <f>+$L119/SM134Units</f>
        <v>183.27067669172934</v>
      </c>
      <c r="R119" s="14">
        <f t="shared" si="41"/>
        <v>0.15298053146221147</v>
      </c>
      <c r="T119" s="42">
        <f>U119*T$7</f>
        <v>13195.488721804511</v>
      </c>
      <c r="U119" s="10">
        <f>+$L119/SM134Units</f>
        <v>183.27067669172934</v>
      </c>
      <c r="V119" s="14">
        <f>+U119/U$8</f>
        <v>0.16555616683986391</v>
      </c>
      <c r="X119" s="42">
        <f>Y119*X$7</f>
        <v>11179.511278195489</v>
      </c>
      <c r="Y119" s="10">
        <f>+$L119/SM134Units</f>
        <v>183.27067669172934</v>
      </c>
      <c r="Z119" s="14">
        <f>+Y119/Y$8</f>
        <v>0.14240145819093189</v>
      </c>
      <c r="AB119" s="21">
        <f>+X119+T119</f>
        <v>24375</v>
      </c>
      <c r="AC119" s="43">
        <f>+AB119/AB$7</f>
        <v>183.27067669172934</v>
      </c>
      <c r="AD119" s="14">
        <f>+AC119/AC$8</f>
        <v>0.15285294136090855</v>
      </c>
    </row>
    <row r="120" spans="1:30" s="10" customFormat="1">
      <c r="A120" s="19"/>
      <c r="B120" s="10" t="s">
        <v>259</v>
      </c>
      <c r="L120" s="10">
        <f>13000000*0.75*0.75*0.105*0.5</f>
        <v>383906.25</v>
      </c>
      <c r="P120" s="42">
        <f>Q120*P$7</f>
        <v>2886.5131578947367</v>
      </c>
      <c r="Q120" s="10">
        <f>+$L120/SM134Units</f>
        <v>2886.5131578947367</v>
      </c>
      <c r="R120" s="14">
        <f t="shared" si="41"/>
        <v>2.4094433705298304</v>
      </c>
      <c r="T120" s="42">
        <f>U120*T$7</f>
        <v>207828.94736842104</v>
      </c>
      <c r="U120" s="10">
        <f>+$L120/SM134Units</f>
        <v>2886.5131578947367</v>
      </c>
      <c r="V120" s="14">
        <f>+U120/U$8</f>
        <v>2.6075096277278562</v>
      </c>
      <c r="X120" s="42">
        <f>Y120*X$7</f>
        <v>176077.30263157893</v>
      </c>
      <c r="Y120" s="10">
        <f>+$L120/SM134Units</f>
        <v>2886.5131578947367</v>
      </c>
      <c r="Z120" s="14">
        <f>+Y120/Y$8</f>
        <v>2.2428229665071768</v>
      </c>
      <c r="AB120" s="21">
        <f>+X120+T120</f>
        <v>383906.25</v>
      </c>
      <c r="AC120" s="43">
        <f>+AB120/AB$7</f>
        <v>2886.5131578947367</v>
      </c>
      <c r="AD120" s="14">
        <f>+AC120/AC$8</f>
        <v>2.4074338264343091</v>
      </c>
    </row>
    <row r="121" spans="1:30" s="10" customFormat="1">
      <c r="A121" s="19"/>
      <c r="B121" s="32" t="s">
        <v>260</v>
      </c>
      <c r="L121" s="32">
        <f>SUM(L117:L120)</f>
        <v>485406.25</v>
      </c>
      <c r="M121" s="32"/>
      <c r="P121" s="94">
        <f>SUM(P117:P120)</f>
        <v>3649.6710526315787</v>
      </c>
      <c r="Q121" s="94">
        <f>SUM(Q117:Q120)</f>
        <v>3649.6710526315787</v>
      </c>
      <c r="R121" s="46">
        <f>SUM(R117:R120)</f>
        <v>3.046469993849398</v>
      </c>
      <c r="T121" s="94">
        <f>SUM(T117:T120)</f>
        <v>262776.31578947365</v>
      </c>
      <c r="U121" s="94">
        <f>SUM(U117:U120)</f>
        <v>3649.6710526315787</v>
      </c>
      <c r="V121" s="46">
        <f>SUM(V117:V120)</f>
        <v>3.2969024865687251</v>
      </c>
      <c r="X121" s="94">
        <f>SUM(X117:X120)</f>
        <v>222629.93421052629</v>
      </c>
      <c r="Y121" s="94">
        <f>SUM(Y117:Y120)</f>
        <v>3649.6710526315787</v>
      </c>
      <c r="Z121" s="46">
        <f>SUM(Z117:Z120)</f>
        <v>2.8357972436919803</v>
      </c>
      <c r="AB121" s="94">
        <f>SUM(AB117:AB120)</f>
        <v>485406.25</v>
      </c>
      <c r="AC121" s="94">
        <f>SUM(AC117:AC120)</f>
        <v>3649.6710526315787</v>
      </c>
      <c r="AD121" s="46">
        <f>SUM(AD117:AD120)</f>
        <v>3.0439291514858873</v>
      </c>
    </row>
    <row r="122" spans="1:30" s="10" customFormat="1">
      <c r="A122" s="19"/>
      <c r="B122" s="30"/>
      <c r="L122" s="30"/>
      <c r="M122" s="30"/>
      <c r="P122" s="44"/>
      <c r="Q122" s="44"/>
      <c r="R122" s="95"/>
      <c r="T122" s="44"/>
      <c r="U122" s="44"/>
      <c r="V122" s="95"/>
      <c r="X122" s="44"/>
      <c r="Y122" s="44"/>
      <c r="Z122" s="95"/>
      <c r="AB122" s="44"/>
      <c r="AC122" s="44"/>
      <c r="AD122" s="95"/>
    </row>
    <row r="123" spans="1:30" s="10" customFormat="1" ht="12.75" thickBot="1">
      <c r="A123" s="19"/>
      <c r="B123" s="16" t="s">
        <v>261</v>
      </c>
      <c r="L123" s="16">
        <f>+L121+L114+L88</f>
        <v>4174154.9517771476</v>
      </c>
      <c r="M123" s="16"/>
      <c r="P123" s="5">
        <f>+P121+P114</f>
        <v>99173.135026122109</v>
      </c>
      <c r="Q123" s="5">
        <f>+Q121+Q114</f>
        <v>99173.135026122109</v>
      </c>
      <c r="R123" s="3">
        <f>+R121+R114</f>
        <v>82.782249604442498</v>
      </c>
      <c r="T123" s="5">
        <f>+T121+T114</f>
        <v>6898095.8147088615</v>
      </c>
      <c r="U123" s="5">
        <f>+U121+U114</f>
        <v>94949.374245626095</v>
      </c>
      <c r="V123" s="3">
        <f>+V121+V114</f>
        <v>85.771792453140108</v>
      </c>
      <c r="X123" s="5">
        <f>+X121+X114</f>
        <v>6329413.178865185</v>
      </c>
      <c r="Y123" s="5">
        <f>+Y121+Y114</f>
        <v>102903.35971490041</v>
      </c>
      <c r="Z123" s="3">
        <f>+Z121+Z114</f>
        <v>79.955990454468079</v>
      </c>
      <c r="AB123" s="5">
        <f>+AB121+AB114</f>
        <v>13227508.993574046</v>
      </c>
      <c r="AC123" s="5">
        <f>+AC121+AC114</f>
        <v>98597.442769127869</v>
      </c>
      <c r="AD123" s="3">
        <f>+AD121+AD114</f>
        <v>82.233063193601225</v>
      </c>
    </row>
    <row r="124" spans="1:30" s="10" customFormat="1" ht="12.75" thickTop="1">
      <c r="A124" s="19"/>
    </row>
    <row r="125" spans="1:30">
      <c r="A125" s="19"/>
      <c r="B125" s="10" t="s">
        <v>266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34">
        <v>0.75</v>
      </c>
      <c r="M125" s="38" t="s">
        <v>267</v>
      </c>
      <c r="T125" s="38">
        <f>0.75*T123</f>
        <v>5173571.8610316459</v>
      </c>
      <c r="U125" s="38">
        <f>0.75*U123</f>
        <v>71212.030684219571</v>
      </c>
      <c r="V125" s="38">
        <f>0.75*V123</f>
        <v>64.328844339855081</v>
      </c>
      <c r="X125" s="38">
        <f>0.75*X123</f>
        <v>4747059.8841488883</v>
      </c>
      <c r="Y125" s="38">
        <f>0.75*Y123</f>
        <v>77177.519786175311</v>
      </c>
      <c r="Z125" s="38">
        <f>0.75*Z123</f>
        <v>59.966992840851063</v>
      </c>
      <c r="AB125" s="38">
        <f>0.75*AB123</f>
        <v>9920631.7451805342</v>
      </c>
      <c r="AC125" s="38">
        <f>0.75*AC123</f>
        <v>73948.082076845894</v>
      </c>
      <c r="AD125" s="38">
        <f>0.75*AD123</f>
        <v>61.674797395200919</v>
      </c>
    </row>
    <row r="126" spans="1:30">
      <c r="B126" s="96" t="s">
        <v>268</v>
      </c>
    </row>
    <row r="127" spans="1:30">
      <c r="B127" s="10" t="s">
        <v>253</v>
      </c>
      <c r="T127" s="38">
        <f>+T123-T125</f>
        <v>1724523.9536772156</v>
      </c>
      <c r="X127" s="38">
        <f>+X123-X125</f>
        <v>1582353.2947162967</v>
      </c>
      <c r="AB127" s="38">
        <f>+AB123-AB125</f>
        <v>3306877.2483935114</v>
      </c>
    </row>
    <row r="128" spans="1:30">
      <c r="B128" s="10" t="s">
        <v>269</v>
      </c>
      <c r="T128" s="38">
        <f>-T113</f>
        <v>-786273.86729939061</v>
      </c>
      <c r="X128" s="38">
        <f>-X113</f>
        <v>-729434.75142765895</v>
      </c>
      <c r="AB128" s="38">
        <f>-AB113</f>
        <v>-1515708.6187270496</v>
      </c>
    </row>
    <row r="129" spans="2:28">
      <c r="B129" s="10" t="s">
        <v>270</v>
      </c>
      <c r="T129" s="38">
        <f>+T128+T127</f>
        <v>938250.08637782501</v>
      </c>
      <c r="X129" s="38">
        <f>+X128+X127</f>
        <v>852918.54328863777</v>
      </c>
      <c r="AB129" s="38">
        <f>+AB128+AB127</f>
        <v>1791168.6296664618</v>
      </c>
    </row>
    <row r="135" spans="2:28">
      <c r="L135" s="38">
        <f>10.3*43560</f>
        <v>448668.00000000006</v>
      </c>
      <c r="P135" s="38">
        <f>P$7*28</f>
        <v>28</v>
      </c>
      <c r="T135" s="38">
        <f>T7*15.83</f>
        <v>1139.76</v>
      </c>
      <c r="X135" s="38">
        <f>X7*26</f>
        <v>1586</v>
      </c>
    </row>
    <row r="136" spans="2:28">
      <c r="L136" s="38">
        <f>SQRT(L135)</f>
        <v>669.82684329608651</v>
      </c>
      <c r="M136" s="38">
        <f>L136*25</f>
        <v>16745.671082402161</v>
      </c>
      <c r="N136" s="38">
        <f>M136*4</f>
        <v>66982.684329608644</v>
      </c>
      <c r="P136" s="38">
        <f>P$7*20</f>
        <v>20</v>
      </c>
      <c r="T136" s="38">
        <f>T$7*20</f>
        <v>1440</v>
      </c>
      <c r="X136" s="38">
        <f>X$7*20</f>
        <v>1220</v>
      </c>
    </row>
    <row r="137" spans="2:28">
      <c r="L137" s="38">
        <f>L136*4-120</f>
        <v>2559.307373184346</v>
      </c>
      <c r="N137" s="38">
        <f>300*300</f>
        <v>90000</v>
      </c>
      <c r="P137" s="38">
        <f>+P136+P135</f>
        <v>48</v>
      </c>
      <c r="T137" s="38">
        <f>+T136+T135</f>
        <v>2579.7600000000002</v>
      </c>
      <c r="X137" s="38">
        <f>+X136+X135</f>
        <v>2806</v>
      </c>
    </row>
    <row r="138" spans="2:28">
      <c r="L138" s="38">
        <f>30*L137</f>
        <v>76779.221195530379</v>
      </c>
      <c r="N138" s="38">
        <f>+N137+N136</f>
        <v>156982.68432960863</v>
      </c>
    </row>
    <row r="139" spans="2:28">
      <c r="N139" s="38">
        <f>-2.5*60*80</f>
        <v>-12000</v>
      </c>
    </row>
    <row r="140" spans="2:28">
      <c r="N140" s="38">
        <f>-4000</f>
        <v>-4000</v>
      </c>
    </row>
    <row r="141" spans="2:28">
      <c r="N141" s="38">
        <f>SUM(N138:N140)</f>
        <v>140982.68432960863</v>
      </c>
    </row>
    <row r="142" spans="2:28">
      <c r="N142" s="38">
        <f>N141/134</f>
        <v>1052.1095845493182</v>
      </c>
    </row>
    <row r="143" spans="2:28">
      <c r="N143" s="38">
        <f>6500*12</f>
        <v>78000</v>
      </c>
    </row>
    <row r="144" spans="2:28">
      <c r="L144" s="38">
        <f>670-(37.5*2+25*2)</f>
        <v>545</v>
      </c>
    </row>
    <row r="145" spans="2:14">
      <c r="L145" s="38">
        <v>60</v>
      </c>
    </row>
    <row r="146" spans="2:14">
      <c r="L146" s="38">
        <v>4</v>
      </c>
    </row>
    <row r="147" spans="2:14">
      <c r="L147" s="38">
        <f>L146*L145*L144</f>
        <v>130800</v>
      </c>
    </row>
    <row r="148" spans="2:14">
      <c r="L148" s="38">
        <f>2*L147</f>
        <v>261600</v>
      </c>
    </row>
    <row r="149" spans="2:14">
      <c r="L149" s="38">
        <f>L144*L146*2.1</f>
        <v>4578</v>
      </c>
    </row>
    <row r="150" spans="2:14">
      <c r="L150" s="38">
        <f>10*L149</f>
        <v>45780</v>
      </c>
    </row>
    <row r="151" spans="2:14">
      <c r="L151" s="38">
        <f>+L150+L148</f>
        <v>307380</v>
      </c>
      <c r="M151" s="38">
        <f>75000*10.3</f>
        <v>772500</v>
      </c>
      <c r="N151" s="34">
        <f>+L151/M151</f>
        <v>0.39790291262135924</v>
      </c>
    </row>
    <row r="152" spans="2:14">
      <c r="L152" s="38">
        <f>+N141*1.5</f>
        <v>211474.02649441294</v>
      </c>
    </row>
    <row r="153" spans="2:14">
      <c r="B153" s="38" t="s">
        <v>224</v>
      </c>
      <c r="L153" s="38">
        <f>545*4*35</f>
        <v>76300</v>
      </c>
      <c r="M153" s="38">
        <v>16</v>
      </c>
    </row>
    <row r="154" spans="2:14">
      <c r="B154" s="38" t="s">
        <v>225</v>
      </c>
    </row>
    <row r="155" spans="2:14">
      <c r="B155" s="38" t="s">
        <v>226</v>
      </c>
    </row>
    <row r="156" spans="2:14">
      <c r="B156" s="38" t="s">
        <v>227</v>
      </c>
    </row>
    <row r="157" spans="2:14">
      <c r="B157" s="38" t="s">
        <v>228</v>
      </c>
      <c r="L157" s="38">
        <v>25000</v>
      </c>
    </row>
    <row r="158" spans="2:14">
      <c r="B158" s="38" t="s">
        <v>229</v>
      </c>
      <c r="L158" s="38">
        <f>10000</f>
        <v>10000</v>
      </c>
    </row>
    <row r="159" spans="2:14">
      <c r="B159" s="38" t="s">
        <v>231</v>
      </c>
      <c r="L159" s="38">
        <v>15000</v>
      </c>
    </row>
    <row r="160" spans="2:14">
      <c r="B160" s="38" t="s">
        <v>232</v>
      </c>
      <c r="L160" s="38">
        <v>15000</v>
      </c>
    </row>
    <row r="161" spans="2:14">
      <c r="B161" s="38" t="s">
        <v>233</v>
      </c>
      <c r="L161" s="38">
        <f>900*35</f>
        <v>31500</v>
      </c>
      <c r="M161" s="38">
        <f>SUM(L151:L161)</f>
        <v>691654.02649441292</v>
      </c>
      <c r="N161" s="38">
        <f>M161/10.3</f>
        <v>67150.876358680864</v>
      </c>
    </row>
    <row r="162" spans="2:14">
      <c r="B162" s="38" t="s">
        <v>234</v>
      </c>
      <c r="L162" s="38">
        <v>75000</v>
      </c>
    </row>
    <row r="163" spans="2:14">
      <c r="B163" s="38" t="s">
        <v>235</v>
      </c>
      <c r="L163" s="38">
        <v>4000</v>
      </c>
    </row>
    <row r="164" spans="2:14">
      <c r="B164" s="38" t="s">
        <v>236</v>
      </c>
      <c r="L164" s="38">
        <v>4000</v>
      </c>
      <c r="M164" s="38">
        <f>SUM(L151:L164)</f>
        <v>774654.02649441292</v>
      </c>
      <c r="N164" s="38">
        <f>M164/10.3</f>
        <v>75209.128785865323</v>
      </c>
    </row>
  </sheetData>
  <mergeCells count="4">
    <mergeCell ref="P5:R5"/>
    <mergeCell ref="T5:V5"/>
    <mergeCell ref="X5:Z5"/>
    <mergeCell ref="AB5:AD5"/>
  </mergeCells>
  <printOptions horizontalCentered="1" gridLines="1"/>
  <pageMargins left="0.5" right="0.5" top="1.81" bottom="0.8" header="0.5" footer="0.5"/>
  <pageSetup scale="87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size="36" baseType="lpstr">
      <vt:lpstr>Proforma</vt:lpstr>
      <vt:lpstr>UCost Final</vt:lpstr>
      <vt:lpstr>Comps</vt:lpstr>
      <vt:lpstr>Project Schedule</vt:lpstr>
      <vt:lpstr>Initial Mix</vt:lpstr>
      <vt:lpstr>CapRate</vt:lpstr>
      <vt:lpstr>'UCost Final'!CMF</vt:lpstr>
      <vt:lpstr>CMF</vt:lpstr>
      <vt:lpstr>Const_Profit</vt:lpstr>
      <vt:lpstr>Four_Bedroom_Rate</vt:lpstr>
      <vt:lpstr>LandscapeArea</vt:lpstr>
      <vt:lpstr>LTC</vt:lpstr>
      <vt:lpstr>LTV</vt:lpstr>
      <vt:lpstr>MgrOffFirstFlr</vt:lpstr>
      <vt:lpstr>NOI</vt:lpstr>
      <vt:lpstr>One_Bedroom_Rate</vt:lpstr>
      <vt:lpstr>Pool</vt:lpstr>
      <vt:lpstr>Comps!Print_Area</vt:lpstr>
      <vt:lpstr>'Initial Mix'!Print_Area</vt:lpstr>
      <vt:lpstr>Proforma!Print_Area</vt:lpstr>
      <vt:lpstr>'UCost Final'!Print_Area</vt:lpstr>
      <vt:lpstr>'Initial Mix'!Print_Titles</vt:lpstr>
      <vt:lpstr>Proforma!Print_Titles</vt:lpstr>
      <vt:lpstr>'Project Schedule'!Print_Titles</vt:lpstr>
      <vt:lpstr>'UCost Final'!Print_Titles</vt:lpstr>
      <vt:lpstr>'UCost Final'!SM134Units</vt:lpstr>
      <vt:lpstr>SM134Units</vt:lpstr>
      <vt:lpstr>Three_Bedroom_Rate</vt:lpstr>
      <vt:lpstr>ThreeBdrm_First_Flr</vt:lpstr>
      <vt:lpstr>TotalCost</vt:lpstr>
      <vt:lpstr>'UCost Final'!TRUnits</vt:lpstr>
      <vt:lpstr>TRUnits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Jan Havlíček</cp:lastModifiedBy>
  <cp:lastPrinted>2000-12-18T16:50:50Z</cp:lastPrinted>
  <dcterms:created xsi:type="dcterms:W3CDTF">1998-01-21T04:19:53Z</dcterms:created>
  <dcterms:modified xsi:type="dcterms:W3CDTF">2023-09-17T11:48:13Z</dcterms:modified>
</cp:coreProperties>
</file>