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B1851-9EB2-4B10-9EEF-22DC1CFB1818}" xr6:coauthVersionLast="47" xr6:coauthVersionMax="47" xr10:uidLastSave="{00000000-0000-0000-0000-000000000000}"/>
  <bookViews>
    <workbookView xWindow="-120" yWindow="-120" windowWidth="38640" windowHeight="1572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K8" i="7"/>
  <c r="O8" i="7"/>
  <c r="R8" i="7"/>
  <c r="V8" i="7"/>
  <c r="AA8" i="7"/>
  <c r="K11" i="7"/>
  <c r="O11" i="7"/>
  <c r="V11" i="7"/>
  <c r="AA11" i="7"/>
  <c r="F12" i="7"/>
  <c r="K12" i="7"/>
  <c r="O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AA15" i="7"/>
  <c r="AB15" i="7"/>
  <c r="AC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AA16" i="7"/>
  <c r="AB16" i="7"/>
  <c r="AC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AA17" i="7"/>
  <c r="AB17" i="7"/>
  <c r="AC17" i="7"/>
  <c r="F18" i="7"/>
  <c r="H18" i="7"/>
  <c r="J18" i="7"/>
  <c r="K18" i="7"/>
  <c r="L18" i="7"/>
  <c r="N18" i="7"/>
  <c r="O18" i="7"/>
  <c r="P18" i="7"/>
  <c r="R18" i="7"/>
  <c r="T18" i="7"/>
  <c r="V18" i="7"/>
  <c r="W18" i="7"/>
  <c r="X18" i="7"/>
  <c r="AA18" i="7"/>
  <c r="AB18" i="7"/>
  <c r="AC18" i="7"/>
  <c r="F19" i="7"/>
  <c r="G19" i="7"/>
  <c r="H19" i="7"/>
  <c r="J19" i="7"/>
  <c r="K19" i="7"/>
  <c r="L19" i="7"/>
  <c r="N19" i="7"/>
  <c r="O19" i="7"/>
  <c r="P19" i="7"/>
  <c r="R19" i="7"/>
  <c r="S19" i="7"/>
  <c r="T19" i="7"/>
  <c r="V19" i="7"/>
  <c r="W19" i="7"/>
  <c r="X19" i="7"/>
  <c r="AA19" i="7"/>
  <c r="AB19" i="7"/>
  <c r="AC19" i="7"/>
  <c r="AB20" i="7"/>
  <c r="AB21" i="7"/>
  <c r="J22" i="7"/>
  <c r="K22" i="7"/>
  <c r="L22" i="7"/>
  <c r="N22" i="7"/>
  <c r="O22" i="7"/>
  <c r="P22" i="7"/>
  <c r="V22" i="7"/>
  <c r="W22" i="7"/>
  <c r="X22" i="7"/>
  <c r="AA22" i="7"/>
  <c r="AB22" i="7"/>
  <c r="AC22" i="7"/>
  <c r="J23" i="7"/>
  <c r="K23" i="7"/>
  <c r="L23" i="7"/>
  <c r="N23" i="7"/>
  <c r="O23" i="7"/>
  <c r="P23" i="7"/>
  <c r="V23" i="7"/>
  <c r="W23" i="7"/>
  <c r="X23" i="7"/>
  <c r="AA23" i="7"/>
  <c r="AB23" i="7"/>
  <c r="AC23" i="7"/>
  <c r="C24" i="7"/>
  <c r="J24" i="7"/>
  <c r="K24" i="7"/>
  <c r="L24" i="7"/>
  <c r="N24" i="7"/>
  <c r="O24" i="7"/>
  <c r="P24" i="7"/>
  <c r="V24" i="7"/>
  <c r="W24" i="7"/>
  <c r="X24" i="7"/>
  <c r="AA24" i="7"/>
  <c r="AB24" i="7"/>
  <c r="AC24" i="7"/>
  <c r="J25" i="7"/>
  <c r="K25" i="7"/>
  <c r="L25" i="7"/>
  <c r="N25" i="7"/>
  <c r="O25" i="7"/>
  <c r="P25" i="7"/>
  <c r="V25" i="7"/>
  <c r="W25" i="7"/>
  <c r="X25" i="7"/>
  <c r="AA25" i="7"/>
  <c r="AB25" i="7"/>
  <c r="AC25" i="7"/>
  <c r="C26" i="7"/>
  <c r="J26" i="7"/>
  <c r="K26" i="7"/>
  <c r="L26" i="7"/>
  <c r="N26" i="7"/>
  <c r="O26" i="7"/>
  <c r="P26" i="7"/>
  <c r="V26" i="7"/>
  <c r="W26" i="7"/>
  <c r="X26" i="7"/>
  <c r="AA26" i="7"/>
  <c r="AB26" i="7"/>
  <c r="AC26" i="7"/>
  <c r="J27" i="7"/>
  <c r="K27" i="7"/>
  <c r="L27" i="7"/>
  <c r="N27" i="7"/>
  <c r="O27" i="7"/>
  <c r="P27" i="7"/>
  <c r="V27" i="7"/>
  <c r="W27" i="7"/>
  <c r="X27" i="7"/>
  <c r="AA27" i="7"/>
  <c r="AB27" i="7"/>
  <c r="AC27" i="7"/>
  <c r="J28" i="7"/>
  <c r="K28" i="7"/>
  <c r="L28" i="7"/>
  <c r="N28" i="7"/>
  <c r="O28" i="7"/>
  <c r="P28" i="7"/>
  <c r="V28" i="7"/>
  <c r="W28" i="7"/>
  <c r="X28" i="7"/>
  <c r="AA28" i="7"/>
  <c r="AB28" i="7"/>
  <c r="AC28" i="7"/>
  <c r="J29" i="7"/>
  <c r="K29" i="7"/>
  <c r="L29" i="7"/>
  <c r="N29" i="7"/>
  <c r="O29" i="7"/>
  <c r="P29" i="7"/>
  <c r="V29" i="7"/>
  <c r="W29" i="7"/>
  <c r="X29" i="7"/>
  <c r="AA29" i="7"/>
  <c r="AB29" i="7"/>
  <c r="AC29" i="7"/>
  <c r="J30" i="7"/>
  <c r="K30" i="7"/>
  <c r="L30" i="7"/>
  <c r="N30" i="7"/>
  <c r="O30" i="7"/>
  <c r="P30" i="7"/>
  <c r="V30" i="7"/>
  <c r="W30" i="7"/>
  <c r="X30" i="7"/>
  <c r="AA30" i="7"/>
  <c r="AB30" i="7"/>
  <c r="AC30" i="7"/>
  <c r="J31" i="7"/>
  <c r="K31" i="7"/>
  <c r="L31" i="7"/>
  <c r="N31" i="7"/>
  <c r="O31" i="7"/>
  <c r="P31" i="7"/>
  <c r="V31" i="7"/>
  <c r="W31" i="7"/>
  <c r="X31" i="7"/>
  <c r="AA31" i="7"/>
  <c r="AB31" i="7"/>
  <c r="AC31" i="7"/>
  <c r="J32" i="7"/>
  <c r="K32" i="7"/>
  <c r="L32" i="7"/>
  <c r="N32" i="7"/>
  <c r="O32" i="7"/>
  <c r="P32" i="7"/>
  <c r="V32" i="7"/>
  <c r="W32" i="7"/>
  <c r="X32" i="7"/>
  <c r="AA32" i="7"/>
  <c r="AB32" i="7"/>
  <c r="AC32" i="7"/>
  <c r="J33" i="7"/>
  <c r="K33" i="7"/>
  <c r="L33" i="7"/>
  <c r="N33" i="7"/>
  <c r="O33" i="7"/>
  <c r="P33" i="7"/>
  <c r="V33" i="7"/>
  <c r="W33" i="7"/>
  <c r="X33" i="7"/>
  <c r="AA33" i="7"/>
  <c r="AB33" i="7"/>
  <c r="AC33" i="7"/>
  <c r="J35" i="7"/>
  <c r="K35" i="7"/>
  <c r="L35" i="7"/>
  <c r="N35" i="7"/>
  <c r="O35" i="7"/>
  <c r="P35" i="7"/>
  <c r="V35" i="7"/>
  <c r="W35" i="7"/>
  <c r="X35" i="7"/>
  <c r="AA35" i="7"/>
  <c r="AB35" i="7"/>
  <c r="AC35" i="7"/>
  <c r="J37" i="7"/>
  <c r="K37" i="7"/>
  <c r="L37" i="7"/>
  <c r="N37" i="7"/>
  <c r="O37" i="7"/>
  <c r="P37" i="7"/>
  <c r="V37" i="7"/>
  <c r="W37" i="7"/>
  <c r="X37" i="7"/>
  <c r="AA37" i="7"/>
  <c r="AB37" i="7"/>
  <c r="AC37" i="7"/>
  <c r="D38" i="7"/>
  <c r="J38" i="7"/>
  <c r="K38" i="7"/>
  <c r="L38" i="7"/>
  <c r="N38" i="7"/>
  <c r="O38" i="7"/>
  <c r="P38" i="7"/>
  <c r="V38" i="7"/>
  <c r="W38" i="7"/>
  <c r="X38" i="7"/>
  <c r="AA38" i="7"/>
  <c r="AB38" i="7"/>
  <c r="AC38" i="7"/>
  <c r="J39" i="7"/>
  <c r="K39" i="7"/>
  <c r="L39" i="7"/>
  <c r="N39" i="7"/>
  <c r="O39" i="7"/>
  <c r="P39" i="7"/>
  <c r="V39" i="7"/>
  <c r="W39" i="7"/>
  <c r="X39" i="7"/>
  <c r="AA39" i="7"/>
  <c r="AB39" i="7"/>
  <c r="AC39" i="7"/>
  <c r="V40" i="7"/>
  <c r="W40" i="7"/>
  <c r="X40" i="7"/>
  <c r="J42" i="7"/>
  <c r="N42" i="7"/>
  <c r="V42" i="7"/>
  <c r="AA42" i="7"/>
  <c r="J44" i="7"/>
  <c r="K44" i="7"/>
  <c r="L44" i="7"/>
  <c r="N44" i="7"/>
  <c r="O44" i="7"/>
  <c r="P44" i="7"/>
  <c r="W44" i="7"/>
  <c r="X44" i="7"/>
  <c r="AA44" i="7"/>
  <c r="AB44" i="7"/>
  <c r="J49" i="7"/>
  <c r="K49" i="7"/>
  <c r="L49" i="7"/>
  <c r="N49" i="7"/>
  <c r="O49" i="7"/>
  <c r="P49" i="7"/>
  <c r="W49" i="7"/>
  <c r="X49" i="7"/>
  <c r="Y49" i="7"/>
  <c r="Z49" i="7"/>
  <c r="J50" i="7"/>
  <c r="K50" i="7"/>
  <c r="L50" i="7"/>
  <c r="N50" i="7"/>
  <c r="O50" i="7"/>
  <c r="P50" i="7"/>
  <c r="W50" i="7"/>
  <c r="X50" i="7"/>
  <c r="Y50" i="7"/>
  <c r="Z50" i="7"/>
  <c r="J51" i="7"/>
  <c r="K51" i="7"/>
  <c r="L51" i="7"/>
  <c r="N51" i="7"/>
  <c r="O51" i="7"/>
  <c r="P51" i="7"/>
  <c r="W51" i="7"/>
  <c r="X51" i="7"/>
  <c r="Y51" i="7"/>
  <c r="Z51" i="7"/>
  <c r="J52" i="7"/>
  <c r="K52" i="7"/>
  <c r="L52" i="7"/>
  <c r="N52" i="7"/>
  <c r="O52" i="7"/>
  <c r="P52" i="7"/>
  <c r="W52" i="7"/>
  <c r="X52" i="7"/>
  <c r="Y52" i="7"/>
  <c r="Z52" i="7"/>
  <c r="J53" i="7"/>
  <c r="K53" i="7"/>
  <c r="L53" i="7"/>
  <c r="N53" i="7"/>
  <c r="O53" i="7"/>
  <c r="P53" i="7"/>
  <c r="W53" i="7"/>
  <c r="X53" i="7"/>
  <c r="Y53" i="7"/>
  <c r="Z53" i="7"/>
  <c r="J54" i="7"/>
  <c r="K54" i="7"/>
  <c r="L54" i="7"/>
  <c r="N54" i="7"/>
  <c r="O54" i="7"/>
  <c r="P54" i="7"/>
  <c r="W54" i="7"/>
  <c r="X54" i="7"/>
  <c r="Y54" i="7"/>
  <c r="Z54" i="7"/>
  <c r="J57" i="7"/>
  <c r="K57" i="7"/>
  <c r="L57" i="7"/>
  <c r="N57" i="7"/>
  <c r="O57" i="7"/>
  <c r="P57" i="7"/>
  <c r="W57" i="7"/>
  <c r="X57" i="7"/>
  <c r="Y57" i="7"/>
  <c r="Z57" i="7"/>
  <c r="J59" i="7"/>
  <c r="K59" i="7"/>
  <c r="L59" i="7"/>
  <c r="N59" i="7"/>
  <c r="O59" i="7"/>
  <c r="P59" i="7"/>
  <c r="W59" i="7"/>
  <c r="X59" i="7"/>
  <c r="Y59" i="7"/>
  <c r="Z59" i="7"/>
  <c r="J61" i="7"/>
  <c r="K61" i="7"/>
  <c r="L61" i="7"/>
  <c r="N61" i="7"/>
  <c r="O61" i="7"/>
  <c r="P61" i="7"/>
  <c r="W61" i="7"/>
  <c r="X61" i="7"/>
  <c r="Y61" i="7"/>
  <c r="Z61" i="7"/>
  <c r="J64" i="7"/>
  <c r="K64" i="7"/>
  <c r="L64" i="7"/>
  <c r="N64" i="7"/>
  <c r="O64" i="7"/>
  <c r="P64" i="7"/>
  <c r="W64" i="7"/>
  <c r="X64" i="7"/>
  <c r="Y64" i="7"/>
  <c r="Z64" i="7"/>
  <c r="J65" i="7"/>
  <c r="K65" i="7"/>
  <c r="L65" i="7"/>
  <c r="N65" i="7"/>
  <c r="O65" i="7"/>
  <c r="P65" i="7"/>
  <c r="W65" i="7"/>
  <c r="X65" i="7"/>
  <c r="Y65" i="7"/>
  <c r="Z65" i="7"/>
  <c r="J66" i="7"/>
  <c r="K66" i="7"/>
  <c r="L66" i="7"/>
  <c r="N66" i="7"/>
  <c r="O66" i="7"/>
  <c r="P66" i="7"/>
  <c r="W66" i="7"/>
  <c r="X66" i="7"/>
  <c r="Y66" i="7"/>
  <c r="Z66" i="7"/>
  <c r="W68" i="7"/>
  <c r="X68" i="7"/>
  <c r="W69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B72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S8" i="9"/>
  <c r="U8" i="9"/>
  <c r="AA8" i="9"/>
  <c r="AB8" i="9"/>
  <c r="AD8" i="9"/>
  <c r="S9" i="9"/>
  <c r="U9" i="9"/>
  <c r="J10" i="9"/>
  <c r="N10" i="9"/>
  <c r="Q10" i="9"/>
  <c r="S10" i="9"/>
  <c r="K11" i="9"/>
  <c r="L11" i="9"/>
  <c r="N11" i="9"/>
  <c r="O11" i="9"/>
  <c r="Q11" i="9"/>
  <c r="R11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F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S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J62" i="9"/>
  <c r="K62" i="9"/>
  <c r="L62" i="9"/>
  <c r="M62" i="9"/>
  <c r="O62" i="9"/>
  <c r="P62" i="9"/>
  <c r="R62" i="9"/>
  <c r="S62" i="9"/>
  <c r="T62" i="9"/>
  <c r="U62" i="9"/>
  <c r="V62" i="9"/>
  <c r="W62" i="9"/>
  <c r="J63" i="9"/>
  <c r="L63" i="9"/>
  <c r="M63" i="9"/>
  <c r="O63" i="9"/>
  <c r="P63" i="9"/>
  <c r="R63" i="9"/>
  <c r="S63" i="9"/>
  <c r="T63" i="9"/>
  <c r="U63" i="9"/>
  <c r="V63" i="9"/>
  <c r="W63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Z68" i="9"/>
  <c r="A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Z69" i="9"/>
  <c r="A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Z70" i="9"/>
  <c r="AA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Z71" i="9"/>
  <c r="AA71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Z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Z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Z76" i="9"/>
  <c r="AB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Z77" i="9"/>
  <c r="A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Z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Z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Z80" i="9"/>
  <c r="Z82" i="9"/>
  <c r="AB82" i="9"/>
  <c r="Z83" i="9"/>
  <c r="AB83" i="9"/>
  <c r="Z84" i="9"/>
  <c r="Z85" i="9"/>
  <c r="Z86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Z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Z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Z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Z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Z93" i="9"/>
  <c r="AE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Z94" i="9"/>
  <c r="AE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M131" i="9"/>
  <c r="N131" i="9"/>
  <c r="O131" i="9"/>
  <c r="P131" i="9"/>
  <c r="Q131" i="9"/>
  <c r="R131" i="9"/>
  <c r="S131" i="9"/>
  <c r="T131" i="9"/>
  <c r="U131" i="9"/>
  <c r="V131" i="9"/>
  <c r="W131" i="9"/>
  <c r="M132" i="9"/>
  <c r="N132" i="9"/>
  <c r="O132" i="9"/>
  <c r="P132" i="9"/>
  <c r="Q132" i="9"/>
  <c r="R132" i="9"/>
  <c r="S132" i="9"/>
  <c r="T132" i="9"/>
  <c r="U132" i="9"/>
  <c r="V132" i="9"/>
  <c r="W132" i="9"/>
  <c r="M135" i="9"/>
  <c r="N135" i="9"/>
  <c r="O135" i="9"/>
  <c r="P135" i="9"/>
  <c r="Q135" i="9"/>
  <c r="R135" i="9"/>
  <c r="S135" i="9"/>
  <c r="T135" i="9"/>
  <c r="U135" i="9"/>
  <c r="V135" i="9"/>
  <c r="W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M140" i="9"/>
  <c r="N140" i="9"/>
  <c r="O140" i="9"/>
  <c r="P140" i="9"/>
  <c r="Q140" i="9"/>
  <c r="R140" i="9"/>
  <c r="S140" i="9"/>
  <c r="T140" i="9"/>
  <c r="U140" i="9"/>
  <c r="V140" i="9"/>
  <c r="W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M157" i="9"/>
  <c r="N157" i="9"/>
  <c r="O157" i="9"/>
  <c r="P157" i="9"/>
  <c r="Q157" i="9"/>
  <c r="R157" i="9"/>
  <c r="S157" i="9"/>
  <c r="T157" i="9"/>
  <c r="U157" i="9"/>
  <c r="V157" i="9"/>
  <c r="W157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M163" i="9"/>
  <c r="N163" i="9"/>
  <c r="O163" i="9"/>
  <c r="P163" i="9"/>
  <c r="Q163" i="9"/>
  <c r="R163" i="9"/>
  <c r="S163" i="9"/>
  <c r="T163" i="9"/>
  <c r="U163" i="9"/>
  <c r="V163" i="9"/>
  <c r="W163" i="9"/>
  <c r="M165" i="9"/>
  <c r="N165" i="9"/>
  <c r="O165" i="9"/>
  <c r="P165" i="9"/>
  <c r="Q165" i="9"/>
  <c r="R165" i="9"/>
  <c r="S165" i="9"/>
  <c r="T165" i="9"/>
  <c r="U165" i="9"/>
  <c r="V165" i="9"/>
  <c r="W165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M171" i="9"/>
  <c r="N171" i="9"/>
  <c r="O171" i="9"/>
  <c r="P171" i="9"/>
  <c r="Q171" i="9"/>
  <c r="R171" i="9"/>
  <c r="S171" i="9"/>
  <c r="T171" i="9"/>
  <c r="U171" i="9"/>
  <c r="V171" i="9"/>
  <c r="W171" i="9"/>
  <c r="S174" i="9"/>
  <c r="D175" i="9"/>
  <c r="S175" i="9"/>
  <c r="S177" i="9"/>
  <c r="S178" i="9"/>
  <c r="S179" i="9"/>
  <c r="S180" i="9"/>
  <c r="S182" i="9"/>
  <c r="S183" i="9"/>
  <c r="S184" i="9"/>
  <c r="S185" i="9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<sst xmlns="http://schemas.openxmlformats.org/spreadsheetml/2006/main" count="1386" uniqueCount="541">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</sst>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</v>
      </c>
      <c r="E6" s="169">
        <f>+D6/D$3</f>
        <v>-7.0943153068555892E-2</v>
      </c>
      <c r="F6" s="169">
        <f>+D6/D$24</f>
        <v>-8.1739652316733497E-2</v>
      </c>
      <c r="G6" s="173">
        <f>+D6/TUnits</f>
        <v>-8043.3104974191037</v>
      </c>
      <c r="H6" s="174">
        <f>+D6/TotalSF</f>
        <v>-7.2745432782861883</v>
      </c>
    </row>
    <row r="7" spans="2:8">
      <c r="B7" s="172" t="s">
        <v>463</v>
      </c>
      <c r="C7" s="172"/>
      <c r="D7" s="173">
        <f>+D6+D5</f>
        <v>441446.04611025075</v>
      </c>
      <c r="E7" s="169">
        <f>+D7/D$3</f>
        <v>2.9056846931444093E-2</v>
      </c>
      <c r="F7" s="169">
        <f>+D7/D$24</f>
        <v>3.3478869529545867E-2</v>
      </c>
      <c r="G7" s="173">
        <f>+D7/TUnits</f>
        <v>3294.3734784347071</v>
      </c>
      <c r="H7" s="174">
        <f>+D7/TotalSF</f>
        <v>2.9795023394162481</v>
      </c>
    </row>
    <row r="9" spans="2:8">
      <c r="B9" s="189" t="s">
        <v>461</v>
      </c>
      <c r="C9" s="190">
        <v>0.5</v>
      </c>
      <c r="D9" s="188">
        <f>D7*InvShare</f>
        <v>220723.02305512538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11311693.336315548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1696754.0004473322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13008447.336762881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854450.11464759335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0.2583217197485656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0.15</v>
      </c>
      <c r="D27" s="163">
        <f>ConstProfit</f>
        <v>1399977.441579344</v>
      </c>
      <c r="E27" s="167">
        <f t="shared" si="3"/>
        <v>9.2149268491321323E-2</v>
      </c>
      <c r="F27" s="167">
        <f t="shared" si="0"/>
        <v>0.10617302504785971</v>
      </c>
      <c r="G27" s="160">
        <f t="shared" si="1"/>
        <v>10447.592847607044</v>
      </c>
      <c r="H27" s="168">
        <f t="shared" si="2"/>
        <v>9.4490280274791889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12711670.777894892</v>
      </c>
      <c r="E32" s="167">
        <f>+D32/D$3</f>
        <v>0.83670717019845076</v>
      </c>
      <c r="F32" s="167">
        <f>+D32/D$24</f>
        <v>0.96404163368448792</v>
      </c>
      <c r="G32" s="160">
        <f>+D32/TUnits</f>
        <v>94863.214760409639</v>
      </c>
      <c r="H32" s="168">
        <f>+D32/TotalSF</f>
        <v>85.796334918736321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0.15</v>
      </c>
      <c r="D35" s="163">
        <f>ConstProfit</f>
        <v>1399977.441579344</v>
      </c>
      <c r="E35" s="167">
        <f t="shared" si="3"/>
        <v>9.2149268491321323E-2</v>
      </c>
      <c r="F35" s="167">
        <f>+D35/D$24</f>
        <v>0.10617302504785971</v>
      </c>
      <c r="G35" s="160">
        <f>+D35/TUnits</f>
        <v>10447.592847607044</v>
      </c>
      <c r="H35" s="168">
        <f>+D35/TotalSF</f>
        <v>9.4490280274791889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RowHeight="12.75"/>
  <cols>
    <col min="1" max="1" width="9.33203125" style="204"/>
    <col min="2" max="2" width="27.1640625" style="204" customWidth="1"/>
    <col min="3" max="3" width="18.83203125" style="204" customWidth="1"/>
    <col min="4" max="4" width="9.33203125" style="204"/>
    <col min="5" max="5" width="1" style="204" customWidth="1"/>
    <col min="6" max="8" width="10.83203125" style="204" customWidth="1"/>
    <col min="9" max="9" width="1" style="204" customWidth="1"/>
    <col min="10" max="10" width="15.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83203125" style="204" hidden="1" customWidth="1"/>
    <col min="19" max="19" width="10.5" style="204" hidden="1" customWidth="1"/>
    <col min="20" max="20" width="7.5" style="204" hidden="1" customWidth="1"/>
    <col min="21" max="21" width="1" style="204" hidden="1" customWidth="1"/>
    <col min="22" max="22" width="10" style="204" customWidth="1"/>
    <col min="23" max="23" width="12.5" style="204" customWidth="1"/>
    <col min="24" max="24" width="9" style="204" customWidth="1"/>
    <col min="25" max="25" width="16.1640625" style="204" customWidth="1"/>
    <col min="26" max="29" width="12.8320312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 ht="24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-41429.141468495087</v>
      </c>
      <c r="K38" s="201">
        <f>PMT(MortRate,300,K59)</f>
        <v>-567.52248586979567</v>
      </c>
      <c r="L38" s="208">
        <f>+K38/K$8</f>
        <v>-0.55858512388759418</v>
      </c>
      <c r="M38" s="199"/>
      <c r="N38" s="201">
        <f>O$11*O38</f>
        <v>-48387.825752684905</v>
      </c>
      <c r="O38" s="201">
        <f>PMT(MortRate,300,O59)</f>
        <v>-793.24304512598201</v>
      </c>
      <c r="P38" s="208">
        <f>+O38/O$8</f>
        <v>-0.65395139746577247</v>
      </c>
      <c r="Q38" s="199"/>
      <c r="R38" s="201"/>
      <c r="S38" s="208"/>
      <c r="T38" s="208"/>
      <c r="U38" s="208"/>
      <c r="V38" s="201">
        <f>N38+J38</f>
        <v>-89816.967221179992</v>
      </c>
      <c r="W38" s="201">
        <f>+V38/V$11</f>
        <v>-670.27587478492535</v>
      </c>
      <c r="X38" s="234">
        <f>+V38/V$8</f>
        <v>-0.60621193985718236</v>
      </c>
      <c r="Y38" s="203"/>
      <c r="Z38" s="203"/>
      <c r="AA38" s="199">
        <f>12*V38</f>
        <v>-1077803.60665416</v>
      </c>
      <c r="AB38" s="199">
        <f t="shared" si="0"/>
        <v>-8043.3104974191037</v>
      </c>
      <c r="AC38" s="209">
        <f>-+V38/V$19</f>
        <v>0.52469164909064137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16968.518737642153</v>
      </c>
      <c r="K39" s="239">
        <f>SUM(K35:K38)</f>
        <v>203.27879549281477</v>
      </c>
      <c r="L39" s="240">
        <f>+L38+L35</f>
        <v>0.22878490370027682</v>
      </c>
      <c r="M39" s="199"/>
      <c r="N39" s="238">
        <f>+N38+N35</f>
        <v>19818.651771545454</v>
      </c>
      <c r="O39" s="239">
        <f>SUM(O35:O38)</f>
        <v>295.72926401440623</v>
      </c>
      <c r="P39" s="240">
        <f>+O39/O$8</f>
        <v>0.24379988789316259</v>
      </c>
      <c r="Q39" s="199"/>
      <c r="R39" s="226"/>
      <c r="S39" s="225"/>
      <c r="T39" s="225"/>
      <c r="U39" s="225"/>
      <c r="V39" s="239">
        <f>+V38+V35</f>
        <v>36787.170509187577</v>
      </c>
      <c r="W39" s="239">
        <f>SUM(W35:W38)</f>
        <v>245.36445653622559</v>
      </c>
      <c r="X39" s="229">
        <f>V39/V$8</f>
        <v>0.24829186161802078</v>
      </c>
      <c r="Y39" s="203"/>
      <c r="Z39" s="203"/>
      <c r="AA39" s="239">
        <f>+AA38+AA35</f>
        <v>441446.04611025122</v>
      </c>
      <c r="AB39" s="239">
        <f t="shared" si="0"/>
        <v>3294.3734784347107</v>
      </c>
      <c r="AC39" s="289">
        <f>+V39/V$19</f>
        <v>0.21490283803851928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6437.7548391078253</v>
      </c>
      <c r="W40" s="210">
        <f>+V39*0.225</f>
        <v>8277.1133645672053</v>
      </c>
      <c r="X40" s="210">
        <f>+V39*0.25</f>
        <v>9196.7926272968944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1.4095792994056107</v>
      </c>
      <c r="K42" s="224"/>
      <c r="L42" s="232"/>
      <c r="M42" s="199"/>
      <c r="N42" s="230">
        <f>N35/-N38</f>
        <v>1.4095792994056107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1.4095792994056104</v>
      </c>
      <c r="W42" s="224"/>
      <c r="X42" s="232"/>
      <c r="Y42" s="203"/>
      <c r="Z42" s="203"/>
      <c r="AA42" s="280">
        <f>AA35/-AA38</f>
        <v>1.4095792994056107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5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25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4999075.7160507655</v>
      </c>
      <c r="K49" s="242">
        <f>0.75*'UCost Final'!N$143</f>
        <v>68480.489260969392</v>
      </c>
      <c r="L49" s="232">
        <f t="shared" ref="L49:L54" si="10">+K49/K$8</f>
        <v>67.402056359221845</v>
      </c>
      <c r="M49" s="210"/>
      <c r="N49" s="242">
        <f>O49*O$11</f>
        <v>4788791.8559634034</v>
      </c>
      <c r="O49" s="242">
        <f>0.75*'UCost Final'!Q$143</f>
        <v>78504.784523990224</v>
      </c>
      <c r="P49" s="232">
        <f t="shared" ref="P49:P54" si="11">+O49/O$8</f>
        <v>64.719525576249154</v>
      </c>
      <c r="Q49" s="210"/>
      <c r="R49" s="210"/>
      <c r="S49" s="210"/>
      <c r="T49" s="210"/>
      <c r="U49" s="210"/>
      <c r="V49" s="210"/>
      <c r="W49" s="242">
        <f t="shared" ref="W49:W54" si="12">+N49+J49</f>
        <v>9787867.5720141679</v>
      </c>
      <c r="X49" s="242">
        <f>+W49/V$11</f>
        <v>73043.787850851993</v>
      </c>
      <c r="Y49" s="232">
        <f>+W49/V$8</f>
        <v>66.062375200047029</v>
      </c>
      <c r="Z49" s="251">
        <f t="shared" ref="Z49:Z54" si="13">+W49/Project_Value</f>
        <v>0.64425669304608801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938599.66224518442</v>
      </c>
      <c r="K50" s="253">
        <f>'UCost Final'!N$143-K49-constprofit2B</f>
        <v>12857.529619797047</v>
      </c>
      <c r="L50" s="254">
        <f t="shared" si="10"/>
        <v>12.655048838382921</v>
      </c>
      <c r="M50" s="253"/>
      <c r="N50" s="253">
        <f>O50*O$11</f>
        <v>881791.94624945987</v>
      </c>
      <c r="O50" s="253">
        <f>'UCost Final'!Q$143-O49-constprofit3B</f>
        <v>14455.605676220654</v>
      </c>
      <c r="P50" s="254">
        <f t="shared" si="11"/>
        <v>11.917234687733432</v>
      </c>
      <c r="Q50" s="253"/>
      <c r="R50" s="253"/>
      <c r="S50" s="253"/>
      <c r="T50" s="253"/>
      <c r="U50" s="253"/>
      <c r="V50" s="253"/>
      <c r="W50" s="253">
        <f t="shared" si="12"/>
        <v>1820391.6084946443</v>
      </c>
      <c r="X50" s="253">
        <f>+W50/V$11</f>
        <v>13585.012003691376</v>
      </c>
      <c r="Y50" s="254">
        <f>+W50/V$8</f>
        <v>12.286577496741007</v>
      </c>
      <c r="Z50" s="255">
        <f t="shared" si="13"/>
        <v>0.11982175577149408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5998890.8592609186</v>
      </c>
      <c r="K51" s="213">
        <f>0.9*'UCost Final'!N$143</f>
        <v>82176.587113163274</v>
      </c>
      <c r="L51" s="215">
        <f t="shared" si="10"/>
        <v>80.88246763106622</v>
      </c>
      <c r="M51" s="199"/>
      <c r="N51" s="213">
        <f>N$35/0.105*12*LTV</f>
        <v>6236020.8022153471</v>
      </c>
      <c r="O51" s="213">
        <f>0.9*'UCost Final'!Q$143</f>
        <v>94205.741428788271</v>
      </c>
      <c r="P51" s="215">
        <f t="shared" si="11"/>
        <v>77.663430691498988</v>
      </c>
      <c r="Q51" s="199"/>
      <c r="R51" s="199"/>
      <c r="S51" s="199"/>
      <c r="T51" s="199"/>
      <c r="U51" s="199"/>
      <c r="V51" s="199"/>
      <c r="W51" s="213">
        <f t="shared" si="12"/>
        <v>12234911.661476266</v>
      </c>
      <c r="X51" s="213">
        <f>+W51/V$11</f>
        <v>91305.310906539293</v>
      </c>
      <c r="Y51" s="215">
        <f>+W51/V$8</f>
        <v>82.578490030954612</v>
      </c>
      <c r="Z51" s="257">
        <f t="shared" si="13"/>
        <v>0.80532594753033171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6465471.2594256559</v>
      </c>
      <c r="K53" s="242">
        <f>0.97*'UCost Final'!N$143</f>
        <v>88568.099444187072</v>
      </c>
      <c r="L53" s="232">
        <f t="shared" si="10"/>
        <v>87.17332622459358</v>
      </c>
      <c r="M53" s="210"/>
      <c r="N53" s="242">
        <f>N$35/0.11*12*LTV</f>
        <v>5952565.3112055585</v>
      </c>
      <c r="O53" s="242">
        <f>0.97*'UCost Final'!Q$143</f>
        <v>101532.85465102734</v>
      </c>
      <c r="P53" s="232">
        <f t="shared" si="11"/>
        <v>83.703919745282235</v>
      </c>
      <c r="Q53" s="210"/>
      <c r="R53" s="210"/>
      <c r="S53" s="210"/>
      <c r="T53" s="210"/>
      <c r="U53" s="210"/>
      <c r="V53" s="210"/>
      <c r="W53" s="242">
        <f t="shared" si="12"/>
        <v>12418036.570631213</v>
      </c>
      <c r="X53" s="242">
        <f>+W53/V$11</f>
        <v>92671.914706203082</v>
      </c>
      <c r="Y53" s="232">
        <f>+W53/V$8</f>
        <v>83.814475945972376</v>
      </c>
      <c r="Z53" s="255">
        <f t="shared" si="13"/>
        <v>0.81737958919625109</v>
      </c>
    </row>
    <row r="54" spans="2:26" ht="13.5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25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25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5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5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6828326.6850403417</v>
      </c>
      <c r="K64" s="242">
        <f>('UCost Final'!N$143-constprofit2B)*1.15</f>
        <v>93538.721712881394</v>
      </c>
      <c r="L64" s="232">
        <f>+K64/K$8</f>
        <v>92.06567097724546</v>
      </c>
      <c r="M64" s="195"/>
      <c r="N64" s="242">
        <f>O64*O$11</f>
        <v>6521171.3725447934</v>
      </c>
      <c r="O64" s="242">
        <f>('UCost Final'!Q$143-constprofit3B)*1.15</f>
        <v>106904.44873024251</v>
      </c>
      <c r="P64" s="232">
        <f>+O64/O$8</f>
        <v>88.132274303579976</v>
      </c>
      <c r="Q64" s="195"/>
      <c r="R64" s="195"/>
      <c r="S64" s="195"/>
      <c r="T64" s="195"/>
      <c r="U64" s="195"/>
      <c r="V64" s="195"/>
      <c r="W64" s="242">
        <f>+N64+J64</f>
        <v>13349498.057585135</v>
      </c>
      <c r="X64" s="242">
        <f>+W64/V$11</f>
        <v>99623.119832724886</v>
      </c>
      <c r="Y64" s="232">
        <f>+W64/V$8</f>
        <v>90.101295601306248</v>
      </c>
      <c r="Z64" s="273">
        <f>+W64/Project_Value</f>
        <v>0.87869021614021947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1222151.3052511669</v>
      </c>
      <c r="K65" s="242">
        <f>+K64-K59</f>
        <v>16741.798702070781</v>
      </c>
      <c r="L65" s="232">
        <f>+K65/K$8</f>
        <v>16.478148328809823</v>
      </c>
      <c r="M65" s="195"/>
      <c r="N65" s="242">
        <f>O65*O$11</f>
        <v>-26650.469781319858</v>
      </c>
      <c r="O65" s="242">
        <f>+O64-O59</f>
        <v>-436.89294723475177</v>
      </c>
      <c r="P65" s="232">
        <f>+O65/O$8</f>
        <v>-0.36017555419188108</v>
      </c>
      <c r="Q65" s="195"/>
      <c r="R65" s="195"/>
      <c r="S65" s="195"/>
      <c r="T65" s="195"/>
      <c r="U65" s="195"/>
      <c r="V65" s="195"/>
      <c r="W65" s="242">
        <f>+N65+J65</f>
        <v>1195500.8354698471</v>
      </c>
      <c r="X65" s="242">
        <f>+W65/V$11</f>
        <v>8921.6480258943811</v>
      </c>
      <c r="Y65" s="232">
        <f>+W65/V$8</f>
        <v>8.0689306596867407</v>
      </c>
      <c r="Z65" s="273">
        <f>+W65/Project_Value</f>
        <v>7.8690216140219357E-2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179392.53969612485</v>
      </c>
      <c r="K66" s="242">
        <f>+K44-K64</f>
        <v>2457.4320506318472</v>
      </c>
      <c r="L66" s="232">
        <f>+K66/K$8</f>
        <v>2.4187323332990625</v>
      </c>
      <c r="M66" s="195"/>
      <c r="N66" s="242">
        <f>O66*O$11</f>
        <v>1663605.9303628495</v>
      </c>
      <c r="O66" s="242">
        <f>+O44-O64</f>
        <v>27272.228366604089</v>
      </c>
      <c r="P66" s="232">
        <f>+O66/O$8</f>
        <v>22.483288018634862</v>
      </c>
      <c r="Q66" s="195"/>
      <c r="R66" s="195"/>
      <c r="S66" s="195"/>
      <c r="T66" s="195"/>
      <c r="U66" s="195"/>
      <c r="V66" s="195"/>
      <c r="W66" s="242">
        <f>+N66+J66</f>
        <v>1842998.4700589743</v>
      </c>
      <c r="X66" s="242">
        <f>+W66/V$11</f>
        <v>13753.71992581324</v>
      </c>
      <c r="Y66" s="232">
        <f>+W66/V$8</f>
        <v>12.439160575718134</v>
      </c>
      <c r="Z66" s="273">
        <f>+W66/Project_Value</f>
        <v>0.12130978385978061</v>
      </c>
    </row>
    <row r="67" spans="2:26" s="275" customFormat="1" ht="13.5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197273.02305512538</v>
      </c>
      <c r="X68" s="242">
        <f>0.5*W39*12</f>
        <v>1472.1867392173535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0.16501286925290568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H124" activePane="bottomRight" state="frozen"/>
      <selection activeCell="B5" sqref="B5"/>
      <selection pane="topRight" activeCell="C5" sqref="C5"/>
      <selection pane="bottomLeft" activeCell="B13" sqref="B13"/>
      <selection pane="bottomRight" activeCell="O155" sqref="O155"/>
    </sheetView>
  </sheetViews>
  <sheetFormatPr defaultColWidth="7.6640625" defaultRowHeight="12"/>
  <cols>
    <col min="1" max="1" width="8.1640625" style="51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0" style="20" customWidth="1"/>
    <col min="25" max="25" width="9.83203125" style="20" customWidth="1"/>
    <col min="26" max="26" width="3.6640625" style="20" hidden="1" customWidth="1"/>
    <col min="27" max="27" width="24" style="20" hidden="1" customWidth="1"/>
    <col min="28" max="28" width="7.83203125" style="20" hidden="1" customWidth="1"/>
    <col min="29" max="29" width="13.8320312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5" style="20" customWidth="1"/>
    <col min="36" max="36" width="20" style="20" customWidth="1"/>
    <col min="37" max="16384" width="7.6640625" style="20"/>
  </cols>
  <sheetData>
    <row r="1" spans="1:36" ht="12.75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2.75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0.15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2.75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2.75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75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75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5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5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5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5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5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2.75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1.0070757199172839E-2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2.75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6.1293421192096459E-3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2.75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1.041772968430594E-3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2.75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2.9170469128638574E-3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2.75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1.0128015604674162E-3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2.75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1.4984859451461089E-2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2.75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4.2018176393367301E-2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2.75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2.75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2.75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2.75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2.75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2.5075405552061229E-2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2.75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2.5075405552061229E-2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2.75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2.5075405552061229E-2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2.75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2.75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1.2566202098136246E-2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2.75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1.2566202098136246E-2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2.75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4.9979212890314617E-3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2.75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9.210454946929408E-3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2.75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2.75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3.0177544848555858E-2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2.75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2.6994259526978238E-2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2.75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2.1009683122412307E-2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2.75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2.1009683122412307E-2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2.75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7.0032277074707685E-3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2.75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3.3090250917799384E-3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2.75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7.7111027899223741E-3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2.75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5.9617182763877456E-3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2.75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2.75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7.7173175512531477E-3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2.75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1.3505305714693008E-2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2.75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5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4.0268965814482067E-3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2.75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3.5985033281026525E-3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2.75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2.75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8.653465144116679E-4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2.75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1.718974073651916E-2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2.75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1.145982715767944E-2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2.75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2.3018217283350371E-3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2.75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2.75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2.75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2.75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1.489777530498327E-2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2.75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1.489777530498327E-2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2.75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1.0823170093363916E-2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2.75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2.75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1.2605809873447385E-2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2.75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2.5593613985484081E-2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2.75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1.7515400130341623E-3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2.75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2.8320431380745494E-3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2.75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2.75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1.0358197777507667E-2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2.75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7.0032277074707702E-3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2.75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7.6398847717862933E-3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2.75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2.75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9.4246515736021875E-3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2.75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1.9134898649434743E-2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2.75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2.5466282572620983E-3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2.75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2.75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1.6688207530429017E-2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2.75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6.9054651850051097E-3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2.75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6.7584211785437073E-3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2.75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3.6926109730300413E-3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2.75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1.0358197777507667E-2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2.75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1.5534432369298795E-2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2.75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1.806930056743004E-3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2.75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1.6573116444012265E-3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2.75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2.75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2.75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2.75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2.75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2.75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2.75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2.75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3.5970723911064213E-3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2.75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1.9099711929465733E-3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2.75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4.028188024586315E-3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2.75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5.0870260196204317E-3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2.75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5.8151285768464093E-4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2.75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1.4148415510630771E-2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2.75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1.4051064027759458E-2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5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0.62289680068147912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5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2.75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8.8239384074557795E-2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2.75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2.75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2.951453912179932E-3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2.75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5.9256569270962622E-3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2.75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3.8645588654975627E-3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2.75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2.360035948395458E-3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2.75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2.360035948395458E-3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2.75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4.3267325720583397E-3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2.75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2.8084427785905947E-4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2.75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6.3248963416998273E-3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2.75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2.7533752731280343E-3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2.75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1.4160215690372747E-3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2.75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3.6580557200129597E-3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2.75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1.8880287587163664E-3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2.75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3.1467145978606104E-4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2.75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7.8667864946515263E-4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2.75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5.9000898709886448E-3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2.75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4.2159682182136464E-3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2.75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>SUM(P99:P114)</f>
        <v>287585.14689709351</v>
      </c>
      <c r="Q115" s="345">
        <f>SUM(Q99:Q114)</f>
        <v>4714.5106048703847</v>
      </c>
      <c r="R115" s="346">
        <f>SUM(R99:R114)</f>
        <v>3.8866534252847358</v>
      </c>
      <c r="S115" s="348">
        <f>SUM(S99:S114)</f>
        <v>627029.91044776118</v>
      </c>
      <c r="T115" s="345">
        <f>SUM(T99:T114)</f>
        <v>4714.5106048703847</v>
      </c>
      <c r="U115" s="346">
        <f>+S115/U$8</f>
        <v>4.2613062655731504</v>
      </c>
      <c r="V115" s="300">
        <f>+S115/TotalCost</f>
        <v>4.932710431253004E-2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2.75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2.75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0">+E117*D117</f>
        <v>36850</v>
      </c>
      <c r="G117" s="299">
        <f t="shared" ref="G117:G127" si="51">F117/10.3</f>
        <v>3577.6699029126212</v>
      </c>
      <c r="H117" s="299"/>
      <c r="I117" s="299"/>
      <c r="J117" s="320"/>
      <c r="K117" s="299"/>
      <c r="L117" s="315"/>
      <c r="M117" s="448">
        <f t="shared" ref="M117:M127" si="52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3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4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2.8989108232790875E-3</v>
      </c>
      <c r="W117" s="300">
        <f t="shared" ref="W117:W126" si="55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2.75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0"/>
        <v>60300</v>
      </c>
      <c r="G118" s="299">
        <f t="shared" si="51"/>
        <v>5854.3689320388348</v>
      </c>
      <c r="H118" s="299"/>
      <c r="I118" s="299"/>
      <c r="J118" s="320"/>
      <c r="K118" s="299"/>
      <c r="L118" s="315"/>
      <c r="M118" s="320">
        <f t="shared" si="52"/>
        <v>32643.609022556389</v>
      </c>
      <c r="N118" s="299">
        <f t="shared" ref="N118:N127" si="56">+$F118/SM134Units</f>
        <v>453.38345864661653</v>
      </c>
      <c r="O118" s="315">
        <f t="shared" si="38"/>
        <v>0.44624356166005563</v>
      </c>
      <c r="P118" s="320">
        <f t="shared" si="53"/>
        <v>27656.390977443607</v>
      </c>
      <c r="Q118" s="299">
        <f t="shared" ref="Q118:Q127" si="57">+$F118/SM134Units</f>
        <v>453.38345864661653</v>
      </c>
      <c r="R118" s="315">
        <f t="shared" ref="R118:R127" si="58">+Q118/Q$11</f>
        <v>0.37377036986530632</v>
      </c>
      <c r="S118" s="331">
        <f t="shared" si="54"/>
        <v>60300</v>
      </c>
      <c r="T118" s="322">
        <f>+S118/S$8</f>
        <v>453.38345864661653</v>
      </c>
      <c r="U118" s="439">
        <f t="shared" ref="U118:U127" si="59">+S118/U$8</f>
        <v>0.40979985728363177</v>
      </c>
      <c r="V118" s="300">
        <f t="shared" ref="V118:V131" si="60">+S118/TotalCost</f>
        <v>4.7436722562748702E-3</v>
      </c>
      <c r="W118" s="300">
        <f t="shared" si="55"/>
        <v>3.9690645898966467E-3</v>
      </c>
      <c r="X118" s="299"/>
      <c r="Y118" s="299"/>
      <c r="Z118" s="299"/>
      <c r="AA118" s="299"/>
      <c r="AB118" s="302"/>
      <c r="AC118" s="299"/>
    </row>
    <row r="119" spans="1:29" ht="12.75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0"/>
        <v>359937.36865921726</v>
      </c>
      <c r="G119" s="299">
        <f t="shared" si="51"/>
        <v>34945.375597982253</v>
      </c>
      <c r="H119" s="299"/>
      <c r="I119" s="299"/>
      <c r="J119" s="320"/>
      <c r="K119" s="299"/>
      <c r="L119" s="315"/>
      <c r="M119" s="320">
        <f t="shared" si="52"/>
        <v>194853.31235686952</v>
      </c>
      <c r="N119" s="299">
        <f t="shared" si="56"/>
        <v>2706.2960049565208</v>
      </c>
      <c r="O119" s="315">
        <f t="shared" si="38"/>
        <v>2.6636771702327962</v>
      </c>
      <c r="P119" s="320">
        <f t="shared" si="53"/>
        <v>165084.05630234777</v>
      </c>
      <c r="Q119" s="299">
        <f t="shared" si="57"/>
        <v>2706.2960049565208</v>
      </c>
      <c r="R119" s="315">
        <f t="shared" si="58"/>
        <v>2.2310766735008416</v>
      </c>
      <c r="S119" s="331">
        <f t="shared" si="54"/>
        <v>359937.36865921726</v>
      </c>
      <c r="T119" s="322">
        <f t="shared" ref="T119:T127" si="61">+S119/S$8</f>
        <v>2706.2960049565208</v>
      </c>
      <c r="U119" s="439">
        <f t="shared" si="59"/>
        <v>2.446140668450965</v>
      </c>
      <c r="V119" s="300">
        <f t="shared" si="60"/>
        <v>2.8315504306887378E-2</v>
      </c>
      <c r="W119" s="300">
        <f t="shared" si="55"/>
        <v>2.3691785481357783E-2</v>
      </c>
      <c r="X119" s="299"/>
      <c r="Y119" s="299"/>
      <c r="Z119" s="299"/>
      <c r="AA119" s="299"/>
      <c r="AB119" s="302"/>
      <c r="AC119" s="299"/>
    </row>
    <row r="120" spans="1:29" ht="12.75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0"/>
        <v>8000</v>
      </c>
      <c r="G120" s="299">
        <f t="shared" si="51"/>
        <v>776.69902912621353</v>
      </c>
      <c r="H120" s="299"/>
      <c r="I120" s="299"/>
      <c r="J120" s="320"/>
      <c r="K120" s="299"/>
      <c r="L120" s="315"/>
      <c r="M120" s="320">
        <f t="shared" si="52"/>
        <v>4330.8270676691727</v>
      </c>
      <c r="N120" s="299">
        <f t="shared" si="56"/>
        <v>60.150375939849624</v>
      </c>
      <c r="O120" s="315">
        <f t="shared" si="38"/>
        <v>5.9203125925048845E-2</v>
      </c>
      <c r="P120" s="320">
        <f t="shared" si="53"/>
        <v>3669.1729323308273</v>
      </c>
      <c r="Q120" s="299">
        <f t="shared" si="57"/>
        <v>60.150375939849624</v>
      </c>
      <c r="R120" s="315">
        <f t="shared" si="58"/>
        <v>4.9588108771516592E-2</v>
      </c>
      <c r="S120" s="331">
        <f t="shared" si="54"/>
        <v>8000</v>
      </c>
      <c r="T120" s="322">
        <f t="shared" si="61"/>
        <v>60.150375939849624</v>
      </c>
      <c r="U120" s="439">
        <f t="shared" si="59"/>
        <v>5.4368140269801898E-2</v>
      </c>
      <c r="V120" s="300">
        <f t="shared" si="60"/>
        <v>6.2934291957212208E-4</v>
      </c>
      <c r="W120" s="300">
        <f t="shared" si="55"/>
        <v>5.2657573331962154E-4</v>
      </c>
      <c r="X120" s="299"/>
      <c r="Y120" s="299"/>
      <c r="Z120" s="299"/>
      <c r="AA120" s="299"/>
      <c r="AB120" s="302"/>
      <c r="AC120" s="299"/>
    </row>
    <row r="121" spans="1:29" ht="25.5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1"/>
        <v>8301.6122221687147</v>
      </c>
      <c r="H121" s="299"/>
      <c r="I121" s="299"/>
      <c r="J121" s="320"/>
      <c r="K121" s="299"/>
      <c r="L121" s="315"/>
      <c r="M121" s="320">
        <f t="shared" si="52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3"/>
        <v>39217.315482621081</v>
      </c>
      <c r="Q121" s="454">
        <f>+$K$95/SM134Units</f>
        <v>642.90681119050953</v>
      </c>
      <c r="R121" s="315">
        <f t="shared" si="58"/>
        <v>0.5300138591842618</v>
      </c>
      <c r="S121" s="455">
        <f t="shared" si="54"/>
        <v>85506.60588833777</v>
      </c>
      <c r="T121" s="322">
        <f t="shared" si="61"/>
        <v>642.90681119050953</v>
      </c>
      <c r="U121" s="439">
        <f t="shared" si="59"/>
        <v>0.58110439286647708</v>
      </c>
      <c r="V121" s="456">
        <f t="shared" si="60"/>
        <v>6.7266221240586625E-3</v>
      </c>
      <c r="W121" s="456">
        <f t="shared" si="55"/>
        <v>5.6282129624154161E-3</v>
      </c>
      <c r="X121" s="299"/>
      <c r="Y121" s="299"/>
      <c r="Z121" s="299"/>
      <c r="AA121" s="299"/>
      <c r="AB121" s="302"/>
      <c r="AC121" s="299"/>
    </row>
    <row r="122" spans="1:29" ht="12.75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0"/>
        <v>22500</v>
      </c>
      <c r="G122" s="299">
        <f t="shared" si="51"/>
        <v>2184.4660194174758</v>
      </c>
      <c r="H122" s="299"/>
      <c r="I122" s="299"/>
      <c r="J122" s="320"/>
      <c r="K122" s="299"/>
      <c r="L122" s="315"/>
      <c r="M122" s="320">
        <f t="shared" si="52"/>
        <v>12180.45112781955</v>
      </c>
      <c r="N122" s="299">
        <f t="shared" si="56"/>
        <v>169.17293233082708</v>
      </c>
      <c r="O122" s="315">
        <f t="shared" si="38"/>
        <v>0.16650879166419988</v>
      </c>
      <c r="P122" s="320">
        <f t="shared" si="53"/>
        <v>10319.548872180452</v>
      </c>
      <c r="Q122" s="299">
        <f t="shared" si="57"/>
        <v>169.17293233082708</v>
      </c>
      <c r="R122" s="315">
        <f t="shared" si="58"/>
        <v>0.13946655591989043</v>
      </c>
      <c r="S122" s="331">
        <f t="shared" si="54"/>
        <v>22500</v>
      </c>
      <c r="T122" s="322">
        <f t="shared" si="61"/>
        <v>169.17293233082708</v>
      </c>
      <c r="U122" s="439">
        <f t="shared" si="59"/>
        <v>0.15291039450881783</v>
      </c>
      <c r="V122" s="300">
        <f t="shared" si="60"/>
        <v>1.7700269612965934E-3</v>
      </c>
      <c r="W122" s="300">
        <f t="shared" si="55"/>
        <v>1.4809942499614355E-3</v>
      </c>
      <c r="X122" s="299"/>
      <c r="Y122" s="299"/>
      <c r="Z122" s="299"/>
      <c r="AA122" s="299"/>
      <c r="AB122" s="302"/>
      <c r="AC122" s="299"/>
    </row>
    <row r="123" spans="1:29" ht="12.75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0"/>
        <v>26800</v>
      </c>
      <c r="G123" s="299">
        <f t="shared" si="51"/>
        <v>2601.9417475728155</v>
      </c>
      <c r="H123" s="299"/>
      <c r="I123" s="299"/>
      <c r="J123" s="320"/>
      <c r="K123" s="299"/>
      <c r="L123" s="315"/>
      <c r="M123" s="320">
        <f t="shared" si="52"/>
        <v>14508.270676691729</v>
      </c>
      <c r="N123" s="299">
        <f t="shared" si="56"/>
        <v>201.50375939849624</v>
      </c>
      <c r="O123" s="315">
        <f t="shared" si="38"/>
        <v>0.19833047184891361</v>
      </c>
      <c r="P123" s="320">
        <f t="shared" si="53"/>
        <v>12291.729323308271</v>
      </c>
      <c r="Q123" s="299">
        <f t="shared" si="57"/>
        <v>201.50375939849624</v>
      </c>
      <c r="R123" s="315">
        <f t="shared" si="58"/>
        <v>0.16612016438458058</v>
      </c>
      <c r="S123" s="331">
        <f t="shared" si="54"/>
        <v>26800</v>
      </c>
      <c r="T123" s="322">
        <f t="shared" si="61"/>
        <v>201.50375939849624</v>
      </c>
      <c r="U123" s="439">
        <f t="shared" si="59"/>
        <v>0.18213326990383635</v>
      </c>
      <c r="V123" s="300">
        <f t="shared" si="60"/>
        <v>2.1082987805666089E-3</v>
      </c>
      <c r="W123" s="300">
        <f t="shared" si="55"/>
        <v>1.7640287066207319E-3</v>
      </c>
      <c r="X123" s="299"/>
      <c r="Y123" s="299"/>
      <c r="Z123" s="299"/>
      <c r="AA123" s="299"/>
      <c r="AB123" s="302"/>
      <c r="AC123" s="299"/>
    </row>
    <row r="124" spans="1:29" ht="12.75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0"/>
        <v>73000</v>
      </c>
      <c r="G124" s="299">
        <f t="shared" si="51"/>
        <v>7087.3786407766984</v>
      </c>
      <c r="H124" s="299"/>
      <c r="I124" s="299"/>
      <c r="J124" s="320"/>
      <c r="K124" s="299"/>
      <c r="L124" s="315"/>
      <c r="M124" s="320">
        <f t="shared" si="52"/>
        <v>39518.796992481206</v>
      </c>
      <c r="N124" s="299">
        <f t="shared" si="56"/>
        <v>548.87218045112786</v>
      </c>
      <c r="O124" s="315">
        <f t="shared" si="38"/>
        <v>0.54022852406607069</v>
      </c>
      <c r="P124" s="320">
        <f t="shared" si="53"/>
        <v>33481.203007518801</v>
      </c>
      <c r="Q124" s="299">
        <f t="shared" si="57"/>
        <v>548.87218045112786</v>
      </c>
      <c r="R124" s="315">
        <f t="shared" si="58"/>
        <v>0.45249149254008891</v>
      </c>
      <c r="S124" s="331">
        <f t="shared" si="54"/>
        <v>73000</v>
      </c>
      <c r="T124" s="322">
        <f t="shared" si="61"/>
        <v>548.87218045112786</v>
      </c>
      <c r="U124" s="439">
        <f t="shared" si="59"/>
        <v>0.49610927996194232</v>
      </c>
      <c r="V124" s="300">
        <f t="shared" si="60"/>
        <v>5.7427541410956144E-3</v>
      </c>
      <c r="W124" s="300">
        <f t="shared" si="55"/>
        <v>4.8050035665415458E-3</v>
      </c>
      <c r="X124" s="299"/>
      <c r="Y124" s="299"/>
      <c r="Z124" s="299"/>
      <c r="AA124" s="299"/>
      <c r="AB124" s="302"/>
      <c r="AC124" s="299"/>
    </row>
    <row r="125" spans="1:29" ht="12.75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0"/>
        <v>70200</v>
      </c>
      <c r="G125" s="299">
        <f t="shared" si="51"/>
        <v>6815.5339805825242</v>
      </c>
      <c r="H125" s="299"/>
      <c r="I125" s="299"/>
      <c r="J125" s="320"/>
      <c r="K125" s="299"/>
      <c r="L125" s="315"/>
      <c r="M125" s="320">
        <f t="shared" si="52"/>
        <v>38003.007518796992</v>
      </c>
      <c r="N125" s="299">
        <f t="shared" si="56"/>
        <v>527.81954887218046</v>
      </c>
      <c r="O125" s="315">
        <f t="shared" si="38"/>
        <v>0.51950742999230359</v>
      </c>
      <c r="P125" s="320">
        <f t="shared" si="53"/>
        <v>32196.992481203008</v>
      </c>
      <c r="Q125" s="299">
        <f t="shared" si="57"/>
        <v>527.81954887218046</v>
      </c>
      <c r="R125" s="315">
        <f t="shared" si="58"/>
        <v>0.43513565447005809</v>
      </c>
      <c r="S125" s="331">
        <f t="shared" si="54"/>
        <v>70200</v>
      </c>
      <c r="T125" s="322">
        <f t="shared" si="61"/>
        <v>527.81954887218046</v>
      </c>
      <c r="U125" s="439">
        <f t="shared" si="59"/>
        <v>0.47708043086751162</v>
      </c>
      <c r="V125" s="300">
        <f t="shared" si="60"/>
        <v>5.5224841192453716E-3</v>
      </c>
      <c r="W125" s="300">
        <f t="shared" si="55"/>
        <v>4.6207020598796784E-3</v>
      </c>
      <c r="X125" s="299"/>
      <c r="Y125" s="299"/>
      <c r="Z125" s="299"/>
      <c r="AA125" s="299"/>
      <c r="AB125" s="302"/>
      <c r="AC125" s="299"/>
    </row>
    <row r="126" spans="1:29" ht="12.75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0"/>
        <v>20000</v>
      </c>
      <c r="G126" s="299">
        <f t="shared" si="51"/>
        <v>1941.7475728155339</v>
      </c>
      <c r="H126" s="299"/>
      <c r="I126" s="299"/>
      <c r="J126" s="320"/>
      <c r="K126" s="299"/>
      <c r="L126" s="315"/>
      <c r="M126" s="320">
        <f t="shared" si="52"/>
        <v>10827.067669172931</v>
      </c>
      <c r="N126" s="299">
        <f t="shared" si="56"/>
        <v>150.37593984962405</v>
      </c>
      <c r="O126" s="315">
        <f t="shared" si="38"/>
        <v>0.1480078148126221</v>
      </c>
      <c r="P126" s="320">
        <f t="shared" si="53"/>
        <v>9172.9323308270668</v>
      </c>
      <c r="Q126" s="299">
        <f t="shared" si="57"/>
        <v>150.37593984962405</v>
      </c>
      <c r="R126" s="315">
        <f t="shared" si="58"/>
        <v>0.12397027192879147</v>
      </c>
      <c r="S126" s="331">
        <f t="shared" si="54"/>
        <v>20000</v>
      </c>
      <c r="T126" s="322">
        <f t="shared" si="61"/>
        <v>150.37593984962405</v>
      </c>
      <c r="U126" s="439">
        <f t="shared" si="59"/>
        <v>0.13592035067450475</v>
      </c>
      <c r="V126" s="300">
        <f t="shared" si="60"/>
        <v>1.5733572989303053E-3</v>
      </c>
      <c r="W126" s="300">
        <f t="shared" si="55"/>
        <v>1.3164393332990537E-3</v>
      </c>
      <c r="X126" s="299"/>
      <c r="Y126" s="299"/>
      <c r="Z126" s="299"/>
      <c r="AA126" s="299"/>
      <c r="AB126" s="302"/>
      <c r="AC126" s="299"/>
    </row>
    <row r="127" spans="1:29" ht="12.75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0"/>
        <v>25000</v>
      </c>
      <c r="G127" s="299">
        <f t="shared" si="51"/>
        <v>2427.1844660194174</v>
      </c>
      <c r="H127" s="299"/>
      <c r="I127" s="299"/>
      <c r="J127" s="341"/>
      <c r="K127" s="340"/>
      <c r="L127" s="339"/>
      <c r="M127" s="341">
        <f t="shared" si="52"/>
        <v>13533.834586466166</v>
      </c>
      <c r="N127" s="340">
        <f t="shared" si="56"/>
        <v>187.96992481203009</v>
      </c>
      <c r="O127" s="339">
        <f t="shared" si="38"/>
        <v>0.18500976851577763</v>
      </c>
      <c r="P127" s="341">
        <f t="shared" si="53"/>
        <v>11466.165413533836</v>
      </c>
      <c r="Q127" s="340">
        <f t="shared" si="57"/>
        <v>187.96992481203009</v>
      </c>
      <c r="R127" s="339">
        <f t="shared" si="58"/>
        <v>0.15496283991098936</v>
      </c>
      <c r="S127" s="331">
        <f t="shared" si="54"/>
        <v>25000</v>
      </c>
      <c r="T127" s="322">
        <f t="shared" si="61"/>
        <v>187.96992481203009</v>
      </c>
      <c r="U127" s="439">
        <f t="shared" si="59"/>
        <v>0.16990043834313093</v>
      </c>
      <c r="V127" s="300">
        <f t="shared" si="60"/>
        <v>1.9666966236628817E-3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2.75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>SUM(P117:P127)</f>
        <v>361456.63494286354</v>
      </c>
      <c r="Q128" s="345">
        <f>SUM(Q117:Q127)</f>
        <v>5925.5186056207149</v>
      </c>
      <c r="R128" s="347">
        <f>SUM(R117:R127)</f>
        <v>4.8850112165051227</v>
      </c>
      <c r="S128" s="348">
        <f>SUM(S117:S127)</f>
        <v>788093.97454755497</v>
      </c>
      <c r="T128" s="345">
        <f>SUM(T117:T127)</f>
        <v>5925.5186056207149</v>
      </c>
      <c r="U128" s="346">
        <f>+S128/U$8</f>
        <v>5.355900469248394</v>
      </c>
      <c r="V128" s="449">
        <f t="shared" si="60"/>
        <v>6.1997670354869493E-2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2.75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>+P128+P115</f>
        <v>649041.781839957</v>
      </c>
      <c r="Q129" s="345">
        <f>+Q128+Q115</f>
        <v>10640.029210491099</v>
      </c>
      <c r="R129" s="347">
        <f>+R128+R115</f>
        <v>8.7716646417898581</v>
      </c>
      <c r="S129" s="348">
        <f>+S128+S115</f>
        <v>1415123.8849953162</v>
      </c>
      <c r="T129" s="345">
        <f>+T128+T115</f>
        <v>10640.029210491099</v>
      </c>
      <c r="U129" s="346">
        <f>+S129/U$8</f>
        <v>9.6172067348215453</v>
      </c>
      <c r="V129" s="449">
        <f t="shared" si="60"/>
        <v>0.11132477466739953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2.75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>+P129+P97</f>
        <v>1163491.9322158969</v>
      </c>
      <c r="Q130" s="354">
        <f>+Q129+Q97</f>
        <v>19073.638233047492</v>
      </c>
      <c r="R130" s="356">
        <f>+R129+R97</f>
        <v>15.724351387508236</v>
      </c>
      <c r="S130" s="357">
        <f>+S129+S97</f>
        <v>2536793.8849953162</v>
      </c>
      <c r="T130" s="354">
        <f>+T129+T97</f>
        <v>19073.638233047492</v>
      </c>
      <c r="U130" s="346">
        <f>+S130/U$8</f>
        <v>17.240095721875132</v>
      </c>
      <c r="V130" s="450">
        <f t="shared" si="60"/>
        <v>0.19956415874195732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2.75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717789.60963787802</v>
      </c>
      <c r="N131" s="299">
        <f>(N129+N95)*Const_Profit</f>
        <v>9969.3001338594167</v>
      </c>
      <c r="O131" s="333">
        <f t="shared" si="38"/>
        <v>9.8123032813576945</v>
      </c>
      <c r="P131" s="320">
        <f>Q131*Q$8</f>
        <v>714472.00573834102</v>
      </c>
      <c r="Q131" s="299">
        <f>(Q129+Q95)*Const_Profit</f>
        <v>11712.655831776083</v>
      </c>
      <c r="R131" s="333">
        <f>0.15*(R129+R95)</f>
        <v>9.6559405043496138</v>
      </c>
      <c r="S131" s="321">
        <f>T131*S$8</f>
        <v>1399977.441579344</v>
      </c>
      <c r="T131" s="299">
        <f>(T129+T95)*Const_Profit</f>
        <v>10526.146177288301</v>
      </c>
      <c r="U131" s="446">
        <f>+S131/U$8</f>
        <v>9.51427123979302</v>
      </c>
      <c r="V131" s="453">
        <f t="shared" si="60"/>
        <v>0.11013323630233179</v>
      </c>
      <c r="W131" s="453">
        <f>+$S131/TotalValue</f>
        <v>9.2149268491321323E-2</v>
      </c>
      <c r="X131" s="299"/>
      <c r="Y131" s="299"/>
      <c r="Z131" s="299"/>
      <c r="AA131" s="299"/>
      <c r="AB131" s="302"/>
      <c r="AC131" s="299"/>
    </row>
    <row r="132" spans="1:30" ht="12.75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6110273.523514457</v>
      </c>
      <c r="N132" s="354">
        <f>+N131+N130+N95</f>
        <v>84864.910048811915</v>
      </c>
      <c r="O132" s="356">
        <f t="shared" si="38"/>
        <v>83.528454772452676</v>
      </c>
      <c r="P132" s="354">
        <f>+P131+P130+P95</f>
        <v>5992068.861036554</v>
      </c>
      <c r="Q132" s="354">
        <f>+Q131+Q130+Q95</f>
        <v>98230.637066173018</v>
      </c>
      <c r="R132" s="356">
        <f>+R131+R130+R95</f>
        <v>80.981563945732091</v>
      </c>
      <c r="S132" s="357">
        <f>+S131+S130+S95</f>
        <v>11854830.385441639</v>
      </c>
      <c r="T132" s="354">
        <f>+T131+T130+T95</f>
        <v>89134.063048433367</v>
      </c>
      <c r="U132" s="346">
        <f>+S132/U$8</f>
        <v>80.565635158800092</v>
      </c>
      <c r="V132" s="300">
        <f>+S132/TotalCost</f>
        <v>0.93259419572576829</v>
      </c>
      <c r="W132" s="300">
        <f>+$S132/TotalValue</f>
        <v>0.78030825044920771</v>
      </c>
      <c r="X132" s="299"/>
      <c r="Y132" s="299"/>
      <c r="Z132" s="299"/>
      <c r="AA132" s="299"/>
      <c r="AB132" s="302"/>
      <c r="AC132" s="299"/>
    </row>
    <row r="133" spans="1:30" ht="12.75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2.75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2.75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2.753375273128034E-4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2.75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2.75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9.1451393000324E-3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2.75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2.2862848250081E-3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2.75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708027.8924532542</v>
      </c>
      <c r="G139" s="299"/>
      <c r="H139" s="299"/>
      <c r="I139" s="299"/>
      <c r="J139" s="320"/>
      <c r="K139" s="299"/>
      <c r="L139" s="315"/>
      <c r="M139" s="320">
        <f>N139*N$8</f>
        <v>383293.29516266391</v>
      </c>
      <c r="N139" s="299">
        <f>+$F139/SM134Units</f>
        <v>5323.5179883703322</v>
      </c>
      <c r="O139" s="315">
        <f t="shared" si="38"/>
        <v>5.239683059419618</v>
      </c>
      <c r="P139" s="320">
        <f>Q139*Q$8</f>
        <v>324734.59729059029</v>
      </c>
      <c r="Q139" s="299">
        <f>+$F139/SM134Units</f>
        <v>5323.5179883703322</v>
      </c>
      <c r="R139" s="315">
        <f>+Q139/Q$11</f>
        <v>4.3887205180299524</v>
      </c>
      <c r="S139" s="331">
        <f>+P139+M139</f>
        <v>708027.8924532542</v>
      </c>
      <c r="T139" s="322">
        <f>+S139/S$8</f>
        <v>5323.5179883703322</v>
      </c>
      <c r="U139" s="315">
        <f>+T139/U$8</f>
        <v>3.6178721590066479E-2</v>
      </c>
      <c r="V139" s="300">
        <f>+S139/TotalCost</f>
        <v>5.5699042621878435E-2</v>
      </c>
      <c r="W139" s="300">
        <f>+S139/TotalValue</f>
        <v>4.6603788334914804E-2</v>
      </c>
      <c r="X139" s="299"/>
      <c r="Y139" s="299"/>
      <c r="Z139" s="299"/>
      <c r="AA139" s="299"/>
      <c r="AB139" s="302"/>
      <c r="AC139" s="299"/>
    </row>
    <row r="140" spans="1:30" ht="12.75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2.75">
      <c r="A141" s="298"/>
      <c r="B141" s="352" t="s">
        <v>260</v>
      </c>
      <c r="C141" s="299"/>
      <c r="D141" s="299"/>
      <c r="E141" s="299"/>
      <c r="F141" s="352">
        <f>SUM(F135:F140)</f>
        <v>856840.3924532542</v>
      </c>
      <c r="G141" s="352"/>
      <c r="H141" s="299"/>
      <c r="I141" s="299"/>
      <c r="J141" s="360"/>
      <c r="K141" s="360"/>
      <c r="L141" s="361"/>
      <c r="M141" s="360">
        <f>SUM(M135:M140)</f>
        <v>463853.44553860376</v>
      </c>
      <c r="N141" s="360">
        <f>SUM(N135:N140)</f>
        <v>6442.408965813941</v>
      </c>
      <c r="O141" s="361">
        <f t="shared" si="38"/>
        <v>6.3409537065097847</v>
      </c>
      <c r="P141" s="360">
        <f t="shared" ref="P141:U141" si="62">SUM(P135:P140)</f>
        <v>392986.94691465044</v>
      </c>
      <c r="Q141" s="360">
        <f t="shared" si="62"/>
        <v>6442.408965813941</v>
      </c>
      <c r="R141" s="361">
        <f t="shared" si="62"/>
        <v>5.3111368226001163</v>
      </c>
      <c r="S141" s="362">
        <f t="shared" si="62"/>
        <v>856840.3924532542</v>
      </c>
      <c r="T141" s="360">
        <f t="shared" si="62"/>
        <v>6442.408965813941</v>
      </c>
      <c r="U141" s="361">
        <f t="shared" si="62"/>
        <v>4.3782724291100215E-2</v>
      </c>
      <c r="V141" s="449">
        <f>+S141/TotalCost</f>
        <v>6.7405804274231734E-2</v>
      </c>
      <c r="W141" s="449">
        <f>+S141/TotalValue</f>
        <v>5.6398919749243076E-2</v>
      </c>
      <c r="X141" s="299"/>
      <c r="Y141" s="299"/>
      <c r="Z141" s="299"/>
      <c r="AA141" s="299"/>
      <c r="AB141" s="302"/>
      <c r="AC141" s="299"/>
    </row>
    <row r="142" spans="1:30" ht="12.75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5" thickBot="1">
      <c r="A143" s="298"/>
      <c r="B143" s="328" t="s">
        <v>261</v>
      </c>
      <c r="C143" s="299"/>
      <c r="D143" s="299"/>
      <c r="E143" s="299"/>
      <c r="F143" s="328">
        <f>+F141+F132+D95</f>
        <v>856840.3924532542</v>
      </c>
      <c r="G143" s="328"/>
      <c r="H143" s="299"/>
      <c r="I143" s="299"/>
      <c r="J143" s="329"/>
      <c r="K143" s="329"/>
      <c r="L143" s="363"/>
      <c r="M143" s="329">
        <f>+M141+M132</f>
        <v>6574126.9690530607</v>
      </c>
      <c r="N143" s="329">
        <f>+N141+N132</f>
        <v>91307.319014625857</v>
      </c>
      <c r="O143" s="363">
        <f t="shared" si="38"/>
        <v>89.869408478962455</v>
      </c>
      <c r="P143" s="329">
        <f t="shared" ref="P143:U143" si="63">+P141+P132</f>
        <v>6385055.8079512045</v>
      </c>
      <c r="Q143" s="329">
        <f t="shared" si="63"/>
        <v>104673.04603198696</v>
      </c>
      <c r="R143" s="363">
        <f t="shared" si="63"/>
        <v>86.29270076833221</v>
      </c>
      <c r="S143" s="364">
        <f t="shared" si="63"/>
        <v>12711670.777894892</v>
      </c>
      <c r="T143" s="329">
        <f t="shared" si="63"/>
        <v>95576.472014247309</v>
      </c>
      <c r="U143" s="363">
        <f t="shared" si="63"/>
        <v>80.609417883091197</v>
      </c>
      <c r="V143" s="451">
        <f>+$S143/TotalCost</f>
        <v>1</v>
      </c>
      <c r="W143" s="452">
        <f>+$S143/TotalValue</f>
        <v>0.83670717019845076</v>
      </c>
      <c r="X143" s="299"/>
      <c r="Y143" s="299"/>
      <c r="Z143" s="299"/>
      <c r="AA143" s="299"/>
      <c r="AB143" s="302"/>
      <c r="AC143" s="299"/>
      <c r="AD143" s="96"/>
    </row>
    <row r="144" spans="1:30" ht="13.5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2.75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2.75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2.75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2.75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4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2.75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-717789.60963787802</v>
      </c>
      <c r="N149" s="299">
        <f>-N$131</f>
        <v>-9969.3001338594167</v>
      </c>
      <c r="O149" s="333">
        <f>+N149/N$11</f>
        <v>-9.8123032813576945</v>
      </c>
      <c r="P149" s="299">
        <f>Q$8*Q149</f>
        <v>-714472.00573834102</v>
      </c>
      <c r="Q149" s="299">
        <f>-Q$131</f>
        <v>-11712.655831776083</v>
      </c>
      <c r="R149" s="333">
        <f t="shared" si="64"/>
        <v>-9.6559405043496156</v>
      </c>
      <c r="S149" s="302"/>
      <c r="T149" s="299">
        <f>-T$131</f>
        <v>-10526.146177288301</v>
      </c>
      <c r="U149" s="333">
        <f>+T149/U$8</f>
        <v>-7.1535873983406176E-2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2.75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4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2.75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4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2.75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2.75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2.75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65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4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8.6554068979594487E-2</v>
      </c>
      <c r="W154" s="300">
        <f t="shared" ref="W154:W169" si="66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2.75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65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4"/>
        <v>3.8866534252847367</v>
      </c>
      <c r="S155" s="390">
        <f>+P155+M155</f>
        <v>627029.91044776118</v>
      </c>
      <c r="T155" s="384">
        <f t="shared" ref="T155:T169" si="67">+S155/S$8</f>
        <v>4714.5106048703847</v>
      </c>
      <c r="U155" s="389">
        <f>+T155/U$8</f>
        <v>3.2039896733632708E-2</v>
      </c>
      <c r="V155" s="388">
        <f>+S155/S$169</f>
        <v>4.8384988562736334E-2</v>
      </c>
      <c r="W155" s="300">
        <f t="shared" si="66"/>
        <v>4.1272341863420804E-2</v>
      </c>
      <c r="X155" s="299"/>
      <c r="Y155" s="299"/>
      <c r="Z155" s="299"/>
      <c r="AA155" s="299"/>
      <c r="AB155" s="302"/>
      <c r="AC155" s="299"/>
    </row>
    <row r="156" spans="1:29" ht="12.75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2.75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65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67"/>
        <v>13148.119627426777</v>
      </c>
      <c r="U157" s="391">
        <f>+T157/U$8</f>
        <v>8.9354851523509304E-2</v>
      </c>
      <c r="V157" s="393">
        <f>+S157/S$169</f>
        <v>0.13493905754233082</v>
      </c>
      <c r="W157" s="459">
        <f t="shared" si="66"/>
        <v>0.11510286721249831</v>
      </c>
      <c r="X157" s="299"/>
      <c r="Y157" s="299"/>
      <c r="Z157" s="299"/>
      <c r="AA157" s="299"/>
      <c r="AB157" s="302"/>
      <c r="AC157" s="299"/>
    </row>
    <row r="158" spans="1:29" ht="12.75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2.75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2.75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2.75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65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67"/>
        <v>5925.518605620714</v>
      </c>
      <c r="U161" s="389">
        <f>+T161/U$8</f>
        <v>4.0269928340213493E-2</v>
      </c>
      <c r="V161" s="388">
        <f>+S161/S$169</f>
        <v>6.081355499870001E-2</v>
      </c>
      <c r="W161" s="300">
        <f t="shared" si="66"/>
        <v>5.1873895321519238E-2</v>
      </c>
      <c r="X161" s="299"/>
      <c r="Y161" s="299"/>
      <c r="Z161" s="299"/>
      <c r="AA161" s="299"/>
      <c r="AB161" s="302"/>
      <c r="AC161" s="299"/>
    </row>
    <row r="162" spans="1:29" ht="12.75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65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67"/>
        <v>61152.532963755461</v>
      </c>
      <c r="U162" s="389">
        <f>+T162/U$8</f>
        <v>0.41559368625339266</v>
      </c>
      <c r="V162" s="388">
        <f>+S162/S$169</f>
        <v>0.62760800770645675</v>
      </c>
      <c r="W162" s="300">
        <f t="shared" si="66"/>
        <v>0.53534893816695839</v>
      </c>
      <c r="X162" s="299"/>
      <c r="Y162" s="299"/>
      <c r="Z162" s="299"/>
      <c r="AA162" s="299"/>
      <c r="AB162" s="302"/>
      <c r="AC162" s="299"/>
    </row>
    <row r="163" spans="1:29" ht="12.75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717789.60963787802</v>
      </c>
      <c r="N163" s="384">
        <f>+M163/N$8</f>
        <v>9969.3001338594167</v>
      </c>
      <c r="O163" s="389">
        <f t="shared" si="65"/>
        <v>9.8123032813576945</v>
      </c>
      <c r="P163" s="384">
        <f>+P131</f>
        <v>714472.00573834102</v>
      </c>
      <c r="Q163" s="384">
        <f>+P163/Q$8</f>
        <v>11712.655831776083</v>
      </c>
      <c r="R163" s="389">
        <f>+Q163/Q$11</f>
        <v>9.6559405043496156</v>
      </c>
      <c r="S163" s="390">
        <f>+P163+M163</f>
        <v>1432261.6153762192</v>
      </c>
      <c r="T163" s="384">
        <f t="shared" si="67"/>
        <v>10768.884326136986</v>
      </c>
      <c r="U163" s="389">
        <f>+T163/U$8</f>
        <v>7.3185526699085832E-2</v>
      </c>
      <c r="V163" s="388">
        <f>+S163/S$169</f>
        <v>0.11052098269018398</v>
      </c>
      <c r="W163" s="300">
        <f t="shared" si="66"/>
        <v>9.4274276302784787E-2</v>
      </c>
      <c r="X163" s="299"/>
      <c r="Y163" s="299"/>
      <c r="Z163" s="299"/>
      <c r="AA163" s="299"/>
      <c r="AB163" s="302"/>
      <c r="AC163" s="299"/>
    </row>
    <row r="164" spans="1:29" ht="12.75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2.75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6110273.523514458</v>
      </c>
      <c r="N165" s="392">
        <f>+M165/N$8</f>
        <v>84864.910048811915</v>
      </c>
      <c r="O165" s="391">
        <f t="shared" si="65"/>
        <v>83.528454772452676</v>
      </c>
      <c r="P165" s="392">
        <f>SUM(P157:P163)</f>
        <v>5992068.8610365549</v>
      </c>
      <c r="Q165" s="392">
        <f>+P165/Q$8</f>
        <v>98230.637066173033</v>
      </c>
      <c r="R165" s="391">
        <f>+Q165/Q$11</f>
        <v>80.981563945732091</v>
      </c>
      <c r="S165" s="387">
        <f>+P165+M165</f>
        <v>12102342.384551013</v>
      </c>
      <c r="T165" s="392">
        <f t="shared" si="67"/>
        <v>90995.055522939947</v>
      </c>
      <c r="U165" s="391">
        <f>+T165/U$8</f>
        <v>0.6184039928162014</v>
      </c>
      <c r="V165" s="393">
        <f>+S165/S$169</f>
        <v>0.93388160293767164</v>
      </c>
      <c r="W165" s="459">
        <f t="shared" si="66"/>
        <v>0.79659997700376084</v>
      </c>
      <c r="X165" s="299"/>
      <c r="Y165" s="299"/>
      <c r="Z165" s="299"/>
      <c r="AA165" s="299"/>
      <c r="AB165" s="302"/>
      <c r="AC165" s="299"/>
    </row>
    <row r="166" spans="1:29" ht="12.75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2.75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463853.44553860376</v>
      </c>
      <c r="N167" s="384">
        <f>+M167/N$8</f>
        <v>6442.408965813941</v>
      </c>
      <c r="O167" s="389">
        <f t="shared" si="65"/>
        <v>6.3409537065097847</v>
      </c>
      <c r="P167" s="384">
        <f>+P141</f>
        <v>392986.94691465044</v>
      </c>
      <c r="Q167" s="384">
        <f>+P167/Q$8</f>
        <v>6442.4089658139419</v>
      </c>
      <c r="R167" s="389">
        <f>+Q167/Q$11</f>
        <v>5.3111368226001172</v>
      </c>
      <c r="S167" s="390">
        <f>+P167+M167</f>
        <v>856840.3924532542</v>
      </c>
      <c r="T167" s="384">
        <f t="shared" si="67"/>
        <v>6442.408965813941</v>
      </c>
      <c r="U167" s="389">
        <f>+T167/U$8</f>
        <v>4.3782724291100215E-2</v>
      </c>
      <c r="V167" s="388">
        <f>+S167/S$169</f>
        <v>6.6118397062328277E-2</v>
      </c>
      <c r="W167" s="300">
        <f t="shared" si="66"/>
        <v>5.6398919749243076E-2</v>
      </c>
      <c r="X167" s="299"/>
      <c r="Y167" s="299"/>
      <c r="Z167" s="299"/>
      <c r="AA167" s="299"/>
      <c r="AB167" s="302"/>
      <c r="AC167" s="299"/>
    </row>
    <row r="168" spans="1:29" ht="12.75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2.75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6574126.9690530617</v>
      </c>
      <c r="N169" s="407">
        <f>+M169/N$8</f>
        <v>91307.319014625857</v>
      </c>
      <c r="O169" s="408">
        <f t="shared" si="65"/>
        <v>89.869408478962455</v>
      </c>
      <c r="P169" s="407">
        <f>+P167+P165</f>
        <v>6385055.8079512054</v>
      </c>
      <c r="Q169" s="407">
        <f>+P169/Q$8</f>
        <v>104673.04603198697</v>
      </c>
      <c r="R169" s="408">
        <f>+Q169/Q$11</f>
        <v>86.29270076833221</v>
      </c>
      <c r="S169" s="406">
        <f>+P169+M169</f>
        <v>12959182.777004268</v>
      </c>
      <c r="T169" s="407">
        <f t="shared" si="67"/>
        <v>97437.464488753889</v>
      </c>
      <c r="U169" s="408">
        <f>+T169/U$8</f>
        <v>0.66218671710730159</v>
      </c>
      <c r="V169" s="409">
        <f>+S169/S$169</f>
        <v>1</v>
      </c>
      <c r="W169" s="409">
        <f t="shared" si="66"/>
        <v>0.85299889675300389</v>
      </c>
      <c r="X169" s="299"/>
      <c r="Y169" s="299"/>
      <c r="Z169" s="299"/>
      <c r="AA169" s="299"/>
      <c r="AB169" s="302"/>
      <c r="AC169" s="299"/>
    </row>
    <row r="170" spans="1:29" ht="12.75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2.75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1.1723344588211841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2.75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2.75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5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2.75">
      <c r="A175" s="298"/>
      <c r="B175" s="462" t="s">
        <v>491</v>
      </c>
      <c r="C175" s="461"/>
      <c r="D175" s="1">
        <f>Const_Profit</f>
        <v>0.15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10169336.622315913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2.75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2.75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1564810.3812711872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2.75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2.75">
      <c r="A179" s="298"/>
      <c r="B179" s="20" t="s">
        <v>536</v>
      </c>
      <c r="S179" s="20">
        <f>-S$163</f>
        <v>-1432261.6153762192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-989121.23410503217</v>
      </c>
    </row>
    <row r="181" spans="1:29" ht="12.75" thickBot="1"/>
    <row r="182" spans="1:29" ht="12.75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2789846.1546883546</v>
      </c>
    </row>
    <row r="183" spans="1:29" ht="12.75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-1432261.6153762192</v>
      </c>
    </row>
    <row r="185" spans="1:29" ht="12.75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235914.5393121352</v>
      </c>
    </row>
  </sheetData>
  <mergeCells count="5">
    <mergeCell ref="J5:L5"/>
    <mergeCell ref="M5:O5"/>
    <mergeCell ref="P5:R5"/>
    <mergeCell ref="T6:U6"/>
    <mergeCell ref="S6:S7"/>
  </mergeCells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2.75"/>
  <cols>
    <col min="1" max="1" width="33" customWidth="1"/>
    <col min="2" max="2" width="11.1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640625" style="36" customWidth="1"/>
    <col min="16" max="16" width="12" style="36" customWidth="1"/>
    <col min="17" max="17" width="11" style="36" customWidth="1"/>
    <col min="18" max="18" width="12.6640625" style="36" customWidth="1"/>
    <col min="19" max="19" width="1.1640625" style="36" customWidth="1"/>
    <col min="20" max="20" width="13.6640625" style="36" customWidth="1"/>
    <col min="21" max="22" width="11.6640625" style="36" customWidth="1"/>
    <col min="23" max="23" width="1.1640625" style="36" customWidth="1"/>
    <col min="24" max="26" width="11.6640625" style="36" customWidth="1"/>
    <col min="27" max="27" width="1.164062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64062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83203125" style="36" customWidth="1"/>
    <col min="36" max="36" width="13.8320312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5" style="36" customWidth="1"/>
    <col min="43" max="43" width="20" style="36" customWidth="1"/>
    <col min="44" max="16384" width="7.6640625" style="36"/>
  </cols>
  <sheetData>
    <row r="1" spans="1:38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.75" thickBot="1">
      <c r="A3" s="52" t="s">
        <v>175</v>
      </c>
      <c r="B3" s="36" t="s">
        <v>181</v>
      </c>
      <c r="L3" s="36" t="s">
        <v>177</v>
      </c>
    </row>
    <row r="4" spans="1:38" s="8" customFormat="1" ht="12.75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75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75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.75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-89793.925775776268</v>
      </c>
      <c r="AK68" s="19"/>
    </row>
    <row r="69" spans="1:41" s="8" customFormat="1" ht="12.75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1.3179531449911093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54736.511101506301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6255601.2687435774</v>
      </c>
      <c r="AK79" s="18"/>
      <c r="AL79" s="19"/>
    </row>
    <row r="80" spans="1:41" s="8" customFormat="1" ht="12.75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27368.255550753151</v>
      </c>
      <c r="AL87" s="19"/>
    </row>
    <row r="88" spans="1:38" s="8" customFormat="1" ht="12.75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34513.855550753149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2001-02-20T17:47:08Z</cp:lastPrinted>
  <dcterms:created xsi:type="dcterms:W3CDTF">1998-01-21T04:19:53Z</dcterms:created>
  <dcterms:modified xsi:type="dcterms:W3CDTF">2023-09-17T11:48:24Z</dcterms:modified>
</cp:coreProperties>
</file>