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8DBE50-399D-4916-9732-51173B6457AE}" xr6:coauthVersionLast="47" xr6:coauthVersionMax="47" xr10:uidLastSave="{00000000-0000-0000-0000-000000000000}"/>
  <bookViews>
    <workbookView xWindow="-120" yWindow="-120" windowWidth="38640" windowHeight="15720" tabRatio="331" activeTab="2"/>
  </bookViews>
  <sheets>
    <sheet name="Summary" sheetId="11" r:id="rId1"/>
    <sheet name="Proforma" sheetId="7" r:id="rId2"/>
    <sheet name="UCost Final" sheetId="9" r:id="rId3"/>
    <sheet name="Comps" sheetId="8" r:id="rId4"/>
    <sheet name="Project Schedule" sheetId="10" r:id="rId5"/>
    <sheet name="Initial Mix" sheetId="6" state="hidden" r:id="rId6"/>
  </sheets>
  <definedNames>
    <definedName name="_3BGarage">'UCost Final'!$W$1</definedName>
    <definedName name="Adj2B">'UCost Final'!$W$2</definedName>
    <definedName name="ADj3B">'UCost Final'!$W$3</definedName>
    <definedName name="_Cap10">Proforma!#REF!</definedName>
    <definedName name="_Cap11">Proforma!#REF!</definedName>
    <definedName name="CapRate">Proforma!$C$44</definedName>
    <definedName name="CMF" localSheetId="2">'UCost Final'!$J$1</definedName>
    <definedName name="CMF">'Initial Mix'!$P$1</definedName>
    <definedName name="Const_Profit">'UCost Final'!$L$2</definedName>
    <definedName name="ConstProfit">'UCost Final'!$S$131</definedName>
    <definedName name="constprofit2B">'UCost Final'!$N$131</definedName>
    <definedName name="constprofit3B">'UCost Final'!$Q$131</definedName>
    <definedName name="CTime">#REF!</definedName>
    <definedName name="Four_Bedroom_Rate">Proforma!$C$4</definedName>
    <definedName name="Interim_Int_Rate">'UCost Final'!$D$139</definedName>
    <definedName name="Internet">Proforma!$G$1</definedName>
    <definedName name="INVESTOR_SHARE___50">Summary!$C$9</definedName>
    <definedName name="InvShare">Summary!$C$9</definedName>
    <definedName name="LandscapeArea">'UCost Final'!$O$2</definedName>
    <definedName name="LTC">'UCost Final'!#REF!</definedName>
    <definedName name="_ltc85">'UCost Final'!#REF!</definedName>
    <definedName name="_LTC90">'UCost Final'!#REF!</definedName>
    <definedName name="LTV">Proforma!$D$56</definedName>
    <definedName name="MgrOffFirstFlr">'UCost Final'!$Q$3</definedName>
    <definedName name="MonthlyNOI">Proforma!$V$35</definedName>
    <definedName name="MortgageLoan">Proforma!$W$59</definedName>
    <definedName name="MortgagePmt">Proforma!$V$38</definedName>
    <definedName name="MortPts">'UCost Final'!$D$140</definedName>
    <definedName name="MortRate">Proforma!$D$38</definedName>
    <definedName name="NOI">Proforma!$E$33:$X$33</definedName>
    <definedName name="One_Bedroom_Rate">Proforma!$C$1</definedName>
    <definedName name="Pool">'UCost Final'!$N$3</definedName>
    <definedName name="_xlnm.Print_Area" localSheetId="3">Comps!$A$5:$AL$13</definedName>
    <definedName name="_xlnm.Print_Area" localSheetId="5">'Initial Mix'!$P$9:$AD$88</definedName>
    <definedName name="_xlnm.Print_Area" localSheetId="1">Proforma!$K$14:$X$42</definedName>
    <definedName name="_xlnm.Print_Area" localSheetId="0">Summary!$B$3:$H$52</definedName>
    <definedName name="_xlnm.Print_Area" localSheetId="2">'UCost Final'!$M$13:$U$143</definedName>
    <definedName name="_xlnm.Print_Titles" localSheetId="5">'Initial Mix'!$B:$B,'Initial Mix'!$5:$8</definedName>
    <definedName name="_xlnm.Print_Titles" localSheetId="1">Proforma!$B:$B,Proforma!$5:$13</definedName>
    <definedName name="_xlnm.Print_Titles" localSheetId="4">'Project Schedule'!$A:$B,'Project Schedule'!$4:$4</definedName>
    <definedName name="_xlnm.Print_Titles" localSheetId="0">Summary!$1:$2</definedName>
    <definedName name="_xlnm.Print_Titles" localSheetId="2">'UCost Final'!$B:$B,'UCost Final'!$5:$13</definedName>
    <definedName name="Project_Value">Proforma!$AA$44</definedName>
    <definedName name="SM134Units" localSheetId="2">'UCost Final'!$AD$8</definedName>
    <definedName name="SM134Units">'Initial Mix'!$AB$7</definedName>
    <definedName name="Three_Bedroom_Rate">Proforma!$C$3</definedName>
    <definedName name="ThreeBdrm_First_Flr">'UCost Final'!$Q$2</definedName>
    <definedName name="TotalCost">'UCost Final'!$S$143</definedName>
    <definedName name="TotalDirectCost">'UCost Final'!$S$132</definedName>
    <definedName name="TotalSF">Proforma!$V$8</definedName>
    <definedName name="TotalValue">'UCost Final'!$S$171</definedName>
    <definedName name="TRUnits" localSheetId="2">'UCost Final'!$J$2</definedName>
    <definedName name="TRUnits">'Initial Mix'!$L$2</definedName>
    <definedName name="TUnits">Proforma!$V$11</definedName>
    <definedName name="Two_Bedroom_Rate">Proforma!$C$2</definedName>
    <definedName name="TwoBdrm_First_Flr">'UCost Final'!$Q$1</definedName>
    <definedName name="Vollyball___Basketball">'UCost Final'!$N$4</definedName>
    <definedName name="Vollybasketball">'UCost Final'!$N$4</definedName>
  </definedNames>
  <calcPr calcId="0" fullCalcOnLoad="1"/>
</workbook>
</file>

<file path=xl/calcChain.xml><?xml version="1.0" encoding="utf-8"?>
<calcChain xmlns="http://schemas.openxmlformats.org/spreadsheetml/2006/main">
  <c r="Y10" i="8" l="1"/>
  <c r="Z10" i="8"/>
  <c r="AA10" i="8"/>
  <c r="AB10" i="8"/>
  <c r="AD10" i="8"/>
  <c r="AE10" i="8"/>
  <c r="AF10" i="8"/>
  <c r="AG10" i="8"/>
  <c r="AI10" i="8"/>
  <c r="AJ10" i="8"/>
  <c r="AK10" i="8"/>
  <c r="AL10" i="8"/>
  <c r="V12" i="8"/>
  <c r="W12" i="8"/>
  <c r="AD12" i="8"/>
  <c r="AE12" i="8"/>
  <c r="AF12" i="8"/>
  <c r="AG12" i="8"/>
  <c r="V13" i="8"/>
  <c r="W13" i="8"/>
  <c r="T14" i="8"/>
  <c r="U14" i="8"/>
  <c r="V14" i="8"/>
  <c r="U15" i="8"/>
  <c r="W15" i="8"/>
  <c r="L7" i="6"/>
  <c r="AB7" i="6"/>
  <c r="AK7" i="6"/>
  <c r="AL7" i="6"/>
  <c r="R8" i="6"/>
  <c r="V8" i="6"/>
  <c r="Z8" i="6"/>
  <c r="AC8" i="6"/>
  <c r="AD8" i="6"/>
  <c r="D9" i="6"/>
  <c r="L9" i="6"/>
  <c r="M9" i="6"/>
  <c r="N9" i="6"/>
  <c r="P9" i="6"/>
  <c r="Q9" i="6"/>
  <c r="R9" i="6"/>
  <c r="T9" i="6"/>
  <c r="U9" i="6"/>
  <c r="V9" i="6"/>
  <c r="X9" i="6"/>
  <c r="Y9" i="6"/>
  <c r="Z9" i="6"/>
  <c r="AB9" i="6"/>
  <c r="AC9" i="6"/>
  <c r="AD9" i="6"/>
  <c r="AI9" i="6"/>
  <c r="AJ9" i="6"/>
  <c r="AK9" i="6"/>
  <c r="AL9" i="6"/>
  <c r="P10" i="6"/>
  <c r="Q10" i="6"/>
  <c r="R10" i="6"/>
  <c r="T10" i="6"/>
  <c r="U10" i="6"/>
  <c r="V10" i="6"/>
  <c r="X10" i="6"/>
  <c r="Y10" i="6"/>
  <c r="Z10" i="6"/>
  <c r="AB10" i="6"/>
  <c r="AC10" i="6"/>
  <c r="AD10" i="6"/>
  <c r="AI10" i="6"/>
  <c r="AJ10" i="6"/>
  <c r="AK10" i="6"/>
  <c r="AL10" i="6"/>
  <c r="D11" i="6"/>
  <c r="L11" i="6"/>
  <c r="M11" i="6"/>
  <c r="N11" i="6"/>
  <c r="P11" i="6"/>
  <c r="Q11" i="6"/>
  <c r="R11" i="6"/>
  <c r="T11" i="6"/>
  <c r="U11" i="6"/>
  <c r="V11" i="6"/>
  <c r="X11" i="6"/>
  <c r="Y11" i="6"/>
  <c r="Z11" i="6"/>
  <c r="AB11" i="6"/>
  <c r="AC11" i="6"/>
  <c r="AD11" i="6"/>
  <c r="AI11" i="6"/>
  <c r="AK11" i="6"/>
  <c r="AL11" i="6"/>
  <c r="D12" i="6"/>
  <c r="L12" i="6"/>
  <c r="M12" i="6"/>
  <c r="N12" i="6"/>
  <c r="P12" i="6"/>
  <c r="Q12" i="6"/>
  <c r="R12" i="6"/>
  <c r="T12" i="6"/>
  <c r="U12" i="6"/>
  <c r="V12" i="6"/>
  <c r="X12" i="6"/>
  <c r="Y12" i="6"/>
  <c r="Z12" i="6"/>
  <c r="AB12" i="6"/>
  <c r="AC12" i="6"/>
  <c r="AD12" i="6"/>
  <c r="AI12" i="6"/>
  <c r="AJ12" i="6"/>
  <c r="AK12" i="6"/>
  <c r="AL12" i="6"/>
  <c r="D13" i="6"/>
  <c r="L13" i="6"/>
  <c r="M13" i="6"/>
  <c r="N13" i="6"/>
  <c r="P13" i="6"/>
  <c r="Q13" i="6"/>
  <c r="R13" i="6"/>
  <c r="T13" i="6"/>
  <c r="U13" i="6"/>
  <c r="V13" i="6"/>
  <c r="X13" i="6"/>
  <c r="Y13" i="6"/>
  <c r="Z13" i="6"/>
  <c r="AB13" i="6"/>
  <c r="AC13" i="6"/>
  <c r="AD13" i="6"/>
  <c r="AI13" i="6"/>
  <c r="AJ13" i="6"/>
  <c r="AK13" i="6"/>
  <c r="AL13" i="6"/>
  <c r="AI14" i="6"/>
  <c r="AJ14" i="6"/>
  <c r="AK14" i="6"/>
  <c r="AL14" i="6"/>
  <c r="D15" i="6"/>
  <c r="L15" i="6"/>
  <c r="M15" i="6"/>
  <c r="N15" i="6"/>
  <c r="P15" i="6"/>
  <c r="Q15" i="6"/>
  <c r="R15" i="6"/>
  <c r="T15" i="6"/>
  <c r="U15" i="6"/>
  <c r="V15" i="6"/>
  <c r="X15" i="6"/>
  <c r="Y15" i="6"/>
  <c r="Z15" i="6"/>
  <c r="AB15" i="6"/>
  <c r="AC15" i="6"/>
  <c r="AD15" i="6"/>
  <c r="AI15" i="6"/>
  <c r="AJ15" i="6"/>
  <c r="AK15" i="6"/>
  <c r="AL15" i="6"/>
  <c r="D16" i="6"/>
  <c r="L16" i="6"/>
  <c r="M16" i="6"/>
  <c r="N16" i="6"/>
  <c r="R16" i="6"/>
  <c r="V16" i="6"/>
  <c r="Z16" i="6"/>
  <c r="AB16" i="6"/>
  <c r="AC16" i="6"/>
  <c r="AD16" i="6"/>
  <c r="AI16" i="6"/>
  <c r="AJ16" i="6"/>
  <c r="AK16" i="6"/>
  <c r="AL16" i="6"/>
  <c r="D17" i="6"/>
  <c r="L17" i="6"/>
  <c r="M17" i="6"/>
  <c r="N17" i="6"/>
  <c r="R17" i="6"/>
  <c r="V17" i="6"/>
  <c r="Z17" i="6"/>
  <c r="AB17" i="6"/>
  <c r="AC17" i="6"/>
  <c r="AD17" i="6"/>
  <c r="AI17" i="6"/>
  <c r="AJ17" i="6"/>
  <c r="AK17" i="6"/>
  <c r="AL17" i="6"/>
  <c r="L18" i="6"/>
  <c r="N18" i="6"/>
  <c r="AI18" i="6"/>
  <c r="AJ18" i="6"/>
  <c r="AK18" i="6"/>
  <c r="AL18" i="6"/>
  <c r="D19" i="6"/>
  <c r="L19" i="6"/>
  <c r="M19" i="6"/>
  <c r="N19" i="6"/>
  <c r="P19" i="6"/>
  <c r="Q19" i="6"/>
  <c r="R19" i="6"/>
  <c r="T19" i="6"/>
  <c r="U19" i="6"/>
  <c r="V19" i="6"/>
  <c r="X19" i="6"/>
  <c r="Y19" i="6"/>
  <c r="Z19" i="6"/>
  <c r="AB19" i="6"/>
  <c r="AC19" i="6"/>
  <c r="AD19" i="6"/>
  <c r="AI19" i="6"/>
  <c r="AJ19" i="6"/>
  <c r="AK19" i="6"/>
  <c r="AL19" i="6"/>
  <c r="D20" i="6"/>
  <c r="L20" i="6"/>
  <c r="M20" i="6"/>
  <c r="N20" i="6"/>
  <c r="P20" i="6"/>
  <c r="Q20" i="6"/>
  <c r="R20" i="6"/>
  <c r="T20" i="6"/>
  <c r="U20" i="6"/>
  <c r="V20" i="6"/>
  <c r="X20" i="6"/>
  <c r="Y20" i="6"/>
  <c r="Z20" i="6"/>
  <c r="AB20" i="6"/>
  <c r="AC20" i="6"/>
  <c r="AD20" i="6"/>
  <c r="AI20" i="6"/>
  <c r="AJ20" i="6"/>
  <c r="AK20" i="6"/>
  <c r="AL20" i="6"/>
  <c r="D21" i="6"/>
  <c r="L21" i="6"/>
  <c r="M21" i="6"/>
  <c r="N21" i="6"/>
  <c r="P21" i="6"/>
  <c r="Q21" i="6"/>
  <c r="R21" i="6"/>
  <c r="T21" i="6"/>
  <c r="U21" i="6"/>
  <c r="V21" i="6"/>
  <c r="X21" i="6"/>
  <c r="Y21" i="6"/>
  <c r="Z21" i="6"/>
  <c r="AB21" i="6"/>
  <c r="AC21" i="6"/>
  <c r="AD21" i="6"/>
  <c r="AI21" i="6"/>
  <c r="AJ21" i="6"/>
  <c r="AK21" i="6"/>
  <c r="AL21" i="6"/>
  <c r="N22" i="6"/>
  <c r="AI22" i="6"/>
  <c r="AJ22" i="6"/>
  <c r="AK22" i="6"/>
  <c r="AL22" i="6"/>
  <c r="D23" i="6"/>
  <c r="L23" i="6"/>
  <c r="M23" i="6"/>
  <c r="N23" i="6"/>
  <c r="P23" i="6"/>
  <c r="Q23" i="6"/>
  <c r="R23" i="6"/>
  <c r="T23" i="6"/>
  <c r="U23" i="6"/>
  <c r="V23" i="6"/>
  <c r="X23" i="6"/>
  <c r="Y23" i="6"/>
  <c r="Z23" i="6"/>
  <c r="AB23" i="6"/>
  <c r="AC23" i="6"/>
  <c r="AD23" i="6"/>
  <c r="AI23" i="6"/>
  <c r="AJ23" i="6"/>
  <c r="AK23" i="6"/>
  <c r="AL23" i="6"/>
  <c r="D24" i="6"/>
  <c r="L24" i="6"/>
  <c r="M24" i="6"/>
  <c r="N24" i="6"/>
  <c r="P24" i="6"/>
  <c r="Q24" i="6"/>
  <c r="R24" i="6"/>
  <c r="T24" i="6"/>
  <c r="U24" i="6"/>
  <c r="V24" i="6"/>
  <c r="X24" i="6"/>
  <c r="Y24" i="6"/>
  <c r="Z24" i="6"/>
  <c r="AB24" i="6"/>
  <c r="AC24" i="6"/>
  <c r="AD24" i="6"/>
  <c r="AK24" i="6"/>
  <c r="AL24" i="6"/>
  <c r="D25" i="6"/>
  <c r="L25" i="6"/>
  <c r="M25" i="6"/>
  <c r="N25" i="6"/>
  <c r="P25" i="6"/>
  <c r="Q25" i="6"/>
  <c r="R25" i="6"/>
  <c r="T25" i="6"/>
  <c r="U25" i="6"/>
  <c r="V25" i="6"/>
  <c r="X25" i="6"/>
  <c r="Y25" i="6"/>
  <c r="Z25" i="6"/>
  <c r="AB25" i="6"/>
  <c r="AC25" i="6"/>
  <c r="AD25" i="6"/>
  <c r="AI25" i="6"/>
  <c r="AJ25" i="6"/>
  <c r="AK25" i="6"/>
  <c r="AL25" i="6"/>
  <c r="D26" i="6"/>
  <c r="L26" i="6"/>
  <c r="M26" i="6"/>
  <c r="N26" i="6"/>
  <c r="P26" i="6"/>
  <c r="Q26" i="6"/>
  <c r="R26" i="6"/>
  <c r="T26" i="6"/>
  <c r="U26" i="6"/>
  <c r="V26" i="6"/>
  <c r="X26" i="6"/>
  <c r="Y26" i="6"/>
  <c r="Z26" i="6"/>
  <c r="AB26" i="6"/>
  <c r="AC26" i="6"/>
  <c r="AD26" i="6"/>
  <c r="AI26" i="6"/>
  <c r="AJ26" i="6"/>
  <c r="AK26" i="6"/>
  <c r="AL26" i="6"/>
  <c r="AI27" i="6"/>
  <c r="AK27" i="6"/>
  <c r="AL27" i="6"/>
  <c r="D28" i="6"/>
  <c r="L28" i="6"/>
  <c r="M28" i="6"/>
  <c r="N28" i="6"/>
  <c r="P28" i="6"/>
  <c r="Q28" i="6"/>
  <c r="R28" i="6"/>
  <c r="T28" i="6"/>
  <c r="U28" i="6"/>
  <c r="V28" i="6"/>
  <c r="X28" i="6"/>
  <c r="Y28" i="6"/>
  <c r="Z28" i="6"/>
  <c r="AB28" i="6"/>
  <c r="AC28" i="6"/>
  <c r="AD28" i="6"/>
  <c r="AI28" i="6"/>
  <c r="AJ28" i="6"/>
  <c r="AK28" i="6"/>
  <c r="AL28" i="6"/>
  <c r="D29" i="6"/>
  <c r="L29" i="6"/>
  <c r="M29" i="6"/>
  <c r="N29" i="6"/>
  <c r="P29" i="6"/>
  <c r="Q29" i="6"/>
  <c r="R29" i="6"/>
  <c r="T29" i="6"/>
  <c r="U29" i="6"/>
  <c r="V29" i="6"/>
  <c r="X29" i="6"/>
  <c r="Y29" i="6"/>
  <c r="Z29" i="6"/>
  <c r="AB29" i="6"/>
  <c r="AC29" i="6"/>
  <c r="AD29" i="6"/>
  <c r="AI29" i="6"/>
  <c r="AJ29" i="6"/>
  <c r="AK29" i="6"/>
  <c r="AL29" i="6"/>
  <c r="D30" i="6"/>
  <c r="L30" i="6"/>
  <c r="M30" i="6"/>
  <c r="N30" i="6"/>
  <c r="P30" i="6"/>
  <c r="Q30" i="6"/>
  <c r="R30" i="6"/>
  <c r="T30" i="6"/>
  <c r="U30" i="6"/>
  <c r="V30" i="6"/>
  <c r="X30" i="6"/>
  <c r="Y30" i="6"/>
  <c r="Z30" i="6"/>
  <c r="AB30" i="6"/>
  <c r="AC30" i="6"/>
  <c r="AD30" i="6"/>
  <c r="AI30" i="6"/>
  <c r="AJ30" i="6"/>
  <c r="AK30" i="6"/>
  <c r="AL30" i="6"/>
  <c r="D31" i="6"/>
  <c r="L31" i="6"/>
  <c r="N31" i="6"/>
  <c r="P31" i="6"/>
  <c r="Q31" i="6"/>
  <c r="R31" i="6"/>
  <c r="T31" i="6"/>
  <c r="U31" i="6"/>
  <c r="V31" i="6"/>
  <c r="X31" i="6"/>
  <c r="Y31" i="6"/>
  <c r="Z31" i="6"/>
  <c r="AB31" i="6"/>
  <c r="AC31" i="6"/>
  <c r="AD31" i="6"/>
  <c r="AI31" i="6"/>
  <c r="AK31" i="6"/>
  <c r="AL31" i="6"/>
  <c r="D32" i="6"/>
  <c r="L32" i="6"/>
  <c r="N32" i="6"/>
  <c r="P32" i="6"/>
  <c r="Q32" i="6"/>
  <c r="R32" i="6"/>
  <c r="T32" i="6"/>
  <c r="U32" i="6"/>
  <c r="V32" i="6"/>
  <c r="X32" i="6"/>
  <c r="Y32" i="6"/>
  <c r="Z32" i="6"/>
  <c r="AB32" i="6"/>
  <c r="AC32" i="6"/>
  <c r="AD32" i="6"/>
  <c r="AI32" i="6"/>
  <c r="AJ32" i="6"/>
  <c r="AK32" i="6"/>
  <c r="AL32" i="6"/>
  <c r="D33" i="6"/>
  <c r="L33" i="6"/>
  <c r="N33" i="6"/>
  <c r="P33" i="6"/>
  <c r="Q33" i="6"/>
  <c r="R33" i="6"/>
  <c r="T33" i="6"/>
  <c r="U33" i="6"/>
  <c r="V33" i="6"/>
  <c r="X33" i="6"/>
  <c r="Y33" i="6"/>
  <c r="Z33" i="6"/>
  <c r="AB33" i="6"/>
  <c r="AC33" i="6"/>
  <c r="AD33" i="6"/>
  <c r="AI33" i="6"/>
  <c r="AK33" i="6"/>
  <c r="AL33" i="6"/>
  <c r="D34" i="6"/>
  <c r="L34" i="6"/>
  <c r="M34" i="6"/>
  <c r="N34" i="6"/>
  <c r="P34" i="6"/>
  <c r="Q34" i="6"/>
  <c r="R34" i="6"/>
  <c r="T34" i="6"/>
  <c r="U34" i="6"/>
  <c r="V34" i="6"/>
  <c r="X34" i="6"/>
  <c r="Y34" i="6"/>
  <c r="Z34" i="6"/>
  <c r="AB34" i="6"/>
  <c r="AC34" i="6"/>
  <c r="AD34" i="6"/>
  <c r="AI34" i="6"/>
  <c r="AJ34" i="6"/>
  <c r="AK34" i="6"/>
  <c r="AL34" i="6"/>
  <c r="D35" i="6"/>
  <c r="L35" i="6"/>
  <c r="M35" i="6"/>
  <c r="N35" i="6"/>
  <c r="P35" i="6"/>
  <c r="Q35" i="6"/>
  <c r="R35" i="6"/>
  <c r="T35" i="6"/>
  <c r="U35" i="6"/>
  <c r="V35" i="6"/>
  <c r="X35" i="6"/>
  <c r="Y35" i="6"/>
  <c r="Z35" i="6"/>
  <c r="AB35" i="6"/>
  <c r="AC35" i="6"/>
  <c r="AD35" i="6"/>
  <c r="AI35" i="6"/>
  <c r="AJ35" i="6"/>
  <c r="AK35" i="6"/>
  <c r="AL35" i="6"/>
  <c r="AI36" i="6"/>
  <c r="AJ36" i="6"/>
  <c r="AK36" i="6"/>
  <c r="AL36" i="6"/>
  <c r="P37" i="6"/>
  <c r="Q37" i="6"/>
  <c r="R37" i="6"/>
  <c r="T37" i="6"/>
  <c r="U37" i="6"/>
  <c r="V37" i="6"/>
  <c r="X37" i="6"/>
  <c r="Y37" i="6"/>
  <c r="Z37" i="6"/>
  <c r="AB37" i="6"/>
  <c r="AC37" i="6"/>
  <c r="AD37" i="6"/>
  <c r="AI37" i="6"/>
  <c r="AJ37" i="6"/>
  <c r="AK37" i="6"/>
  <c r="AL37" i="6"/>
  <c r="P38" i="6"/>
  <c r="Q38" i="6"/>
  <c r="R38" i="6"/>
  <c r="T38" i="6"/>
  <c r="U38" i="6"/>
  <c r="V38" i="6"/>
  <c r="X38" i="6"/>
  <c r="Y38" i="6"/>
  <c r="Z38" i="6"/>
  <c r="AB38" i="6"/>
  <c r="AC38" i="6"/>
  <c r="AD38" i="6"/>
  <c r="AI38" i="6"/>
  <c r="AJ38" i="6"/>
  <c r="AK38" i="6"/>
  <c r="AL38" i="6"/>
  <c r="AI39" i="6"/>
  <c r="AJ39" i="6"/>
  <c r="AK39" i="6"/>
  <c r="AL39" i="6"/>
  <c r="D40" i="6"/>
  <c r="L40" i="6"/>
  <c r="M40" i="6"/>
  <c r="N40" i="6"/>
  <c r="P40" i="6"/>
  <c r="Q40" i="6"/>
  <c r="R40" i="6"/>
  <c r="T40" i="6"/>
  <c r="U40" i="6"/>
  <c r="V40" i="6"/>
  <c r="X40" i="6"/>
  <c r="Y40" i="6"/>
  <c r="Z40" i="6"/>
  <c r="AB40" i="6"/>
  <c r="AC40" i="6"/>
  <c r="AD40" i="6"/>
  <c r="AI40" i="6"/>
  <c r="AK40" i="6"/>
  <c r="AL40" i="6"/>
  <c r="D41" i="6"/>
  <c r="L41" i="6"/>
  <c r="M41" i="6"/>
  <c r="N41" i="6"/>
  <c r="P41" i="6"/>
  <c r="Q41" i="6"/>
  <c r="R41" i="6"/>
  <c r="T41" i="6"/>
  <c r="U41" i="6"/>
  <c r="V41" i="6"/>
  <c r="X41" i="6"/>
  <c r="Y41" i="6"/>
  <c r="Z41" i="6"/>
  <c r="AB41" i="6"/>
  <c r="AC41" i="6"/>
  <c r="AD41" i="6"/>
  <c r="AI41" i="6"/>
  <c r="AJ41" i="6"/>
  <c r="AK41" i="6"/>
  <c r="AL41" i="6"/>
  <c r="AI42" i="6"/>
  <c r="AJ42" i="6"/>
  <c r="AK42" i="6"/>
  <c r="AL42" i="6"/>
  <c r="D43" i="6"/>
  <c r="L43" i="6"/>
  <c r="M43" i="6"/>
  <c r="N43" i="6"/>
  <c r="P43" i="6"/>
  <c r="Q43" i="6"/>
  <c r="R43" i="6"/>
  <c r="T43" i="6"/>
  <c r="U43" i="6"/>
  <c r="V43" i="6"/>
  <c r="X43" i="6"/>
  <c r="Y43" i="6"/>
  <c r="Z43" i="6"/>
  <c r="AB43" i="6"/>
  <c r="AC43" i="6"/>
  <c r="AD43" i="6"/>
  <c r="AI43" i="6"/>
  <c r="AJ43" i="6"/>
  <c r="AK43" i="6"/>
  <c r="AL43" i="6"/>
  <c r="D44" i="6"/>
  <c r="L44" i="6"/>
  <c r="M44" i="6"/>
  <c r="N44" i="6"/>
  <c r="P44" i="6"/>
  <c r="Q44" i="6"/>
  <c r="R44" i="6"/>
  <c r="T44" i="6"/>
  <c r="U44" i="6"/>
  <c r="V44" i="6"/>
  <c r="X44" i="6"/>
  <c r="Y44" i="6"/>
  <c r="Z44" i="6"/>
  <c r="AB44" i="6"/>
  <c r="AC44" i="6"/>
  <c r="AD44" i="6"/>
  <c r="AI44" i="6"/>
  <c r="AJ44" i="6"/>
  <c r="AK44" i="6"/>
  <c r="AL44" i="6"/>
  <c r="D45" i="6"/>
  <c r="L45" i="6"/>
  <c r="M45" i="6"/>
  <c r="N45" i="6"/>
  <c r="P45" i="6"/>
  <c r="Q45" i="6"/>
  <c r="R45" i="6"/>
  <c r="T45" i="6"/>
  <c r="U45" i="6"/>
  <c r="V45" i="6"/>
  <c r="X45" i="6"/>
  <c r="Y45" i="6"/>
  <c r="Z45" i="6"/>
  <c r="AB45" i="6"/>
  <c r="AC45" i="6"/>
  <c r="AD45" i="6"/>
  <c r="AI45" i="6"/>
  <c r="AJ45" i="6"/>
  <c r="AK45" i="6"/>
  <c r="AL45" i="6"/>
  <c r="AI46" i="6"/>
  <c r="AJ46" i="6"/>
  <c r="AK46" i="6"/>
  <c r="AL46" i="6"/>
  <c r="D47" i="6"/>
  <c r="L47" i="6"/>
  <c r="N47" i="6"/>
  <c r="P47" i="6"/>
  <c r="Q47" i="6"/>
  <c r="R47" i="6"/>
  <c r="T47" i="6"/>
  <c r="U47" i="6"/>
  <c r="V47" i="6"/>
  <c r="X47" i="6"/>
  <c r="Y47" i="6"/>
  <c r="Z47" i="6"/>
  <c r="AB47" i="6"/>
  <c r="AC47" i="6"/>
  <c r="AD47" i="6"/>
  <c r="AI47" i="6"/>
  <c r="AJ47" i="6"/>
  <c r="AK47" i="6"/>
  <c r="AL47" i="6"/>
  <c r="D48" i="6"/>
  <c r="L48" i="6"/>
  <c r="M48" i="6"/>
  <c r="N48" i="6"/>
  <c r="P48" i="6"/>
  <c r="Q48" i="6"/>
  <c r="R48" i="6"/>
  <c r="T48" i="6"/>
  <c r="U48" i="6"/>
  <c r="V48" i="6"/>
  <c r="X48" i="6"/>
  <c r="Y48" i="6"/>
  <c r="Z48" i="6"/>
  <c r="AB48" i="6"/>
  <c r="AC48" i="6"/>
  <c r="AD48" i="6"/>
  <c r="AI48" i="6"/>
  <c r="AJ48" i="6"/>
  <c r="AK48" i="6"/>
  <c r="AL48" i="6"/>
  <c r="L49" i="6"/>
  <c r="D50" i="6"/>
  <c r="L50" i="6"/>
  <c r="M50" i="6"/>
  <c r="N50" i="6"/>
  <c r="P50" i="6"/>
  <c r="Q50" i="6"/>
  <c r="R50" i="6"/>
  <c r="T50" i="6"/>
  <c r="U50" i="6"/>
  <c r="V50" i="6"/>
  <c r="X50" i="6"/>
  <c r="Y50" i="6"/>
  <c r="Z50" i="6"/>
  <c r="AB50" i="6"/>
  <c r="AC50" i="6"/>
  <c r="AD50" i="6"/>
  <c r="AI50" i="6"/>
  <c r="AJ50" i="6"/>
  <c r="AK50" i="6"/>
  <c r="AL50" i="6"/>
  <c r="D51" i="6"/>
  <c r="L51" i="6"/>
  <c r="M51" i="6"/>
  <c r="N51" i="6"/>
  <c r="P51" i="6"/>
  <c r="Q51" i="6"/>
  <c r="R51" i="6"/>
  <c r="T51" i="6"/>
  <c r="U51" i="6"/>
  <c r="V51" i="6"/>
  <c r="X51" i="6"/>
  <c r="Y51" i="6"/>
  <c r="Z51" i="6"/>
  <c r="AB51" i="6"/>
  <c r="AC51" i="6"/>
  <c r="AD51" i="6"/>
  <c r="AI51" i="6"/>
  <c r="AJ51" i="6"/>
  <c r="AK51" i="6"/>
  <c r="AL51" i="6"/>
  <c r="D52" i="6"/>
  <c r="L52" i="6"/>
  <c r="M52" i="6"/>
  <c r="N52" i="6"/>
  <c r="P52" i="6"/>
  <c r="Q52" i="6"/>
  <c r="R52" i="6"/>
  <c r="T52" i="6"/>
  <c r="U52" i="6"/>
  <c r="V52" i="6"/>
  <c r="X52" i="6"/>
  <c r="Y52" i="6"/>
  <c r="Z52" i="6"/>
  <c r="AB52" i="6"/>
  <c r="AC52" i="6"/>
  <c r="AD52" i="6"/>
  <c r="AI52" i="6"/>
  <c r="AJ52" i="6"/>
  <c r="AK52" i="6"/>
  <c r="AL52" i="6"/>
  <c r="AI53" i="6"/>
  <c r="AJ53" i="6"/>
  <c r="AK53" i="6"/>
  <c r="AL53" i="6"/>
  <c r="D54" i="6"/>
  <c r="L54" i="6"/>
  <c r="M54" i="6"/>
  <c r="N54" i="6"/>
  <c r="P54" i="6"/>
  <c r="Q54" i="6"/>
  <c r="R54" i="6"/>
  <c r="T54" i="6"/>
  <c r="U54" i="6"/>
  <c r="V54" i="6"/>
  <c r="X54" i="6"/>
  <c r="Y54" i="6"/>
  <c r="Z54" i="6"/>
  <c r="AB54" i="6"/>
  <c r="AC54" i="6"/>
  <c r="AD54" i="6"/>
  <c r="AI54" i="6"/>
  <c r="AJ54" i="6"/>
  <c r="AK54" i="6"/>
  <c r="AL54" i="6"/>
  <c r="D55" i="6"/>
  <c r="L55" i="6"/>
  <c r="M55" i="6"/>
  <c r="N55" i="6"/>
  <c r="P55" i="6"/>
  <c r="Q55" i="6"/>
  <c r="R55" i="6"/>
  <c r="T55" i="6"/>
  <c r="U55" i="6"/>
  <c r="V55" i="6"/>
  <c r="X55" i="6"/>
  <c r="Y55" i="6"/>
  <c r="Z55" i="6"/>
  <c r="AB55" i="6"/>
  <c r="AC55" i="6"/>
  <c r="AD55" i="6"/>
  <c r="D56" i="6"/>
  <c r="L56" i="6"/>
  <c r="M56" i="6"/>
  <c r="N56" i="6"/>
  <c r="P56" i="6"/>
  <c r="Q56" i="6"/>
  <c r="R56" i="6"/>
  <c r="T56" i="6"/>
  <c r="V56" i="6"/>
  <c r="X56" i="6"/>
  <c r="Y56" i="6"/>
  <c r="Z56" i="6"/>
  <c r="AB56" i="6"/>
  <c r="AC56" i="6"/>
  <c r="AD56" i="6"/>
  <c r="AJ56" i="6"/>
  <c r="AJ57" i="6"/>
  <c r="D58" i="6"/>
  <c r="L58" i="6"/>
  <c r="M58" i="6"/>
  <c r="N58" i="6"/>
  <c r="P58" i="6"/>
  <c r="Q58" i="6"/>
  <c r="R58" i="6"/>
  <c r="T58" i="6"/>
  <c r="U58" i="6"/>
  <c r="V58" i="6"/>
  <c r="X58" i="6"/>
  <c r="Y58" i="6"/>
  <c r="Z58" i="6"/>
  <c r="AB58" i="6"/>
  <c r="AC58" i="6"/>
  <c r="AD58" i="6"/>
  <c r="AJ58" i="6"/>
  <c r="D59" i="6"/>
  <c r="L59" i="6"/>
  <c r="M59" i="6"/>
  <c r="N59" i="6"/>
  <c r="P59" i="6"/>
  <c r="Q59" i="6"/>
  <c r="R59" i="6"/>
  <c r="T59" i="6"/>
  <c r="U59" i="6"/>
  <c r="V59" i="6"/>
  <c r="X59" i="6"/>
  <c r="Y59" i="6"/>
  <c r="Z59" i="6"/>
  <c r="AB59" i="6"/>
  <c r="AC59" i="6"/>
  <c r="AD59" i="6"/>
  <c r="D60" i="6"/>
  <c r="L60" i="6"/>
  <c r="M60" i="6"/>
  <c r="N60" i="6"/>
  <c r="P60" i="6"/>
  <c r="Q60" i="6"/>
  <c r="R60" i="6"/>
  <c r="T60" i="6"/>
  <c r="U60" i="6"/>
  <c r="V60" i="6"/>
  <c r="X60" i="6"/>
  <c r="Y60" i="6"/>
  <c r="Z60" i="6"/>
  <c r="AB60" i="6"/>
  <c r="AC60" i="6"/>
  <c r="AD60" i="6"/>
  <c r="AJ60" i="6"/>
  <c r="AK60" i="6"/>
  <c r="AL60" i="6"/>
  <c r="AN60" i="6"/>
  <c r="D61" i="6"/>
  <c r="AJ61" i="6"/>
  <c r="AL61" i="6"/>
  <c r="AN61" i="6"/>
  <c r="D62" i="6"/>
  <c r="L62" i="6"/>
  <c r="M62" i="6"/>
  <c r="N62" i="6"/>
  <c r="P62" i="6"/>
  <c r="Q62" i="6"/>
  <c r="R62" i="6"/>
  <c r="T62" i="6"/>
  <c r="U62" i="6"/>
  <c r="V62" i="6"/>
  <c r="X62" i="6"/>
  <c r="Y62" i="6"/>
  <c r="Z62" i="6"/>
  <c r="AB62" i="6"/>
  <c r="AC62" i="6"/>
  <c r="AD62" i="6"/>
  <c r="AJ62" i="6"/>
  <c r="AL62" i="6"/>
  <c r="AM62" i="6"/>
  <c r="AN62" i="6"/>
  <c r="D63" i="6"/>
  <c r="L63" i="6"/>
  <c r="M63" i="6"/>
  <c r="N63" i="6"/>
  <c r="P63" i="6"/>
  <c r="Q63" i="6"/>
  <c r="R63" i="6"/>
  <c r="T63" i="6"/>
  <c r="U63" i="6"/>
  <c r="V63" i="6"/>
  <c r="X63" i="6"/>
  <c r="Y63" i="6"/>
  <c r="Z63" i="6"/>
  <c r="AB63" i="6"/>
  <c r="AC63" i="6"/>
  <c r="AD63" i="6"/>
  <c r="AJ63" i="6"/>
  <c r="AK63" i="6"/>
  <c r="D64" i="6"/>
  <c r="L64" i="6"/>
  <c r="M64" i="6"/>
  <c r="N64" i="6"/>
  <c r="P64" i="6"/>
  <c r="Q64" i="6"/>
  <c r="R64" i="6"/>
  <c r="T64" i="6"/>
  <c r="U64" i="6"/>
  <c r="V64" i="6"/>
  <c r="X64" i="6"/>
  <c r="Y64" i="6"/>
  <c r="Z64" i="6"/>
  <c r="AB64" i="6"/>
  <c r="AC64" i="6"/>
  <c r="AD64" i="6"/>
  <c r="AJ64" i="6"/>
  <c r="AK64" i="6"/>
  <c r="N65" i="6"/>
  <c r="D66" i="6"/>
  <c r="L66" i="6"/>
  <c r="M66" i="6"/>
  <c r="N66" i="6"/>
  <c r="P66" i="6"/>
  <c r="Q66" i="6"/>
  <c r="R66" i="6"/>
  <c r="T66" i="6"/>
  <c r="U66" i="6"/>
  <c r="V66" i="6"/>
  <c r="X66" i="6"/>
  <c r="Y66" i="6"/>
  <c r="Z66" i="6"/>
  <c r="AB66" i="6"/>
  <c r="AC66" i="6"/>
  <c r="AD66" i="6"/>
  <c r="AJ66" i="6"/>
  <c r="D67" i="6"/>
  <c r="L67" i="6"/>
  <c r="M67" i="6"/>
  <c r="N67" i="6"/>
  <c r="P67" i="6"/>
  <c r="Q67" i="6"/>
  <c r="R67" i="6"/>
  <c r="T67" i="6"/>
  <c r="U67" i="6"/>
  <c r="V67" i="6"/>
  <c r="X67" i="6"/>
  <c r="Y67" i="6"/>
  <c r="Z67" i="6"/>
  <c r="AB67" i="6"/>
  <c r="AC67" i="6"/>
  <c r="AD67" i="6"/>
  <c r="D68" i="6"/>
  <c r="L68" i="6"/>
  <c r="M68" i="6"/>
  <c r="N68" i="6"/>
  <c r="P68" i="6"/>
  <c r="Q68" i="6"/>
  <c r="R68" i="6"/>
  <c r="T68" i="6"/>
  <c r="U68" i="6"/>
  <c r="V68" i="6"/>
  <c r="X68" i="6"/>
  <c r="Y68" i="6"/>
  <c r="Z68" i="6"/>
  <c r="AB68" i="6"/>
  <c r="AC68" i="6"/>
  <c r="AD68" i="6"/>
  <c r="AJ68" i="6"/>
  <c r="D69" i="6"/>
  <c r="L69" i="6"/>
  <c r="M69" i="6"/>
  <c r="N69" i="6"/>
  <c r="P69" i="6"/>
  <c r="Q69" i="6"/>
  <c r="R69" i="6"/>
  <c r="T69" i="6"/>
  <c r="U69" i="6"/>
  <c r="V69" i="6"/>
  <c r="X69" i="6"/>
  <c r="Y69" i="6"/>
  <c r="Z69" i="6"/>
  <c r="AB69" i="6"/>
  <c r="AC69" i="6"/>
  <c r="AD69" i="6"/>
  <c r="AJ69" i="6"/>
  <c r="AL69" i="6"/>
  <c r="D70" i="6"/>
  <c r="L70" i="6"/>
  <c r="M70" i="6"/>
  <c r="N70" i="6"/>
  <c r="P70" i="6"/>
  <c r="Q70" i="6"/>
  <c r="R70" i="6"/>
  <c r="T70" i="6"/>
  <c r="U70" i="6"/>
  <c r="V70" i="6"/>
  <c r="X70" i="6"/>
  <c r="Y70" i="6"/>
  <c r="Z70" i="6"/>
  <c r="AB70" i="6"/>
  <c r="AC70" i="6"/>
  <c r="AD70" i="6"/>
  <c r="AJ70" i="6"/>
  <c r="AL70" i="6"/>
  <c r="D71" i="6"/>
  <c r="L71" i="6"/>
  <c r="M71" i="6"/>
  <c r="N71" i="6"/>
  <c r="P71" i="6"/>
  <c r="Q71" i="6"/>
  <c r="R71" i="6"/>
  <c r="T71" i="6"/>
  <c r="U71" i="6"/>
  <c r="V71" i="6"/>
  <c r="X71" i="6"/>
  <c r="Y71" i="6"/>
  <c r="Z71" i="6"/>
  <c r="AB71" i="6"/>
  <c r="AC71" i="6"/>
  <c r="AD71" i="6"/>
  <c r="AJ71" i="6"/>
  <c r="D72" i="6"/>
  <c r="L72" i="6"/>
  <c r="M72" i="6"/>
  <c r="N72" i="6"/>
  <c r="P72" i="6"/>
  <c r="Q72" i="6"/>
  <c r="R72" i="6"/>
  <c r="T72" i="6"/>
  <c r="U72" i="6"/>
  <c r="V72" i="6"/>
  <c r="X72" i="6"/>
  <c r="Y72" i="6"/>
  <c r="Z72" i="6"/>
  <c r="AB72" i="6"/>
  <c r="AC72" i="6"/>
  <c r="AD72" i="6"/>
  <c r="AJ72" i="6"/>
  <c r="D73" i="6"/>
  <c r="L73" i="6"/>
  <c r="M73" i="6"/>
  <c r="N73" i="6"/>
  <c r="P73" i="6"/>
  <c r="Q73" i="6"/>
  <c r="R73" i="6"/>
  <c r="T73" i="6"/>
  <c r="U73" i="6"/>
  <c r="V73" i="6"/>
  <c r="X73" i="6"/>
  <c r="Y73" i="6"/>
  <c r="Z73" i="6"/>
  <c r="AB73" i="6"/>
  <c r="AC73" i="6"/>
  <c r="AD73" i="6"/>
  <c r="AJ73" i="6"/>
  <c r="D74" i="6"/>
  <c r="L74" i="6"/>
  <c r="N74" i="6"/>
  <c r="P74" i="6"/>
  <c r="Q74" i="6"/>
  <c r="R74" i="6"/>
  <c r="T74" i="6"/>
  <c r="U74" i="6"/>
  <c r="V74" i="6"/>
  <c r="X74" i="6"/>
  <c r="Y74" i="6"/>
  <c r="Z74" i="6"/>
  <c r="AB74" i="6"/>
  <c r="AC74" i="6"/>
  <c r="AD74" i="6"/>
  <c r="D75" i="6"/>
  <c r="L75" i="6"/>
  <c r="N75" i="6"/>
  <c r="P75" i="6"/>
  <c r="Q75" i="6"/>
  <c r="R75" i="6"/>
  <c r="T75" i="6"/>
  <c r="U75" i="6"/>
  <c r="V75" i="6"/>
  <c r="X75" i="6"/>
  <c r="Y75" i="6"/>
  <c r="Z75" i="6"/>
  <c r="AB75" i="6"/>
  <c r="AC75" i="6"/>
  <c r="AD75" i="6"/>
  <c r="AJ75" i="6"/>
  <c r="AL75" i="6"/>
  <c r="AO75" i="6"/>
  <c r="D76" i="6"/>
  <c r="L76" i="6"/>
  <c r="N76" i="6"/>
  <c r="P76" i="6"/>
  <c r="Q76" i="6"/>
  <c r="R76" i="6"/>
  <c r="T76" i="6"/>
  <c r="U76" i="6"/>
  <c r="V76" i="6"/>
  <c r="X76" i="6"/>
  <c r="Y76" i="6"/>
  <c r="Z76" i="6"/>
  <c r="AB76" i="6"/>
  <c r="AC76" i="6"/>
  <c r="AD76" i="6"/>
  <c r="AJ76" i="6"/>
  <c r="AL76" i="6"/>
  <c r="D77" i="6"/>
  <c r="L77" i="6"/>
  <c r="M77" i="6"/>
  <c r="N77" i="6"/>
  <c r="P77" i="6"/>
  <c r="Q77" i="6"/>
  <c r="R77" i="6"/>
  <c r="T77" i="6"/>
  <c r="U77" i="6"/>
  <c r="V77" i="6"/>
  <c r="X77" i="6"/>
  <c r="Y77" i="6"/>
  <c r="Z77" i="6"/>
  <c r="AB77" i="6"/>
  <c r="AC77" i="6"/>
  <c r="AD77" i="6"/>
  <c r="AJ77" i="6"/>
  <c r="D78" i="6"/>
  <c r="L78" i="6"/>
  <c r="M78" i="6"/>
  <c r="N78" i="6"/>
  <c r="P78" i="6"/>
  <c r="R78" i="6"/>
  <c r="T78" i="6"/>
  <c r="U78" i="6"/>
  <c r="V78" i="6"/>
  <c r="X78" i="6"/>
  <c r="Y78" i="6"/>
  <c r="Z78" i="6"/>
  <c r="AB78" i="6"/>
  <c r="AC78" i="6"/>
  <c r="AD78" i="6"/>
  <c r="AJ78" i="6"/>
  <c r="D79" i="6"/>
  <c r="L79" i="6"/>
  <c r="M79" i="6"/>
  <c r="N79" i="6"/>
  <c r="P79" i="6"/>
  <c r="R79" i="6"/>
  <c r="T79" i="6"/>
  <c r="V79" i="6"/>
  <c r="X79" i="6"/>
  <c r="Z79" i="6"/>
  <c r="AB79" i="6"/>
  <c r="AC79" i="6"/>
  <c r="AD79" i="6"/>
  <c r="AJ79" i="6"/>
  <c r="N80" i="6"/>
  <c r="D81" i="6"/>
  <c r="L81" i="6"/>
  <c r="M81" i="6"/>
  <c r="N81" i="6"/>
  <c r="P81" i="6"/>
  <c r="Q81" i="6"/>
  <c r="R81" i="6"/>
  <c r="T81" i="6"/>
  <c r="U81" i="6"/>
  <c r="V81" i="6"/>
  <c r="X81" i="6"/>
  <c r="Y81" i="6"/>
  <c r="Z81" i="6"/>
  <c r="AB81" i="6"/>
  <c r="AC81" i="6"/>
  <c r="AD81" i="6"/>
  <c r="D82" i="6"/>
  <c r="L82" i="6"/>
  <c r="M82" i="6"/>
  <c r="N82" i="6"/>
  <c r="P82" i="6"/>
  <c r="Q82" i="6"/>
  <c r="R82" i="6"/>
  <c r="T82" i="6"/>
  <c r="U82" i="6"/>
  <c r="V82" i="6"/>
  <c r="X82" i="6"/>
  <c r="Y82" i="6"/>
  <c r="Z82" i="6"/>
  <c r="AB82" i="6"/>
  <c r="AC82" i="6"/>
  <c r="AD82" i="6"/>
  <c r="AJ82" i="6"/>
  <c r="D83" i="6"/>
  <c r="L83" i="6"/>
  <c r="M83" i="6"/>
  <c r="N83" i="6"/>
  <c r="P83" i="6"/>
  <c r="Q83" i="6"/>
  <c r="R83" i="6"/>
  <c r="T83" i="6"/>
  <c r="U83" i="6"/>
  <c r="V83" i="6"/>
  <c r="X83" i="6"/>
  <c r="Y83" i="6"/>
  <c r="Z83" i="6"/>
  <c r="AB83" i="6"/>
  <c r="AC83" i="6"/>
  <c r="AD83" i="6"/>
  <c r="AJ83" i="6"/>
  <c r="D84" i="6"/>
  <c r="L84" i="6"/>
  <c r="M84" i="6"/>
  <c r="N84" i="6"/>
  <c r="P84" i="6"/>
  <c r="Q84" i="6"/>
  <c r="R84" i="6"/>
  <c r="T84" i="6"/>
  <c r="U84" i="6"/>
  <c r="V84" i="6"/>
  <c r="X84" i="6"/>
  <c r="Y84" i="6"/>
  <c r="Z84" i="6"/>
  <c r="AB84" i="6"/>
  <c r="AC84" i="6"/>
  <c r="AD84" i="6"/>
  <c r="AJ84" i="6"/>
  <c r="D85" i="6"/>
  <c r="L85" i="6"/>
  <c r="M85" i="6"/>
  <c r="N85" i="6"/>
  <c r="P85" i="6"/>
  <c r="Q85" i="6"/>
  <c r="R85" i="6"/>
  <c r="T85" i="6"/>
  <c r="U85" i="6"/>
  <c r="V85" i="6"/>
  <c r="X85" i="6"/>
  <c r="Y85" i="6"/>
  <c r="Z85" i="6"/>
  <c r="AB85" i="6"/>
  <c r="AC85" i="6"/>
  <c r="AD85" i="6"/>
  <c r="AJ85" i="6"/>
  <c r="D86" i="6"/>
  <c r="L86" i="6"/>
  <c r="M86" i="6"/>
  <c r="N86" i="6"/>
  <c r="P86" i="6"/>
  <c r="Q86" i="6"/>
  <c r="R86" i="6"/>
  <c r="T86" i="6"/>
  <c r="U86" i="6"/>
  <c r="V86" i="6"/>
  <c r="X86" i="6"/>
  <c r="Y86" i="6"/>
  <c r="Z86" i="6"/>
  <c r="AB86" i="6"/>
  <c r="AC86" i="6"/>
  <c r="AD86" i="6"/>
  <c r="AJ86" i="6"/>
  <c r="D87" i="6"/>
  <c r="L87" i="6"/>
  <c r="M87" i="6"/>
  <c r="N87" i="6"/>
  <c r="P87" i="6"/>
  <c r="Q87" i="6"/>
  <c r="R87" i="6"/>
  <c r="T87" i="6"/>
  <c r="U87" i="6"/>
  <c r="V87" i="6"/>
  <c r="X87" i="6"/>
  <c r="Y87" i="6"/>
  <c r="Z87" i="6"/>
  <c r="AB87" i="6"/>
  <c r="AC87" i="6"/>
  <c r="AD87" i="6"/>
  <c r="AJ87" i="6"/>
  <c r="D88" i="6"/>
  <c r="L88" i="6"/>
  <c r="M88" i="6"/>
  <c r="N88" i="6"/>
  <c r="P88" i="6"/>
  <c r="Q88" i="6"/>
  <c r="R88" i="6"/>
  <c r="T88" i="6"/>
  <c r="U88" i="6"/>
  <c r="V88" i="6"/>
  <c r="X88" i="6"/>
  <c r="Y88" i="6"/>
  <c r="Z88" i="6"/>
  <c r="AB88" i="6"/>
  <c r="AC88" i="6"/>
  <c r="AD88" i="6"/>
  <c r="AJ88" i="6"/>
  <c r="L91" i="6"/>
  <c r="M91" i="6"/>
  <c r="P91" i="6"/>
  <c r="Q91" i="6"/>
  <c r="R91" i="6"/>
  <c r="T91" i="6"/>
  <c r="U91" i="6"/>
  <c r="V91" i="6"/>
  <c r="X91" i="6"/>
  <c r="Y91" i="6"/>
  <c r="Z91" i="6"/>
  <c r="AB91" i="6"/>
  <c r="AC91" i="6"/>
  <c r="AD91" i="6"/>
  <c r="L93" i="6"/>
  <c r="M93" i="6"/>
  <c r="P93" i="6"/>
  <c r="Q93" i="6"/>
  <c r="R93" i="6"/>
  <c r="T93" i="6"/>
  <c r="U93" i="6"/>
  <c r="V93" i="6"/>
  <c r="X93" i="6"/>
  <c r="Y93" i="6"/>
  <c r="Z93" i="6"/>
  <c r="AB93" i="6"/>
  <c r="AC93" i="6"/>
  <c r="AD93" i="6"/>
  <c r="L94" i="6"/>
  <c r="M94" i="6"/>
  <c r="P94" i="6"/>
  <c r="Q94" i="6"/>
  <c r="R94" i="6"/>
  <c r="T94" i="6"/>
  <c r="U94" i="6"/>
  <c r="V94" i="6"/>
  <c r="X94" i="6"/>
  <c r="Y94" i="6"/>
  <c r="Z94" i="6"/>
  <c r="AB94" i="6"/>
  <c r="AC94" i="6"/>
  <c r="AD94" i="6"/>
  <c r="L95" i="6"/>
  <c r="M95" i="6"/>
  <c r="P95" i="6"/>
  <c r="Q95" i="6"/>
  <c r="R95" i="6"/>
  <c r="T95" i="6"/>
  <c r="U95" i="6"/>
  <c r="V95" i="6"/>
  <c r="X95" i="6"/>
  <c r="Y95" i="6"/>
  <c r="Z95" i="6"/>
  <c r="AB95" i="6"/>
  <c r="AC95" i="6"/>
  <c r="AD95" i="6"/>
  <c r="L96" i="6"/>
  <c r="M96" i="6"/>
  <c r="P96" i="6"/>
  <c r="Q96" i="6"/>
  <c r="R96" i="6"/>
  <c r="T96" i="6"/>
  <c r="U96" i="6"/>
  <c r="V96" i="6"/>
  <c r="X96" i="6"/>
  <c r="Y96" i="6"/>
  <c r="Z96" i="6"/>
  <c r="AB96" i="6"/>
  <c r="AC96" i="6"/>
  <c r="AD96" i="6"/>
  <c r="L97" i="6"/>
  <c r="M97" i="6"/>
  <c r="P97" i="6"/>
  <c r="Q97" i="6"/>
  <c r="R97" i="6"/>
  <c r="T97" i="6"/>
  <c r="U97" i="6"/>
  <c r="V97" i="6"/>
  <c r="X97" i="6"/>
  <c r="Y97" i="6"/>
  <c r="Z97" i="6"/>
  <c r="AB97" i="6"/>
  <c r="AC97" i="6"/>
  <c r="AD97" i="6"/>
  <c r="L98" i="6"/>
  <c r="M98" i="6"/>
  <c r="P98" i="6"/>
  <c r="Q98" i="6"/>
  <c r="R98" i="6"/>
  <c r="T98" i="6"/>
  <c r="U98" i="6"/>
  <c r="V98" i="6"/>
  <c r="X98" i="6"/>
  <c r="Y98" i="6"/>
  <c r="Z98" i="6"/>
  <c r="AB98" i="6"/>
  <c r="AC98" i="6"/>
  <c r="AD98" i="6"/>
  <c r="L99" i="6"/>
  <c r="M99" i="6"/>
  <c r="P99" i="6"/>
  <c r="Q99" i="6"/>
  <c r="R99" i="6"/>
  <c r="T99" i="6"/>
  <c r="U99" i="6"/>
  <c r="V99" i="6"/>
  <c r="X99" i="6"/>
  <c r="Y99" i="6"/>
  <c r="Z99" i="6"/>
  <c r="AB99" i="6"/>
  <c r="AC99" i="6"/>
  <c r="AD99" i="6"/>
  <c r="L100" i="6"/>
  <c r="M100" i="6"/>
  <c r="P100" i="6"/>
  <c r="Q100" i="6"/>
  <c r="R100" i="6"/>
  <c r="T100" i="6"/>
  <c r="U100" i="6"/>
  <c r="V100" i="6"/>
  <c r="X100" i="6"/>
  <c r="Y100" i="6"/>
  <c r="Z100" i="6"/>
  <c r="AB100" i="6"/>
  <c r="AC100" i="6"/>
  <c r="AD100" i="6"/>
  <c r="L101" i="6"/>
  <c r="M101" i="6"/>
  <c r="P101" i="6"/>
  <c r="Q101" i="6"/>
  <c r="R101" i="6"/>
  <c r="T101" i="6"/>
  <c r="U101" i="6"/>
  <c r="V101" i="6"/>
  <c r="X101" i="6"/>
  <c r="Y101" i="6"/>
  <c r="Z101" i="6"/>
  <c r="AB101" i="6"/>
  <c r="AC101" i="6"/>
  <c r="AD101" i="6"/>
  <c r="L102" i="6"/>
  <c r="M102" i="6"/>
  <c r="P102" i="6"/>
  <c r="Q102" i="6"/>
  <c r="R102" i="6"/>
  <c r="T102" i="6"/>
  <c r="U102" i="6"/>
  <c r="V102" i="6"/>
  <c r="X102" i="6"/>
  <c r="Y102" i="6"/>
  <c r="Z102" i="6"/>
  <c r="AB102" i="6"/>
  <c r="AC102" i="6"/>
  <c r="AD102" i="6"/>
  <c r="L103" i="6"/>
  <c r="M103" i="6"/>
  <c r="P103" i="6"/>
  <c r="Q103" i="6"/>
  <c r="R103" i="6"/>
  <c r="T103" i="6"/>
  <c r="U103" i="6"/>
  <c r="V103" i="6"/>
  <c r="X103" i="6"/>
  <c r="Y103" i="6"/>
  <c r="Z103" i="6"/>
  <c r="AB103" i="6"/>
  <c r="AC103" i="6"/>
  <c r="AD103" i="6"/>
  <c r="U104" i="6"/>
  <c r="Y104" i="6"/>
  <c r="U105" i="6"/>
  <c r="Y105" i="6"/>
  <c r="L106" i="6"/>
  <c r="M106" i="6"/>
  <c r="P106" i="6"/>
  <c r="Q106" i="6"/>
  <c r="R106" i="6"/>
  <c r="T106" i="6"/>
  <c r="U106" i="6"/>
  <c r="V106" i="6"/>
  <c r="X106" i="6"/>
  <c r="Y106" i="6"/>
  <c r="Z106" i="6"/>
  <c r="AB106" i="6"/>
  <c r="AC106" i="6"/>
  <c r="AD106" i="6"/>
  <c r="L107" i="6"/>
  <c r="M107" i="6"/>
  <c r="P107" i="6"/>
  <c r="Q107" i="6"/>
  <c r="R107" i="6"/>
  <c r="T107" i="6"/>
  <c r="U107" i="6"/>
  <c r="V107" i="6"/>
  <c r="X107" i="6"/>
  <c r="Y107" i="6"/>
  <c r="Z107" i="6"/>
  <c r="AB107" i="6"/>
  <c r="AC107" i="6"/>
  <c r="AD107" i="6"/>
  <c r="L108" i="6"/>
  <c r="M108" i="6"/>
  <c r="P108" i="6"/>
  <c r="Q108" i="6"/>
  <c r="R108" i="6"/>
  <c r="T108" i="6"/>
  <c r="U108" i="6"/>
  <c r="V108" i="6"/>
  <c r="X108" i="6"/>
  <c r="Y108" i="6"/>
  <c r="Z108" i="6"/>
  <c r="AB108" i="6"/>
  <c r="AC108" i="6"/>
  <c r="AD108" i="6"/>
  <c r="R109" i="6"/>
  <c r="T109" i="6"/>
  <c r="U109" i="6"/>
  <c r="V109" i="6"/>
  <c r="X109" i="6"/>
  <c r="Y109" i="6"/>
  <c r="Z109" i="6"/>
  <c r="AB109" i="6"/>
  <c r="AC109" i="6"/>
  <c r="AD109" i="6"/>
  <c r="L110" i="6"/>
  <c r="M110" i="6"/>
  <c r="P110" i="6"/>
  <c r="Q110" i="6"/>
  <c r="R110" i="6"/>
  <c r="T110" i="6"/>
  <c r="U110" i="6"/>
  <c r="V110" i="6"/>
  <c r="X110" i="6"/>
  <c r="Y110" i="6"/>
  <c r="Z110" i="6"/>
  <c r="AB110" i="6"/>
  <c r="AC110" i="6"/>
  <c r="AD110" i="6"/>
  <c r="L111" i="6"/>
  <c r="M111" i="6"/>
  <c r="P111" i="6"/>
  <c r="Q111" i="6"/>
  <c r="R111" i="6"/>
  <c r="T111" i="6"/>
  <c r="U111" i="6"/>
  <c r="V111" i="6"/>
  <c r="X111" i="6"/>
  <c r="Y111" i="6"/>
  <c r="Z111" i="6"/>
  <c r="AB111" i="6"/>
  <c r="AC111" i="6"/>
  <c r="AD111" i="6"/>
  <c r="L112" i="6"/>
  <c r="M112" i="6"/>
  <c r="P112" i="6"/>
  <c r="Q112" i="6"/>
  <c r="R112" i="6"/>
  <c r="T112" i="6"/>
  <c r="U112" i="6"/>
  <c r="V112" i="6"/>
  <c r="X112" i="6"/>
  <c r="Y112" i="6"/>
  <c r="Z112" i="6"/>
  <c r="AB112" i="6"/>
  <c r="AC112" i="6"/>
  <c r="AD112" i="6"/>
  <c r="L113" i="6"/>
  <c r="P113" i="6"/>
  <c r="Q113" i="6"/>
  <c r="R113" i="6"/>
  <c r="T113" i="6"/>
  <c r="U113" i="6"/>
  <c r="V113" i="6"/>
  <c r="X113" i="6"/>
  <c r="Y113" i="6"/>
  <c r="Z113" i="6"/>
  <c r="AB113" i="6"/>
  <c r="AC113" i="6"/>
  <c r="AD113" i="6"/>
  <c r="L114" i="6"/>
  <c r="P114" i="6"/>
  <c r="Q114" i="6"/>
  <c r="R114" i="6"/>
  <c r="T114" i="6"/>
  <c r="U114" i="6"/>
  <c r="V114" i="6"/>
  <c r="X114" i="6"/>
  <c r="Y114" i="6"/>
  <c r="Z114" i="6"/>
  <c r="AB114" i="6"/>
  <c r="AC114" i="6"/>
  <c r="AD114" i="6"/>
  <c r="P117" i="6"/>
  <c r="Q117" i="6"/>
  <c r="R117" i="6"/>
  <c r="T117" i="6"/>
  <c r="U117" i="6"/>
  <c r="V117" i="6"/>
  <c r="X117" i="6"/>
  <c r="Y117" i="6"/>
  <c r="Z117" i="6"/>
  <c r="AB117" i="6"/>
  <c r="AC117" i="6"/>
  <c r="AD117" i="6"/>
  <c r="L118" i="6"/>
  <c r="P118" i="6"/>
  <c r="Q118" i="6"/>
  <c r="R118" i="6"/>
  <c r="T118" i="6"/>
  <c r="U118" i="6"/>
  <c r="V118" i="6"/>
  <c r="X118" i="6"/>
  <c r="Y118" i="6"/>
  <c r="Z118" i="6"/>
  <c r="AB118" i="6"/>
  <c r="AC118" i="6"/>
  <c r="AD118" i="6"/>
  <c r="L119" i="6"/>
  <c r="P119" i="6"/>
  <c r="Q119" i="6"/>
  <c r="R119" i="6"/>
  <c r="T119" i="6"/>
  <c r="U119" i="6"/>
  <c r="V119" i="6"/>
  <c r="X119" i="6"/>
  <c r="Y119" i="6"/>
  <c r="Z119" i="6"/>
  <c r="AB119" i="6"/>
  <c r="AC119" i="6"/>
  <c r="AD119" i="6"/>
  <c r="L120" i="6"/>
  <c r="P120" i="6"/>
  <c r="Q120" i="6"/>
  <c r="R120" i="6"/>
  <c r="T120" i="6"/>
  <c r="U120" i="6"/>
  <c r="V120" i="6"/>
  <c r="X120" i="6"/>
  <c r="Y120" i="6"/>
  <c r="Z120" i="6"/>
  <c r="AB120" i="6"/>
  <c r="AC120" i="6"/>
  <c r="AD120" i="6"/>
  <c r="L121" i="6"/>
  <c r="P121" i="6"/>
  <c r="Q121" i="6"/>
  <c r="R121" i="6"/>
  <c r="T121" i="6"/>
  <c r="U121" i="6"/>
  <c r="V121" i="6"/>
  <c r="X121" i="6"/>
  <c r="Y121" i="6"/>
  <c r="Z121" i="6"/>
  <c r="AB121" i="6"/>
  <c r="AC121" i="6"/>
  <c r="AD121" i="6"/>
  <c r="L123" i="6"/>
  <c r="P123" i="6"/>
  <c r="Q123" i="6"/>
  <c r="R123" i="6"/>
  <c r="T123" i="6"/>
  <c r="U123" i="6"/>
  <c r="V123" i="6"/>
  <c r="X123" i="6"/>
  <c r="Y123" i="6"/>
  <c r="Z123" i="6"/>
  <c r="AB123" i="6"/>
  <c r="AC123" i="6"/>
  <c r="AD123" i="6"/>
  <c r="T125" i="6"/>
  <c r="U125" i="6"/>
  <c r="V125" i="6"/>
  <c r="X125" i="6"/>
  <c r="Y125" i="6"/>
  <c r="Z125" i="6"/>
  <c r="AB125" i="6"/>
  <c r="AC125" i="6"/>
  <c r="AD125" i="6"/>
  <c r="T127" i="6"/>
  <c r="X127" i="6"/>
  <c r="AB127" i="6"/>
  <c r="T128" i="6"/>
  <c r="X128" i="6"/>
  <c r="AB128" i="6"/>
  <c r="T129" i="6"/>
  <c r="X129" i="6"/>
  <c r="AB129" i="6"/>
  <c r="L135" i="6"/>
  <c r="P135" i="6"/>
  <c r="T135" i="6"/>
  <c r="X135" i="6"/>
  <c r="L136" i="6"/>
  <c r="M136" i="6"/>
  <c r="N136" i="6"/>
  <c r="P136" i="6"/>
  <c r="T136" i="6"/>
  <c r="X136" i="6"/>
  <c r="L137" i="6"/>
  <c r="N137" i="6"/>
  <c r="P137" i="6"/>
  <c r="T137" i="6"/>
  <c r="X137" i="6"/>
  <c r="L138" i="6"/>
  <c r="N138" i="6"/>
  <c r="N139" i="6"/>
  <c r="N140" i="6"/>
  <c r="N141" i="6"/>
  <c r="N142" i="6"/>
  <c r="N143" i="6"/>
  <c r="L144" i="6"/>
  <c r="L147" i="6"/>
  <c r="L148" i="6"/>
  <c r="L149" i="6"/>
  <c r="L150" i="6"/>
  <c r="L151" i="6"/>
  <c r="M151" i="6"/>
  <c r="N151" i="6"/>
  <c r="L152" i="6"/>
  <c r="L153" i="6"/>
  <c r="L158" i="6"/>
  <c r="L161" i="6"/>
  <c r="M161" i="6"/>
  <c r="N161" i="6"/>
  <c r="M164" i="6"/>
  <c r="N164" i="6"/>
  <c r="K8" i="7"/>
  <c r="O8" i="7"/>
  <c r="R8" i="7"/>
  <c r="V8" i="7"/>
  <c r="AA8" i="7"/>
  <c r="K11" i="7"/>
  <c r="O11" i="7"/>
  <c r="V11" i="7"/>
  <c r="AA11" i="7"/>
  <c r="F12" i="7"/>
  <c r="K12" i="7"/>
  <c r="O12" i="7"/>
  <c r="R12" i="7"/>
  <c r="V12" i="7"/>
  <c r="F15" i="7"/>
  <c r="G15" i="7"/>
  <c r="H15" i="7"/>
  <c r="J15" i="7"/>
  <c r="K15" i="7"/>
  <c r="L15" i="7"/>
  <c r="N15" i="7"/>
  <c r="O15" i="7"/>
  <c r="P15" i="7"/>
  <c r="R15" i="7"/>
  <c r="S15" i="7"/>
  <c r="T15" i="7"/>
  <c r="V15" i="7"/>
  <c r="W15" i="7"/>
  <c r="X15" i="7"/>
  <c r="AA15" i="7"/>
  <c r="AB15" i="7"/>
  <c r="AC15" i="7"/>
  <c r="F16" i="7"/>
  <c r="H16" i="7"/>
  <c r="J16" i="7"/>
  <c r="K16" i="7"/>
  <c r="L16" i="7"/>
  <c r="N16" i="7"/>
  <c r="O16" i="7"/>
  <c r="P16" i="7"/>
  <c r="R16" i="7"/>
  <c r="T16" i="7"/>
  <c r="V16" i="7"/>
  <c r="W16" i="7"/>
  <c r="X16" i="7"/>
  <c r="AA16" i="7"/>
  <c r="AB16" i="7"/>
  <c r="AC16" i="7"/>
  <c r="C17" i="7"/>
  <c r="F17" i="7"/>
  <c r="G17" i="7"/>
  <c r="H17" i="7"/>
  <c r="J17" i="7"/>
  <c r="K17" i="7"/>
  <c r="L17" i="7"/>
  <c r="N17" i="7"/>
  <c r="O17" i="7"/>
  <c r="P17" i="7"/>
  <c r="R17" i="7"/>
  <c r="S17" i="7"/>
  <c r="T17" i="7"/>
  <c r="V17" i="7"/>
  <c r="W17" i="7"/>
  <c r="X17" i="7"/>
  <c r="AA17" i="7"/>
  <c r="AB17" i="7"/>
  <c r="AC17" i="7"/>
  <c r="F18" i="7"/>
  <c r="H18" i="7"/>
  <c r="J18" i="7"/>
  <c r="K18" i="7"/>
  <c r="L18" i="7"/>
  <c r="N18" i="7"/>
  <c r="O18" i="7"/>
  <c r="P18" i="7"/>
  <c r="R18" i="7"/>
  <c r="T18" i="7"/>
  <c r="V18" i="7"/>
  <c r="W18" i="7"/>
  <c r="X18" i="7"/>
  <c r="AA18" i="7"/>
  <c r="AB18" i="7"/>
  <c r="AC18" i="7"/>
  <c r="F19" i="7"/>
  <c r="G19" i="7"/>
  <c r="H19" i="7"/>
  <c r="J19" i="7"/>
  <c r="K19" i="7"/>
  <c r="L19" i="7"/>
  <c r="N19" i="7"/>
  <c r="O19" i="7"/>
  <c r="P19" i="7"/>
  <c r="R19" i="7"/>
  <c r="S19" i="7"/>
  <c r="T19" i="7"/>
  <c r="V19" i="7"/>
  <c r="W19" i="7"/>
  <c r="X19" i="7"/>
  <c r="AA19" i="7"/>
  <c r="AB19" i="7"/>
  <c r="AC19" i="7"/>
  <c r="AB20" i="7"/>
  <c r="AB21" i="7"/>
  <c r="J22" i="7"/>
  <c r="K22" i="7"/>
  <c r="L22" i="7"/>
  <c r="N22" i="7"/>
  <c r="O22" i="7"/>
  <c r="P22" i="7"/>
  <c r="V22" i="7"/>
  <c r="W22" i="7"/>
  <c r="X22" i="7"/>
  <c r="AA22" i="7"/>
  <c r="AB22" i="7"/>
  <c r="AC22" i="7"/>
  <c r="J23" i="7"/>
  <c r="K23" i="7"/>
  <c r="L23" i="7"/>
  <c r="N23" i="7"/>
  <c r="O23" i="7"/>
  <c r="P23" i="7"/>
  <c r="V23" i="7"/>
  <c r="W23" i="7"/>
  <c r="X23" i="7"/>
  <c r="AA23" i="7"/>
  <c r="AB23" i="7"/>
  <c r="AC23" i="7"/>
  <c r="C24" i="7"/>
  <c r="J24" i="7"/>
  <c r="K24" i="7"/>
  <c r="L24" i="7"/>
  <c r="N24" i="7"/>
  <c r="O24" i="7"/>
  <c r="P24" i="7"/>
  <c r="V24" i="7"/>
  <c r="W24" i="7"/>
  <c r="X24" i="7"/>
  <c r="AA24" i="7"/>
  <c r="AB24" i="7"/>
  <c r="AC24" i="7"/>
  <c r="J25" i="7"/>
  <c r="K25" i="7"/>
  <c r="L25" i="7"/>
  <c r="N25" i="7"/>
  <c r="O25" i="7"/>
  <c r="P25" i="7"/>
  <c r="V25" i="7"/>
  <c r="W25" i="7"/>
  <c r="X25" i="7"/>
  <c r="AA25" i="7"/>
  <c r="AB25" i="7"/>
  <c r="AC25" i="7"/>
  <c r="C26" i="7"/>
  <c r="J26" i="7"/>
  <c r="K26" i="7"/>
  <c r="L26" i="7"/>
  <c r="N26" i="7"/>
  <c r="O26" i="7"/>
  <c r="P26" i="7"/>
  <c r="V26" i="7"/>
  <c r="W26" i="7"/>
  <c r="X26" i="7"/>
  <c r="AA26" i="7"/>
  <c r="AB26" i="7"/>
  <c r="AC26" i="7"/>
  <c r="J27" i="7"/>
  <c r="K27" i="7"/>
  <c r="L27" i="7"/>
  <c r="N27" i="7"/>
  <c r="O27" i="7"/>
  <c r="P27" i="7"/>
  <c r="V27" i="7"/>
  <c r="W27" i="7"/>
  <c r="X27" i="7"/>
  <c r="AA27" i="7"/>
  <c r="AB27" i="7"/>
  <c r="AC27" i="7"/>
  <c r="J28" i="7"/>
  <c r="K28" i="7"/>
  <c r="L28" i="7"/>
  <c r="N28" i="7"/>
  <c r="O28" i="7"/>
  <c r="P28" i="7"/>
  <c r="V28" i="7"/>
  <c r="W28" i="7"/>
  <c r="X28" i="7"/>
  <c r="AA28" i="7"/>
  <c r="AB28" i="7"/>
  <c r="AC28" i="7"/>
  <c r="J29" i="7"/>
  <c r="K29" i="7"/>
  <c r="L29" i="7"/>
  <c r="N29" i="7"/>
  <c r="O29" i="7"/>
  <c r="P29" i="7"/>
  <c r="V29" i="7"/>
  <c r="W29" i="7"/>
  <c r="X29" i="7"/>
  <c r="AA29" i="7"/>
  <c r="AB29" i="7"/>
  <c r="AC29" i="7"/>
  <c r="J30" i="7"/>
  <c r="K30" i="7"/>
  <c r="L30" i="7"/>
  <c r="N30" i="7"/>
  <c r="O30" i="7"/>
  <c r="P30" i="7"/>
  <c r="V30" i="7"/>
  <c r="W30" i="7"/>
  <c r="X30" i="7"/>
  <c r="AA30" i="7"/>
  <c r="AB30" i="7"/>
  <c r="AC30" i="7"/>
  <c r="J31" i="7"/>
  <c r="K31" i="7"/>
  <c r="L31" i="7"/>
  <c r="N31" i="7"/>
  <c r="O31" i="7"/>
  <c r="P31" i="7"/>
  <c r="V31" i="7"/>
  <c r="W31" i="7"/>
  <c r="X31" i="7"/>
  <c r="AA31" i="7"/>
  <c r="AB31" i="7"/>
  <c r="AC31" i="7"/>
  <c r="J32" i="7"/>
  <c r="K32" i="7"/>
  <c r="L32" i="7"/>
  <c r="N32" i="7"/>
  <c r="O32" i="7"/>
  <c r="P32" i="7"/>
  <c r="V32" i="7"/>
  <c r="W32" i="7"/>
  <c r="X32" i="7"/>
  <c r="AA32" i="7"/>
  <c r="AB32" i="7"/>
  <c r="AC32" i="7"/>
  <c r="J33" i="7"/>
  <c r="K33" i="7"/>
  <c r="L33" i="7"/>
  <c r="N33" i="7"/>
  <c r="O33" i="7"/>
  <c r="P33" i="7"/>
  <c r="V33" i="7"/>
  <c r="W33" i="7"/>
  <c r="X33" i="7"/>
  <c r="AA33" i="7"/>
  <c r="AB33" i="7"/>
  <c r="AC33" i="7"/>
  <c r="J35" i="7"/>
  <c r="K35" i="7"/>
  <c r="L35" i="7"/>
  <c r="N35" i="7"/>
  <c r="O35" i="7"/>
  <c r="P35" i="7"/>
  <c r="V35" i="7"/>
  <c r="W35" i="7"/>
  <c r="X35" i="7"/>
  <c r="AA35" i="7"/>
  <c r="AB35" i="7"/>
  <c r="AC35" i="7"/>
  <c r="J37" i="7"/>
  <c r="K37" i="7"/>
  <c r="L37" i="7"/>
  <c r="N37" i="7"/>
  <c r="O37" i="7"/>
  <c r="P37" i="7"/>
  <c r="V37" i="7"/>
  <c r="W37" i="7"/>
  <c r="X37" i="7"/>
  <c r="AA37" i="7"/>
  <c r="AB37" i="7"/>
  <c r="AC37" i="7"/>
  <c r="D38" i="7"/>
  <c r="J38" i="7"/>
  <c r="K38" i="7"/>
  <c r="L38" i="7"/>
  <c r="N38" i="7"/>
  <c r="O38" i="7"/>
  <c r="P38" i="7"/>
  <c r="V38" i="7"/>
  <c r="W38" i="7"/>
  <c r="X38" i="7"/>
  <c r="AA38" i="7"/>
  <c r="AB38" i="7"/>
  <c r="AC38" i="7"/>
  <c r="J39" i="7"/>
  <c r="K39" i="7"/>
  <c r="L39" i="7"/>
  <c r="N39" i="7"/>
  <c r="O39" i="7"/>
  <c r="P39" i="7"/>
  <c r="V39" i="7"/>
  <c r="W39" i="7"/>
  <c r="X39" i="7"/>
  <c r="AA39" i="7"/>
  <c r="AB39" i="7"/>
  <c r="AC39" i="7"/>
  <c r="V40" i="7"/>
  <c r="W40" i="7"/>
  <c r="X40" i="7"/>
  <c r="J42" i="7"/>
  <c r="N42" i="7"/>
  <c r="V42" i="7"/>
  <c r="AA42" i="7"/>
  <c r="J44" i="7"/>
  <c r="K44" i="7"/>
  <c r="L44" i="7"/>
  <c r="N44" i="7"/>
  <c r="O44" i="7"/>
  <c r="P44" i="7"/>
  <c r="W44" i="7"/>
  <c r="X44" i="7"/>
  <c r="AA44" i="7"/>
  <c r="AB44" i="7"/>
  <c r="J49" i="7"/>
  <c r="K49" i="7"/>
  <c r="L49" i="7"/>
  <c r="N49" i="7"/>
  <c r="O49" i="7"/>
  <c r="P49" i="7"/>
  <c r="W49" i="7"/>
  <c r="X49" i="7"/>
  <c r="Y49" i="7"/>
  <c r="Z49" i="7"/>
  <c r="J50" i="7"/>
  <c r="K50" i="7"/>
  <c r="L50" i="7"/>
  <c r="N50" i="7"/>
  <c r="O50" i="7"/>
  <c r="P50" i="7"/>
  <c r="W50" i="7"/>
  <c r="X50" i="7"/>
  <c r="Y50" i="7"/>
  <c r="Z50" i="7"/>
  <c r="J51" i="7"/>
  <c r="K51" i="7"/>
  <c r="L51" i="7"/>
  <c r="N51" i="7"/>
  <c r="O51" i="7"/>
  <c r="P51" i="7"/>
  <c r="W51" i="7"/>
  <c r="X51" i="7"/>
  <c r="Y51" i="7"/>
  <c r="Z51" i="7"/>
  <c r="J52" i="7"/>
  <c r="K52" i="7"/>
  <c r="L52" i="7"/>
  <c r="N52" i="7"/>
  <c r="O52" i="7"/>
  <c r="P52" i="7"/>
  <c r="W52" i="7"/>
  <c r="X52" i="7"/>
  <c r="Y52" i="7"/>
  <c r="Z52" i="7"/>
  <c r="J53" i="7"/>
  <c r="K53" i="7"/>
  <c r="L53" i="7"/>
  <c r="N53" i="7"/>
  <c r="O53" i="7"/>
  <c r="P53" i="7"/>
  <c r="W53" i="7"/>
  <c r="X53" i="7"/>
  <c r="Y53" i="7"/>
  <c r="Z53" i="7"/>
  <c r="J54" i="7"/>
  <c r="K54" i="7"/>
  <c r="L54" i="7"/>
  <c r="N54" i="7"/>
  <c r="O54" i="7"/>
  <c r="P54" i="7"/>
  <c r="W54" i="7"/>
  <c r="X54" i="7"/>
  <c r="Y54" i="7"/>
  <c r="Z54" i="7"/>
  <c r="J57" i="7"/>
  <c r="K57" i="7"/>
  <c r="L57" i="7"/>
  <c r="N57" i="7"/>
  <c r="O57" i="7"/>
  <c r="P57" i="7"/>
  <c r="W57" i="7"/>
  <c r="X57" i="7"/>
  <c r="Y57" i="7"/>
  <c r="Z57" i="7"/>
  <c r="J59" i="7"/>
  <c r="K59" i="7"/>
  <c r="L59" i="7"/>
  <c r="N59" i="7"/>
  <c r="O59" i="7"/>
  <c r="P59" i="7"/>
  <c r="W59" i="7"/>
  <c r="X59" i="7"/>
  <c r="Y59" i="7"/>
  <c r="Z59" i="7"/>
  <c r="J61" i="7"/>
  <c r="K61" i="7"/>
  <c r="L61" i="7"/>
  <c r="N61" i="7"/>
  <c r="O61" i="7"/>
  <c r="P61" i="7"/>
  <c r="W61" i="7"/>
  <c r="X61" i="7"/>
  <c r="Y61" i="7"/>
  <c r="Z61" i="7"/>
  <c r="J64" i="7"/>
  <c r="K64" i="7"/>
  <c r="L64" i="7"/>
  <c r="N64" i="7"/>
  <c r="O64" i="7"/>
  <c r="P64" i="7"/>
  <c r="W64" i="7"/>
  <c r="X64" i="7"/>
  <c r="Y64" i="7"/>
  <c r="Z64" i="7"/>
  <c r="J65" i="7"/>
  <c r="K65" i="7"/>
  <c r="L65" i="7"/>
  <c r="N65" i="7"/>
  <c r="O65" i="7"/>
  <c r="P65" i="7"/>
  <c r="W65" i="7"/>
  <c r="X65" i="7"/>
  <c r="Y65" i="7"/>
  <c r="Z65" i="7"/>
  <c r="J66" i="7"/>
  <c r="K66" i="7"/>
  <c r="L66" i="7"/>
  <c r="N66" i="7"/>
  <c r="O66" i="7"/>
  <c r="P66" i="7"/>
  <c r="W66" i="7"/>
  <c r="X66" i="7"/>
  <c r="Y66" i="7"/>
  <c r="Z66" i="7"/>
  <c r="W68" i="7"/>
  <c r="X68" i="7"/>
  <c r="W69" i="7"/>
  <c r="C1" i="10"/>
  <c r="D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C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B54" i="10"/>
  <c r="B55" i="10"/>
  <c r="B56" i="10"/>
  <c r="B57" i="10"/>
  <c r="B58" i="10"/>
  <c r="B59" i="10"/>
  <c r="B60" i="10"/>
  <c r="B61" i="10"/>
  <c r="B72" i="10"/>
  <c r="D3" i="11"/>
  <c r="E3" i="11"/>
  <c r="F3" i="11"/>
  <c r="G3" i="11"/>
  <c r="H3" i="11"/>
  <c r="D5" i="11"/>
  <c r="E5" i="11"/>
  <c r="F5" i="11"/>
  <c r="G5" i="11"/>
  <c r="H5" i="11"/>
  <c r="D6" i="11"/>
  <c r="E6" i="11"/>
  <c r="F6" i="11"/>
  <c r="G6" i="11"/>
  <c r="H6" i="11"/>
  <c r="D7" i="11"/>
  <c r="E7" i="11"/>
  <c r="F7" i="11"/>
  <c r="G7" i="11"/>
  <c r="H7" i="11"/>
  <c r="D9" i="11"/>
  <c r="D11" i="11"/>
  <c r="D13" i="11"/>
  <c r="D14" i="11"/>
  <c r="D15" i="11"/>
  <c r="D17" i="11"/>
  <c r="D19" i="11"/>
  <c r="E24" i="11"/>
  <c r="F24" i="11"/>
  <c r="G24" i="11"/>
  <c r="H24" i="11"/>
  <c r="C25" i="11"/>
  <c r="D25" i="11"/>
  <c r="E25" i="11"/>
  <c r="F25" i="11"/>
  <c r="G25" i="11"/>
  <c r="H25" i="11"/>
  <c r="D26" i="11"/>
  <c r="E26" i="11"/>
  <c r="F26" i="11"/>
  <c r="G26" i="11"/>
  <c r="H26" i="11"/>
  <c r="C27" i="11"/>
  <c r="D27" i="11"/>
  <c r="E27" i="11"/>
  <c r="F27" i="11"/>
  <c r="G27" i="11"/>
  <c r="H27" i="11"/>
  <c r="D28" i="11"/>
  <c r="E28" i="11"/>
  <c r="F28" i="11"/>
  <c r="G28" i="11"/>
  <c r="H28" i="11"/>
  <c r="D29" i="11"/>
  <c r="E29" i="11"/>
  <c r="F29" i="11"/>
  <c r="G29" i="11"/>
  <c r="H29" i="11"/>
  <c r="D32" i="11"/>
  <c r="E32" i="11"/>
  <c r="F32" i="11"/>
  <c r="G32" i="11"/>
  <c r="H32" i="11"/>
  <c r="C33" i="11"/>
  <c r="D33" i="11"/>
  <c r="E33" i="11"/>
  <c r="F33" i="11"/>
  <c r="G33" i="11"/>
  <c r="H33" i="11"/>
  <c r="D34" i="11"/>
  <c r="E34" i="11"/>
  <c r="F34" i="11"/>
  <c r="G34" i="11"/>
  <c r="H34" i="11"/>
  <c r="C35" i="11"/>
  <c r="D35" i="11"/>
  <c r="E35" i="11"/>
  <c r="F35" i="11"/>
  <c r="G35" i="11"/>
  <c r="H35" i="11"/>
  <c r="D36" i="11"/>
  <c r="E36" i="11"/>
  <c r="F36" i="11"/>
  <c r="G36" i="11"/>
  <c r="H36" i="11"/>
  <c r="N1" i="9"/>
  <c r="Q1" i="9"/>
  <c r="T1" i="9"/>
  <c r="W1" i="9"/>
  <c r="N2" i="9"/>
  <c r="O2" i="9"/>
  <c r="Q2" i="9"/>
  <c r="T2" i="9"/>
  <c r="N3" i="9"/>
  <c r="Q3" i="9"/>
  <c r="T3" i="9"/>
  <c r="N4" i="9"/>
  <c r="S8" i="9"/>
  <c r="U8" i="9"/>
  <c r="AA8" i="9"/>
  <c r="AB8" i="9"/>
  <c r="AD8" i="9"/>
  <c r="S9" i="9"/>
  <c r="U9" i="9"/>
  <c r="J10" i="9"/>
  <c r="N10" i="9"/>
  <c r="Q10" i="9"/>
  <c r="S10" i="9"/>
  <c r="K11" i="9"/>
  <c r="L11" i="9"/>
  <c r="N11" i="9"/>
  <c r="O11" i="9"/>
  <c r="Q11" i="9"/>
  <c r="R11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C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C28" i="9"/>
  <c r="F28" i="9"/>
  <c r="U28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C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C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C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C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C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C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S42" i="9"/>
  <c r="U42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J62" i="9"/>
  <c r="K62" i="9"/>
  <c r="L62" i="9"/>
  <c r="M62" i="9"/>
  <c r="O62" i="9"/>
  <c r="P62" i="9"/>
  <c r="R62" i="9"/>
  <c r="S62" i="9"/>
  <c r="T62" i="9"/>
  <c r="U62" i="9"/>
  <c r="V62" i="9"/>
  <c r="W62" i="9"/>
  <c r="J63" i="9"/>
  <c r="L63" i="9"/>
  <c r="M63" i="9"/>
  <c r="O63" i="9"/>
  <c r="P63" i="9"/>
  <c r="R63" i="9"/>
  <c r="S63" i="9"/>
  <c r="T63" i="9"/>
  <c r="U63" i="9"/>
  <c r="V63" i="9"/>
  <c r="W63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Z68" i="9"/>
  <c r="AB68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Z69" i="9"/>
  <c r="AB69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Z70" i="9"/>
  <c r="AA70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Z71" i="9"/>
  <c r="AA71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Z73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Z75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Z76" i="9"/>
  <c r="AB76" i="9"/>
  <c r="C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Z77" i="9"/>
  <c r="AB77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Z78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Z79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Z80" i="9"/>
  <c r="Z82" i="9"/>
  <c r="AB82" i="9"/>
  <c r="Z83" i="9"/>
  <c r="AB83" i="9"/>
  <c r="Z84" i="9"/>
  <c r="Z85" i="9"/>
  <c r="Z86" i="9"/>
  <c r="C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Z89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Z90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Z91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Z92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Z93" i="9"/>
  <c r="AE93" i="9"/>
  <c r="C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Z94" i="9"/>
  <c r="AE94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F97" i="9"/>
  <c r="G97" i="9"/>
  <c r="M97" i="9"/>
  <c r="N97" i="9"/>
  <c r="O97" i="9"/>
  <c r="P97" i="9"/>
  <c r="Q97" i="9"/>
  <c r="R97" i="9"/>
  <c r="S97" i="9"/>
  <c r="T97" i="9"/>
  <c r="U97" i="9"/>
  <c r="V97" i="9"/>
  <c r="W97" i="9"/>
  <c r="F99" i="9"/>
  <c r="G99" i="9"/>
  <c r="M99" i="9"/>
  <c r="N99" i="9"/>
  <c r="O99" i="9"/>
  <c r="P99" i="9"/>
  <c r="Q99" i="9"/>
  <c r="R99" i="9"/>
  <c r="S99" i="9"/>
  <c r="T99" i="9"/>
  <c r="U99" i="9"/>
  <c r="V99" i="9"/>
  <c r="W99" i="9"/>
  <c r="F100" i="9"/>
  <c r="G100" i="9"/>
  <c r="M100" i="9"/>
  <c r="N100" i="9"/>
  <c r="O100" i="9"/>
  <c r="P100" i="9"/>
  <c r="Q100" i="9"/>
  <c r="R100" i="9"/>
  <c r="S100" i="9"/>
  <c r="T100" i="9"/>
  <c r="U100" i="9"/>
  <c r="V100" i="9"/>
  <c r="W100" i="9"/>
  <c r="F101" i="9"/>
  <c r="G101" i="9"/>
  <c r="M101" i="9"/>
  <c r="N101" i="9"/>
  <c r="O101" i="9"/>
  <c r="P101" i="9"/>
  <c r="Q101" i="9"/>
  <c r="R101" i="9"/>
  <c r="S101" i="9"/>
  <c r="T101" i="9"/>
  <c r="U101" i="9"/>
  <c r="V101" i="9"/>
  <c r="W101" i="9"/>
  <c r="F102" i="9"/>
  <c r="G102" i="9"/>
  <c r="M102" i="9"/>
  <c r="N102" i="9"/>
  <c r="O102" i="9"/>
  <c r="P102" i="9"/>
  <c r="Q102" i="9"/>
  <c r="R102" i="9"/>
  <c r="S102" i="9"/>
  <c r="T102" i="9"/>
  <c r="U102" i="9"/>
  <c r="V102" i="9"/>
  <c r="W102" i="9"/>
  <c r="F103" i="9"/>
  <c r="G103" i="9"/>
  <c r="M103" i="9"/>
  <c r="N103" i="9"/>
  <c r="O103" i="9"/>
  <c r="P103" i="9"/>
  <c r="Q103" i="9"/>
  <c r="R103" i="9"/>
  <c r="S103" i="9"/>
  <c r="T103" i="9"/>
  <c r="U103" i="9"/>
  <c r="V103" i="9"/>
  <c r="W103" i="9"/>
  <c r="F104" i="9"/>
  <c r="G104" i="9"/>
  <c r="M104" i="9"/>
  <c r="N104" i="9"/>
  <c r="O104" i="9"/>
  <c r="P104" i="9"/>
  <c r="Q104" i="9"/>
  <c r="R104" i="9"/>
  <c r="S104" i="9"/>
  <c r="T104" i="9"/>
  <c r="U104" i="9"/>
  <c r="V104" i="9"/>
  <c r="W104" i="9"/>
  <c r="F105" i="9"/>
  <c r="G105" i="9"/>
  <c r="M105" i="9"/>
  <c r="N105" i="9"/>
  <c r="O105" i="9"/>
  <c r="P105" i="9"/>
  <c r="Q105" i="9"/>
  <c r="R105" i="9"/>
  <c r="S105" i="9"/>
  <c r="T105" i="9"/>
  <c r="U105" i="9"/>
  <c r="V105" i="9"/>
  <c r="W105" i="9"/>
  <c r="F106" i="9"/>
  <c r="G106" i="9"/>
  <c r="M106" i="9"/>
  <c r="N106" i="9"/>
  <c r="O106" i="9"/>
  <c r="P106" i="9"/>
  <c r="Q106" i="9"/>
  <c r="R106" i="9"/>
  <c r="S106" i="9"/>
  <c r="T106" i="9"/>
  <c r="U106" i="9"/>
  <c r="V106" i="9"/>
  <c r="W106" i="9"/>
  <c r="F107" i="9"/>
  <c r="G107" i="9"/>
  <c r="M107" i="9"/>
  <c r="N107" i="9"/>
  <c r="O107" i="9"/>
  <c r="P107" i="9"/>
  <c r="Q107" i="9"/>
  <c r="R107" i="9"/>
  <c r="S107" i="9"/>
  <c r="T107" i="9"/>
  <c r="U107" i="9"/>
  <c r="V107" i="9"/>
  <c r="W107" i="9"/>
  <c r="F108" i="9"/>
  <c r="G108" i="9"/>
  <c r="M108" i="9"/>
  <c r="N108" i="9"/>
  <c r="O108" i="9"/>
  <c r="P108" i="9"/>
  <c r="Q108" i="9"/>
  <c r="R108" i="9"/>
  <c r="S108" i="9"/>
  <c r="T108" i="9"/>
  <c r="U108" i="9"/>
  <c r="V108" i="9"/>
  <c r="W108" i="9"/>
  <c r="F109" i="9"/>
  <c r="G109" i="9"/>
  <c r="M109" i="9"/>
  <c r="N109" i="9"/>
  <c r="O109" i="9"/>
  <c r="P109" i="9"/>
  <c r="Q109" i="9"/>
  <c r="R109" i="9"/>
  <c r="S109" i="9"/>
  <c r="T109" i="9"/>
  <c r="U109" i="9"/>
  <c r="V109" i="9"/>
  <c r="W109" i="9"/>
  <c r="F110" i="9"/>
  <c r="G110" i="9"/>
  <c r="M110" i="9"/>
  <c r="N110" i="9"/>
  <c r="O110" i="9"/>
  <c r="P110" i="9"/>
  <c r="Q110" i="9"/>
  <c r="R110" i="9"/>
  <c r="S110" i="9"/>
  <c r="T110" i="9"/>
  <c r="U110" i="9"/>
  <c r="V110" i="9"/>
  <c r="W110" i="9"/>
  <c r="F111" i="9"/>
  <c r="G111" i="9"/>
  <c r="M111" i="9"/>
  <c r="N111" i="9"/>
  <c r="O111" i="9"/>
  <c r="P111" i="9"/>
  <c r="Q111" i="9"/>
  <c r="R111" i="9"/>
  <c r="S111" i="9"/>
  <c r="T111" i="9"/>
  <c r="U111" i="9"/>
  <c r="V111" i="9"/>
  <c r="W111" i="9"/>
  <c r="F112" i="9"/>
  <c r="G112" i="9"/>
  <c r="M112" i="9"/>
  <c r="N112" i="9"/>
  <c r="O112" i="9"/>
  <c r="P112" i="9"/>
  <c r="Q112" i="9"/>
  <c r="R112" i="9"/>
  <c r="S112" i="9"/>
  <c r="T112" i="9"/>
  <c r="U112" i="9"/>
  <c r="V112" i="9"/>
  <c r="W112" i="9"/>
  <c r="F113" i="9"/>
  <c r="G113" i="9"/>
  <c r="M113" i="9"/>
  <c r="N113" i="9"/>
  <c r="O113" i="9"/>
  <c r="P113" i="9"/>
  <c r="Q113" i="9"/>
  <c r="R113" i="9"/>
  <c r="S113" i="9"/>
  <c r="T113" i="9"/>
  <c r="U113" i="9"/>
  <c r="V113" i="9"/>
  <c r="W113" i="9"/>
  <c r="F114" i="9"/>
  <c r="G114" i="9"/>
  <c r="M114" i="9"/>
  <c r="N114" i="9"/>
  <c r="O114" i="9"/>
  <c r="P114" i="9"/>
  <c r="Q114" i="9"/>
  <c r="R114" i="9"/>
  <c r="S114" i="9"/>
  <c r="T114" i="9"/>
  <c r="U114" i="9"/>
  <c r="V114" i="9"/>
  <c r="W114" i="9"/>
  <c r="F115" i="9"/>
  <c r="G115" i="9"/>
  <c r="M115" i="9"/>
  <c r="N115" i="9"/>
  <c r="O115" i="9"/>
  <c r="P115" i="9"/>
  <c r="Q115" i="9"/>
  <c r="R115" i="9"/>
  <c r="S115" i="9"/>
  <c r="T115" i="9"/>
  <c r="U115" i="9"/>
  <c r="V115" i="9"/>
  <c r="W115" i="9"/>
  <c r="O116" i="9"/>
  <c r="F117" i="9"/>
  <c r="G117" i="9"/>
  <c r="M117" i="9"/>
  <c r="N117" i="9"/>
  <c r="O117" i="9"/>
  <c r="P117" i="9"/>
  <c r="Q117" i="9"/>
  <c r="R117" i="9"/>
  <c r="S117" i="9"/>
  <c r="T117" i="9"/>
  <c r="U117" i="9"/>
  <c r="V117" i="9"/>
  <c r="W117" i="9"/>
  <c r="D118" i="9"/>
  <c r="F118" i="9"/>
  <c r="G118" i="9"/>
  <c r="M118" i="9"/>
  <c r="N118" i="9"/>
  <c r="O118" i="9"/>
  <c r="P118" i="9"/>
  <c r="Q118" i="9"/>
  <c r="R118" i="9"/>
  <c r="S118" i="9"/>
  <c r="T118" i="9"/>
  <c r="U118" i="9"/>
  <c r="V118" i="9"/>
  <c r="W118" i="9"/>
  <c r="D119" i="9"/>
  <c r="F119" i="9"/>
  <c r="G119" i="9"/>
  <c r="M119" i="9"/>
  <c r="N119" i="9"/>
  <c r="O119" i="9"/>
  <c r="P119" i="9"/>
  <c r="Q119" i="9"/>
  <c r="R119" i="9"/>
  <c r="S119" i="9"/>
  <c r="T119" i="9"/>
  <c r="U119" i="9"/>
  <c r="V119" i="9"/>
  <c r="W119" i="9"/>
  <c r="F120" i="9"/>
  <c r="G120" i="9"/>
  <c r="M120" i="9"/>
  <c r="N120" i="9"/>
  <c r="O120" i="9"/>
  <c r="P120" i="9"/>
  <c r="Q120" i="9"/>
  <c r="R120" i="9"/>
  <c r="S120" i="9"/>
  <c r="T120" i="9"/>
  <c r="U120" i="9"/>
  <c r="V120" i="9"/>
  <c r="W120" i="9"/>
  <c r="E121" i="9"/>
  <c r="F121" i="9"/>
  <c r="G121" i="9"/>
  <c r="M121" i="9"/>
  <c r="N121" i="9"/>
  <c r="O121" i="9"/>
  <c r="P121" i="9"/>
  <c r="Q121" i="9"/>
  <c r="R121" i="9"/>
  <c r="S121" i="9"/>
  <c r="T121" i="9"/>
  <c r="U121" i="9"/>
  <c r="V121" i="9"/>
  <c r="W121" i="9"/>
  <c r="F122" i="9"/>
  <c r="G122" i="9"/>
  <c r="M122" i="9"/>
  <c r="N122" i="9"/>
  <c r="O122" i="9"/>
  <c r="P122" i="9"/>
  <c r="Q122" i="9"/>
  <c r="R122" i="9"/>
  <c r="S122" i="9"/>
  <c r="T122" i="9"/>
  <c r="U122" i="9"/>
  <c r="V122" i="9"/>
  <c r="W122" i="9"/>
  <c r="F123" i="9"/>
  <c r="G123" i="9"/>
  <c r="M123" i="9"/>
  <c r="N123" i="9"/>
  <c r="O123" i="9"/>
  <c r="P123" i="9"/>
  <c r="Q123" i="9"/>
  <c r="R123" i="9"/>
  <c r="S123" i="9"/>
  <c r="T123" i="9"/>
  <c r="U123" i="9"/>
  <c r="V123" i="9"/>
  <c r="W123" i="9"/>
  <c r="E124" i="9"/>
  <c r="F124" i="9"/>
  <c r="G124" i="9"/>
  <c r="M124" i="9"/>
  <c r="N124" i="9"/>
  <c r="O124" i="9"/>
  <c r="P124" i="9"/>
  <c r="Q124" i="9"/>
  <c r="R124" i="9"/>
  <c r="S124" i="9"/>
  <c r="T124" i="9"/>
  <c r="U124" i="9"/>
  <c r="V124" i="9"/>
  <c r="W124" i="9"/>
  <c r="E125" i="9"/>
  <c r="F125" i="9"/>
  <c r="G125" i="9"/>
  <c r="M125" i="9"/>
  <c r="N125" i="9"/>
  <c r="O125" i="9"/>
  <c r="P125" i="9"/>
  <c r="Q125" i="9"/>
  <c r="R125" i="9"/>
  <c r="S125" i="9"/>
  <c r="T125" i="9"/>
  <c r="U125" i="9"/>
  <c r="V125" i="9"/>
  <c r="W125" i="9"/>
  <c r="F126" i="9"/>
  <c r="G126" i="9"/>
  <c r="M126" i="9"/>
  <c r="N126" i="9"/>
  <c r="O126" i="9"/>
  <c r="P126" i="9"/>
  <c r="Q126" i="9"/>
  <c r="R126" i="9"/>
  <c r="S126" i="9"/>
  <c r="T126" i="9"/>
  <c r="U126" i="9"/>
  <c r="V126" i="9"/>
  <c r="W126" i="9"/>
  <c r="F127" i="9"/>
  <c r="G127" i="9"/>
  <c r="M127" i="9"/>
  <c r="N127" i="9"/>
  <c r="O127" i="9"/>
  <c r="P127" i="9"/>
  <c r="Q127" i="9"/>
  <c r="R127" i="9"/>
  <c r="S127" i="9"/>
  <c r="T127" i="9"/>
  <c r="U127" i="9"/>
  <c r="V127" i="9"/>
  <c r="W127" i="9"/>
  <c r="F128" i="9"/>
  <c r="G128" i="9"/>
  <c r="M128" i="9"/>
  <c r="N128" i="9"/>
  <c r="O128" i="9"/>
  <c r="P128" i="9"/>
  <c r="Q128" i="9"/>
  <c r="R128" i="9"/>
  <c r="S128" i="9"/>
  <c r="T128" i="9"/>
  <c r="U128" i="9"/>
  <c r="V128" i="9"/>
  <c r="W128" i="9"/>
  <c r="F129" i="9"/>
  <c r="G129" i="9"/>
  <c r="M129" i="9"/>
  <c r="N129" i="9"/>
  <c r="O129" i="9"/>
  <c r="P129" i="9"/>
  <c r="Q129" i="9"/>
  <c r="R129" i="9"/>
  <c r="S129" i="9"/>
  <c r="T129" i="9"/>
  <c r="U129" i="9"/>
  <c r="V129" i="9"/>
  <c r="W129" i="9"/>
  <c r="F130" i="9"/>
  <c r="G130" i="9"/>
  <c r="M130" i="9"/>
  <c r="N130" i="9"/>
  <c r="O130" i="9"/>
  <c r="P130" i="9"/>
  <c r="Q130" i="9"/>
  <c r="R130" i="9"/>
  <c r="S130" i="9"/>
  <c r="T130" i="9"/>
  <c r="U130" i="9"/>
  <c r="V130" i="9"/>
  <c r="W130" i="9"/>
  <c r="M131" i="9"/>
  <c r="N131" i="9"/>
  <c r="O131" i="9"/>
  <c r="P131" i="9"/>
  <c r="Q131" i="9"/>
  <c r="R131" i="9"/>
  <c r="S131" i="9"/>
  <c r="T131" i="9"/>
  <c r="U131" i="9"/>
  <c r="V131" i="9"/>
  <c r="W131" i="9"/>
  <c r="M132" i="9"/>
  <c r="N132" i="9"/>
  <c r="O132" i="9"/>
  <c r="P132" i="9"/>
  <c r="Q132" i="9"/>
  <c r="R132" i="9"/>
  <c r="S132" i="9"/>
  <c r="T132" i="9"/>
  <c r="U132" i="9"/>
  <c r="V132" i="9"/>
  <c r="W132" i="9"/>
  <c r="M135" i="9"/>
  <c r="N135" i="9"/>
  <c r="O135" i="9"/>
  <c r="P135" i="9"/>
  <c r="Q135" i="9"/>
  <c r="R135" i="9"/>
  <c r="S135" i="9"/>
  <c r="T135" i="9"/>
  <c r="U135" i="9"/>
  <c r="V135" i="9"/>
  <c r="W135" i="9"/>
  <c r="O136" i="9"/>
  <c r="F137" i="9"/>
  <c r="M137" i="9"/>
  <c r="N137" i="9"/>
  <c r="O137" i="9"/>
  <c r="P137" i="9"/>
  <c r="Q137" i="9"/>
  <c r="R137" i="9"/>
  <c r="S137" i="9"/>
  <c r="T137" i="9"/>
  <c r="U137" i="9"/>
  <c r="V137" i="9"/>
  <c r="W137" i="9"/>
  <c r="F138" i="9"/>
  <c r="M138" i="9"/>
  <c r="N138" i="9"/>
  <c r="O138" i="9"/>
  <c r="P138" i="9"/>
  <c r="Q138" i="9"/>
  <c r="R138" i="9"/>
  <c r="S138" i="9"/>
  <c r="T138" i="9"/>
  <c r="U138" i="9"/>
  <c r="V138" i="9"/>
  <c r="W138" i="9"/>
  <c r="D139" i="9"/>
  <c r="F139" i="9"/>
  <c r="M139" i="9"/>
  <c r="N139" i="9"/>
  <c r="O139" i="9"/>
  <c r="P139" i="9"/>
  <c r="Q139" i="9"/>
  <c r="R139" i="9"/>
  <c r="S139" i="9"/>
  <c r="T139" i="9"/>
  <c r="U139" i="9"/>
  <c r="V139" i="9"/>
  <c r="W139" i="9"/>
  <c r="M140" i="9"/>
  <c r="N140" i="9"/>
  <c r="O140" i="9"/>
  <c r="P140" i="9"/>
  <c r="Q140" i="9"/>
  <c r="R140" i="9"/>
  <c r="S140" i="9"/>
  <c r="T140" i="9"/>
  <c r="U140" i="9"/>
  <c r="V140" i="9"/>
  <c r="W140" i="9"/>
  <c r="F141" i="9"/>
  <c r="M141" i="9"/>
  <c r="N141" i="9"/>
  <c r="O141" i="9"/>
  <c r="P141" i="9"/>
  <c r="Q141" i="9"/>
  <c r="R141" i="9"/>
  <c r="S141" i="9"/>
  <c r="T141" i="9"/>
  <c r="U141" i="9"/>
  <c r="V141" i="9"/>
  <c r="W141" i="9"/>
  <c r="O142" i="9"/>
  <c r="F143" i="9"/>
  <c r="M143" i="9"/>
  <c r="N143" i="9"/>
  <c r="O143" i="9"/>
  <c r="P143" i="9"/>
  <c r="Q143" i="9"/>
  <c r="R143" i="9"/>
  <c r="S143" i="9"/>
  <c r="T143" i="9"/>
  <c r="U143" i="9"/>
  <c r="V143" i="9"/>
  <c r="W143" i="9"/>
  <c r="J148" i="9"/>
  <c r="K148" i="9"/>
  <c r="L148" i="9"/>
  <c r="M148" i="9"/>
  <c r="N148" i="9"/>
  <c r="O148" i="9"/>
  <c r="P148" i="9"/>
  <c r="Q148" i="9"/>
  <c r="R148" i="9"/>
  <c r="T148" i="9"/>
  <c r="U148" i="9"/>
  <c r="J149" i="9"/>
  <c r="K149" i="9"/>
  <c r="L149" i="9"/>
  <c r="M149" i="9"/>
  <c r="N149" i="9"/>
  <c r="O149" i="9"/>
  <c r="P149" i="9"/>
  <c r="Q149" i="9"/>
  <c r="R149" i="9"/>
  <c r="T149" i="9"/>
  <c r="U149" i="9"/>
  <c r="J150" i="9"/>
  <c r="K150" i="9"/>
  <c r="L150" i="9"/>
  <c r="M150" i="9"/>
  <c r="N150" i="9"/>
  <c r="O150" i="9"/>
  <c r="P150" i="9"/>
  <c r="Q150" i="9"/>
  <c r="R150" i="9"/>
  <c r="T150" i="9"/>
  <c r="U150" i="9"/>
  <c r="J151" i="9"/>
  <c r="K151" i="9"/>
  <c r="L151" i="9"/>
  <c r="M151" i="9"/>
  <c r="N151" i="9"/>
  <c r="O151" i="9"/>
  <c r="P151" i="9"/>
  <c r="Q151" i="9"/>
  <c r="R151" i="9"/>
  <c r="T151" i="9"/>
  <c r="U151" i="9"/>
  <c r="M154" i="9"/>
  <c r="N154" i="9"/>
  <c r="O154" i="9"/>
  <c r="P154" i="9"/>
  <c r="Q154" i="9"/>
  <c r="R154" i="9"/>
  <c r="S154" i="9"/>
  <c r="T154" i="9"/>
  <c r="U154" i="9"/>
  <c r="V154" i="9"/>
  <c r="W154" i="9"/>
  <c r="M155" i="9"/>
  <c r="N155" i="9"/>
  <c r="O155" i="9"/>
  <c r="P155" i="9"/>
  <c r="Q155" i="9"/>
  <c r="R155" i="9"/>
  <c r="S155" i="9"/>
  <c r="T155" i="9"/>
  <c r="U155" i="9"/>
  <c r="V155" i="9"/>
  <c r="W155" i="9"/>
  <c r="M157" i="9"/>
  <c r="N157" i="9"/>
  <c r="O157" i="9"/>
  <c r="P157" i="9"/>
  <c r="Q157" i="9"/>
  <c r="R157" i="9"/>
  <c r="S157" i="9"/>
  <c r="T157" i="9"/>
  <c r="U157" i="9"/>
  <c r="V157" i="9"/>
  <c r="W157" i="9"/>
  <c r="M161" i="9"/>
  <c r="N161" i="9"/>
  <c r="O161" i="9"/>
  <c r="P161" i="9"/>
  <c r="Q161" i="9"/>
  <c r="R161" i="9"/>
  <c r="S161" i="9"/>
  <c r="T161" i="9"/>
  <c r="U161" i="9"/>
  <c r="V161" i="9"/>
  <c r="W161" i="9"/>
  <c r="M162" i="9"/>
  <c r="N162" i="9"/>
  <c r="O162" i="9"/>
  <c r="P162" i="9"/>
  <c r="Q162" i="9"/>
  <c r="R162" i="9"/>
  <c r="S162" i="9"/>
  <c r="T162" i="9"/>
  <c r="U162" i="9"/>
  <c r="V162" i="9"/>
  <c r="W162" i="9"/>
  <c r="M163" i="9"/>
  <c r="N163" i="9"/>
  <c r="O163" i="9"/>
  <c r="P163" i="9"/>
  <c r="Q163" i="9"/>
  <c r="R163" i="9"/>
  <c r="S163" i="9"/>
  <c r="T163" i="9"/>
  <c r="U163" i="9"/>
  <c r="V163" i="9"/>
  <c r="W163" i="9"/>
  <c r="M165" i="9"/>
  <c r="N165" i="9"/>
  <c r="O165" i="9"/>
  <c r="P165" i="9"/>
  <c r="Q165" i="9"/>
  <c r="R165" i="9"/>
  <c r="S165" i="9"/>
  <c r="T165" i="9"/>
  <c r="U165" i="9"/>
  <c r="V165" i="9"/>
  <c r="W165" i="9"/>
  <c r="M167" i="9"/>
  <c r="N167" i="9"/>
  <c r="O167" i="9"/>
  <c r="P167" i="9"/>
  <c r="Q167" i="9"/>
  <c r="R167" i="9"/>
  <c r="S167" i="9"/>
  <c r="T167" i="9"/>
  <c r="U167" i="9"/>
  <c r="V167" i="9"/>
  <c r="W167" i="9"/>
  <c r="M169" i="9"/>
  <c r="N169" i="9"/>
  <c r="O169" i="9"/>
  <c r="P169" i="9"/>
  <c r="Q169" i="9"/>
  <c r="R169" i="9"/>
  <c r="S169" i="9"/>
  <c r="T169" i="9"/>
  <c r="U169" i="9"/>
  <c r="V169" i="9"/>
  <c r="W169" i="9"/>
  <c r="M171" i="9"/>
  <c r="N171" i="9"/>
  <c r="O171" i="9"/>
  <c r="P171" i="9"/>
  <c r="Q171" i="9"/>
  <c r="R171" i="9"/>
  <c r="S171" i="9"/>
  <c r="T171" i="9"/>
  <c r="U171" i="9"/>
  <c r="V171" i="9"/>
  <c r="W171" i="9"/>
  <c r="S174" i="9"/>
  <c r="D175" i="9"/>
  <c r="S175" i="9"/>
  <c r="S177" i="9"/>
  <c r="S178" i="9"/>
  <c r="S179" i="9"/>
  <c r="S180" i="9"/>
  <c r="S182" i="9"/>
  <c r="S183" i="9"/>
  <c r="S184" i="9"/>
  <c r="S185" i="9"/>
</calcChain>
</file>

<file path=xl/comments1.xml><?xml version="1.0" encoding="utf-8"?>
<comments xmlns="http://schemas.openxmlformats.org/spreadsheetml/2006/main">
  <authors>
    <author>George W. Richards</author>
  </authors>
  <commentList>
    <comment ref="C26" authorId="0" shapeId="0">
      <text>
        <r>
          <rPr>
            <b/>
            <sz val="8"/>
            <color indexed="81"/>
            <rFont val="Tahoma"/>
          </rPr>
          <t xml:space="preserve">Gwr: 598sf office + 598 sf fitness @ $0.10 psf+ $150/mo for the pool+$250/mo for exterior lighting
</t>
        </r>
      </text>
    </comment>
  </commentList>
</comments>
</file>

<file path=xl/comments2.xml><?xml version="1.0" encoding="utf-8"?>
<comments xmlns="http://schemas.openxmlformats.org/spreadsheetml/2006/main">
  <authors>
    <author>George W. Richards</author>
  </authors>
  <commentList>
    <comment ref="K11" authorId="0" shapeId="0">
      <text>
        <r>
          <rPr>
            <b/>
            <sz val="8"/>
            <color indexed="81"/>
            <rFont val="Tahoma"/>
          </rPr>
          <t>Office is 598sf . 200sf added per LEL survey of competition</t>
        </r>
      </text>
    </comment>
    <comment ref="R11" authorId="0" shapeId="0">
      <text>
        <r>
          <rPr>
            <b/>
            <sz val="8"/>
            <color indexed="81"/>
            <rFont val="Tahoma"/>
          </rPr>
          <t>280SF  garage &amp; 13 sf porch</t>
        </r>
      </text>
    </comment>
  </commentList>
</comments>
</file>

<file path=xl/sharedStrings.xml><?xml version="1.0" encoding="utf-8"?>
<sst xmlns="http://schemas.openxmlformats.org/spreadsheetml/2006/main" count="1386" uniqueCount="541">
  <si>
    <t>Per SF</t>
  </si>
  <si>
    <t>Total Rental Units</t>
  </si>
  <si>
    <t>TOTALS</t>
  </si>
  <si>
    <t>Permits</t>
  </si>
  <si>
    <t>LTV</t>
  </si>
  <si>
    <t>FOUNDATION</t>
  </si>
  <si>
    <t>Setup</t>
  </si>
  <si>
    <t>Concrete</t>
  </si>
  <si>
    <t>Finish</t>
  </si>
  <si>
    <t>PLUMBING</t>
  </si>
  <si>
    <t>Rough</t>
  </si>
  <si>
    <t>Top Out</t>
  </si>
  <si>
    <t>Set Out</t>
  </si>
  <si>
    <t>FRAMING LABOR</t>
  </si>
  <si>
    <t>1st Floor Walls</t>
  </si>
  <si>
    <t>2nd Floor Walls</t>
  </si>
  <si>
    <t>Roof-Decking-Subfascia</t>
  </si>
  <si>
    <t>Cornice</t>
  </si>
  <si>
    <t>FRAMING MATERIALS</t>
  </si>
  <si>
    <t>1st Floor Material</t>
  </si>
  <si>
    <t>2nd Floor Materials</t>
  </si>
  <si>
    <t>Roof System Materials</t>
  </si>
  <si>
    <t>Cornice Materials</t>
  </si>
  <si>
    <t>Windows</t>
  </si>
  <si>
    <t>Exterior Doors</t>
  </si>
  <si>
    <t>ROOFING</t>
  </si>
  <si>
    <t>Materials</t>
  </si>
  <si>
    <t>Labor</t>
  </si>
  <si>
    <t>ELECTRIC</t>
  </si>
  <si>
    <t>Temp Set</t>
  </si>
  <si>
    <t>Trim</t>
  </si>
  <si>
    <t>PREWIRE</t>
  </si>
  <si>
    <t>HVAC</t>
  </si>
  <si>
    <t>Set</t>
  </si>
  <si>
    <t>INSULATION</t>
  </si>
  <si>
    <t>SHEETROCK</t>
  </si>
  <si>
    <t>Stock</t>
  </si>
  <si>
    <t>GARAGE DOORS</t>
  </si>
  <si>
    <t>INTERIOR TRIM</t>
  </si>
  <si>
    <t>Doors</t>
  </si>
  <si>
    <t>Millwork</t>
  </si>
  <si>
    <t>PAINT</t>
  </si>
  <si>
    <t>Exterior</t>
  </si>
  <si>
    <t>Interior Trim</t>
  </si>
  <si>
    <t>Touch Up</t>
  </si>
  <si>
    <t>FINISH ITEMS</t>
  </si>
  <si>
    <t>Cabinets</t>
  </si>
  <si>
    <t>Hardware</t>
  </si>
  <si>
    <t>Electrical Fixtures</t>
  </si>
  <si>
    <t>Appliances</t>
  </si>
  <si>
    <t>FLATWORK</t>
  </si>
  <si>
    <t>Curb Cut</t>
  </si>
  <si>
    <t>Drives</t>
  </si>
  <si>
    <t>Walks</t>
  </si>
  <si>
    <t>CLEAN UP</t>
  </si>
  <si>
    <t>Site</t>
  </si>
  <si>
    <t>Interior</t>
  </si>
  <si>
    <t>Final Grade</t>
  </si>
  <si>
    <t>Dumpster</t>
  </si>
  <si>
    <t>Job Toilet</t>
  </si>
  <si>
    <t>MISCELLANEOUS</t>
  </si>
  <si>
    <t>SUPERVISION</t>
  </si>
  <si>
    <t>Sprinklers - Front &amp; Rear</t>
  </si>
  <si>
    <t>Flooring</t>
  </si>
  <si>
    <t>Specialty Items - Mini-Blinds</t>
  </si>
  <si>
    <t>Countertops</t>
  </si>
  <si>
    <t>DRAW ALLOW</t>
  </si>
  <si>
    <t>Trusses - Roof</t>
  </si>
  <si>
    <t>7</t>
  </si>
  <si>
    <t>Appraisal</t>
  </si>
  <si>
    <t>Supervision</t>
  </si>
  <si>
    <t xml:space="preserve"> </t>
  </si>
  <si>
    <t>Hang, Tape, Float &amp; Texture</t>
  </si>
  <si>
    <t>Per Unit</t>
  </si>
  <si>
    <t>Totals</t>
  </si>
  <si>
    <t>Description</t>
  </si>
  <si>
    <t>1.</t>
  </si>
  <si>
    <t>2.</t>
  </si>
  <si>
    <t>3.</t>
  </si>
  <si>
    <t>4.</t>
  </si>
  <si>
    <t>Permits/Fees</t>
  </si>
  <si>
    <t>Water/Sewer Con.</t>
  </si>
  <si>
    <t>Site Work</t>
  </si>
  <si>
    <t>Foundation</t>
  </si>
  <si>
    <t>Plumbing Rough</t>
  </si>
  <si>
    <t>Windows/Mirrors</t>
  </si>
  <si>
    <t>Painting-Outside</t>
  </si>
  <si>
    <t>Electric-Rough</t>
  </si>
  <si>
    <t>Roof (Matl &amp; Labor)</t>
  </si>
  <si>
    <t>Framing &amp; Sheeting (M&amp;L)</t>
  </si>
  <si>
    <t>Cornice (M&amp;L)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</si>
  <si>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</si>
  <si>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</si>
  <si>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</si>
  <si>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</si>
  <si>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</si>
  <si>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</si>
  <si>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</si>
  <si>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</si>
  <si>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</si>
  <si>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</si>
  <si>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</si>
  <si>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</si>
  <si>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</si>
  <si>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</si>
  <si>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</si>
  <si>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</si>
  <si>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</si>
  <si>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</si>
  <si>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</si>
  <si>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</si>
  <si>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</si>
  <si>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</si>
  <si>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</si>
  <si>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</si>
  <si>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</si>
  <si>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</si>
  <si>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</si>
  <si>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</si>
  <si>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</si>
  <si>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</si>
  <si>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</si>
  <si>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</si>
  <si>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Other Costs</t>
  </si>
  <si>
    <t>Lot</t>
  </si>
  <si>
    <t>Interest &amp; Fees</t>
  </si>
  <si>
    <t>Septic</t>
  </si>
  <si>
    <t>Ducts</t>
  </si>
  <si>
    <t>Heat/Air-Units</t>
  </si>
  <si>
    <t>Insulation-Walls</t>
  </si>
  <si>
    <t>Insulation-Ceiling</t>
  </si>
  <si>
    <t>Plumbing - Top Out</t>
  </si>
  <si>
    <t>Fireplace</t>
  </si>
  <si>
    <t>Shrck/Tape/Float</t>
  </si>
  <si>
    <t>Cabinets/Formica</t>
  </si>
  <si>
    <t>Tile</t>
  </si>
  <si>
    <t>Painting-Interior</t>
  </si>
  <si>
    <t>Wallpaper</t>
  </si>
  <si>
    <t>Carpet/Vinyl</t>
  </si>
  <si>
    <t>Drives &amp; Sidewalks</t>
  </si>
  <si>
    <t>Masonry/Siding</t>
  </si>
  <si>
    <t>Included in Insulation- Walls, Line #15</t>
  </si>
  <si>
    <t>Clean Up &amp; Temps</t>
  </si>
  <si>
    <t>Electric - Trim,Pre-Wire &amp; Fix.</t>
  </si>
  <si>
    <t>Ldscp., Fencing &amp; Clean Up</t>
  </si>
  <si>
    <t>Trim Work W/Garage Drs.</t>
  </si>
  <si>
    <t>Builder's Risk</t>
  </si>
  <si>
    <t>Temp Electic &amp; Utilities</t>
  </si>
  <si>
    <t>Sitework</t>
  </si>
  <si>
    <t>L#1</t>
  </si>
  <si>
    <t>L#4</t>
  </si>
  <si>
    <t>L#35</t>
  </si>
  <si>
    <t>L#31</t>
  </si>
  <si>
    <t>L#29</t>
  </si>
  <si>
    <t>L#28</t>
  </si>
  <si>
    <t>L#30</t>
  </si>
  <si>
    <t>L#26</t>
  </si>
  <si>
    <t>L#27</t>
  </si>
  <si>
    <t>L#36</t>
  </si>
  <si>
    <t>L#21</t>
  </si>
  <si>
    <t>L#22</t>
  </si>
  <si>
    <t>L#5</t>
  </si>
  <si>
    <t>L#6</t>
  </si>
  <si>
    <t>L#17</t>
  </si>
  <si>
    <t>L#7</t>
  </si>
  <si>
    <t>L#9</t>
  </si>
  <si>
    <t>L#10</t>
  </si>
  <si>
    <t>L#8</t>
  </si>
  <si>
    <t>L#12</t>
  </si>
  <si>
    <t>L#13</t>
  </si>
  <si>
    <t>L#14</t>
  </si>
  <si>
    <t>L#15&amp;16</t>
  </si>
  <si>
    <t>L#20</t>
  </si>
  <si>
    <t>L#11</t>
  </si>
  <si>
    <t>L#24</t>
  </si>
  <si>
    <t>FAB L#</t>
  </si>
  <si>
    <t>% Tcost</t>
  </si>
  <si>
    <t>Phase Totals</t>
  </si>
  <si>
    <t>% Of Est.</t>
  </si>
  <si>
    <t>Estimate Totals</t>
  </si>
  <si>
    <t>812/814</t>
  </si>
  <si>
    <t>Construction Sequence</t>
  </si>
  <si>
    <t>1</t>
  </si>
  <si>
    <t>3</t>
  </si>
  <si>
    <t>4</t>
  </si>
  <si>
    <t>5</t>
  </si>
  <si>
    <t>6</t>
  </si>
  <si>
    <t>2</t>
  </si>
  <si>
    <t>820/822</t>
  </si>
  <si>
    <t>826/828</t>
  </si>
  <si>
    <t>832/834</t>
  </si>
  <si>
    <t>838/840</t>
  </si>
  <si>
    <t>861/863</t>
  </si>
  <si>
    <t>867/869</t>
  </si>
  <si>
    <t>X</t>
  </si>
  <si>
    <t>N/A</t>
  </si>
  <si>
    <t>FENCING</t>
  </si>
  <si>
    <t>LANDSCAPING</t>
  </si>
  <si>
    <t>CofO</t>
  </si>
  <si>
    <t>x</t>
  </si>
  <si>
    <t>Floor Joists</t>
  </si>
  <si>
    <t>MIX</t>
  </si>
  <si>
    <t>SM134Units</t>
  </si>
  <si>
    <t>Heated/Total SF</t>
  </si>
  <si>
    <t>PLAN A - 2+2+1</t>
  </si>
  <si>
    <t>Architecture</t>
  </si>
  <si>
    <t>L#2</t>
  </si>
  <si>
    <t>Less:</t>
  </si>
  <si>
    <t>Land &amp; Improvments</t>
  </si>
  <si>
    <t>Interest</t>
  </si>
  <si>
    <t>37.</t>
  </si>
  <si>
    <t>Per A/C SF</t>
  </si>
  <si>
    <t>Arch &amp; Eng &amp; Replat</t>
  </si>
  <si>
    <t>L#37</t>
  </si>
  <si>
    <t>Board &amp; Nail Total</t>
  </si>
  <si>
    <t>Contractor Profit</t>
  </si>
  <si>
    <t>Construction Management</t>
  </si>
  <si>
    <t>Construction Profit</t>
  </si>
  <si>
    <t>MASONRY/SIDING</t>
  </si>
  <si>
    <t>L#18</t>
  </si>
  <si>
    <t>Construction Management Fee</t>
  </si>
  <si>
    <t>ESW PHASE 2 COST DATA - FAB LOAN</t>
  </si>
  <si>
    <t>PLAN B - 2+2.5+2</t>
  </si>
  <si>
    <t>PLAN B - 3+3.5+2</t>
  </si>
  <si>
    <t>Water</t>
  </si>
  <si>
    <t>Sewer</t>
  </si>
  <si>
    <t>TV&amp;Cable</t>
  </si>
  <si>
    <t>Elec</t>
  </si>
  <si>
    <t>Lighting</t>
  </si>
  <si>
    <t>Gates</t>
  </si>
  <si>
    <t>Hardware With VING Card)</t>
  </si>
  <si>
    <t>Office FF&amp;E</t>
  </si>
  <si>
    <t>Signage</t>
  </si>
  <si>
    <t>Wall On Bishop</t>
  </si>
  <si>
    <t>Pool</t>
  </si>
  <si>
    <t>Volleyball Court</t>
  </si>
  <si>
    <t>Baths</t>
  </si>
  <si>
    <t>Rent</t>
  </si>
  <si>
    <t>Land</t>
  </si>
  <si>
    <t>Improvements</t>
  </si>
  <si>
    <t>Utilities</t>
  </si>
  <si>
    <t>Landscaping</t>
  </si>
  <si>
    <t>Entry Gates</t>
  </si>
  <si>
    <t>Perimeter Wall-Bishop</t>
  </si>
  <si>
    <t>Swimming Pool</t>
  </si>
  <si>
    <t>Vollyball Court</t>
  </si>
  <si>
    <t>Pool Shower/Restroom</t>
  </si>
  <si>
    <t>Common Ammenities</t>
  </si>
  <si>
    <t>Sub Total Comm. Ammenities</t>
  </si>
  <si>
    <t>Parking &amp; Drives</t>
  </si>
  <si>
    <t>Curbing</t>
  </si>
  <si>
    <t>Striping</t>
  </si>
  <si>
    <t>Per Acre</t>
  </si>
  <si>
    <t>Total</t>
  </si>
  <si>
    <t>TOTAL UNIT CONSTRUCTION</t>
  </si>
  <si>
    <t>TOTAL IMPROVED LOT</t>
  </si>
  <si>
    <t>Rental Office FF&amp;E</t>
  </si>
  <si>
    <t>Finance Cost</t>
  </si>
  <si>
    <t>Origination</t>
  </si>
  <si>
    <t>Interest Reserve</t>
  </si>
  <si>
    <t>Total Finance Cost</t>
  </si>
  <si>
    <t>TOTAL COST</t>
  </si>
  <si>
    <t>Closing Costs</t>
  </si>
  <si>
    <t>Sub Total</t>
  </si>
  <si>
    <t>Total Imp. &amp; Ammenities</t>
  </si>
  <si>
    <t>TOTAL DIRECT COST</t>
  </si>
  <si>
    <t>Interim Loan Amount</t>
  </si>
  <si>
    <t>LTC</t>
  </si>
  <si>
    <t>Equity Required</t>
  </si>
  <si>
    <t>Less Defferred C. Profit</t>
  </si>
  <si>
    <t>Cash Equity</t>
  </si>
  <si>
    <t>Bedrooms/Baths</t>
  </si>
  <si>
    <t>Two Story</t>
  </si>
  <si>
    <t>Unit Width</t>
  </si>
  <si>
    <t>LF</t>
  </si>
  <si>
    <t>TOTAL</t>
  </si>
  <si>
    <t>Jefferson</t>
  </si>
  <si>
    <t>Total Units</t>
  </si>
  <si>
    <t>Age</t>
  </si>
  <si>
    <t>Size</t>
  </si>
  <si>
    <t>Rent/SF</t>
  </si>
  <si>
    <t>Rent/Bdrm</t>
  </si>
  <si>
    <t>The Palazzo</t>
  </si>
  <si>
    <t>Hillside Ranch</t>
  </si>
  <si>
    <t>Sterling Univ. Apts.</t>
  </si>
  <si>
    <t>SM134</t>
  </si>
  <si>
    <t>FOUR BEDROOMS</t>
  </si>
  <si>
    <t>THREE BEDROOMS</t>
  </si>
  <si>
    <t>TWO BATH</t>
  </si>
  <si>
    <t>THREE &amp; THREE 1/2 BATH</t>
  </si>
  <si>
    <t>THREE BATH</t>
  </si>
  <si>
    <t>FOUR BATH</t>
  </si>
  <si>
    <t>SMALLER</t>
  </si>
  <si>
    <t>ONE BATH</t>
  </si>
  <si>
    <t>LARGER</t>
  </si>
  <si>
    <t>ONE BEDROOM</t>
  </si>
  <si>
    <t>TWO BEDROOMS</t>
  </si>
  <si>
    <t>$2.50/SF</t>
  </si>
  <si>
    <t>Landscaping &amp; Sprinklers</t>
  </si>
  <si>
    <t>Civil Engineering</t>
  </si>
  <si>
    <t>MIX - %</t>
  </si>
  <si>
    <t>Investor Equity</t>
  </si>
  <si>
    <t>Const Profit</t>
  </si>
  <si>
    <t>Less Excess CMFee</t>
  </si>
  <si>
    <t>Mix - %</t>
  </si>
  <si>
    <t>Mix - Units</t>
  </si>
  <si>
    <t>FOUR BEDROOM</t>
  </si>
  <si>
    <t>One Bedroom Rate</t>
  </si>
  <si>
    <t>Two Bedroom Rate</t>
  </si>
  <si>
    <t>Three Bedroom Rate</t>
  </si>
  <si>
    <t>Four Bedroom Rate</t>
  </si>
  <si>
    <t>INCOME:</t>
  </si>
  <si>
    <t>TOTAL INCOME:</t>
  </si>
  <si>
    <t>EXPENSES:</t>
  </si>
  <si>
    <t xml:space="preserve">    Utilities</t>
  </si>
  <si>
    <t xml:space="preserve">    Advertising/Promotion</t>
  </si>
  <si>
    <t>TOTAL OPERATING EXPENSES:</t>
  </si>
  <si>
    <t>Equity Required - Based on LTV @ 80%</t>
  </si>
  <si>
    <t>Basketball Court</t>
  </si>
  <si>
    <t>Perimeter Lndscp</t>
  </si>
  <si>
    <t>Int. Courtyard</t>
  </si>
  <si>
    <t>Vollyball &amp; Basketball</t>
  </si>
  <si>
    <t>8" Flex Base</t>
  </si>
  <si>
    <t>1 1/2" HMAC</t>
  </si>
  <si>
    <t>Excavation/Embankment</t>
  </si>
  <si>
    <t>Curb &amp; Gutter</t>
  </si>
  <si>
    <t>8"PVC Watermain</t>
  </si>
  <si>
    <t>Water Services</t>
  </si>
  <si>
    <t>Master Meters</t>
  </si>
  <si>
    <t>Fire Hydrants W/Valve</t>
  </si>
  <si>
    <t>Electrical</t>
  </si>
  <si>
    <t>Lump Sum</t>
  </si>
  <si>
    <t>Wet Tap 8"</t>
  </si>
  <si>
    <t>8" Wastewater Line(all depths)</t>
  </si>
  <si>
    <t>W.W. Manholes</t>
  </si>
  <si>
    <t>2" PVC Watermain</t>
  </si>
  <si>
    <t>Sq Yds</t>
  </si>
  <si>
    <t>Cubic Yds</t>
  </si>
  <si>
    <t>Linear Ft</t>
  </si>
  <si>
    <t>EA</t>
  </si>
  <si>
    <t>Unit</t>
  </si>
  <si>
    <t>Quantity</t>
  </si>
  <si>
    <t>Unit Cost</t>
  </si>
  <si>
    <t>Perimeter Wall-LBJ &amp; Met</t>
  </si>
  <si>
    <t>Sq Ft.</t>
  </si>
  <si>
    <t>Contingency</t>
  </si>
  <si>
    <t>Ammenities</t>
  </si>
  <si>
    <t>Vacancy Allowance-5%</t>
  </si>
  <si>
    <t>Cable TV &amp; T-1</t>
  </si>
  <si>
    <t>250/YR/Unit</t>
  </si>
  <si>
    <t>Rental Commissions</t>
  </si>
  <si>
    <t>Legal</t>
  </si>
  <si>
    <t>VALUE @ 10.5% CAP RATE</t>
  </si>
  <si>
    <t>VALUE @ 10% CAP RATE</t>
  </si>
  <si>
    <t>MONTHLY NOI:</t>
  </si>
  <si>
    <t>MONTHLY NET CASH INCOME:</t>
  </si>
  <si>
    <t>HighSpeed T-1 Line</t>
  </si>
  <si>
    <t>TOTAL UNIT COST</t>
  </si>
  <si>
    <t>Fitness Center</t>
  </si>
  <si>
    <t>COVERED PARKING</t>
  </si>
  <si>
    <t>Replacement Reserve $350/u/y</t>
  </si>
  <si>
    <t>Management Fee - 5% Total Income</t>
  </si>
  <si>
    <t>Security Deposit Forfeit</t>
  </si>
  <si>
    <t>Rental Income</t>
  </si>
  <si>
    <t>Project Office, Mgr &amp; Comp Off</t>
  </si>
  <si>
    <t>Rental Sq. Ft</t>
  </si>
  <si>
    <t>Mgr Apt, Computer &amp; Rental Offices</t>
  </si>
  <si>
    <t>TwoBdrm First Flr</t>
  </si>
  <si>
    <t>ThreeBdrm First Flr</t>
  </si>
  <si>
    <t>MgrOffFirstFlr</t>
  </si>
  <si>
    <t>Property Taxes</t>
  </si>
  <si>
    <t>Property Insurance</t>
  </si>
  <si>
    <t>Liability Insurance</t>
  </si>
  <si>
    <t>Unit Maintenance</t>
  </si>
  <si>
    <t>Closing Loan/Land</t>
  </si>
  <si>
    <t>Utility Design</t>
  </si>
  <si>
    <t>City Submission</t>
  </si>
  <si>
    <t>City Approval</t>
  </si>
  <si>
    <t>Phase 2</t>
  </si>
  <si>
    <t>Phase 3</t>
  </si>
  <si>
    <t>Phase 4</t>
  </si>
  <si>
    <t>Phase 5</t>
  </si>
  <si>
    <t>Phase 6</t>
  </si>
  <si>
    <t>Unit Construction - 33 Bldgs</t>
  </si>
  <si>
    <t>Phase 1</t>
  </si>
  <si>
    <t>Phase 7</t>
  </si>
  <si>
    <t>Phase 8</t>
  </si>
  <si>
    <t>Phase 1 - 4 Bldgs + Mgr Office</t>
  </si>
  <si>
    <t>Phase 2 - 4 Bldgs</t>
  </si>
  <si>
    <t>Phase 3 - 4 Bldgs</t>
  </si>
  <si>
    <t>Phase 4 - 4 Bldgs</t>
  </si>
  <si>
    <t>Phase 5 - 4 Bldgs</t>
  </si>
  <si>
    <t>Phase 6 - 4 Bldgs</t>
  </si>
  <si>
    <t>Phase 7 - 4 Bldgs</t>
  </si>
  <si>
    <t>Phase 8 - 4 Bldgs</t>
  </si>
  <si>
    <t>Pre-Leasing</t>
  </si>
  <si>
    <t>Rent Stabilization</t>
  </si>
  <si>
    <t>Close On Permanent</t>
  </si>
  <si>
    <t>Appraisal for Permanent</t>
  </si>
  <si>
    <t>Units</t>
  </si>
  <si>
    <t>CATEGORIES</t>
  </si>
  <si>
    <t>PROJECT TOTAL</t>
  </si>
  <si>
    <t>IMPROVED LOT COST</t>
  </si>
  <si>
    <t>COMMON AMENITIES</t>
  </si>
  <si>
    <t>UNIT COST</t>
  </si>
  <si>
    <t>FINANCE COST</t>
  </si>
  <si>
    <t>CONSTRUCTION PROFIT</t>
  </si>
  <si>
    <t>CONSTRUCTION COST SUMMARY</t>
  </si>
  <si>
    <t>Man Days</t>
  </si>
  <si>
    <t>Number of Months</t>
  </si>
  <si>
    <t>Perimeter Wall</t>
  </si>
  <si>
    <t>Second Contract Extension</t>
  </si>
  <si>
    <t>Loan Package Final</t>
  </si>
  <si>
    <t>Appraisal Complete</t>
  </si>
  <si>
    <t>Re-Plat 2nd Parcel-Eng</t>
  </si>
  <si>
    <t>Re-Plat 2nd Parcel-Approval</t>
  </si>
  <si>
    <t>MORTGAGE LOAN @ 80%LTV</t>
  </si>
  <si>
    <t>75% Loan to Cost</t>
  </si>
  <si>
    <t>90% Loan to Cost</t>
  </si>
  <si>
    <t>97% Loan to Cost</t>
  </si>
  <si>
    <t>CONSTRUCTION LOAN</t>
  </si>
  <si>
    <t>3BGarage</t>
  </si>
  <si>
    <t>Adj2B</t>
  </si>
  <si>
    <t>ADj3B</t>
  </si>
  <si>
    <t>VALUE @ 9.5% CAP RATE</t>
  </si>
  <si>
    <t>VALUE @ 10.0% CAP RATE</t>
  </si>
  <si>
    <t>MortRate</t>
  </si>
  <si>
    <t>300/YR</t>
  </si>
  <si>
    <t>Grounds Maintenance</t>
  </si>
  <si>
    <t>CATV $13+$10 T-1</t>
  </si>
  <si>
    <t>Mortgage: 25Y, 7.5%, 80% Value</t>
  </si>
  <si>
    <t xml:space="preserve">Cash Equity After C.Profit </t>
  </si>
  <si>
    <t>Interim Construction Loan</t>
  </si>
  <si>
    <t>110% Interest Reserve</t>
  </si>
  <si>
    <t xml:space="preserve">Permanent Loan Fee </t>
  </si>
  <si>
    <t>Interim Int Rate</t>
  </si>
  <si>
    <t>MortPts</t>
  </si>
  <si>
    <t>Misc. Income:  Vending Machines</t>
  </si>
  <si>
    <t>KEY ELEMENTS:</t>
  </si>
  <si>
    <t>Lease Up:  3-6 months Maximum</t>
  </si>
  <si>
    <t>3 Bedroom 3.5 Bath, Townhome with Garage and 1,200 SF for $1530</t>
  </si>
  <si>
    <t>2Bedroom 2.5 Bath, Townhome with covered parking &amp; 1,000 SF for $1180</t>
  </si>
  <si>
    <r>
      <t>Amenities</t>
    </r>
    <r>
      <rPr>
        <sz val="9"/>
        <rFont val="Times New Roman Condensed"/>
      </rPr>
      <t>:  Pool, Cabana, BBQ, Volleyball, Basketball, Business Center, Vending Machines, Fitness Center, Full Perimeter Fence, Security Gates, Pre-Wired For Unit Security, Free Cable Tv, Free High Speed Internet, Oversized Units, Low Density And Townhome Unit Design.</t>
    </r>
  </si>
  <si>
    <t>134 Units Including 1 manager's unit</t>
  </si>
  <si>
    <t>% Value</t>
  </si>
  <si>
    <t>% Cost</t>
  </si>
  <si>
    <t>Category</t>
  </si>
  <si>
    <t>Rates</t>
  </si>
  <si>
    <t>Amounts</t>
  </si>
  <si>
    <t xml:space="preserve">Per Unit </t>
  </si>
  <si>
    <t>10% Cap</t>
  </si>
  <si>
    <t>TOTAL VALUE</t>
  </si>
  <si>
    <t>Interim Loan</t>
  </si>
  <si>
    <t>Technology &amp; Fitness Center</t>
  </si>
  <si>
    <t>Internet</t>
  </si>
  <si>
    <t>Total Cost With 15% Profit</t>
  </si>
  <si>
    <t>Project Equity</t>
  </si>
  <si>
    <t>Permanent Loan Cash Equity</t>
  </si>
  <si>
    <t>Return on Cash Equity</t>
  </si>
  <si>
    <t>Investor Return</t>
  </si>
  <si>
    <t>Annual Cash - 50% Share</t>
  </si>
  <si>
    <t>INVESTOR SHARE</t>
  </si>
  <si>
    <t>TOTAL ANNUAL NOI</t>
  </si>
  <si>
    <t xml:space="preserve">NET ANNUAL CASH </t>
  </si>
  <si>
    <t>ANNUAL MORTGAGE COST</t>
  </si>
  <si>
    <t>PERMANENT LOAN</t>
  </si>
  <si>
    <t>INTERIM LOAN</t>
  </si>
  <si>
    <t>Construction Cost</t>
  </si>
  <si>
    <t>TOTAL PERMANENT LOAN EQUITY</t>
  </si>
  <si>
    <t>ANNUAL RETURN ON EQUITY</t>
  </si>
  <si>
    <t>Less Construction Profit -To Lender</t>
  </si>
  <si>
    <t>Bank One has stated that they will apply all reasonable construction profit to the interim loan equity.  They have also stated that 25% is typical for a for build to suit, therefore, we have used it here, but it could be reduced to !5-22%.</t>
  </si>
  <si>
    <t>Interim Interest:  8.75% rate, with 75% avg. balance and 9 month term</t>
  </si>
  <si>
    <t>Origination Points - 1.0% of Loan, Closing Costs - 0.25% of Loan</t>
  </si>
  <si>
    <t>Forward Commitment Fee Permanent Loan - 1.25% - Included in total cost for that option.</t>
  </si>
  <si>
    <t>Equity Required With No Forward Commitment</t>
  </si>
  <si>
    <t>No Forward Commitment</t>
  </si>
  <si>
    <t>Total Cost to Lender</t>
  </si>
  <si>
    <t>With Forward Commitment</t>
  </si>
  <si>
    <t>NET CASH LOAN EQUITY</t>
  </si>
  <si>
    <t>EXPECTED LOAN EQUITY</t>
  </si>
  <si>
    <t>MAXIMUM LOAN EQUITY</t>
  </si>
  <si>
    <t>Maximum Loan Equity Reflects the MINIMUM Construction Profit of 15%</t>
  </si>
  <si>
    <t>LAND COST</t>
  </si>
  <si>
    <t>IMPROVEMENTS</t>
  </si>
  <si>
    <t>75% Value</t>
  </si>
  <si>
    <t>EQUITY</t>
  </si>
  <si>
    <t>Baths/Stories/Garages</t>
  </si>
  <si>
    <t>2.5/2/0</t>
  </si>
  <si>
    <t>3.5/2/1.5</t>
  </si>
  <si>
    <t>RAW LAND</t>
  </si>
  <si>
    <t>80% Cost</t>
  </si>
  <si>
    <t>% INCOME</t>
  </si>
  <si>
    <t>PER UNIT</t>
  </si>
  <si>
    <t>COVERAGE RATIO: NOI/MORTGAGE</t>
  </si>
  <si>
    <t>Avg /Unit</t>
  </si>
  <si>
    <t>Avg /SF</t>
  </si>
  <si>
    <t>Stories/Garages</t>
  </si>
  <si>
    <t>2 / 1.5</t>
  </si>
  <si>
    <t>2 / 0</t>
  </si>
  <si>
    <t>PLAN 1213</t>
  </si>
  <si>
    <t>PLAN 1016</t>
  </si>
  <si>
    <t>P</t>
  </si>
  <si>
    <t>Mgr's Unit, Office &amp; Tech Center</t>
  </si>
  <si>
    <t>MIX  Rentable Units</t>
  </si>
  <si>
    <t>Survey &amp; Topo</t>
  </si>
  <si>
    <t>Architectural Plans</t>
  </si>
  <si>
    <t>Partnership Agreement</t>
  </si>
  <si>
    <t>PK Review of Plans</t>
  </si>
  <si>
    <t>Creekside Review of Plans</t>
  </si>
  <si>
    <t>Supervisor Start</t>
  </si>
  <si>
    <t>Bidding-Site Improvements</t>
  </si>
  <si>
    <t>Bidding-Unit Construction</t>
  </si>
  <si>
    <t>Bid Review</t>
  </si>
  <si>
    <t>Rental Offices</t>
  </si>
  <si>
    <t>Technology Center</t>
  </si>
  <si>
    <t>1 YEAR</t>
  </si>
  <si>
    <t>MIX  All Units</t>
  </si>
  <si>
    <t>Per Rental</t>
  </si>
  <si>
    <t>SF</t>
  </si>
  <si>
    <t>PROJECT TOTALS</t>
  </si>
  <si>
    <t>Appliances(W/O Washer &amp; Dryer)</t>
  </si>
  <si>
    <t>Door</t>
  </si>
  <si>
    <t>CSF</t>
  </si>
  <si>
    <t>LS</t>
  </si>
  <si>
    <t>$0.35+$200 for VinCard</t>
  </si>
  <si>
    <t>Month</t>
  </si>
  <si>
    <t>See Amenities</t>
  </si>
  <si>
    <t>See Site Work</t>
  </si>
  <si>
    <t>Optional</t>
  </si>
  <si>
    <t>Mgr. &amp; 3B</t>
  </si>
  <si>
    <t>SQ</t>
  </si>
  <si>
    <t>SF/YR</t>
  </si>
  <si>
    <t>Assume Stone &amp; Stucco Same Price.</t>
  </si>
  <si>
    <t>Foundation Design</t>
  </si>
  <si>
    <t xml:space="preserve">Architecture </t>
  </si>
  <si>
    <t>Less Construction Profit</t>
  </si>
  <si>
    <t>Land Equity</t>
  </si>
  <si>
    <t xml:space="preserve">Additional Equity </t>
  </si>
  <si>
    <t>With 80% Cost Loan</t>
  </si>
  <si>
    <t>With 75% LTV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</si>
</sst>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0.0%"/>
    <numFmt numFmtId="169" formatCode="0.000%"/>
    <numFmt numFmtId="175" formatCode="_(* #,##0.0000_);_(* \(#,##0.0000\);_(* &quot;-&quot;??_);_(@_)"/>
    <numFmt numFmtId="189" formatCode="#,##0.0_);[Red]\(#,##0.0\)"/>
    <numFmt numFmtId="196" formatCode="#,##0.0000_);[Red]\(#,##0.0000\)"/>
    <numFmt numFmtId="197" formatCode="#,##0.000_);[Red]\(#,##0.000\)"/>
    <numFmt numFmtId="200" formatCode="_(&quot;$&quot;* #,##0.00_);_(&quot;$&quot;* \(#,##0.00\);_(&quot;$&quot;* &quot;-&quot;_);_(@_)"/>
    <numFmt numFmtId="203" formatCode="_(* #,##0.00_);_(* \(#,##0.00\);_(* &quot;-&quot;_);_(@_)"/>
    <numFmt numFmtId="208" formatCode="&quot;$&quot;#,##0.0000_);[Red]\(&quot;$&quot;#,##0.0000\)"/>
    <numFmt numFmtId="210" formatCode="_(* #,##0.000_);_(* \(#,##0.000\);_(* &quot;-&quot;_);_(@_)"/>
  </numFmts>
  <fonts count="56">
    <font>
      <sz val="10"/>
      <name val="Times New Roman"/>
      <family val="1"/>
    </font>
    <font>
      <b/>
      <sz val="10"/>
      <name val="AmeriGarmnd BT"/>
      <family val="1"/>
    </font>
    <font>
      <b/>
      <sz val="10"/>
      <name val="Goudy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name val="Goudy"/>
      <family val="1"/>
    </font>
    <font>
      <sz val="9"/>
      <name val="Arial"/>
      <family val="2"/>
    </font>
    <font>
      <u/>
      <sz val="9"/>
      <name val="Abadi MT Condensed Light"/>
      <family val="2"/>
    </font>
    <font>
      <b/>
      <sz val="9"/>
      <name val="Arial"/>
    </font>
    <font>
      <u/>
      <sz val="9"/>
      <name val="Arial"/>
      <family val="2"/>
    </font>
    <font>
      <sz val="9"/>
      <name val="Arial"/>
      <family val="2"/>
    </font>
    <font>
      <b/>
      <sz val="10"/>
      <name val="AGaramond"/>
      <family val="1"/>
    </font>
    <font>
      <sz val="10"/>
      <name val="AGaramond"/>
      <family val="1"/>
    </font>
    <font>
      <b/>
      <sz val="10"/>
      <color indexed="20"/>
      <name val="AGaramond"/>
      <family val="1"/>
    </font>
    <font>
      <b/>
      <sz val="8"/>
      <color indexed="81"/>
      <name val="Tahoma"/>
    </font>
    <font>
      <b/>
      <sz val="9"/>
      <name val="Goudy"/>
      <family val="1"/>
    </font>
    <font>
      <b/>
      <u/>
      <sz val="9"/>
      <name val="Arial"/>
    </font>
    <font>
      <b/>
      <u/>
      <sz val="10"/>
      <name val="Times New Roman"/>
      <family val="1"/>
    </font>
    <font>
      <b/>
      <u/>
      <sz val="9"/>
      <name val="Times New Roman Condensed"/>
      <family val="1"/>
    </font>
    <font>
      <sz val="9"/>
      <name val="Times New Roman Condensed"/>
      <family val="1"/>
    </font>
    <font>
      <b/>
      <sz val="9"/>
      <name val="Times New Roman Condensed"/>
      <family val="1"/>
    </font>
    <font>
      <u/>
      <sz val="9"/>
      <name val="Times New Roman Condensed"/>
    </font>
    <font>
      <sz val="9"/>
      <name val="Times New Roman Condensed"/>
    </font>
    <font>
      <b/>
      <sz val="9"/>
      <name val="Times New Roman Condensed"/>
    </font>
    <font>
      <b/>
      <u/>
      <sz val="9"/>
      <name val="Times New Roman Condensed"/>
    </font>
    <font>
      <i/>
      <sz val="9"/>
      <name val="Times New Roman Condensed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sz val="9"/>
      <color indexed="10"/>
      <name val="Times New Roman"/>
      <family val="1"/>
    </font>
    <font>
      <b/>
      <u/>
      <sz val="9"/>
      <name val="Times New Roman"/>
      <family val="1"/>
    </font>
    <font>
      <sz val="10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b/>
      <i/>
      <sz val="9"/>
      <name val="Times New Roman"/>
      <family val="1"/>
    </font>
    <font>
      <b/>
      <i/>
      <u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10"/>
      <name val="Times New Roman Condensed"/>
      <family val="1"/>
    </font>
    <font>
      <b/>
      <sz val="10"/>
      <name val="Times New Roman Condensed"/>
      <family val="1"/>
    </font>
    <font>
      <b/>
      <u/>
      <sz val="10"/>
      <name val="Times New Roman Condensed"/>
      <family val="1"/>
    </font>
    <font>
      <u/>
      <sz val="10"/>
      <name val="Times New Roman Condensed"/>
      <family val="1"/>
    </font>
    <font>
      <b/>
      <i/>
      <sz val="10"/>
      <name val="Times New Roman Condensed"/>
      <family val="1"/>
    </font>
    <font>
      <i/>
      <sz val="10"/>
      <name val="Times New Roman Condensed"/>
      <family val="1"/>
    </font>
    <font>
      <b/>
      <i/>
      <u/>
      <sz val="10"/>
      <name val="Times New Roman Condensed"/>
      <family val="1"/>
    </font>
    <font>
      <b/>
      <u/>
      <sz val="12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 Condensed"/>
    </font>
    <font>
      <sz val="10"/>
      <name val="Times New Roman Condensed"/>
    </font>
    <font>
      <b/>
      <u/>
      <sz val="10"/>
      <name val="Times New Roman Condensed"/>
    </font>
  </fonts>
  <fills count="3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0"/>
      </patternFill>
    </fill>
    <fill>
      <patternFill patternType="solid">
        <fgColor indexed="2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lightUp">
        <bgColor indexed="44"/>
      </patternFill>
    </fill>
    <fill>
      <patternFill patternType="lightDown">
        <fgColor indexed="52"/>
      </patternFill>
    </fill>
    <fill>
      <patternFill patternType="solid">
        <fgColor indexed="57"/>
        <bgColor indexed="64"/>
      </patternFill>
    </fill>
    <fill>
      <patternFill patternType="lightVertical">
        <bgColor indexed="14"/>
      </patternFill>
    </fill>
    <fill>
      <patternFill patternType="lightUp">
        <fgColor indexed="9"/>
        <bgColor indexed="20"/>
      </patternFill>
    </fill>
    <fill>
      <patternFill patternType="darkTrellis">
        <bgColor indexed="50"/>
      </patternFill>
    </fill>
    <fill>
      <patternFill patternType="solid">
        <fgColor indexed="51"/>
        <bgColor indexed="64"/>
      </patternFill>
    </fill>
    <fill>
      <patternFill patternType="darkGray">
        <fgColor indexed="9"/>
        <bgColor indexed="12"/>
      </patternFill>
    </fill>
    <fill>
      <patternFill patternType="solid">
        <fgColor indexed="25"/>
        <bgColor indexed="64"/>
      </patternFill>
    </fill>
    <fill>
      <patternFill patternType="lightVertical">
        <bgColor indexed="55"/>
      </patternFill>
    </fill>
    <fill>
      <patternFill patternType="gray125">
        <bgColor indexed="46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Trellis">
        <bgColor indexed="42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38" fontId="0" fillId="0" borderId="0">
      <alignment vertical="center"/>
    </xf>
    <xf numFmtId="38" fontId="23" fillId="0" borderId="0" applyNumberFormat="0" applyFill="0" applyBorder="0" applyAlignment="0" applyProtection="0">
      <alignment vertical="center"/>
    </xf>
    <xf numFmtId="38" fontId="23" fillId="0" borderId="0" applyNumberFormat="0" applyFill="0" applyBorder="0" applyAlignment="0" applyProtection="0">
      <alignment vertical="center"/>
    </xf>
    <xf numFmtId="0" fontId="1" fillId="0" borderId="1" applyNumberFormat="0" applyFill="0" applyBorder="0" applyAlignment="0" applyProtection="0">
      <protection locked="0"/>
    </xf>
    <xf numFmtId="43" fontId="4" fillId="0" borderId="0" applyFill="0" applyBorder="0" applyAlignment="0" applyProtection="0"/>
    <xf numFmtId="41" fontId="4" fillId="0" borderId="0" applyFill="0" applyBorder="0" applyAlignment="0" applyProtection="0"/>
    <xf numFmtId="8" fontId="25" fillId="0" borderId="0" applyAlignment="0">
      <alignment vertical="center"/>
    </xf>
    <xf numFmtId="44" fontId="4" fillId="0" borderId="0" applyFill="0" applyBorder="0" applyAlignment="0" applyProtection="0"/>
    <xf numFmtId="42" fontId="25" fillId="0" borderId="0" applyFill="0" applyBorder="0" applyAlignment="0" applyProtection="0"/>
    <xf numFmtId="0" fontId="3" fillId="0" borderId="2" applyBorder="0">
      <alignment horizontal="center"/>
    </xf>
    <xf numFmtId="0" fontId="18" fillId="0" borderId="0" applyNumberFormat="0" applyFill="0" applyBorder="0" applyProtection="0">
      <alignment horizontal="center"/>
    </xf>
    <xf numFmtId="0" fontId="2" fillId="0" borderId="3"/>
    <xf numFmtId="10" fontId="22" fillId="0" borderId="0">
      <alignment vertical="center"/>
    </xf>
  </cellStyleXfs>
  <cellXfs count="490">
    <xf numFmtId="38" fontId="0" fillId="0" borderId="0" xfId="0">
      <alignment vertical="center"/>
    </xf>
    <xf numFmtId="10" fontId="22" fillId="0" borderId="0" xfId="12">
      <alignment vertical="center"/>
    </xf>
    <xf numFmtId="44" fontId="5" fillId="0" borderId="4" xfId="7" applyFont="1" applyBorder="1"/>
    <xf numFmtId="165" fontId="5" fillId="0" borderId="4" xfId="7" applyNumberFormat="1" applyFont="1" applyBorder="1"/>
    <xf numFmtId="0" fontId="6" fillId="0" borderId="0" xfId="10" applyFont="1" applyFill="1" applyBorder="1" applyProtection="1">
      <alignment horizontal="center"/>
      <protection locked="0"/>
    </xf>
    <xf numFmtId="0" fontId="6" fillId="0" borderId="0" xfId="10" applyFont="1" applyFill="1" applyBorder="1" applyAlignment="1" applyProtection="1">
      <alignment horizontal="center" wrapText="1"/>
      <protection locked="0"/>
    </xf>
    <xf numFmtId="0" fontId="7" fillId="0" borderId="0" xfId="10" applyFont="1" applyFill="1" applyBorder="1" applyAlignment="1" applyProtection="1">
      <alignment horizontal="center" wrapText="1"/>
      <protection locked="0"/>
    </xf>
    <xf numFmtId="167" fontId="7" fillId="0" borderId="0" xfId="4" applyNumberFormat="1" applyFont="1" applyFill="1" applyBorder="1" applyAlignment="1" applyProtection="1">
      <alignment horizontal="center" wrapText="1"/>
      <protection locked="0"/>
    </xf>
    <xf numFmtId="38" fontId="7" fillId="0" borderId="0" xfId="0" applyFont="1">
      <alignment vertical="center"/>
    </xf>
    <xf numFmtId="10" fontId="7" fillId="0" borderId="0" xfId="12" applyNumberFormat="1" applyFont="1">
      <alignment vertical="center"/>
    </xf>
    <xf numFmtId="167" fontId="7" fillId="0" borderId="0" xfId="0" applyNumberFormat="1" applyFont="1">
      <alignment vertical="center"/>
    </xf>
    <xf numFmtId="44" fontId="7" fillId="0" borderId="0" xfId="7" applyFont="1"/>
    <xf numFmtId="43" fontId="7" fillId="0" borderId="0" xfId="4" applyFont="1"/>
    <xf numFmtId="0" fontId="7" fillId="0" borderId="0" xfId="10" applyFont="1" applyFill="1" applyBorder="1" applyProtection="1">
      <alignment horizontal="center"/>
      <protection locked="0"/>
    </xf>
    <xf numFmtId="38" fontId="5" fillId="0" borderId="4" xfId="0" applyFont="1" applyBorder="1">
      <alignment vertical="center"/>
    </xf>
    <xf numFmtId="10" fontId="5" fillId="0" borderId="4" xfId="12" applyNumberFormat="1" applyFont="1" applyBorder="1">
      <alignment vertical="center"/>
    </xf>
    <xf numFmtId="167" fontId="7" fillId="0" borderId="0" xfId="0" applyNumberFormat="1" applyFont="1" applyFill="1">
      <alignment vertical="center"/>
    </xf>
    <xf numFmtId="38" fontId="7" fillId="0" borderId="0" xfId="0" applyFont="1" applyFill="1">
      <alignment vertical="center"/>
    </xf>
    <xf numFmtId="40" fontId="7" fillId="0" borderId="0" xfId="0" applyNumberFormat="1" applyFont="1">
      <alignment vertical="center"/>
    </xf>
    <xf numFmtId="38" fontId="7" fillId="0" borderId="0" xfId="0" applyNumberFormat="1" applyFont="1">
      <alignment vertical="center"/>
    </xf>
    <xf numFmtId="38" fontId="4" fillId="0" borderId="0" xfId="0" applyFont="1">
      <alignment vertical="center"/>
    </xf>
    <xf numFmtId="44" fontId="5" fillId="0" borderId="5" xfId="7" applyFont="1" applyBorder="1"/>
    <xf numFmtId="165" fontId="5" fillId="0" borderId="5" xfId="7" applyNumberFormat="1" applyFont="1" applyBorder="1"/>
    <xf numFmtId="38" fontId="5" fillId="0" borderId="0" xfId="0" applyFont="1">
      <alignment vertical="center"/>
    </xf>
    <xf numFmtId="38" fontId="7" fillId="0" borderId="0" xfId="0" applyFont="1" applyFill="1" applyBorder="1">
      <alignment vertical="center"/>
    </xf>
    <xf numFmtId="38" fontId="5" fillId="0" borderId="0" xfId="0" applyFont="1" applyFill="1">
      <alignment vertical="center"/>
    </xf>
    <xf numFmtId="38" fontId="5" fillId="0" borderId="5" xfId="0" applyFont="1" applyBorder="1">
      <alignment vertical="center"/>
    </xf>
    <xf numFmtId="38" fontId="6" fillId="0" borderId="0" xfId="0" applyFont="1">
      <alignment vertical="center"/>
    </xf>
    <xf numFmtId="38" fontId="7" fillId="0" borderId="6" xfId="0" applyFont="1" applyBorder="1">
      <alignment vertical="center"/>
    </xf>
    <xf numFmtId="38" fontId="6" fillId="0" borderId="0" xfId="0" applyFont="1" applyAlignment="1">
      <alignment horizontal="center"/>
    </xf>
    <xf numFmtId="38" fontId="7" fillId="0" borderId="7" xfId="0" applyFont="1" applyBorder="1">
      <alignment vertical="center"/>
    </xf>
    <xf numFmtId="44" fontId="4" fillId="0" borderId="0" xfId="7" applyFont="1"/>
    <xf numFmtId="10" fontId="8" fillId="0" borderId="0" xfId="12" applyFont="1">
      <alignment vertical="center"/>
    </xf>
    <xf numFmtId="43" fontId="9" fillId="0" borderId="0" xfId="4" applyFont="1"/>
    <xf numFmtId="38" fontId="9" fillId="0" borderId="0" xfId="0" applyNumberFormat="1" applyFont="1">
      <alignment vertical="center"/>
    </xf>
    <xf numFmtId="167" fontId="9" fillId="0" borderId="0" xfId="4" applyNumberFormat="1" applyFont="1"/>
    <xf numFmtId="38" fontId="9" fillId="0" borderId="0" xfId="0" applyFont="1">
      <alignment vertical="center"/>
    </xf>
    <xf numFmtId="8" fontId="5" fillId="0" borderId="5" xfId="7" applyNumberFormat="1" applyFont="1" applyBorder="1"/>
    <xf numFmtId="8" fontId="5" fillId="0" borderId="8" xfId="7" applyNumberFormat="1" applyFont="1" applyBorder="1"/>
    <xf numFmtId="165" fontId="7" fillId="0" borderId="0" xfId="7" applyNumberFormat="1" applyFont="1"/>
    <xf numFmtId="41" fontId="7" fillId="0" borderId="0" xfId="5" applyFont="1"/>
    <xf numFmtId="167" fontId="7" fillId="0" borderId="0" xfId="4" applyNumberFormat="1" applyFont="1"/>
    <xf numFmtId="165" fontId="7" fillId="0" borderId="6" xfId="7" applyNumberFormat="1" applyFont="1" applyBorder="1"/>
    <xf numFmtId="44" fontId="7" fillId="0" borderId="6" xfId="7" applyNumberFormat="1" applyFont="1" applyBorder="1"/>
    <xf numFmtId="44" fontId="7" fillId="0" borderId="7" xfId="7" applyFont="1" applyBorder="1"/>
    <xf numFmtId="6" fontId="5" fillId="0" borderId="5" xfId="7" applyNumberFormat="1" applyFont="1" applyBorder="1"/>
    <xf numFmtId="38" fontId="5" fillId="0" borderId="6" xfId="0" applyFont="1" applyBorder="1">
      <alignment vertical="center"/>
    </xf>
    <xf numFmtId="165" fontId="5" fillId="0" borderId="6" xfId="7" applyNumberFormat="1" applyFont="1" applyBorder="1"/>
    <xf numFmtId="44" fontId="5" fillId="0" borderId="6" xfId="7" applyFont="1" applyBorder="1"/>
    <xf numFmtId="8" fontId="5" fillId="0" borderId="6" xfId="7" applyNumberFormat="1" applyFont="1" applyBorder="1"/>
    <xf numFmtId="6" fontId="5" fillId="0" borderId="6" xfId="7" applyNumberFormat="1" applyFont="1" applyBorder="1"/>
    <xf numFmtId="38" fontId="4" fillId="0" borderId="0" xfId="0" applyFont="1" applyFill="1">
      <alignment vertical="center"/>
    </xf>
    <xf numFmtId="38" fontId="9" fillId="0" borderId="0" xfId="0" applyFont="1" applyFill="1">
      <alignment vertical="center"/>
    </xf>
    <xf numFmtId="38" fontId="5" fillId="2" borderId="9" xfId="0" applyFont="1" applyFill="1" applyBorder="1">
      <alignment vertical="center"/>
    </xf>
    <xf numFmtId="38" fontId="7" fillId="2" borderId="10" xfId="0" applyFont="1" applyFill="1" applyBorder="1">
      <alignment vertical="center"/>
    </xf>
    <xf numFmtId="38" fontId="7" fillId="2" borderId="11" xfId="0" applyFont="1" applyFill="1" applyBorder="1">
      <alignment vertical="center"/>
    </xf>
    <xf numFmtId="49" fontId="7" fillId="0" borderId="0" xfId="0" applyNumberFormat="1" applyFont="1" applyAlignment="1">
      <alignment horizontal="center"/>
    </xf>
    <xf numFmtId="0" fontId="10" fillId="0" borderId="0" xfId="10" applyFont="1" applyFill="1" applyBorder="1" applyAlignment="1" applyProtection="1">
      <alignment horizontal="center" wrapText="1"/>
      <protection locked="0"/>
    </xf>
    <xf numFmtId="38" fontId="5" fillId="0" borderId="0" xfId="0" applyFont="1" applyAlignment="1">
      <alignment horizontal="center"/>
    </xf>
    <xf numFmtId="0" fontId="6" fillId="3" borderId="0" xfId="10" applyFont="1" applyFill="1" applyBorder="1" applyAlignment="1" applyProtection="1">
      <alignment horizontal="center" wrapText="1"/>
      <protection locked="0"/>
    </xf>
    <xf numFmtId="168" fontId="7" fillId="0" borderId="0" xfId="0" applyNumberFormat="1" applyFont="1" applyFill="1" applyBorder="1" applyAlignment="1" applyProtection="1">
      <alignment horizontal="center"/>
      <protection locked="0"/>
    </xf>
    <xf numFmtId="167" fontId="7" fillId="0" borderId="0" xfId="4" applyNumberFormat="1" applyFont="1" applyAlignment="1">
      <alignment horizontal="center"/>
    </xf>
    <xf numFmtId="42" fontId="7" fillId="0" borderId="0" xfId="8" applyFont="1"/>
    <xf numFmtId="38" fontId="7" fillId="4" borderId="0" xfId="0" applyNumberFormat="1" applyFont="1" applyFill="1">
      <alignment vertical="center"/>
    </xf>
    <xf numFmtId="49" fontId="7" fillId="0" borderId="0" xfId="0" applyNumberFormat="1" applyFont="1">
      <alignment vertical="center"/>
    </xf>
    <xf numFmtId="167" fontId="7" fillId="5" borderId="12" xfId="4" applyNumberFormat="1" applyFont="1" applyFill="1" applyBorder="1" applyAlignment="1">
      <alignment horizontal="center"/>
    </xf>
    <xf numFmtId="167" fontId="5" fillId="6" borderId="0" xfId="4" applyNumberFormat="1" applyFont="1" applyFill="1" applyAlignment="1">
      <alignment horizontal="center"/>
    </xf>
    <xf numFmtId="38" fontId="7" fillId="0" borderId="0" xfId="0" applyFont="1" applyAlignment="1">
      <alignment horizontal="center"/>
    </xf>
    <xf numFmtId="38" fontId="7" fillId="7" borderId="0" xfId="0" applyNumberFormat="1" applyFont="1" applyFill="1">
      <alignment vertical="center"/>
    </xf>
    <xf numFmtId="38" fontId="7" fillId="8" borderId="0" xfId="0" applyNumberFormat="1" applyFont="1" applyFill="1">
      <alignment vertical="center"/>
    </xf>
    <xf numFmtId="38" fontId="9" fillId="4" borderId="0" xfId="0" applyNumberFormat="1" applyFont="1" applyFill="1">
      <alignment vertical="center"/>
    </xf>
    <xf numFmtId="49" fontId="9" fillId="0" borderId="0" xfId="0" applyNumberFormat="1" applyFont="1">
      <alignment vertical="center"/>
    </xf>
    <xf numFmtId="10" fontId="9" fillId="0" borderId="0" xfId="12" applyNumberFormat="1" applyFont="1">
      <alignment vertical="center"/>
    </xf>
    <xf numFmtId="167" fontId="9" fillId="0" borderId="0" xfId="0" applyNumberFormat="1" applyFont="1">
      <alignment vertical="center"/>
    </xf>
    <xf numFmtId="168" fontId="9" fillId="0" borderId="0" xfId="0" applyNumberFormat="1" applyFont="1" applyFill="1" applyBorder="1" applyAlignment="1" applyProtection="1">
      <alignment horizontal="center"/>
      <protection locked="0"/>
    </xf>
    <xf numFmtId="167" fontId="9" fillId="0" borderId="0" xfId="4" applyNumberFormat="1" applyFont="1" applyAlignment="1">
      <alignment horizontal="center"/>
    </xf>
    <xf numFmtId="38" fontId="7" fillId="0" borderId="0" xfId="0" applyNumberFormat="1" applyFont="1" applyFill="1">
      <alignment vertical="center"/>
    </xf>
    <xf numFmtId="175" fontId="7" fillId="0" borderId="0" xfId="4" applyNumberFormat="1" applyFont="1"/>
    <xf numFmtId="167" fontId="7" fillId="6" borderId="12" xfId="4" applyNumberFormat="1" applyFont="1" applyFill="1" applyBorder="1" applyAlignment="1">
      <alignment horizontal="center"/>
    </xf>
    <xf numFmtId="197" fontId="7" fillId="0" borderId="0" xfId="0" applyNumberFormat="1" applyFont="1">
      <alignment vertical="center"/>
    </xf>
    <xf numFmtId="38" fontId="7" fillId="0" borderId="4" xfId="0" applyFont="1" applyFill="1" applyBorder="1">
      <alignment vertical="center"/>
    </xf>
    <xf numFmtId="10" fontId="5" fillId="0" borderId="5" xfId="7" applyNumberFormat="1" applyFont="1" applyBorder="1"/>
    <xf numFmtId="10" fontId="7" fillId="0" borderId="5" xfId="7" applyNumberFormat="1" applyFont="1" applyBorder="1" applyAlignment="1">
      <alignment horizontal="center"/>
    </xf>
    <xf numFmtId="43" fontId="11" fillId="0" borderId="5" xfId="4" applyFont="1" applyFill="1" applyBorder="1"/>
    <xf numFmtId="8" fontId="5" fillId="0" borderId="0" xfId="7" applyNumberFormat="1" applyFont="1" applyBorder="1"/>
    <xf numFmtId="8" fontId="5" fillId="4" borderId="0" xfId="7" applyNumberFormat="1" applyFont="1" applyFill="1" applyBorder="1"/>
    <xf numFmtId="38" fontId="12" fillId="0" borderId="0" xfId="0" applyFont="1" applyAlignment="1">
      <alignment horizontal="center"/>
    </xf>
    <xf numFmtId="38" fontId="13" fillId="0" borderId="0" xfId="0" applyFont="1">
      <alignment vertical="center"/>
    </xf>
    <xf numFmtId="38" fontId="13" fillId="0" borderId="0" xfId="0" applyFont="1" applyFill="1">
      <alignment vertical="center"/>
    </xf>
    <xf numFmtId="10" fontId="5" fillId="0" borderId="6" xfId="7" applyNumberFormat="1" applyFont="1" applyBorder="1"/>
    <xf numFmtId="10" fontId="7" fillId="0" borderId="6" xfId="7" applyNumberFormat="1" applyFont="1" applyBorder="1" applyAlignment="1">
      <alignment horizontal="center"/>
    </xf>
    <xf numFmtId="43" fontId="11" fillId="0" borderId="6" xfId="4" applyFont="1" applyFill="1" applyBorder="1"/>
    <xf numFmtId="165" fontId="7" fillId="0" borderId="7" xfId="7" applyNumberFormat="1" applyFont="1" applyBorder="1"/>
    <xf numFmtId="44" fontId="7" fillId="0" borderId="6" xfId="7" applyFont="1" applyBorder="1"/>
    <xf numFmtId="38" fontId="12" fillId="0" borderId="0" xfId="0" applyFont="1">
      <alignment vertical="center"/>
    </xf>
    <xf numFmtId="167" fontId="4" fillId="0" borderId="0" xfId="4" applyNumberFormat="1" applyFont="1"/>
    <xf numFmtId="40" fontId="4" fillId="0" borderId="0" xfId="0" applyNumberFormat="1" applyFont="1">
      <alignment vertical="center"/>
    </xf>
    <xf numFmtId="38" fontId="14" fillId="0" borderId="0" xfId="0" applyFont="1">
      <alignment vertical="center"/>
    </xf>
    <xf numFmtId="38" fontId="14" fillId="0" borderId="0" xfId="0" applyFont="1" applyAlignment="1">
      <alignment horizontal="centerContinuous"/>
    </xf>
    <xf numFmtId="38" fontId="14" fillId="0" borderId="13" xfId="0" applyFont="1" applyBorder="1" applyAlignment="1">
      <alignment horizontal="left"/>
    </xf>
    <xf numFmtId="38" fontId="14" fillId="0" borderId="0" xfId="0" applyFont="1" applyBorder="1" applyAlignment="1">
      <alignment horizontal="center"/>
    </xf>
    <xf numFmtId="38" fontId="15" fillId="9" borderId="14" xfId="0" applyFont="1" applyFill="1" applyBorder="1">
      <alignment vertical="center"/>
    </xf>
    <xf numFmtId="38" fontId="15" fillId="9" borderId="15" xfId="0" applyFont="1" applyFill="1" applyBorder="1">
      <alignment vertical="center"/>
    </xf>
    <xf numFmtId="165" fontId="15" fillId="9" borderId="15" xfId="0" applyNumberFormat="1" applyFont="1" applyFill="1" applyBorder="1">
      <alignment vertical="center"/>
    </xf>
    <xf numFmtId="8" fontId="15" fillId="9" borderId="15" xfId="0" applyNumberFormat="1" applyFont="1" applyFill="1" applyBorder="1">
      <alignment vertical="center"/>
    </xf>
    <xf numFmtId="38" fontId="15" fillId="9" borderId="0" xfId="0" applyFont="1" applyFill="1">
      <alignment vertical="center"/>
    </xf>
    <xf numFmtId="38" fontId="15" fillId="9" borderId="16" xfId="0" applyFont="1" applyFill="1" applyBorder="1">
      <alignment vertical="center"/>
    </xf>
    <xf numFmtId="38" fontId="15" fillId="9" borderId="17" xfId="0" applyFont="1" applyFill="1" applyBorder="1">
      <alignment vertical="center"/>
    </xf>
    <xf numFmtId="38" fontId="15" fillId="9" borderId="0" xfId="0" applyFont="1" applyFill="1" applyBorder="1">
      <alignment vertical="center"/>
    </xf>
    <xf numFmtId="165" fontId="15" fillId="9" borderId="0" xfId="0" applyNumberFormat="1" applyFont="1" applyFill="1" applyBorder="1">
      <alignment vertical="center"/>
    </xf>
    <xf numFmtId="8" fontId="15" fillId="9" borderId="0" xfId="0" applyNumberFormat="1" applyFont="1" applyFill="1" applyBorder="1">
      <alignment vertical="center"/>
    </xf>
    <xf numFmtId="38" fontId="15" fillId="9" borderId="18" xfId="0" applyFont="1" applyFill="1" applyBorder="1">
      <alignment vertical="center"/>
    </xf>
    <xf numFmtId="38" fontId="14" fillId="9" borderId="19" xfId="0" applyFont="1" applyFill="1" applyBorder="1">
      <alignment vertical="center"/>
    </xf>
    <xf numFmtId="38" fontId="14" fillId="9" borderId="20" xfId="0" applyFont="1" applyFill="1" applyBorder="1">
      <alignment vertical="center"/>
    </xf>
    <xf numFmtId="165" fontId="14" fillId="9" borderId="20" xfId="0" applyNumberFormat="1" applyFont="1" applyFill="1" applyBorder="1">
      <alignment vertical="center"/>
    </xf>
    <xf numFmtId="8" fontId="14" fillId="9" borderId="20" xfId="0" applyNumberFormat="1" applyFont="1" applyFill="1" applyBorder="1">
      <alignment vertical="center"/>
    </xf>
    <xf numFmtId="167" fontId="14" fillId="9" borderId="20" xfId="0" applyNumberFormat="1" applyFont="1" applyFill="1" applyBorder="1">
      <alignment vertical="center"/>
    </xf>
    <xf numFmtId="43" fontId="14" fillId="9" borderId="20" xfId="0" applyNumberFormat="1" applyFont="1" applyFill="1" applyBorder="1">
      <alignment vertical="center"/>
    </xf>
    <xf numFmtId="38" fontId="14" fillId="9" borderId="21" xfId="0" applyFont="1" applyFill="1" applyBorder="1">
      <alignment vertical="center"/>
    </xf>
    <xf numFmtId="38" fontId="14" fillId="9" borderId="0" xfId="0" applyFont="1" applyFill="1">
      <alignment vertical="center"/>
    </xf>
    <xf numFmtId="165" fontId="15" fillId="0" borderId="0" xfId="7" applyNumberFormat="1" applyFont="1"/>
    <xf numFmtId="44" fontId="15" fillId="0" borderId="0" xfId="7" applyFont="1"/>
    <xf numFmtId="165" fontId="14" fillId="0" borderId="0" xfId="0" applyNumberFormat="1" applyFont="1">
      <alignment vertical="center"/>
    </xf>
    <xf numFmtId="38" fontId="16" fillId="0" borderId="14" xfId="0" applyFont="1" applyBorder="1">
      <alignment vertical="center"/>
    </xf>
    <xf numFmtId="38" fontId="16" fillId="0" borderId="15" xfId="0" applyFont="1" applyBorder="1">
      <alignment vertical="center"/>
    </xf>
    <xf numFmtId="165" fontId="16" fillId="0" borderId="15" xfId="7" applyNumberFormat="1" applyFont="1" applyBorder="1"/>
    <xf numFmtId="44" fontId="16" fillId="0" borderId="15" xfId="7" applyFont="1" applyBorder="1"/>
    <xf numFmtId="165" fontId="16" fillId="0" borderId="15" xfId="0" applyNumberFormat="1" applyFont="1" applyBorder="1">
      <alignment vertical="center"/>
    </xf>
    <xf numFmtId="165" fontId="16" fillId="0" borderId="16" xfId="0" applyNumberFormat="1" applyFont="1" applyBorder="1">
      <alignment vertical="center"/>
    </xf>
    <xf numFmtId="38" fontId="16" fillId="0" borderId="19" xfId="0" applyFont="1" applyBorder="1">
      <alignment vertical="center"/>
    </xf>
    <xf numFmtId="38" fontId="16" fillId="0" borderId="20" xfId="0" applyFont="1" applyBorder="1">
      <alignment vertical="center"/>
    </xf>
    <xf numFmtId="165" fontId="16" fillId="0" borderId="20" xfId="7" applyNumberFormat="1" applyFont="1" applyBorder="1"/>
    <xf numFmtId="44" fontId="16" fillId="0" borderId="20" xfId="7" applyFont="1" applyBorder="1"/>
    <xf numFmtId="165" fontId="16" fillId="0" borderId="20" xfId="0" applyNumberFormat="1" applyFont="1" applyBorder="1">
      <alignment vertical="center"/>
    </xf>
    <xf numFmtId="165" fontId="16" fillId="0" borderId="21" xfId="0" applyNumberFormat="1" applyFont="1" applyBorder="1">
      <alignment vertical="center"/>
    </xf>
    <xf numFmtId="40" fontId="14" fillId="0" borderId="0" xfId="0" applyNumberFormat="1" applyFont="1">
      <alignment vertical="center"/>
    </xf>
    <xf numFmtId="38" fontId="7" fillId="0" borderId="0" xfId="4" applyNumberFormat="1" applyFont="1"/>
    <xf numFmtId="38" fontId="7" fillId="0" borderId="0" xfId="5" applyNumberFormat="1" applyFont="1"/>
    <xf numFmtId="38" fontId="8" fillId="0" borderId="0" xfId="12" applyNumberFormat="1" applyFont="1">
      <alignment vertical="center"/>
    </xf>
    <xf numFmtId="38" fontId="9" fillId="0" borderId="0" xfId="4" applyNumberFormat="1" applyFont="1"/>
    <xf numFmtId="38" fontId="9" fillId="0" borderId="0" xfId="5" applyNumberFormat="1" applyFont="1"/>
    <xf numFmtId="4" fontId="7" fillId="0" borderId="0" xfId="4" applyNumberFormat="1" applyFont="1"/>
    <xf numFmtId="4" fontId="9" fillId="0" borderId="0" xfId="4" applyNumberFormat="1" applyFont="1"/>
    <xf numFmtId="38" fontId="4" fillId="0" borderId="0" xfId="0" applyFont="1" applyAlignment="1">
      <alignment wrapText="1"/>
    </xf>
    <xf numFmtId="38" fontId="0" fillId="9" borderId="0" xfId="0" applyFill="1">
      <alignment vertical="center"/>
    </xf>
    <xf numFmtId="167" fontId="4" fillId="0" borderId="0" xfId="4" applyNumberFormat="1"/>
    <xf numFmtId="38" fontId="0" fillId="10" borderId="0" xfId="0" applyFill="1">
      <alignment vertical="center"/>
    </xf>
    <xf numFmtId="38" fontId="0" fillId="5" borderId="0" xfId="0" applyFill="1">
      <alignment vertical="center"/>
    </xf>
    <xf numFmtId="38" fontId="0" fillId="11" borderId="0" xfId="0" applyFill="1">
      <alignment vertical="center"/>
    </xf>
    <xf numFmtId="38" fontId="0" fillId="12" borderId="0" xfId="0" applyFill="1">
      <alignment vertical="center"/>
    </xf>
    <xf numFmtId="38" fontId="0" fillId="13" borderId="0" xfId="0" applyFill="1">
      <alignment vertical="center"/>
    </xf>
    <xf numFmtId="38" fontId="0" fillId="14" borderId="0" xfId="0" applyFill="1">
      <alignment vertical="center"/>
    </xf>
    <xf numFmtId="17" fontId="19" fillId="0" borderId="0" xfId="0" applyNumberFormat="1" applyFont="1" applyAlignment="1">
      <alignment horizontal="center" vertical="center" textRotation="45"/>
    </xf>
    <xf numFmtId="38" fontId="21" fillId="0" borderId="0" xfId="0" applyFont="1">
      <alignment vertical="center"/>
    </xf>
    <xf numFmtId="15" fontId="20" fillId="0" borderId="0" xfId="9" applyNumberFormat="1" applyFont="1" applyBorder="1" applyAlignment="1">
      <alignment horizontal="center" vertical="center" textRotation="45"/>
    </xf>
    <xf numFmtId="40" fontId="0" fillId="0" borderId="0" xfId="0" applyNumberFormat="1">
      <alignment vertical="center"/>
    </xf>
    <xf numFmtId="38" fontId="0" fillId="15" borderId="0" xfId="0" applyFill="1">
      <alignment vertical="center"/>
    </xf>
    <xf numFmtId="38" fontId="0" fillId="16" borderId="0" xfId="0" applyFill="1">
      <alignment vertical="center"/>
    </xf>
    <xf numFmtId="38" fontId="0" fillId="17" borderId="0" xfId="0" applyFill="1">
      <alignment vertical="center"/>
    </xf>
    <xf numFmtId="38" fontId="0" fillId="7" borderId="0" xfId="0" applyFill="1">
      <alignment vertical="center"/>
    </xf>
    <xf numFmtId="42" fontId="25" fillId="0" borderId="0" xfId="8" applyAlignment="1">
      <alignment vertical="center"/>
    </xf>
    <xf numFmtId="38" fontId="0" fillId="0" borderId="0" xfId="0" applyAlignment="1">
      <alignment horizontal="left" vertical="center" indent="1"/>
    </xf>
    <xf numFmtId="38" fontId="25" fillId="0" borderId="0" xfId="0" applyFont="1">
      <alignment vertical="center"/>
    </xf>
    <xf numFmtId="42" fontId="25" fillId="0" borderId="0" xfId="8" applyFont="1" applyAlignment="1">
      <alignment vertical="center"/>
    </xf>
    <xf numFmtId="38" fontId="26" fillId="0" borderId="0" xfId="0" applyFont="1">
      <alignment vertical="center"/>
    </xf>
    <xf numFmtId="38" fontId="27" fillId="0" borderId="0" xfId="0" applyFont="1">
      <alignment vertical="center"/>
    </xf>
    <xf numFmtId="38" fontId="27" fillId="0" borderId="0" xfId="0" applyFont="1" applyAlignment="1">
      <alignment horizontal="center" vertical="center"/>
    </xf>
    <xf numFmtId="168" fontId="22" fillId="0" borderId="0" xfId="12" applyNumberFormat="1">
      <alignment vertical="center"/>
    </xf>
    <xf numFmtId="8" fontId="25" fillId="0" borderId="0" xfId="6">
      <alignment vertical="center"/>
    </xf>
    <xf numFmtId="168" fontId="22" fillId="0" borderId="0" xfId="12" applyNumberFormat="1" applyFont="1">
      <alignment vertical="center"/>
    </xf>
    <xf numFmtId="168" fontId="0" fillId="0" borderId="0" xfId="0" applyNumberFormat="1">
      <alignment vertical="center"/>
    </xf>
    <xf numFmtId="38" fontId="27" fillId="0" borderId="0" xfId="0" applyFont="1" applyAlignment="1">
      <alignment horizontal="left" vertical="center"/>
    </xf>
    <xf numFmtId="38" fontId="22" fillId="0" borderId="0" xfId="0" applyFont="1">
      <alignment vertical="center"/>
    </xf>
    <xf numFmtId="42" fontId="22" fillId="0" borderId="0" xfId="8" applyFont="1" applyAlignment="1">
      <alignment vertical="center"/>
    </xf>
    <xf numFmtId="8" fontId="22" fillId="0" borderId="0" xfId="6" applyFont="1">
      <alignment vertical="center"/>
    </xf>
    <xf numFmtId="38" fontId="23" fillId="0" borderId="0" xfId="0" applyFont="1">
      <alignment vertical="center"/>
    </xf>
    <xf numFmtId="168" fontId="23" fillId="0" borderId="0" xfId="12" applyNumberFormat="1" applyFont="1">
      <alignment vertical="center"/>
    </xf>
    <xf numFmtId="42" fontId="23" fillId="0" borderId="0" xfId="8" applyFont="1" applyAlignment="1">
      <alignment vertical="center"/>
    </xf>
    <xf numFmtId="8" fontId="23" fillId="0" borderId="0" xfId="6" applyFont="1">
      <alignment vertical="center"/>
    </xf>
    <xf numFmtId="38" fontId="26" fillId="0" borderId="22" xfId="0" applyFont="1" applyBorder="1">
      <alignment vertical="center"/>
    </xf>
    <xf numFmtId="38" fontId="26" fillId="0" borderId="7" xfId="0" applyFont="1" applyBorder="1">
      <alignment vertical="center"/>
    </xf>
    <xf numFmtId="6" fontId="26" fillId="0" borderId="7" xfId="6" applyNumberFormat="1" applyFont="1" applyBorder="1">
      <alignment vertical="center"/>
    </xf>
    <xf numFmtId="168" fontId="26" fillId="0" borderId="7" xfId="12" applyNumberFormat="1" applyFont="1" applyBorder="1">
      <alignment vertical="center"/>
    </xf>
    <xf numFmtId="8" fontId="26" fillId="0" borderId="23" xfId="6" applyFont="1" applyBorder="1">
      <alignment vertical="center"/>
    </xf>
    <xf numFmtId="168" fontId="26" fillId="0" borderId="7" xfId="0" applyNumberFormat="1" applyFont="1" applyBorder="1">
      <alignment vertical="center"/>
    </xf>
    <xf numFmtId="42" fontId="26" fillId="0" borderId="7" xfId="8" applyFont="1" applyBorder="1" applyAlignment="1">
      <alignment vertical="center"/>
    </xf>
    <xf numFmtId="38" fontId="0" fillId="0" borderId="7" xfId="0" applyBorder="1">
      <alignment vertical="center"/>
    </xf>
    <xf numFmtId="10" fontId="23" fillId="0" borderId="23" xfId="12" applyFont="1" applyBorder="1">
      <alignment vertical="center"/>
    </xf>
    <xf numFmtId="42" fontId="23" fillId="0" borderId="23" xfId="8" applyFont="1" applyBorder="1" applyAlignment="1">
      <alignment vertical="center"/>
    </xf>
    <xf numFmtId="38" fontId="23" fillId="0" borderId="22" xfId="0" applyFont="1" applyBorder="1">
      <alignment vertical="center"/>
    </xf>
    <xf numFmtId="168" fontId="23" fillId="0" borderId="7" xfId="12" applyNumberFormat="1" applyFont="1" applyBorder="1">
      <alignment vertical="center"/>
    </xf>
    <xf numFmtId="38" fontId="23" fillId="0" borderId="0" xfId="1">
      <alignment vertical="center"/>
    </xf>
    <xf numFmtId="38" fontId="3" fillId="0" borderId="0" xfId="10" applyNumberFormat="1" applyFont="1" applyFill="1" applyBorder="1" applyAlignment="1">
      <alignment horizontal="left" vertical="center"/>
    </xf>
    <xf numFmtId="38" fontId="3" fillId="0" borderId="0" xfId="10" applyNumberFormat="1" applyFont="1" applyFill="1" applyBorder="1" applyAlignment="1">
      <alignment horizontal="center" vertical="center"/>
    </xf>
    <xf numFmtId="38" fontId="3" fillId="0" borderId="0" xfId="0" applyFont="1" applyFill="1" applyBorder="1" applyAlignment="1">
      <alignment vertical="center"/>
    </xf>
    <xf numFmtId="38" fontId="3" fillId="0" borderId="0" xfId="0" applyFont="1" applyBorder="1">
      <alignment vertical="center"/>
    </xf>
    <xf numFmtId="38" fontId="3" fillId="0" borderId="0" xfId="0" applyFont="1">
      <alignment vertical="center"/>
    </xf>
    <xf numFmtId="38" fontId="30" fillId="0" borderId="0" xfId="0" applyFont="1">
      <alignment vertical="center"/>
    </xf>
    <xf numFmtId="38" fontId="30" fillId="0" borderId="0" xfId="0" applyNumberFormat="1" applyFont="1" applyFill="1" applyBorder="1">
      <alignment vertical="center"/>
    </xf>
    <xf numFmtId="38" fontId="31" fillId="0" borderId="0" xfId="0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/>
    </xf>
    <xf numFmtId="38" fontId="31" fillId="0" borderId="0" xfId="0" applyNumberFormat="1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 wrapText="1"/>
    </xf>
    <xf numFmtId="38" fontId="33" fillId="0" borderId="0" xfId="0" applyFont="1" applyBorder="1">
      <alignment vertical="center"/>
    </xf>
    <xf numFmtId="38" fontId="33" fillId="0" borderId="0" xfId="0" applyFont="1">
      <alignment vertical="center"/>
    </xf>
    <xf numFmtId="189" fontId="31" fillId="0" borderId="0" xfId="0" applyNumberFormat="1" applyFont="1" applyFill="1" applyBorder="1" applyAlignment="1">
      <alignment vertical="center"/>
    </xf>
    <xf numFmtId="38" fontId="33" fillId="0" borderId="0" xfId="0" applyFont="1" applyFill="1" applyBorder="1">
      <alignment vertical="center"/>
    </xf>
    <xf numFmtId="38" fontId="31" fillId="0" borderId="0" xfId="0" applyFont="1" applyFill="1" applyBorder="1" applyAlignment="1">
      <alignment horizontal="center" vertical="center"/>
    </xf>
    <xf numFmtId="40" fontId="31" fillId="0" borderId="0" xfId="0" applyNumberFormat="1" applyFont="1" applyFill="1" applyBorder="1" applyAlignment="1">
      <alignment vertical="center"/>
    </xf>
    <xf numFmtId="10" fontId="31" fillId="0" borderId="0" xfId="12" applyFont="1" applyFill="1" applyBorder="1">
      <alignment vertical="center"/>
    </xf>
    <xf numFmtId="38" fontId="32" fillId="0" borderId="0" xfId="0" applyFont="1" applyFill="1" applyBorder="1" applyAlignment="1">
      <alignment vertical="center"/>
    </xf>
    <xf numFmtId="44" fontId="31" fillId="0" borderId="0" xfId="0" applyNumberFormat="1" applyFont="1" applyFill="1" applyBorder="1" applyAlignment="1">
      <alignment vertical="center"/>
    </xf>
    <xf numFmtId="165" fontId="31" fillId="0" borderId="0" xfId="0" applyNumberFormat="1" applyFont="1" applyFill="1" applyBorder="1" applyAlignment="1">
      <alignment vertical="center"/>
    </xf>
    <xf numFmtId="165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horizontal="left" vertical="center" indent="1"/>
    </xf>
    <xf numFmtId="44" fontId="31" fillId="0" borderId="0" xfId="7" applyFont="1" applyFill="1" applyBorder="1" applyAlignment="1">
      <alignment vertical="center"/>
    </xf>
    <xf numFmtId="167" fontId="31" fillId="0" borderId="0" xfId="4" applyNumberFormat="1" applyFont="1" applyFill="1" applyBorder="1" applyAlignment="1">
      <alignment vertical="center"/>
    </xf>
    <xf numFmtId="43" fontId="31" fillId="0" borderId="0" xfId="4" applyFont="1" applyFill="1" applyBorder="1" applyAlignment="1">
      <alignment vertical="center"/>
    </xf>
    <xf numFmtId="10" fontId="31" fillId="0" borderId="0" xfId="12" applyFont="1" applyFill="1" applyBorder="1" applyAlignment="1">
      <alignment vertical="center"/>
    </xf>
    <xf numFmtId="44" fontId="34" fillId="0" borderId="0" xfId="7" applyFont="1" applyFill="1" applyBorder="1" applyAlignment="1">
      <alignment vertical="center"/>
    </xf>
    <xf numFmtId="208" fontId="31" fillId="0" borderId="0" xfId="7" applyNumberFormat="1" applyFont="1" applyFill="1" applyBorder="1" applyAlignment="1">
      <alignment vertical="center"/>
    </xf>
    <xf numFmtId="196" fontId="31" fillId="0" borderId="0" xfId="0" applyNumberFormat="1" applyFont="1" applyFill="1" applyBorder="1" applyAlignment="1">
      <alignment vertical="center"/>
    </xf>
    <xf numFmtId="196" fontId="31" fillId="0" borderId="0" xfId="7" applyNumberFormat="1" applyFont="1" applyFill="1" applyBorder="1" applyAlignment="1">
      <alignment vertical="center"/>
    </xf>
    <xf numFmtId="38" fontId="32" fillId="0" borderId="7" xfId="0" applyFont="1" applyFill="1" applyBorder="1" applyAlignment="1">
      <alignment vertical="center"/>
    </xf>
    <xf numFmtId="6" fontId="32" fillId="0" borderId="0" xfId="7" applyNumberFormat="1" applyFont="1" applyFill="1" applyBorder="1" applyAlignment="1">
      <alignment vertical="center"/>
    </xf>
    <xf numFmtId="40" fontId="32" fillId="0" borderId="0" xfId="0" applyNumberFormat="1" applyFont="1" applyFill="1" applyBorder="1" applyAlignment="1">
      <alignment vertical="center"/>
    </xf>
    <xf numFmtId="38" fontId="32" fillId="0" borderId="0" xfId="0" applyNumberFormat="1" applyFont="1" applyFill="1" applyBorder="1" applyAlignment="1">
      <alignment vertical="center"/>
    </xf>
    <xf numFmtId="6" fontId="32" fillId="0" borderId="7" xfId="7" applyNumberFormat="1" applyFont="1" applyFill="1" applyBorder="1" applyAlignment="1">
      <alignment vertical="center"/>
    </xf>
    <xf numFmtId="8" fontId="32" fillId="0" borderId="7" xfId="7" applyNumberFormat="1" applyFont="1" applyFill="1" applyBorder="1" applyAlignment="1">
      <alignment vertical="center"/>
    </xf>
    <xf numFmtId="44" fontId="32" fillId="0" borderId="7" xfId="7" applyFont="1" applyFill="1" applyBorder="1" applyAlignment="1">
      <alignment vertical="center"/>
    </xf>
    <xf numFmtId="10" fontId="32" fillId="0" borderId="0" xfId="12" applyFont="1" applyFill="1" applyBorder="1">
      <alignment vertical="center"/>
    </xf>
    <xf numFmtId="8" fontId="32" fillId="0" borderId="0" xfId="7" applyNumberFormat="1" applyFont="1" applyFill="1" applyBorder="1" applyAlignment="1">
      <alignment vertical="center"/>
    </xf>
    <xf numFmtId="44" fontId="32" fillId="0" borderId="0" xfId="7" applyFont="1" applyFill="1" applyBorder="1" applyAlignment="1">
      <alignment vertical="center"/>
    </xf>
    <xf numFmtId="38" fontId="31" fillId="0" borderId="0" xfId="4" applyNumberFormat="1" applyFont="1" applyFill="1" applyBorder="1" applyAlignment="1">
      <alignment vertical="center"/>
    </xf>
    <xf numFmtId="8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vertical="center" wrapText="1"/>
    </xf>
    <xf numFmtId="169" fontId="31" fillId="0" borderId="0" xfId="12" applyNumberFormat="1" applyFont="1" applyFill="1" applyBorder="1" applyAlignment="1">
      <alignment vertical="center"/>
    </xf>
    <xf numFmtId="197" fontId="32" fillId="0" borderId="0" xfId="0" applyNumberFormat="1" applyFont="1" applyFill="1" applyBorder="1" applyAlignment="1">
      <alignment vertical="center"/>
    </xf>
    <xf numFmtId="6" fontId="32" fillId="0" borderId="0" xfId="0" applyNumberFormat="1" applyFont="1" applyFill="1" applyBorder="1" applyAlignment="1">
      <alignment vertical="center"/>
    </xf>
    <xf numFmtId="6" fontId="32" fillId="0" borderId="7" xfId="0" applyNumberFormat="1" applyFont="1" applyFill="1" applyBorder="1" applyAlignment="1">
      <alignment vertical="center"/>
    </xf>
    <xf numFmtId="8" fontId="32" fillId="0" borderId="7" xfId="0" applyNumberFormat="1" applyFont="1" applyFill="1" applyBorder="1" applyAlignment="1">
      <alignment vertical="center"/>
    </xf>
    <xf numFmtId="10" fontId="31" fillId="0" borderId="0" xfId="12" applyFont="1">
      <alignment vertical="center"/>
    </xf>
    <xf numFmtId="165" fontId="32" fillId="0" borderId="0" xfId="7" applyNumberFormat="1" applyFont="1" applyFill="1" applyBorder="1" applyAlignment="1">
      <alignment vertical="center"/>
    </xf>
    <xf numFmtId="38" fontId="31" fillId="0" borderId="0" xfId="0" applyFont="1" applyFill="1" applyAlignment="1">
      <alignment vertical="center"/>
    </xf>
    <xf numFmtId="40" fontId="31" fillId="0" borderId="0" xfId="0" applyNumberFormat="1" applyFont="1" applyFill="1" applyAlignment="1">
      <alignment vertical="center"/>
    </xf>
    <xf numFmtId="38" fontId="31" fillId="0" borderId="0" xfId="0" applyNumberFormat="1" applyFont="1" applyFill="1" applyAlignment="1">
      <alignment vertical="center"/>
    </xf>
    <xf numFmtId="38" fontId="32" fillId="9" borderId="24" xfId="0" applyFont="1" applyFill="1" applyBorder="1" applyAlignment="1">
      <alignment vertical="center"/>
    </xf>
    <xf numFmtId="38" fontId="32" fillId="0" borderId="25" xfId="0" applyFont="1" applyFill="1" applyBorder="1" applyAlignment="1">
      <alignment vertical="center"/>
    </xf>
    <xf numFmtId="38" fontId="35" fillId="0" borderId="26" xfId="0" applyFont="1" applyBorder="1" applyAlignment="1">
      <alignment horizontal="center" vertical="center"/>
    </xf>
    <xf numFmtId="38" fontId="36" fillId="0" borderId="0" xfId="0" applyFont="1">
      <alignment vertical="center"/>
    </xf>
    <xf numFmtId="38" fontId="32" fillId="0" borderId="27" xfId="0" applyFont="1" applyFill="1" applyBorder="1" applyAlignment="1">
      <alignment vertical="center"/>
    </xf>
    <xf numFmtId="10" fontId="32" fillId="0" borderId="28" xfId="12" applyFont="1" applyBorder="1">
      <alignment vertical="center"/>
    </xf>
    <xf numFmtId="38" fontId="37" fillId="0" borderId="27" xfId="0" applyFont="1" applyFill="1" applyBorder="1" applyAlignment="1">
      <alignment vertical="center"/>
    </xf>
    <xf numFmtId="38" fontId="37" fillId="0" borderId="0" xfId="0" applyFont="1" applyFill="1" applyBorder="1" applyAlignment="1">
      <alignment vertical="center"/>
    </xf>
    <xf numFmtId="40" fontId="37" fillId="0" borderId="0" xfId="0" applyNumberFormat="1" applyFont="1" applyFill="1" applyBorder="1" applyAlignment="1">
      <alignment vertical="center"/>
    </xf>
    <xf numFmtId="10" fontId="32" fillId="0" borderId="28" xfId="12" applyFont="1" applyFill="1" applyBorder="1">
      <alignment vertical="center"/>
    </xf>
    <xf numFmtId="38" fontId="31" fillId="0" borderId="27" xfId="0" applyFont="1" applyFill="1" applyBorder="1" applyAlignment="1">
      <alignment vertical="center"/>
    </xf>
    <xf numFmtId="10" fontId="31" fillId="0" borderId="28" xfId="12" applyFont="1" applyFill="1" applyBorder="1">
      <alignment vertical="center"/>
    </xf>
    <xf numFmtId="10" fontId="37" fillId="0" borderId="28" xfId="12" applyFont="1" applyFill="1" applyBorder="1">
      <alignment vertical="center"/>
    </xf>
    <xf numFmtId="38" fontId="38" fillId="0" borderId="0" xfId="0" applyFont="1">
      <alignment vertical="center"/>
    </xf>
    <xf numFmtId="38" fontId="37" fillId="0" borderId="29" xfId="0" applyFont="1" applyFill="1" applyBorder="1" applyAlignment="1">
      <alignment vertical="center"/>
    </xf>
    <xf numFmtId="38" fontId="32" fillId="0" borderId="30" xfId="0" applyFont="1" applyFill="1" applyBorder="1" applyAlignment="1">
      <alignment vertical="center"/>
    </xf>
    <xf numFmtId="38" fontId="39" fillId="0" borderId="30" xfId="0" applyFont="1" applyFill="1" applyBorder="1" applyAlignment="1">
      <alignment vertical="center"/>
    </xf>
    <xf numFmtId="40" fontId="39" fillId="0" borderId="30" xfId="0" applyNumberFormat="1" applyFont="1" applyFill="1" applyBorder="1" applyAlignment="1">
      <alignment vertical="center"/>
    </xf>
    <xf numFmtId="10" fontId="32" fillId="0" borderId="31" xfId="12" applyFont="1" applyFill="1" applyBorder="1">
      <alignment vertical="center"/>
    </xf>
    <xf numFmtId="38" fontId="31" fillId="0" borderId="0" xfId="0" applyFont="1" applyAlignment="1">
      <alignment vertical="center"/>
    </xf>
    <xf numFmtId="38" fontId="31" fillId="0" borderId="0" xfId="0" applyFont="1" applyBorder="1" applyAlignment="1">
      <alignment vertical="center"/>
    </xf>
    <xf numFmtId="38" fontId="33" fillId="0" borderId="28" xfId="0" applyFont="1" applyBorder="1">
      <alignment vertical="center"/>
    </xf>
    <xf numFmtId="38" fontId="33" fillId="0" borderId="26" xfId="0" applyFont="1" applyBorder="1">
      <alignment vertical="center"/>
    </xf>
    <xf numFmtId="10" fontId="31" fillId="0" borderId="28" xfId="12" applyFont="1" applyBorder="1">
      <alignment vertical="center"/>
    </xf>
    <xf numFmtId="38" fontId="32" fillId="0" borderId="29" xfId="0" applyFont="1" applyFill="1" applyBorder="1" applyAlignment="1">
      <alignment vertical="center"/>
    </xf>
    <xf numFmtId="38" fontId="33" fillId="0" borderId="31" xfId="0" applyFont="1" applyBorder="1">
      <alignment vertical="center"/>
    </xf>
    <xf numFmtId="38" fontId="32" fillId="0" borderId="0" xfId="0" applyFont="1" applyBorder="1">
      <alignment vertical="center"/>
    </xf>
    <xf numFmtId="10" fontId="32" fillId="0" borderId="0" xfId="12" applyFont="1" applyBorder="1">
      <alignment vertical="center"/>
    </xf>
    <xf numFmtId="38" fontId="40" fillId="0" borderId="0" xfId="0" applyFont="1">
      <alignment vertical="center"/>
    </xf>
    <xf numFmtId="38" fontId="41" fillId="0" borderId="0" xfId="0" applyFont="1">
      <alignment vertical="center"/>
    </xf>
    <xf numFmtId="38" fontId="42" fillId="0" borderId="0" xfId="0" applyFont="1" applyAlignment="1">
      <alignment horizontal="left" vertical="center" indent="1"/>
    </xf>
    <xf numFmtId="38" fontId="43" fillId="0" borderId="0" xfId="0" applyFont="1">
      <alignment vertical="center"/>
    </xf>
    <xf numFmtId="10" fontId="32" fillId="0" borderId="0" xfId="12" applyFont="1">
      <alignment vertical="center"/>
    </xf>
    <xf numFmtId="38" fontId="20" fillId="0" borderId="0" xfId="10" applyNumberFormat="1" applyFont="1" applyFill="1" applyBorder="1" applyAlignment="1">
      <alignment horizontal="left" vertical="center"/>
    </xf>
    <xf numFmtId="168" fontId="32" fillId="0" borderId="0" xfId="12" applyNumberFormat="1" applyFont="1" applyFill="1" applyBorder="1">
      <alignment vertical="center"/>
    </xf>
    <xf numFmtId="167" fontId="31" fillId="0" borderId="32" xfId="4" applyNumberFormat="1" applyFont="1" applyFill="1" applyBorder="1" applyAlignment="1">
      <alignment vertical="center"/>
    </xf>
    <xf numFmtId="38" fontId="31" fillId="0" borderId="32" xfId="0" applyNumberFormat="1" applyFont="1" applyFill="1" applyBorder="1" applyAlignment="1">
      <alignment vertical="center"/>
    </xf>
    <xf numFmtId="196" fontId="31" fillId="0" borderId="32" xfId="0" applyNumberFormat="1" applyFont="1" applyFill="1" applyBorder="1" applyAlignment="1">
      <alignment vertical="center"/>
    </xf>
    <xf numFmtId="40" fontId="31" fillId="0" borderId="32" xfId="0" applyNumberFormat="1" applyFont="1" applyFill="1" applyBorder="1" applyAlignment="1">
      <alignment vertical="center"/>
    </xf>
    <xf numFmtId="38" fontId="31" fillId="0" borderId="32" xfId="0" applyFont="1" applyFill="1" applyBorder="1" applyAlignment="1">
      <alignment horizontal="left" vertical="center" indent="1"/>
    </xf>
    <xf numFmtId="38" fontId="31" fillId="0" borderId="32" xfId="0" applyFont="1" applyFill="1" applyBorder="1" applyAlignment="1">
      <alignment vertical="center"/>
    </xf>
    <xf numFmtId="43" fontId="31" fillId="0" borderId="32" xfId="4" applyFont="1" applyFill="1" applyBorder="1" applyAlignment="1">
      <alignment vertical="center"/>
    </xf>
    <xf numFmtId="10" fontId="31" fillId="0" borderId="32" xfId="12" applyFont="1" applyFill="1" applyBorder="1">
      <alignment vertical="center"/>
    </xf>
    <xf numFmtId="10" fontId="32" fillId="0" borderId="7" xfId="12" applyFont="1" applyFill="1" applyBorder="1">
      <alignment vertical="center"/>
    </xf>
    <xf numFmtId="38" fontId="37" fillId="0" borderId="0" xfId="0" applyFont="1" applyFill="1" applyBorder="1" applyAlignment="1">
      <alignment horizontal="right" vertical="center"/>
    </xf>
    <xf numFmtId="189" fontId="37" fillId="0" borderId="0" xfId="0" applyNumberFormat="1" applyFont="1" applyFill="1" applyBorder="1" applyAlignment="1">
      <alignment horizontal="right" vertical="center"/>
    </xf>
    <xf numFmtId="38" fontId="42" fillId="0" borderId="0" xfId="0" applyFont="1" applyBorder="1" applyAlignment="1">
      <alignment horizontal="right" vertical="center"/>
    </xf>
    <xf numFmtId="49" fontId="37" fillId="0" borderId="0" xfId="0" applyNumberFormat="1" applyFont="1" applyFill="1" applyBorder="1" applyAlignment="1">
      <alignment horizontal="right" vertical="center"/>
    </xf>
    <xf numFmtId="38" fontId="37" fillId="0" borderId="0" xfId="0" applyNumberFormat="1" applyFont="1" applyFill="1" applyBorder="1" applyAlignment="1">
      <alignment horizontal="right" vertical="center"/>
    </xf>
    <xf numFmtId="40" fontId="37" fillId="0" borderId="0" xfId="0" applyNumberFormat="1" applyFont="1" applyFill="1" applyBorder="1" applyAlignment="1">
      <alignment horizontal="right" vertical="center"/>
    </xf>
    <xf numFmtId="9" fontId="37" fillId="0" borderId="0" xfId="12" applyNumberFormat="1" applyFont="1" applyFill="1" applyBorder="1" applyAlignment="1">
      <alignment horizontal="right" vertical="center"/>
    </xf>
    <xf numFmtId="10" fontId="37" fillId="0" borderId="0" xfId="12" applyFont="1" applyFill="1" applyBorder="1" applyAlignment="1">
      <alignment horizontal="right" vertical="center"/>
    </xf>
    <xf numFmtId="38" fontId="44" fillId="0" borderId="0" xfId="0" applyFont="1" applyFill="1">
      <alignment vertical="center"/>
    </xf>
    <xf numFmtId="38" fontId="44" fillId="0" borderId="0" xfId="0" applyFont="1">
      <alignment vertical="center"/>
    </xf>
    <xf numFmtId="10" fontId="44" fillId="0" borderId="0" xfId="12" applyFont="1">
      <alignment vertical="center"/>
    </xf>
    <xf numFmtId="197" fontId="44" fillId="0" borderId="0" xfId="0" applyNumberFormat="1" applyFont="1">
      <alignment vertical="center"/>
    </xf>
    <xf numFmtId="38" fontId="45" fillId="0" borderId="0" xfId="2" applyFont="1">
      <alignment vertical="center"/>
    </xf>
    <xf numFmtId="38" fontId="45" fillId="0" borderId="0" xfId="1" applyFont="1" applyFill="1">
      <alignment vertical="center"/>
    </xf>
    <xf numFmtId="38" fontId="45" fillId="0" borderId="0" xfId="1" applyFont="1">
      <alignment vertical="center"/>
    </xf>
    <xf numFmtId="167" fontId="45" fillId="0" borderId="0" xfId="1" applyNumberFormat="1" applyFont="1" applyAlignment="1"/>
    <xf numFmtId="10" fontId="45" fillId="0" borderId="0" xfId="1" applyNumberFormat="1" applyFont="1">
      <alignment vertical="center"/>
    </xf>
    <xf numFmtId="38" fontId="45" fillId="0" borderId="0" xfId="0" applyFont="1">
      <alignment vertical="center"/>
    </xf>
    <xf numFmtId="0" fontId="46" fillId="0" borderId="0" xfId="10" applyFont="1" applyFill="1" applyBorder="1" applyAlignment="1" applyProtection="1">
      <alignment horizontal="center" wrapText="1"/>
      <protection locked="0"/>
    </xf>
    <xf numFmtId="0" fontId="46" fillId="0" borderId="0" xfId="10" applyFont="1" applyFill="1" applyBorder="1" applyProtection="1">
      <alignment horizontal="center"/>
      <protection locked="0"/>
    </xf>
    <xf numFmtId="0" fontId="45" fillId="0" borderId="0" xfId="2" applyNumberFormat="1" applyFont="1" applyFill="1" applyBorder="1" applyAlignment="1" applyProtection="1">
      <alignment horizontal="center" wrapText="1"/>
      <protection locked="0"/>
    </xf>
    <xf numFmtId="0" fontId="44" fillId="0" borderId="0" xfId="10" applyFont="1" applyFill="1" applyBorder="1" applyAlignment="1" applyProtection="1">
      <alignment horizontal="center" wrapText="1"/>
      <protection locked="0"/>
    </xf>
    <xf numFmtId="167" fontId="45" fillId="0" borderId="0" xfId="2" applyNumberFormat="1" applyFont="1" applyFill="1" applyBorder="1" applyAlignment="1" applyProtection="1">
      <alignment horizontal="center" wrapText="1"/>
      <protection locked="0"/>
    </xf>
    <xf numFmtId="10" fontId="44" fillId="0" borderId="0" xfId="12" applyNumberFormat="1" applyFont="1">
      <alignment vertical="center"/>
    </xf>
    <xf numFmtId="38" fontId="44" fillId="0" borderId="0" xfId="0" applyNumberFormat="1" applyFont="1">
      <alignment vertical="center"/>
    </xf>
    <xf numFmtId="43" fontId="44" fillId="0" borderId="0" xfId="4" applyFont="1"/>
    <xf numFmtId="42" fontId="44" fillId="0" borderId="0" xfId="8" applyFont="1"/>
    <xf numFmtId="44" fontId="44" fillId="0" borderId="0" xfId="7" applyFont="1"/>
    <xf numFmtId="42" fontId="45" fillId="0" borderId="0" xfId="2" applyNumberFormat="1" applyFont="1" applyAlignment="1"/>
    <xf numFmtId="38" fontId="44" fillId="0" borderId="0" xfId="0" applyNumberFormat="1" applyFont="1" applyFill="1">
      <alignment vertical="center"/>
    </xf>
    <xf numFmtId="41" fontId="44" fillId="0" borderId="0" xfId="5" applyFont="1"/>
    <xf numFmtId="41" fontId="45" fillId="0" borderId="0" xfId="2" applyNumberFormat="1" applyFont="1" applyAlignment="1"/>
    <xf numFmtId="167" fontId="44" fillId="0" borderId="0" xfId="4" applyNumberFormat="1" applyFont="1"/>
    <xf numFmtId="38" fontId="45" fillId="0" borderId="0" xfId="0" applyFont="1" applyFill="1">
      <alignment vertical="center"/>
    </xf>
    <xf numFmtId="203" fontId="44" fillId="0" borderId="0" xfId="5" applyNumberFormat="1" applyFont="1"/>
    <xf numFmtId="40" fontId="44" fillId="0" borderId="0" xfId="0" applyNumberFormat="1" applyFont="1" applyFill="1">
      <alignment vertical="center"/>
    </xf>
    <xf numFmtId="41" fontId="44" fillId="0" borderId="0" xfId="5" applyNumberFormat="1" applyFont="1"/>
    <xf numFmtId="38" fontId="44" fillId="0" borderId="0" xfId="0" applyFont="1" applyFill="1" applyBorder="1">
      <alignment vertical="center"/>
    </xf>
    <xf numFmtId="38" fontId="45" fillId="0" borderId="4" xfId="0" applyFont="1" applyBorder="1">
      <alignment vertical="center"/>
    </xf>
    <xf numFmtId="165" fontId="45" fillId="0" borderId="4" xfId="7" applyNumberFormat="1" applyFont="1" applyBorder="1"/>
    <xf numFmtId="38" fontId="46" fillId="0" borderId="0" xfId="0" applyFont="1">
      <alignment vertical="center"/>
    </xf>
    <xf numFmtId="38" fontId="45" fillId="0" borderId="0" xfId="2" applyNumberFormat="1" applyFont="1">
      <alignment vertical="center"/>
    </xf>
    <xf numFmtId="175" fontId="44" fillId="0" borderId="0" xfId="4" applyNumberFormat="1" applyFont="1"/>
    <xf numFmtId="40" fontId="44" fillId="0" borderId="0" xfId="0" applyNumberFormat="1" applyFont="1">
      <alignment vertical="center"/>
    </xf>
    <xf numFmtId="38" fontId="44" fillId="0" borderId="4" xfId="0" applyFont="1" applyFill="1" applyBorder="1">
      <alignment vertical="center"/>
    </xf>
    <xf numFmtId="38" fontId="47" fillId="0" borderId="0" xfId="0" applyFont="1" applyAlignment="1">
      <alignment horizontal="center"/>
    </xf>
    <xf numFmtId="165" fontId="44" fillId="0" borderId="0" xfId="7" applyNumberFormat="1" applyFont="1"/>
    <xf numFmtId="165" fontId="45" fillId="0" borderId="0" xfId="2" applyNumberFormat="1" applyFont="1" applyAlignment="1"/>
    <xf numFmtId="165" fontId="44" fillId="0" borderId="32" xfId="7" applyNumberFormat="1" applyFont="1" applyBorder="1"/>
    <xf numFmtId="43" fontId="44" fillId="0" borderId="32" xfId="4" applyFont="1" applyBorder="1"/>
    <xf numFmtId="38" fontId="44" fillId="0" borderId="32" xfId="0" applyFont="1" applyBorder="1">
      <alignment vertical="center"/>
    </xf>
    <xf numFmtId="41" fontId="44" fillId="0" borderId="32" xfId="5" applyFont="1" applyBorder="1"/>
    <xf numFmtId="167" fontId="44" fillId="0" borderId="32" xfId="4" applyNumberFormat="1" applyFont="1" applyBorder="1"/>
    <xf numFmtId="38" fontId="44" fillId="0" borderId="6" xfId="0" applyFont="1" applyBorder="1">
      <alignment vertical="center"/>
    </xf>
    <xf numFmtId="38" fontId="44" fillId="0" borderId="0" xfId="0" applyFont="1" applyBorder="1">
      <alignment vertical="center"/>
    </xf>
    <xf numFmtId="165" fontId="44" fillId="0" borderId="6" xfId="7" applyNumberFormat="1" applyFont="1" applyBorder="1"/>
    <xf numFmtId="44" fontId="44" fillId="0" borderId="6" xfId="7" applyFont="1" applyBorder="1"/>
    <xf numFmtId="44" fontId="44" fillId="0" borderId="6" xfId="7" applyNumberFormat="1" applyFont="1" applyBorder="1"/>
    <xf numFmtId="165" fontId="45" fillId="0" borderId="6" xfId="2" applyNumberFormat="1" applyFont="1" applyBorder="1" applyAlignment="1"/>
    <xf numFmtId="38" fontId="44" fillId="0" borderId="0" xfId="0" applyFont="1" applyAlignment="1">
      <alignment wrapText="1"/>
    </xf>
    <xf numFmtId="165" fontId="44" fillId="0" borderId="0" xfId="7" applyNumberFormat="1" applyFont="1" applyBorder="1"/>
    <xf numFmtId="43" fontId="44" fillId="0" borderId="0" xfId="4" applyFont="1" applyBorder="1"/>
    <xf numFmtId="38" fontId="44" fillId="0" borderId="7" xfId="0" applyFont="1" applyBorder="1">
      <alignment vertical="center"/>
    </xf>
    <xf numFmtId="38" fontId="45" fillId="0" borderId="6" xfId="0" applyFont="1" applyBorder="1">
      <alignment vertical="center"/>
    </xf>
    <xf numFmtId="165" fontId="45" fillId="0" borderId="6" xfId="7" applyNumberFormat="1" applyFont="1" applyBorder="1"/>
    <xf numFmtId="43" fontId="45" fillId="0" borderId="6" xfId="4" applyFont="1" applyFill="1" applyBorder="1"/>
    <xf numFmtId="44" fontId="45" fillId="0" borderId="6" xfId="7" applyFont="1" applyBorder="1"/>
    <xf numFmtId="6" fontId="45" fillId="0" borderId="6" xfId="2" applyNumberFormat="1" applyFont="1" applyBorder="1" applyAlignment="1"/>
    <xf numFmtId="38" fontId="47" fillId="0" borderId="0" xfId="0" applyFont="1">
      <alignment vertical="center"/>
    </xf>
    <xf numFmtId="169" fontId="44" fillId="0" borderId="0" xfId="12" applyNumberFormat="1" applyFont="1">
      <alignment vertical="center"/>
    </xf>
    <xf numFmtId="165" fontId="44" fillId="0" borderId="7" xfId="7" applyNumberFormat="1" applyFont="1" applyBorder="1"/>
    <xf numFmtId="44" fontId="44" fillId="0" borderId="7" xfId="7" applyFont="1" applyBorder="1"/>
    <xf numFmtId="165" fontId="45" fillId="0" borderId="7" xfId="2" applyNumberFormat="1" applyFont="1" applyBorder="1" applyAlignment="1"/>
    <xf numFmtId="44" fontId="45" fillId="0" borderId="4" xfId="7" applyFont="1" applyBorder="1"/>
    <xf numFmtId="165" fontId="45" fillId="0" borderId="4" xfId="2" applyNumberFormat="1" applyFont="1" applyBorder="1" applyAlignment="1"/>
    <xf numFmtId="38" fontId="45" fillId="0" borderId="0" xfId="2" applyFont="1" applyFill="1">
      <alignment vertical="center"/>
    </xf>
    <xf numFmtId="43" fontId="44" fillId="0" borderId="0" xfId="4" applyFont="1" applyFill="1"/>
    <xf numFmtId="38" fontId="45" fillId="0" borderId="13" xfId="0" applyFont="1" applyFill="1" applyBorder="1">
      <alignment vertical="center"/>
    </xf>
    <xf numFmtId="165" fontId="45" fillId="0" borderId="0" xfId="7" applyNumberFormat="1" applyFont="1" applyFill="1" applyBorder="1" applyAlignment="1">
      <alignment vertical="center"/>
    </xf>
    <xf numFmtId="38" fontId="48" fillId="0" borderId="0" xfId="0" applyFont="1" applyFill="1">
      <alignment vertical="center"/>
    </xf>
    <xf numFmtId="38" fontId="48" fillId="0" borderId="0" xfId="0" applyFont="1">
      <alignment vertical="center"/>
    </xf>
    <xf numFmtId="0" fontId="49" fillId="0" borderId="0" xfId="10" applyFont="1" applyFill="1" applyBorder="1" applyAlignment="1" applyProtection="1">
      <alignment horizontal="center" wrapText="1"/>
      <protection locked="0"/>
    </xf>
    <xf numFmtId="0" fontId="50" fillId="0" borderId="0" xfId="10" applyFont="1" applyFill="1" applyBorder="1" applyAlignment="1" applyProtection="1">
      <alignment horizontal="center" wrapText="1"/>
      <protection locked="0"/>
    </xf>
    <xf numFmtId="38" fontId="49" fillId="0" borderId="0" xfId="0" applyFont="1">
      <alignment vertical="center"/>
    </xf>
    <xf numFmtId="0" fontId="48" fillId="0" borderId="0" xfId="2" applyNumberFormat="1" applyFont="1" applyFill="1" applyBorder="1" applyAlignment="1" applyProtection="1">
      <alignment horizontal="center" wrapText="1"/>
      <protection locked="0"/>
    </xf>
    <xf numFmtId="10" fontId="49" fillId="0" borderId="0" xfId="12" applyFont="1" applyFill="1" applyBorder="1" applyAlignment="1" applyProtection="1">
      <alignment horizontal="center" wrapText="1"/>
      <protection locked="0"/>
    </xf>
    <xf numFmtId="9" fontId="49" fillId="0" borderId="0" xfId="12" applyNumberFormat="1" applyFont="1" applyFill="1" applyBorder="1" applyAlignment="1" applyProtection="1">
      <alignment horizontal="center" wrapText="1"/>
      <protection locked="0"/>
    </xf>
    <xf numFmtId="168" fontId="48" fillId="0" borderId="0" xfId="2" applyNumberFormat="1" applyFont="1" applyFill="1" applyBorder="1" applyAlignment="1" applyProtection="1">
      <alignment horizontal="center" wrapText="1"/>
      <protection locked="0"/>
    </xf>
    <xf numFmtId="167" fontId="49" fillId="0" borderId="0" xfId="4" applyNumberFormat="1" applyFont="1" applyFill="1" applyBorder="1" applyAlignment="1" applyProtection="1">
      <alignment horizontal="center" wrapText="1"/>
      <protection locked="0"/>
    </xf>
    <xf numFmtId="38" fontId="20" fillId="0" borderId="0" xfId="0" applyFont="1" applyFill="1" applyBorder="1">
      <alignment vertical="center"/>
    </xf>
    <xf numFmtId="38" fontId="30" fillId="0" borderId="0" xfId="0" applyFont="1" applyFill="1" applyBorder="1">
      <alignment vertical="center"/>
    </xf>
    <xf numFmtId="43" fontId="30" fillId="0" borderId="0" xfId="4" applyFont="1" applyFill="1" applyBorder="1"/>
    <xf numFmtId="38" fontId="3" fillId="0" borderId="0" xfId="2" applyFont="1" applyFill="1" applyBorder="1">
      <alignment vertical="center"/>
    </xf>
    <xf numFmtId="38" fontId="3" fillId="0" borderId="0" xfId="0" applyFont="1" applyFill="1" applyBorder="1">
      <alignment vertical="center"/>
    </xf>
    <xf numFmtId="38" fontId="30" fillId="0" borderId="0" xfId="0" applyFont="1" applyBorder="1">
      <alignment vertical="center"/>
    </xf>
    <xf numFmtId="42" fontId="30" fillId="0" borderId="0" xfId="8" applyFont="1" applyBorder="1"/>
    <xf numFmtId="44" fontId="30" fillId="0" borderId="0" xfId="7" applyFont="1" applyBorder="1"/>
    <xf numFmtId="42" fontId="3" fillId="0" borderId="0" xfId="2" applyNumberFormat="1" applyFont="1" applyBorder="1" applyAlignment="1"/>
    <xf numFmtId="168" fontId="30" fillId="0" borderId="0" xfId="12" applyNumberFormat="1" applyFont="1" applyBorder="1">
      <alignment vertical="center"/>
    </xf>
    <xf numFmtId="43" fontId="30" fillId="0" borderId="0" xfId="4" applyFont="1" applyBorder="1"/>
    <xf numFmtId="38" fontId="3" fillId="0" borderId="0" xfId="2" applyFont="1" applyBorder="1">
      <alignment vertical="center"/>
    </xf>
    <xf numFmtId="44" fontId="3" fillId="0" borderId="0" xfId="7" applyFont="1" applyBorder="1"/>
    <xf numFmtId="42" fontId="3" fillId="0" borderId="0" xfId="8" applyFont="1" applyBorder="1"/>
    <xf numFmtId="168" fontId="3" fillId="0" borderId="0" xfId="12" applyNumberFormat="1" applyFont="1" applyBorder="1">
      <alignment vertical="center"/>
    </xf>
    <xf numFmtId="168" fontId="30" fillId="0" borderId="0" xfId="0" applyNumberFormat="1" applyFont="1" applyFill="1" applyBorder="1">
      <alignment vertical="center"/>
    </xf>
    <xf numFmtId="168" fontId="30" fillId="0" borderId="0" xfId="0" applyNumberFormat="1" applyFont="1" applyBorder="1">
      <alignment vertical="center"/>
    </xf>
    <xf numFmtId="42" fontId="3" fillId="0" borderId="0" xfId="8" applyFont="1" applyFill="1" applyBorder="1"/>
    <xf numFmtId="44" fontId="3" fillId="0" borderId="0" xfId="7" applyFont="1" applyFill="1" applyBorder="1"/>
    <xf numFmtId="42" fontId="3" fillId="0" borderId="0" xfId="2" applyNumberFormat="1" applyFont="1" applyFill="1" applyBorder="1" applyAlignment="1"/>
    <xf numFmtId="168" fontId="3" fillId="0" borderId="0" xfId="12" applyNumberFormat="1" applyFont="1" applyFill="1" applyBorder="1">
      <alignment vertical="center"/>
    </xf>
    <xf numFmtId="38" fontId="29" fillId="0" borderId="0" xfId="0" applyFont="1">
      <alignment vertical="center"/>
    </xf>
    <xf numFmtId="38" fontId="29" fillId="0" borderId="7" xfId="0" applyFont="1" applyBorder="1">
      <alignment vertical="center"/>
    </xf>
    <xf numFmtId="38" fontId="29" fillId="0" borderId="7" xfId="2" applyFont="1" applyBorder="1" applyAlignment="1">
      <alignment horizontal="centerContinuous"/>
    </xf>
    <xf numFmtId="38" fontId="29" fillId="0" borderId="7" xfId="0" applyFont="1" applyBorder="1" applyAlignment="1">
      <alignment horizontal="centerContinuous"/>
    </xf>
    <xf numFmtId="38" fontId="51" fillId="0" borderId="7" xfId="0" applyFont="1" applyBorder="1" applyAlignment="1">
      <alignment horizontal="centerContinuous"/>
    </xf>
    <xf numFmtId="38" fontId="0" fillId="0" borderId="7" xfId="0" applyBorder="1" applyAlignment="1">
      <alignment horizontal="centerContinuous"/>
    </xf>
    <xf numFmtId="42" fontId="3" fillId="0" borderId="7" xfId="2" applyNumberFormat="1" applyFont="1" applyFill="1" applyBorder="1" applyAlignment="1"/>
    <xf numFmtId="42" fontId="3" fillId="0" borderId="7" xfId="8" applyFont="1" applyFill="1" applyBorder="1"/>
    <xf numFmtId="44" fontId="3" fillId="0" borderId="7" xfId="7" applyFont="1" applyFill="1" applyBorder="1"/>
    <xf numFmtId="168" fontId="3" fillId="0" borderId="7" xfId="12" applyNumberFormat="1" applyFont="1" applyFill="1" applyBorder="1">
      <alignment vertical="center"/>
    </xf>
    <xf numFmtId="38" fontId="3" fillId="0" borderId="7" xfId="0" applyFont="1" applyFill="1" applyBorder="1">
      <alignment vertical="center"/>
    </xf>
    <xf numFmtId="38" fontId="30" fillId="0" borderId="7" xfId="0" applyFont="1" applyFill="1" applyBorder="1">
      <alignment vertical="center"/>
    </xf>
    <xf numFmtId="41" fontId="45" fillId="0" borderId="32" xfId="2" applyNumberFormat="1" applyFont="1" applyBorder="1" applyAlignment="1"/>
    <xf numFmtId="200" fontId="44" fillId="0" borderId="0" xfId="0" applyNumberFormat="1" applyFont="1">
      <alignment vertical="center"/>
    </xf>
    <xf numFmtId="200" fontId="44" fillId="0" borderId="0" xfId="7" applyNumberFormat="1" applyFont="1"/>
    <xf numFmtId="200" fontId="44" fillId="0" borderId="0" xfId="4" applyNumberFormat="1" applyFont="1"/>
    <xf numFmtId="38" fontId="51" fillId="0" borderId="0" xfId="0" applyFont="1" applyAlignment="1">
      <alignment horizontal="center"/>
    </xf>
    <xf numFmtId="38" fontId="0" fillId="18" borderId="0" xfId="0" applyFill="1">
      <alignment vertical="center"/>
    </xf>
    <xf numFmtId="38" fontId="0" fillId="4" borderId="0" xfId="0" applyFill="1">
      <alignment vertical="center"/>
    </xf>
    <xf numFmtId="38" fontId="0" fillId="19" borderId="0" xfId="0" applyFill="1">
      <alignment vertical="center"/>
    </xf>
    <xf numFmtId="38" fontId="0" fillId="20" borderId="0" xfId="0" applyFill="1">
      <alignment vertical="center"/>
    </xf>
    <xf numFmtId="38" fontId="0" fillId="21" borderId="0" xfId="0" applyFill="1">
      <alignment vertical="center"/>
    </xf>
    <xf numFmtId="38" fontId="0" fillId="22" borderId="0" xfId="0" applyFill="1">
      <alignment vertical="center"/>
    </xf>
    <xf numFmtId="38" fontId="0" fillId="23" borderId="0" xfId="0" applyFill="1">
      <alignment vertical="center"/>
    </xf>
    <xf numFmtId="38" fontId="0" fillId="24" borderId="0" xfId="0" applyFill="1">
      <alignment vertical="center"/>
    </xf>
    <xf numFmtId="38" fontId="0" fillId="25" borderId="0" xfId="0" applyFill="1">
      <alignment vertical="center"/>
    </xf>
    <xf numFmtId="167" fontId="48" fillId="0" borderId="0" xfId="10" applyNumberFormat="1" applyFont="1" applyFill="1" applyBorder="1" applyAlignment="1" applyProtection="1">
      <alignment horizontal="center" wrapText="1"/>
      <protection locked="0"/>
    </xf>
    <xf numFmtId="38" fontId="0" fillId="26" borderId="0" xfId="0" applyFill="1">
      <alignment vertical="center"/>
    </xf>
    <xf numFmtId="15" fontId="20" fillId="7" borderId="0" xfId="9" applyNumberFormat="1" applyFont="1" applyFill="1" applyBorder="1" applyAlignment="1">
      <alignment horizontal="center" vertical="center" textRotation="45"/>
    </xf>
    <xf numFmtId="38" fontId="0" fillId="27" borderId="0" xfId="0" applyFill="1">
      <alignment vertical="center"/>
    </xf>
    <xf numFmtId="15" fontId="20" fillId="28" borderId="0" xfId="9" applyNumberFormat="1" applyFont="1" applyFill="1" applyBorder="1" applyAlignment="1">
      <alignment horizontal="center" vertical="center" textRotation="45"/>
    </xf>
    <xf numFmtId="38" fontId="0" fillId="29" borderId="0" xfId="0" applyFill="1">
      <alignment vertical="center"/>
    </xf>
    <xf numFmtId="15" fontId="52" fillId="15" borderId="0" xfId="9" applyNumberFormat="1" applyFont="1" applyFill="1" applyBorder="1" applyAlignment="1">
      <alignment horizontal="center" vertical="center" textRotation="45"/>
    </xf>
    <xf numFmtId="38" fontId="3" fillId="0" borderId="0" xfId="0" applyFont="1" applyAlignment="1">
      <alignment horizontal="center" vertical="center"/>
    </xf>
    <xf numFmtId="38" fontId="29" fillId="0" borderId="0" xfId="0" applyFont="1" applyBorder="1">
      <alignment vertical="center"/>
    </xf>
    <xf numFmtId="38" fontId="29" fillId="0" borderId="0" xfId="0" applyFont="1" applyBorder="1" applyAlignment="1">
      <alignment horizontal="center"/>
    </xf>
    <xf numFmtId="38" fontId="0" fillId="0" borderId="0" xfId="0" applyBorder="1" applyAlignment="1">
      <alignment horizontal="centerContinuous"/>
    </xf>
    <xf numFmtId="167" fontId="44" fillId="0" borderId="0" xfId="10" applyNumberFormat="1" applyFont="1" applyFill="1" applyBorder="1" applyAlignment="1" applyProtection="1">
      <alignment horizontal="center" wrapText="1"/>
      <protection locked="0"/>
    </xf>
    <xf numFmtId="43" fontId="4" fillId="0" borderId="0" xfId="4" applyAlignment="1">
      <alignment vertical="center"/>
    </xf>
    <xf numFmtId="43" fontId="4" fillId="0" borderId="0" xfId="4"/>
    <xf numFmtId="44" fontId="4" fillId="0" borderId="0" xfId="7" applyAlignment="1">
      <alignment vertical="center"/>
    </xf>
    <xf numFmtId="43" fontId="4" fillId="0" borderId="0" xfId="4" applyFont="1" applyAlignment="1">
      <alignment vertical="center"/>
    </xf>
    <xf numFmtId="9" fontId="4" fillId="0" borderId="0" xfId="4" applyNumberFormat="1" applyAlignment="1">
      <alignment vertical="center"/>
    </xf>
    <xf numFmtId="6" fontId="4" fillId="0" borderId="0" xfId="4" applyNumberFormat="1" applyAlignment="1">
      <alignment vertical="center"/>
    </xf>
    <xf numFmtId="8" fontId="4" fillId="0" borderId="0" xfId="4" applyNumberFormat="1" applyAlignment="1">
      <alignment vertical="center"/>
    </xf>
    <xf numFmtId="43" fontId="4" fillId="0" borderId="0" xfId="4" applyFill="1" applyAlignment="1">
      <alignment vertical="center"/>
    </xf>
    <xf numFmtId="43" fontId="4" fillId="0" borderId="0" xfId="4" applyBorder="1"/>
    <xf numFmtId="44" fontId="4" fillId="0" borderId="0" xfId="7"/>
    <xf numFmtId="165" fontId="4" fillId="0" borderId="0" xfId="7" applyNumberFormat="1"/>
    <xf numFmtId="10" fontId="44" fillId="0" borderId="7" xfId="12" applyFont="1" applyBorder="1">
      <alignment vertical="center"/>
    </xf>
    <xf numFmtId="10" fontId="44" fillId="0" borderId="6" xfId="12" applyFont="1" applyBorder="1">
      <alignment vertical="center"/>
    </xf>
    <xf numFmtId="10" fontId="23" fillId="0" borderId="4" xfId="12" applyFont="1" applyBorder="1">
      <alignment vertical="center"/>
    </xf>
    <xf numFmtId="10" fontId="45" fillId="0" borderId="4" xfId="12" applyFont="1" applyBorder="1">
      <alignment vertical="center"/>
    </xf>
    <xf numFmtId="10" fontId="44" fillId="0" borderId="32" xfId="12" applyFont="1" applyBorder="1">
      <alignment vertical="center"/>
    </xf>
    <xf numFmtId="38" fontId="44" fillId="0" borderId="0" xfId="0" applyFont="1" applyAlignment="1"/>
    <xf numFmtId="38" fontId="45" fillId="0" borderId="0" xfId="2" applyNumberFormat="1" applyFont="1" applyAlignment="1"/>
    <xf numFmtId="10" fontId="44" fillId="0" borderId="0" xfId="12" applyFont="1" applyAlignment="1"/>
    <xf numFmtId="10" fontId="44" fillId="0" borderId="0" xfId="12" applyFont="1" applyBorder="1">
      <alignment vertical="center"/>
    </xf>
    <xf numFmtId="210" fontId="44" fillId="0" borderId="0" xfId="5" applyNumberFormat="1" applyFont="1"/>
    <xf numFmtId="10" fontId="53" fillId="0" borderId="0" xfId="12" applyFont="1">
      <alignment vertical="center"/>
    </xf>
    <xf numFmtId="38" fontId="45" fillId="0" borderId="33" xfId="0" applyFont="1" applyFill="1" applyBorder="1">
      <alignment vertical="center"/>
    </xf>
    <xf numFmtId="38" fontId="45" fillId="0" borderId="0" xfId="0" applyFont="1" applyFill="1" applyBorder="1">
      <alignment vertical="center"/>
    </xf>
    <xf numFmtId="38" fontId="54" fillId="0" borderId="0" xfId="0" applyFont="1" applyFill="1" applyBorder="1">
      <alignment vertical="center"/>
    </xf>
    <xf numFmtId="38" fontId="44" fillId="0" borderId="34" xfId="0" applyFont="1" applyFill="1" applyBorder="1">
      <alignment vertical="center"/>
    </xf>
    <xf numFmtId="165" fontId="45" fillId="0" borderId="35" xfId="7" applyNumberFormat="1" applyFont="1" applyFill="1" applyBorder="1" applyAlignment="1">
      <alignment vertical="center"/>
    </xf>
    <xf numFmtId="38" fontId="44" fillId="0" borderId="36" xfId="0" applyFont="1" applyFill="1" applyBorder="1">
      <alignment vertical="center"/>
    </xf>
    <xf numFmtId="38" fontId="4" fillId="0" borderId="0" xfId="0" applyFont="1" applyBorder="1">
      <alignment vertical="center"/>
    </xf>
    <xf numFmtId="38" fontId="4" fillId="0" borderId="37" xfId="0" applyFont="1" applyBorder="1">
      <alignment vertical="center"/>
    </xf>
    <xf numFmtId="38" fontId="4" fillId="0" borderId="36" xfId="0" applyFont="1" applyBorder="1">
      <alignment vertical="center"/>
    </xf>
    <xf numFmtId="38" fontId="4" fillId="0" borderId="38" xfId="0" applyFont="1" applyBorder="1">
      <alignment vertical="center"/>
    </xf>
    <xf numFmtId="38" fontId="4" fillId="0" borderId="8" xfId="0" applyFont="1" applyBorder="1">
      <alignment vertical="center"/>
    </xf>
    <xf numFmtId="38" fontId="4" fillId="0" borderId="39" xfId="0" applyFont="1" applyBorder="1">
      <alignment vertical="center"/>
    </xf>
    <xf numFmtId="38" fontId="55" fillId="0" borderId="1" xfId="0" applyFont="1" applyFill="1" applyBorder="1">
      <alignment vertical="center"/>
    </xf>
    <xf numFmtId="38" fontId="55" fillId="0" borderId="0" xfId="0" applyFont="1" applyFill="1">
      <alignment vertical="center"/>
    </xf>
    <xf numFmtId="44" fontId="45" fillId="0" borderId="6" xfId="7" applyNumberFormat="1" applyFont="1" applyBorder="1"/>
    <xf numFmtId="10" fontId="53" fillId="0" borderId="0" xfId="12" applyFont="1" applyBorder="1">
      <alignment vertical="center"/>
    </xf>
    <xf numFmtId="38" fontId="24" fillId="0" borderId="0" xfId="0" applyFont="1" applyAlignment="1">
      <alignment vertical="center" wrapText="1"/>
    </xf>
    <xf numFmtId="38" fontId="0" fillId="0" borderId="0" xfId="0" applyAlignment="1">
      <alignment vertical="center"/>
    </xf>
    <xf numFmtId="38" fontId="0" fillId="0" borderId="0" xfId="0" applyAlignment="1">
      <alignment vertical="center" wrapText="1"/>
    </xf>
    <xf numFmtId="38" fontId="28" fillId="0" borderId="0" xfId="0" applyFont="1" applyAlignment="1">
      <alignment vertical="center" wrapText="1"/>
    </xf>
    <xf numFmtId="38" fontId="3" fillId="0" borderId="0" xfId="10" applyNumberFormat="1" applyFont="1" applyFill="1" applyBorder="1" applyAlignment="1">
      <alignment horizontal="center" vertical="center"/>
    </xf>
    <xf numFmtId="38" fontId="37" fillId="0" borderId="0" xfId="0" applyFont="1" applyFill="1" applyBorder="1" applyAlignment="1">
      <alignment horizontal="right" vertical="center"/>
    </xf>
    <xf numFmtId="38" fontId="20" fillId="0" borderId="0" xfId="10" applyNumberFormat="1" applyFont="1" applyFill="1" applyBorder="1" applyAlignment="1">
      <alignment horizontal="center" vertical="center"/>
    </xf>
    <xf numFmtId="38" fontId="51" fillId="0" borderId="0" xfId="0" applyFont="1" applyAlignment="1">
      <alignment horizontal="center"/>
    </xf>
    <xf numFmtId="38" fontId="29" fillId="0" borderId="7" xfId="0" applyFont="1" applyBorder="1" applyAlignment="1">
      <alignment horizontal="center"/>
    </xf>
    <xf numFmtId="38" fontId="29" fillId="0" borderId="6" xfId="0" applyFont="1" applyBorder="1" applyAlignment="1">
      <alignment horizontal="center"/>
    </xf>
    <xf numFmtId="0" fontId="46" fillId="0" borderId="6" xfId="10" applyFont="1" applyFill="1" applyBorder="1" applyAlignment="1" applyProtection="1">
      <alignment horizontal="center" wrapText="1"/>
      <protection locked="0"/>
    </xf>
    <xf numFmtId="38" fontId="0" fillId="0" borderId="0" xfId="0" applyAlignment="1">
      <alignment wrapText="1"/>
    </xf>
    <xf numFmtId="38" fontId="14" fillId="0" borderId="32" xfId="0" applyFont="1" applyBorder="1" applyAlignment="1">
      <alignment horizontal="center"/>
    </xf>
    <xf numFmtId="38" fontId="6" fillId="0" borderId="0" xfId="0" applyFont="1" applyAlignment="1">
      <alignment horizontal="center"/>
    </xf>
  </cellXfs>
  <cellStyles count="13">
    <cellStyle name="ColLevel_1" xfId="2" builtinId="2" iLevel="0"/>
    <cellStyle name="Column Headings" xfId="3"/>
    <cellStyle name="Comma" xfId="4" builtinId="3"/>
    <cellStyle name="Comma [0]" xfId="5" builtinId="6"/>
    <cellStyle name="curency" xfId="6"/>
    <cellStyle name="Currency" xfId="7" builtinId="4"/>
    <cellStyle name="Currency [0]" xfId="8" builtinId="7"/>
    <cellStyle name="HEADING" xfId="9"/>
    <cellStyle name="Heading 2" xfId="10" builtinId="17" customBuiltin="1"/>
    <cellStyle name="HEADING2" xfId="11"/>
    <cellStyle name="Normal" xfId="0" builtinId="0"/>
    <cellStyle name="Percent" xfId="12" builtinId="5"/>
    <cellStyle name="RowLevel_1" xfId="1" builtinId="1" iLevel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52"/>
  <sheetViews>
    <sheetView workbookViewId="0">
      <selection activeCell="B1" sqref="B1"/>
    </sheetView>
  </sheetViews>
  <sheetFormatPr defaultRowHeight="12.75"/>
  <cols>
    <col min="2" max="2" width="48" customWidth="1"/>
    <col min="4" max="4" width="18" customWidth="1"/>
    <col min="7" max="7" width="15.5" customWidth="1"/>
    <col min="8" max="8" width="10.5" customWidth="1"/>
    <col min="10" max="10" width="10.1640625" customWidth="1"/>
  </cols>
  <sheetData>
    <row r="2" spans="2:8">
      <c r="B2" s="166" t="s">
        <v>446</v>
      </c>
      <c r="C2" s="166" t="s">
        <v>447</v>
      </c>
      <c r="D2" s="166" t="s">
        <v>448</v>
      </c>
      <c r="E2" s="166" t="s">
        <v>444</v>
      </c>
      <c r="F2" s="166" t="s">
        <v>445</v>
      </c>
      <c r="G2" s="166" t="s">
        <v>449</v>
      </c>
      <c r="H2" s="166" t="s">
        <v>0</v>
      </c>
    </row>
    <row r="3" spans="2:8">
      <c r="B3" s="164" t="s">
        <v>451</v>
      </c>
      <c r="C3" s="175" t="s">
        <v>450</v>
      </c>
      <c r="D3" s="177">
        <f>Project_Value</f>
        <v>15192496.527644109</v>
      </c>
      <c r="E3" s="176">
        <f>+D3/D$3</f>
        <v>1</v>
      </c>
      <c r="F3" s="176">
        <f>+D3/D$24</f>
        <v>1.1521852184627936</v>
      </c>
      <c r="G3" s="177">
        <f>+D3/TUnits</f>
        <v>113376.83975853813</v>
      </c>
      <c r="H3" s="178">
        <f>+D3/TotalSF</f>
        <v>102.54045617702438</v>
      </c>
    </row>
    <row r="4" spans="2:8">
      <c r="B4" s="164"/>
      <c r="D4" s="163"/>
      <c r="E4" s="167"/>
      <c r="F4" s="167"/>
      <c r="G4" s="160"/>
      <c r="H4" s="168"/>
    </row>
    <row r="5" spans="2:8">
      <c r="B5" s="172" t="s">
        <v>462</v>
      </c>
      <c r="C5" s="172"/>
      <c r="D5" s="173">
        <f>MonthlyNOI*12</f>
        <v>1519249.6527644107</v>
      </c>
      <c r="E5" s="169">
        <f>+D5/D$3</f>
        <v>9.9999999999999992E-2</v>
      </c>
      <c r="F5" s="169">
        <f>+D5/D$24</f>
        <v>0.11521852184627936</v>
      </c>
      <c r="G5" s="173">
        <f>+D5/TUnits</f>
        <v>11337.683975853812</v>
      </c>
      <c r="H5" s="174">
        <f>+D5/TotalSF</f>
        <v>10.254045617702436</v>
      </c>
    </row>
    <row r="6" spans="2:8">
      <c r="B6" s="172" t="s">
        <v>464</v>
      </c>
      <c r="C6" s="172"/>
      <c r="D6" s="173">
        <f>MortgagePmt*12</f>
        <v>-1077803.60665416</v>
      </c>
      <c r="E6" s="169">
        <f>+D6/D$3</f>
        <v>-7.0943153068555892E-2</v>
      </c>
      <c r="F6" s="169">
        <f>+D6/D$24</f>
        <v>-8.1739652316733497E-2</v>
      </c>
      <c r="G6" s="173">
        <f>+D6/TUnits</f>
        <v>-8043.3104974191037</v>
      </c>
      <c r="H6" s="174">
        <f>+D6/TotalSF</f>
        <v>-7.2745432782861883</v>
      </c>
    </row>
    <row r="7" spans="2:8">
      <c r="B7" s="172" t="s">
        <v>463</v>
      </c>
      <c r="C7" s="172"/>
      <c r="D7" s="173">
        <f>+D6+D5</f>
        <v>441446.04611025075</v>
      </c>
      <c r="E7" s="169">
        <f>+D7/D$3</f>
        <v>2.9056846931444093E-2</v>
      </c>
      <c r="F7" s="169">
        <f>+D7/D$24</f>
        <v>3.3478869529545867E-2</v>
      </c>
      <c r="G7" s="173">
        <f>+D7/TUnits</f>
        <v>3294.3734784347071</v>
      </c>
      <c r="H7" s="174">
        <f>+D7/TotalSF</f>
        <v>2.9795023394162481</v>
      </c>
    </row>
    <row r="9" spans="2:8">
      <c r="B9" s="189" t="s">
        <v>461</v>
      </c>
      <c r="C9" s="190">
        <v>0.5</v>
      </c>
      <c r="D9" s="188">
        <f>D7*InvShare</f>
        <v>220723.02305512538</v>
      </c>
      <c r="E9" s="176"/>
      <c r="F9" s="176"/>
      <c r="G9" s="177"/>
      <c r="H9" s="178"/>
    </row>
    <row r="10" spans="2:8">
      <c r="B10" s="164"/>
      <c r="D10" s="163"/>
      <c r="E10" s="167"/>
      <c r="F10" s="167"/>
      <c r="G10" s="160"/>
      <c r="H10" s="168"/>
    </row>
    <row r="11" spans="2:8">
      <c r="B11" s="153" t="s">
        <v>465</v>
      </c>
      <c r="C11" s="176">
        <v>0.8</v>
      </c>
      <c r="D11" s="177">
        <f>C11*Project_Value</f>
        <v>12153997.222115288</v>
      </c>
      <c r="E11" s="167"/>
      <c r="F11" s="167"/>
      <c r="G11" s="160"/>
      <c r="H11" s="168"/>
    </row>
    <row r="12" spans="2:8">
      <c r="B12" s="164"/>
      <c r="D12" s="163"/>
      <c r="E12" s="167"/>
      <c r="F12" s="167"/>
      <c r="G12" s="160"/>
      <c r="H12" s="168"/>
    </row>
    <row r="13" spans="2:8">
      <c r="B13" s="164" t="s">
        <v>467</v>
      </c>
      <c r="D13" s="163">
        <f>TotalCost-ConstProfit</f>
        <v>11350712.938826414</v>
      </c>
      <c r="E13" s="167"/>
      <c r="F13" s="167"/>
      <c r="G13" s="160"/>
      <c r="H13" s="168"/>
    </row>
    <row r="14" spans="2:8">
      <c r="B14" s="164" t="s">
        <v>217</v>
      </c>
      <c r="C14" s="1">
        <v>0.15</v>
      </c>
      <c r="D14" s="163">
        <f>+C14*D13</f>
        <v>1702606.940823962</v>
      </c>
      <c r="E14" s="167"/>
      <c r="F14" s="167"/>
      <c r="G14" s="160"/>
      <c r="H14" s="168"/>
    </row>
    <row r="15" spans="2:8">
      <c r="B15" s="164" t="s">
        <v>261</v>
      </c>
      <c r="D15" s="163">
        <f>+D13+D14</f>
        <v>13053319.879650377</v>
      </c>
      <c r="E15" s="167"/>
      <c r="F15" s="167"/>
      <c r="G15" s="160"/>
      <c r="H15" s="168"/>
    </row>
    <row r="16" spans="2:8">
      <c r="B16" s="164"/>
      <c r="D16" s="163"/>
      <c r="E16" s="167"/>
      <c r="F16" s="167"/>
      <c r="G16" s="160"/>
      <c r="H16" s="168"/>
    </row>
    <row r="17" spans="2:8">
      <c r="B17" s="179" t="s">
        <v>468</v>
      </c>
      <c r="C17" s="186"/>
      <c r="D17" s="188">
        <f>+D15-D11</f>
        <v>899322.65753508918</v>
      </c>
      <c r="E17" s="167"/>
      <c r="F17" s="167"/>
      <c r="G17" s="160"/>
      <c r="H17" s="168"/>
    </row>
    <row r="18" spans="2:8">
      <c r="B18" s="164"/>
      <c r="D18" s="177"/>
      <c r="E18" s="167"/>
      <c r="F18" s="167"/>
      <c r="G18" s="160"/>
      <c r="H18" s="168"/>
    </row>
    <row r="19" spans="2:8">
      <c r="B19" s="179" t="s">
        <v>469</v>
      </c>
      <c r="C19" s="186"/>
      <c r="D19" s="187">
        <f>+D9/D17</f>
        <v>0.24543251657874898</v>
      </c>
      <c r="E19" s="167"/>
      <c r="F19" s="167"/>
      <c r="G19" s="160"/>
      <c r="H19" s="168"/>
    </row>
    <row r="20" spans="2:8">
      <c r="B20" s="164"/>
      <c r="D20" s="163"/>
      <c r="E20" s="167"/>
      <c r="F20" s="167"/>
      <c r="G20" s="160"/>
      <c r="H20" s="168"/>
    </row>
    <row r="21" spans="2:8">
      <c r="B21" s="153" t="s">
        <v>466</v>
      </c>
      <c r="D21" s="163"/>
      <c r="E21" s="167"/>
      <c r="F21" s="167"/>
      <c r="G21" s="160"/>
      <c r="H21" s="168"/>
    </row>
    <row r="22" spans="2:8">
      <c r="B22" s="164"/>
      <c r="D22" s="163"/>
      <c r="E22" s="167"/>
      <c r="F22" s="167"/>
      <c r="G22" s="160"/>
      <c r="H22" s="168"/>
    </row>
    <row r="23" spans="2:8">
      <c r="B23" s="171" t="s">
        <v>476</v>
      </c>
      <c r="E23" s="167"/>
      <c r="F23" s="167"/>
      <c r="G23" s="160"/>
      <c r="H23" s="168"/>
    </row>
    <row r="24" spans="2:8">
      <c r="B24" s="172" t="s">
        <v>477</v>
      </c>
      <c r="D24" s="163">
        <v>13185811</v>
      </c>
      <c r="E24" s="167">
        <f>+D24/D$3</f>
        <v>0.86791601209236646</v>
      </c>
      <c r="F24" s="167">
        <f t="shared" ref="F24:F29" si="0">+D24/D$24</f>
        <v>1</v>
      </c>
      <c r="G24" s="160">
        <f t="shared" ref="G24:G29" si="1">+D24/TUnits</f>
        <v>98401.574626865666</v>
      </c>
      <c r="H24" s="168">
        <f t="shared" ref="H24:H29" si="2">+D24/TotalSF</f>
        <v>88.99650380329507</v>
      </c>
    </row>
    <row r="25" spans="2:8">
      <c r="B25" s="161" t="s">
        <v>452</v>
      </c>
      <c r="C25" s="169" t="e">
        <f>LTC</f>
        <v>#REF!</v>
      </c>
      <c r="D25" s="163" t="e">
        <f>C25*D$24</f>
        <v>#REF!</v>
      </c>
      <c r="E25" s="167" t="e">
        <f>+D25/D$3</f>
        <v>#REF!</v>
      </c>
      <c r="F25" s="167" t="e">
        <f t="shared" si="0"/>
        <v>#REF!</v>
      </c>
      <c r="G25" s="160" t="e">
        <f t="shared" si="1"/>
        <v>#REF!</v>
      </c>
      <c r="H25" s="168" t="e">
        <f t="shared" si="2"/>
        <v>#REF!</v>
      </c>
    </row>
    <row r="26" spans="2:8">
      <c r="B26" s="161" t="s">
        <v>475</v>
      </c>
      <c r="C26" s="169"/>
      <c r="D26" s="163" t="e">
        <f>+D24-D25</f>
        <v>#REF!</v>
      </c>
      <c r="E26" s="167" t="e">
        <f t="shared" ref="E26:E36" si="3">+D26/D$3</f>
        <v>#REF!</v>
      </c>
      <c r="F26" s="167" t="e">
        <f t="shared" si="0"/>
        <v>#REF!</v>
      </c>
      <c r="G26" s="160" t="e">
        <f t="shared" si="1"/>
        <v>#REF!</v>
      </c>
      <c r="H26" s="168" t="e">
        <f t="shared" si="2"/>
        <v>#REF!</v>
      </c>
    </row>
    <row r="27" spans="2:8">
      <c r="B27" s="161" t="s">
        <v>470</v>
      </c>
      <c r="C27" s="167">
        <f>Const_Profit</f>
        <v>0.22</v>
      </c>
      <c r="D27" s="163">
        <f>ConstProfit</f>
        <v>2053300.2476497048</v>
      </c>
      <c r="E27" s="167">
        <f t="shared" si="3"/>
        <v>0.13515226045393797</v>
      </c>
      <c r="F27" s="167">
        <f t="shared" si="0"/>
        <v>0.15572043673686092</v>
      </c>
      <c r="G27" s="160">
        <f t="shared" si="1"/>
        <v>15323.136176490334</v>
      </c>
      <c r="H27" s="168">
        <f t="shared" si="2"/>
        <v>13.858574440302812</v>
      </c>
    </row>
    <row r="28" spans="2:8">
      <c r="B28" s="179" t="s">
        <v>480</v>
      </c>
      <c r="C28" s="184"/>
      <c r="D28" s="185" t="e">
        <f>+D26-D27</f>
        <v>#REF!</v>
      </c>
      <c r="E28" s="182" t="e">
        <f t="shared" si="3"/>
        <v>#REF!</v>
      </c>
      <c r="F28" s="182" t="e">
        <f t="shared" si="0"/>
        <v>#REF!</v>
      </c>
      <c r="G28" s="185" t="e">
        <f t="shared" si="1"/>
        <v>#REF!</v>
      </c>
      <c r="H28" s="183" t="e">
        <f t="shared" si="2"/>
        <v>#REF!</v>
      </c>
    </row>
    <row r="29" spans="2:8">
      <c r="B29" s="179" t="s">
        <v>481</v>
      </c>
      <c r="C29" s="184"/>
      <c r="D29" s="185" t="e">
        <f>-(0.75*D15-D14-D25)</f>
        <v>#REF!</v>
      </c>
      <c r="E29" s="182" t="e">
        <f t="shared" si="3"/>
        <v>#REF!</v>
      </c>
      <c r="F29" s="182" t="e">
        <f t="shared" si="0"/>
        <v>#REF!</v>
      </c>
      <c r="G29" s="185" t="e">
        <f t="shared" si="1"/>
        <v>#REF!</v>
      </c>
      <c r="H29" s="183" t="e">
        <f t="shared" si="2"/>
        <v>#REF!</v>
      </c>
    </row>
    <row r="31" spans="2:8">
      <c r="B31" s="171" t="s">
        <v>478</v>
      </c>
    </row>
    <row r="32" spans="2:8">
      <c r="B32" s="172" t="s">
        <v>477</v>
      </c>
      <c r="D32" s="163">
        <f>TotalCost</f>
        <v>13404013.186476119</v>
      </c>
      <c r="E32" s="167">
        <f>+D32/D$3</f>
        <v>0.88227850913681738</v>
      </c>
      <c r="F32" s="167">
        <f>+D32/D$24</f>
        <v>1.0165482567948319</v>
      </c>
      <c r="G32" s="160">
        <f>+D32/TUnits</f>
        <v>100029.94915280686</v>
      </c>
      <c r="H32" s="168">
        <f>+D32/TotalSF</f>
        <v>90.469240802074225</v>
      </c>
    </row>
    <row r="33" spans="2:8">
      <c r="B33" s="161" t="s">
        <v>452</v>
      </c>
      <c r="C33" s="169" t="e">
        <f>_LTC90</f>
        <v>#REF!</v>
      </c>
      <c r="D33" s="163" t="e">
        <f>C33*D$24</f>
        <v>#REF!</v>
      </c>
      <c r="E33" s="167" t="e">
        <f>+D33/D$3</f>
        <v>#REF!</v>
      </c>
      <c r="F33" s="167" t="e">
        <f>+D33/D$24</f>
        <v>#REF!</v>
      </c>
      <c r="G33" s="160" t="e">
        <f>+D33/TUnits</f>
        <v>#REF!</v>
      </c>
      <c r="H33" s="168" t="e">
        <f>+D33/TotalSF</f>
        <v>#REF!</v>
      </c>
    </row>
    <row r="34" spans="2:8">
      <c r="B34" s="161" t="s">
        <v>268</v>
      </c>
      <c r="C34" s="170"/>
      <c r="D34" s="163" t="e">
        <f>+D24-D33</f>
        <v>#REF!</v>
      </c>
      <c r="E34" s="167" t="e">
        <f t="shared" si="3"/>
        <v>#REF!</v>
      </c>
      <c r="F34" s="167" t="e">
        <f>+D34/D$24</f>
        <v>#REF!</v>
      </c>
      <c r="G34" s="160" t="e">
        <f>+D34/TUnits</f>
        <v>#REF!</v>
      </c>
      <c r="H34" s="168" t="e">
        <f>+D34/TotalSF</f>
        <v>#REF!</v>
      </c>
    </row>
    <row r="35" spans="2:8">
      <c r="B35" s="161" t="s">
        <v>470</v>
      </c>
      <c r="C35" s="167">
        <f>Const_Profit</f>
        <v>0.22</v>
      </c>
      <c r="D35" s="163">
        <f>ConstProfit</f>
        <v>2053300.2476497048</v>
      </c>
      <c r="E35" s="167">
        <f t="shared" si="3"/>
        <v>0.13515226045393797</v>
      </c>
      <c r="F35" s="167">
        <f>+D35/D$24</f>
        <v>0.15572043673686092</v>
      </c>
      <c r="G35" s="160">
        <f>+D35/TUnits</f>
        <v>15323.136176490334</v>
      </c>
      <c r="H35" s="168">
        <f>+D35/TotalSF</f>
        <v>13.858574440302812</v>
      </c>
    </row>
    <row r="36" spans="2:8">
      <c r="B36" s="179" t="s">
        <v>479</v>
      </c>
      <c r="C36" s="180"/>
      <c r="D36" s="181" t="e">
        <f>+IF(D34-D35&lt;0,0,D34-D35)</f>
        <v>#REF!</v>
      </c>
      <c r="E36" s="182" t="e">
        <f t="shared" si="3"/>
        <v>#REF!</v>
      </c>
      <c r="F36" s="182" t="e">
        <f>+D36/D$24</f>
        <v>#REF!</v>
      </c>
      <c r="G36" s="181" t="e">
        <f>+D36/TUnits</f>
        <v>#REF!</v>
      </c>
      <c r="H36" s="183" t="e">
        <f>+D36/TotalSF</f>
        <v>#REF!</v>
      </c>
    </row>
    <row r="37" spans="2:8">
      <c r="D37" s="160"/>
    </row>
    <row r="38" spans="2:8">
      <c r="B38" s="165" t="s">
        <v>438</v>
      </c>
      <c r="D38" s="160"/>
    </row>
    <row r="39" spans="2:8">
      <c r="B39" s="478" t="s">
        <v>471</v>
      </c>
      <c r="C39" s="478"/>
      <c r="D39" s="478"/>
      <c r="E39" s="478"/>
      <c r="F39" s="478"/>
      <c r="G39" s="478"/>
      <c r="H39" s="478"/>
    </row>
    <row r="40" spans="2:8">
      <c r="B40" s="478"/>
      <c r="C40" s="478"/>
      <c r="D40" s="478"/>
      <c r="E40" s="478"/>
      <c r="F40" s="478"/>
      <c r="G40" s="478"/>
      <c r="H40" s="478"/>
    </row>
    <row r="41" spans="2:8">
      <c r="B41" s="479" t="s">
        <v>482</v>
      </c>
      <c r="C41" s="479"/>
      <c r="D41" s="479"/>
      <c r="E41" s="479"/>
      <c r="F41" s="479"/>
      <c r="G41" s="479"/>
      <c r="H41" s="479"/>
    </row>
    <row r="42" spans="2:8">
      <c r="B42" t="s">
        <v>472</v>
      </c>
      <c r="D42" s="160"/>
    </row>
    <row r="43" spans="2:8">
      <c r="B43" t="s">
        <v>473</v>
      </c>
      <c r="D43" s="160"/>
    </row>
    <row r="44" spans="2:8">
      <c r="B44" t="s">
        <v>474</v>
      </c>
      <c r="D44" s="160"/>
    </row>
    <row r="46" spans="2:8">
      <c r="B46" s="162" t="s">
        <v>443</v>
      </c>
      <c r="D46" s="160"/>
    </row>
    <row r="47" spans="2:8">
      <c r="B47" s="477" t="s">
        <v>441</v>
      </c>
      <c r="C47" s="477"/>
      <c r="D47" s="477"/>
    </row>
    <row r="48" spans="2:8">
      <c r="B48" s="477" t="s">
        <v>440</v>
      </c>
      <c r="C48" s="477"/>
      <c r="D48" s="477"/>
    </row>
    <row r="49" spans="2:8">
      <c r="B49" t="s">
        <v>439</v>
      </c>
      <c r="D49" s="160"/>
    </row>
    <row r="50" spans="2:8">
      <c r="B50" s="476" t="s">
        <v>442</v>
      </c>
      <c r="C50" s="477"/>
      <c r="D50" s="477"/>
      <c r="E50" s="477"/>
      <c r="F50" s="477"/>
      <c r="G50" s="477"/>
      <c r="H50" s="477"/>
    </row>
    <row r="51" spans="2:8">
      <c r="B51" s="477"/>
      <c r="C51" s="477"/>
      <c r="D51" s="477"/>
      <c r="E51" s="477"/>
      <c r="F51" s="477"/>
      <c r="G51" s="477"/>
      <c r="H51" s="477"/>
    </row>
    <row r="52" spans="2:8">
      <c r="B52" s="477"/>
      <c r="C52" s="477"/>
      <c r="D52" s="477"/>
      <c r="E52" s="477"/>
      <c r="F52" s="477"/>
      <c r="G52" s="477"/>
      <c r="H52" s="477"/>
    </row>
  </sheetData>
  <mergeCells count="5">
    <mergeCell ref="B50:H52"/>
    <mergeCell ref="B39:H40"/>
    <mergeCell ref="B41:H41"/>
    <mergeCell ref="B47:D47"/>
    <mergeCell ref="B48:D48"/>
  </mergeCells>
  <printOptions horizontalCentered="1"/>
  <pageMargins left="0.75" right="0.75" top="1.29" bottom="1" header="0.49" footer="0.5"/>
  <pageSetup orientation="portrait" horizontalDpi="4294967292" verticalDpi="200" r:id="rId1"/>
  <headerFooter alignWithMargins="0">
    <oddHeader xml:space="preserve">&amp;C&amp;"Times New Roman Condensed,Bold"&amp;14&amp;UPROJECT SUMMARY&amp;U
EQUITY &amp;&amp; RETURN ON EQUITY&amp;"Times New Roman Condensed,Regular"&amp;9
</oddHeader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AC69"/>
  <sheetViews>
    <sheetView workbookViewId="0">
      <pane xSplit="2" ySplit="5" topLeftCell="I30" activePane="bottomRight" state="frozen"/>
      <selection pane="topRight" activeCell="C1" sqref="C1"/>
      <selection pane="bottomLeft" activeCell="A6" sqref="A6"/>
      <selection pane="bottomRight" activeCell="W59" sqref="W59"/>
    </sheetView>
  </sheetViews>
  <sheetFormatPr defaultRowHeight="12.75"/>
  <cols>
    <col min="1" max="1" width="9.33203125" style="204"/>
    <col min="2" max="2" width="27.1640625" style="204" customWidth="1"/>
    <col min="3" max="3" width="18.83203125" style="204" customWidth="1"/>
    <col min="4" max="4" width="9.33203125" style="204"/>
    <col min="5" max="5" width="1" style="204" customWidth="1"/>
    <col min="6" max="8" width="10.83203125" style="204" customWidth="1"/>
    <col min="9" max="9" width="1" style="204" customWidth="1"/>
    <col min="10" max="10" width="15.5" style="204" hidden="1" customWidth="1"/>
    <col min="11" max="11" width="9" style="204" customWidth="1"/>
    <col min="12" max="12" width="8" style="204" customWidth="1"/>
    <col min="13" max="13" width="1" style="204" customWidth="1"/>
    <col min="14" max="14" width="11.5" style="204" hidden="1" customWidth="1"/>
    <col min="15" max="15" width="10" style="204" customWidth="1"/>
    <col min="16" max="16" width="9" style="204" customWidth="1"/>
    <col min="17" max="17" width="1" style="204" customWidth="1"/>
    <col min="18" max="18" width="7.83203125" style="204" hidden="1" customWidth="1"/>
    <col min="19" max="19" width="10.5" style="204" hidden="1" customWidth="1"/>
    <col min="20" max="20" width="7.5" style="204" hidden="1" customWidth="1"/>
    <col min="21" max="21" width="1" style="204" hidden="1" customWidth="1"/>
    <col min="22" max="22" width="10" style="204" customWidth="1"/>
    <col min="23" max="23" width="12.5" style="204" customWidth="1"/>
    <col min="24" max="24" width="9" style="204" customWidth="1"/>
    <col min="25" max="25" width="16.1640625" style="204" customWidth="1"/>
    <col min="26" max="29" width="12.83203125" style="204" customWidth="1"/>
    <col min="30" max="16384" width="9.33203125" style="204"/>
  </cols>
  <sheetData>
    <row r="1" spans="2:29" s="197" customFormat="1">
      <c r="B1" s="197" t="s">
        <v>307</v>
      </c>
      <c r="C1" s="197">
        <v>625</v>
      </c>
      <c r="F1" s="197" t="s">
        <v>454</v>
      </c>
      <c r="G1" s="197">
        <v>0</v>
      </c>
    </row>
    <row r="2" spans="2:29" s="197" customFormat="1">
      <c r="B2" s="197" t="s">
        <v>308</v>
      </c>
      <c r="C2" s="197">
        <v>575</v>
      </c>
    </row>
    <row r="3" spans="2:29" s="197" customFormat="1">
      <c r="B3" s="197" t="s">
        <v>309</v>
      </c>
      <c r="C3" s="197">
        <v>510</v>
      </c>
      <c r="Y3" s="198"/>
    </row>
    <row r="4" spans="2:29" s="197" customFormat="1">
      <c r="B4" s="197" t="s">
        <v>310</v>
      </c>
      <c r="C4" s="197">
        <v>425</v>
      </c>
      <c r="Y4" s="198"/>
    </row>
    <row r="5" spans="2:29" s="196" customFormat="1">
      <c r="B5" s="279" t="s">
        <v>400</v>
      </c>
      <c r="C5" s="192"/>
      <c r="D5" s="192"/>
      <c r="E5" s="193"/>
      <c r="F5" s="480" t="s">
        <v>295</v>
      </c>
      <c r="G5" s="480"/>
      <c r="H5" s="480"/>
      <c r="I5" s="194"/>
      <c r="J5" s="482" t="s">
        <v>501</v>
      </c>
      <c r="K5" s="482"/>
      <c r="L5" s="482"/>
      <c r="M5" s="193"/>
      <c r="N5" s="482" t="s">
        <v>500</v>
      </c>
      <c r="O5" s="482"/>
      <c r="P5" s="482"/>
      <c r="Q5" s="193"/>
      <c r="R5" s="480" t="s">
        <v>306</v>
      </c>
      <c r="S5" s="480"/>
      <c r="T5" s="480"/>
      <c r="U5" s="193"/>
      <c r="V5" s="482" t="s">
        <v>401</v>
      </c>
      <c r="W5" s="482"/>
      <c r="X5" s="482"/>
      <c r="Y5" s="193"/>
      <c r="Z5" s="193"/>
      <c r="AA5" s="480" t="s">
        <v>401</v>
      </c>
      <c r="AB5" s="480"/>
      <c r="AC5" s="480"/>
    </row>
    <row r="6" spans="2:29">
      <c r="B6" s="199"/>
      <c r="C6" s="199"/>
      <c r="D6" s="199"/>
      <c r="E6" s="200"/>
      <c r="F6" s="200" t="s">
        <v>275</v>
      </c>
      <c r="G6" s="200" t="s">
        <v>73</v>
      </c>
      <c r="H6" s="200" t="s">
        <v>0</v>
      </c>
      <c r="I6" s="199"/>
      <c r="J6" s="200" t="s">
        <v>275</v>
      </c>
      <c r="K6" s="200" t="s">
        <v>253</v>
      </c>
      <c r="L6" s="200" t="s">
        <v>0</v>
      </c>
      <c r="M6" s="200"/>
      <c r="N6" s="200" t="s">
        <v>275</v>
      </c>
      <c r="O6" s="200" t="s">
        <v>253</v>
      </c>
      <c r="P6" s="200" t="s">
        <v>0</v>
      </c>
      <c r="Q6" s="201"/>
      <c r="R6" s="200" t="s">
        <v>275</v>
      </c>
      <c r="S6" s="200" t="s">
        <v>73</v>
      </c>
      <c r="T6" s="200" t="s">
        <v>0</v>
      </c>
      <c r="U6" s="200"/>
      <c r="V6" s="202" t="s">
        <v>253</v>
      </c>
      <c r="W6" s="202" t="s">
        <v>495</v>
      </c>
      <c r="X6" s="202" t="s">
        <v>496</v>
      </c>
      <c r="Y6" s="203"/>
      <c r="Z6" s="203"/>
      <c r="AA6" s="202" t="s">
        <v>275</v>
      </c>
      <c r="AB6" s="202" t="s">
        <v>493</v>
      </c>
      <c r="AC6" s="202" t="s">
        <v>492</v>
      </c>
    </row>
    <row r="7" spans="2:29" hidden="1">
      <c r="B7" s="290" t="s">
        <v>271</v>
      </c>
      <c r="C7" s="290"/>
      <c r="D7" s="290"/>
      <c r="E7" s="290"/>
      <c r="F7" s="290">
        <v>1</v>
      </c>
      <c r="G7" s="291">
        <v>2.5</v>
      </c>
      <c r="H7" s="291"/>
      <c r="I7" s="290"/>
      <c r="J7" s="292"/>
      <c r="K7" s="290">
        <v>2</v>
      </c>
      <c r="L7" s="291">
        <v>2.5</v>
      </c>
      <c r="M7" s="291"/>
      <c r="N7" s="292"/>
      <c r="O7" s="290">
        <v>3</v>
      </c>
      <c r="P7" s="291">
        <v>3.5</v>
      </c>
      <c r="Q7" s="290"/>
      <c r="R7" s="290">
        <v>4</v>
      </c>
      <c r="S7" s="291">
        <v>2.5</v>
      </c>
      <c r="T7" s="290"/>
      <c r="U7" s="290"/>
      <c r="V7" s="290"/>
      <c r="W7" s="199"/>
      <c r="X7" s="203"/>
      <c r="Y7" s="203"/>
      <c r="Z7" s="203"/>
      <c r="AA7" s="203"/>
      <c r="AC7" s="206"/>
    </row>
    <row r="8" spans="2:29">
      <c r="B8" s="290" t="s">
        <v>365</v>
      </c>
      <c r="C8" s="290"/>
      <c r="D8" s="290"/>
      <c r="E8" s="290"/>
      <c r="F8" s="290">
        <v>500</v>
      </c>
      <c r="G8" s="290"/>
      <c r="H8" s="290"/>
      <c r="I8" s="290"/>
      <c r="J8" s="292"/>
      <c r="K8" s="290">
        <f>+'UCost Final'!N11</f>
        <v>1016</v>
      </c>
      <c r="L8" s="290"/>
      <c r="M8" s="290"/>
      <c r="N8" s="292"/>
      <c r="O8" s="290">
        <f>+'UCost Final'!Q11</f>
        <v>1213</v>
      </c>
      <c r="P8" s="290"/>
      <c r="Q8" s="290"/>
      <c r="R8" s="290" t="e">
        <f>+'UCost Final'!#REF!</f>
        <v>#REF!</v>
      </c>
      <c r="S8" s="290"/>
      <c r="T8" s="290"/>
      <c r="U8" s="290"/>
      <c r="V8" s="290">
        <f>O8*O11+K8*K11</f>
        <v>148161</v>
      </c>
      <c r="W8" s="201"/>
      <c r="X8" s="203"/>
      <c r="Y8" s="203"/>
      <c r="Z8" s="203"/>
      <c r="AA8" s="203">
        <f>+TotalSF</f>
        <v>148161</v>
      </c>
      <c r="AC8" s="206"/>
    </row>
    <row r="9" spans="2:29" hidden="1">
      <c r="B9" s="290" t="s">
        <v>497</v>
      </c>
      <c r="C9" s="290"/>
      <c r="D9" s="290"/>
      <c r="E9" s="290"/>
      <c r="F9" s="481" t="s">
        <v>272</v>
      </c>
      <c r="G9" s="481"/>
      <c r="H9" s="290"/>
      <c r="I9" s="290"/>
      <c r="J9" s="292"/>
      <c r="K9" s="293" t="s">
        <v>499</v>
      </c>
      <c r="L9" s="290"/>
      <c r="M9" s="290"/>
      <c r="N9" s="292"/>
      <c r="O9" s="293" t="s">
        <v>498</v>
      </c>
      <c r="P9" s="290"/>
      <c r="Q9" s="294"/>
      <c r="R9" s="481" t="s">
        <v>272</v>
      </c>
      <c r="S9" s="481"/>
      <c r="T9" s="290"/>
      <c r="U9" s="290"/>
      <c r="V9" s="290"/>
      <c r="W9" s="207"/>
      <c r="Y9" s="203"/>
      <c r="Z9" s="203"/>
      <c r="AA9" s="203"/>
      <c r="AC9" s="206"/>
    </row>
    <row r="10" spans="2:29" ht="13.5" hidden="1" customHeight="1">
      <c r="B10" s="290" t="s">
        <v>273</v>
      </c>
      <c r="C10" s="290"/>
      <c r="D10" s="290"/>
      <c r="E10" s="290"/>
      <c r="F10" s="295">
        <v>15.83</v>
      </c>
      <c r="G10" s="290" t="s">
        <v>274</v>
      </c>
      <c r="H10" s="290"/>
      <c r="I10" s="290"/>
      <c r="J10" s="295">
        <v>15.83</v>
      </c>
      <c r="K10" s="290" t="s">
        <v>274</v>
      </c>
      <c r="L10" s="290"/>
      <c r="M10" s="290"/>
      <c r="N10" s="290">
        <v>26</v>
      </c>
      <c r="O10" s="290" t="s">
        <v>274</v>
      </c>
      <c r="P10" s="290"/>
      <c r="Q10" s="290"/>
      <c r="R10" s="290">
        <v>26</v>
      </c>
      <c r="S10" s="290" t="s">
        <v>274</v>
      </c>
      <c r="T10" s="290"/>
      <c r="U10" s="290"/>
      <c r="V10" s="290"/>
      <c r="W10" s="199"/>
      <c r="X10" s="203"/>
      <c r="Y10" s="203"/>
      <c r="Z10" s="203"/>
      <c r="AA10" s="203"/>
      <c r="AC10" s="206"/>
    </row>
    <row r="11" spans="2:29">
      <c r="B11" s="290" t="s">
        <v>305</v>
      </c>
      <c r="C11" s="290"/>
      <c r="D11" s="290"/>
      <c r="E11" s="290"/>
      <c r="F11" s="290">
        <v>0</v>
      </c>
      <c r="G11" s="290"/>
      <c r="H11" s="290"/>
      <c r="I11" s="290"/>
      <c r="J11" s="292"/>
      <c r="K11" s="290">
        <f>+'UCost Final'!N8+1</f>
        <v>73</v>
      </c>
      <c r="L11" s="290"/>
      <c r="M11" s="290"/>
      <c r="N11" s="292"/>
      <c r="O11" s="290">
        <f>+'UCost Final'!Q8</f>
        <v>61</v>
      </c>
      <c r="P11" s="290"/>
      <c r="Q11" s="290"/>
      <c r="R11" s="290">
        <v>0</v>
      </c>
      <c r="S11" s="290"/>
      <c r="T11" s="290"/>
      <c r="U11" s="290"/>
      <c r="V11" s="290">
        <f>+O11+K11</f>
        <v>134</v>
      </c>
      <c r="W11" s="201"/>
      <c r="X11" s="203"/>
      <c r="Y11" s="203"/>
      <c r="Z11" s="203"/>
      <c r="AA11" s="203">
        <f>+TUnits</f>
        <v>134</v>
      </c>
      <c r="AC11" s="206"/>
    </row>
    <row r="12" spans="2:29" hidden="1">
      <c r="B12" s="290" t="s">
        <v>304</v>
      </c>
      <c r="C12" s="290"/>
      <c r="D12" s="290"/>
      <c r="E12" s="290"/>
      <c r="F12" s="290">
        <f>+F11/$V11</f>
        <v>0</v>
      </c>
      <c r="G12" s="290"/>
      <c r="H12" s="290"/>
      <c r="I12" s="290"/>
      <c r="J12" s="292"/>
      <c r="K12" s="296">
        <f>+K11/$V11</f>
        <v>0.54477611940298509</v>
      </c>
      <c r="L12" s="297"/>
      <c r="M12" s="297"/>
      <c r="N12" s="292"/>
      <c r="O12" s="296">
        <f>+O11/$V11</f>
        <v>0.45522388059701491</v>
      </c>
      <c r="P12" s="297"/>
      <c r="Q12" s="297"/>
      <c r="R12" s="297">
        <f>+R11/$V11</f>
        <v>0</v>
      </c>
      <c r="S12" s="297"/>
      <c r="T12" s="297"/>
      <c r="U12" s="297"/>
      <c r="V12" s="296">
        <f>+V11/$V11</f>
        <v>1</v>
      </c>
      <c r="W12" s="201"/>
      <c r="X12" s="203"/>
      <c r="Y12" s="203"/>
      <c r="Z12" s="203"/>
      <c r="AA12" s="203"/>
      <c r="AC12" s="201"/>
    </row>
    <row r="13" spans="2:29">
      <c r="B13" s="199"/>
      <c r="C13" s="199"/>
      <c r="D13" s="199"/>
      <c r="E13" s="199"/>
      <c r="F13" s="199"/>
      <c r="G13" s="199"/>
      <c r="H13" s="199"/>
      <c r="I13" s="199"/>
      <c r="J13" s="203"/>
      <c r="K13" s="209"/>
      <c r="L13" s="209"/>
      <c r="M13" s="209"/>
      <c r="N13" s="203"/>
      <c r="O13" s="209"/>
      <c r="P13" s="209"/>
      <c r="Q13" s="209"/>
      <c r="R13" s="209"/>
      <c r="S13" s="209"/>
      <c r="T13" s="209"/>
      <c r="U13" s="209"/>
      <c r="V13" s="199"/>
      <c r="W13" s="201"/>
      <c r="X13" s="203"/>
      <c r="Y13" s="203"/>
      <c r="Z13" s="203"/>
      <c r="AA13" s="209"/>
      <c r="AC13" s="201"/>
    </row>
    <row r="14" spans="2:29">
      <c r="B14" s="210" t="s">
        <v>311</v>
      </c>
      <c r="C14" s="199"/>
      <c r="D14" s="199"/>
      <c r="E14" s="211"/>
      <c r="F14" s="212"/>
      <c r="G14" s="212"/>
      <c r="H14" s="199"/>
      <c r="I14" s="199"/>
      <c r="J14" s="213"/>
      <c r="K14" s="213"/>
      <c r="L14" s="213"/>
      <c r="M14" s="199"/>
      <c r="N14" s="213"/>
      <c r="O14" s="213"/>
      <c r="P14" s="213"/>
      <c r="Q14" s="199"/>
      <c r="R14" s="212"/>
      <c r="S14" s="212"/>
      <c r="T14" s="199"/>
      <c r="U14" s="199"/>
      <c r="V14" s="213"/>
      <c r="W14" s="212"/>
      <c r="X14" s="212"/>
      <c r="Y14" s="203"/>
      <c r="Z14" s="203"/>
      <c r="AA14" s="199"/>
      <c r="AC14" s="212"/>
    </row>
    <row r="15" spans="2:29">
      <c r="B15" s="214" t="s">
        <v>363</v>
      </c>
      <c r="C15" s="199"/>
      <c r="D15" s="199"/>
      <c r="E15" s="211"/>
      <c r="F15" s="212">
        <f>G15*F$11</f>
        <v>0</v>
      </c>
      <c r="G15" s="212">
        <f>F$7*One_Bedroom_Rate</f>
        <v>625</v>
      </c>
      <c r="H15" s="199">
        <f>+G15/F$8</f>
        <v>1.25</v>
      </c>
      <c r="I15" s="199"/>
      <c r="J15" s="212">
        <f>K15*K$11</f>
        <v>83950</v>
      </c>
      <c r="K15" s="212">
        <f>K$7*Two_Bedroom_Rate+Internet</f>
        <v>1150</v>
      </c>
      <c r="L15" s="215">
        <f>+K15/K$8</f>
        <v>1.1318897637795275</v>
      </c>
      <c r="M15" s="199"/>
      <c r="N15" s="212">
        <f>O15*O$11</f>
        <v>93330</v>
      </c>
      <c r="O15" s="212">
        <f>O$7*Three_Bedroom_Rate+Internet</f>
        <v>1530</v>
      </c>
      <c r="P15" s="215">
        <f>+O15/O$8</f>
        <v>1.261335531739489</v>
      </c>
      <c r="Q15" s="199"/>
      <c r="R15" s="212">
        <f>S15*R$11</f>
        <v>0</v>
      </c>
      <c r="S15" s="212">
        <f>R$7*Four_Bedroom_Rate</f>
        <v>1700</v>
      </c>
      <c r="T15" s="199" t="e">
        <f>+S15/R$8</f>
        <v>#REF!</v>
      </c>
      <c r="U15" s="199"/>
      <c r="V15" s="213">
        <f>+R15+N15+J15+F15</f>
        <v>177280</v>
      </c>
      <c r="W15" s="212">
        <f>+V15/V$11</f>
        <v>1322.9850746268658</v>
      </c>
      <c r="X15" s="215">
        <f>+V15/V$8</f>
        <v>1.1965362004846081</v>
      </c>
      <c r="Y15" s="203"/>
      <c r="Z15" s="203"/>
      <c r="AA15" s="213">
        <f>V15*12</f>
        <v>2127360</v>
      </c>
      <c r="AB15" s="213">
        <f>+AA15/TUnits</f>
        <v>15875.820895522387</v>
      </c>
      <c r="AC15" s="209">
        <f>+V15/V$19</f>
        <v>1.0356321130475024</v>
      </c>
    </row>
    <row r="16" spans="2:29">
      <c r="B16" s="214" t="s">
        <v>347</v>
      </c>
      <c r="C16" s="199">
        <v>0.05</v>
      </c>
      <c r="D16" s="199"/>
      <c r="E16" s="199"/>
      <c r="F16" s="216">
        <f>G16*F$11</f>
        <v>0</v>
      </c>
      <c r="G16" s="201">
        <v>0</v>
      </c>
      <c r="H16" s="217">
        <f>+G16/F$8</f>
        <v>0</v>
      </c>
      <c r="I16" s="199"/>
      <c r="J16" s="199">
        <f>K16*K$11</f>
        <v>-4197.5</v>
      </c>
      <c r="K16" s="199">
        <f>-$C16*K$15</f>
        <v>-57.5</v>
      </c>
      <c r="L16" s="208">
        <f>+K16/K$8</f>
        <v>-5.6594488188976375E-2</v>
      </c>
      <c r="M16" s="199"/>
      <c r="N16" s="199">
        <f>O16*O$11</f>
        <v>-4666.5</v>
      </c>
      <c r="O16" s="199">
        <f>-$C16*O$15</f>
        <v>-76.5</v>
      </c>
      <c r="P16" s="208">
        <f>+O16/O$8</f>
        <v>-6.3066776586974446E-2</v>
      </c>
      <c r="Q16" s="199"/>
      <c r="R16" s="216">
        <f>S16*R$11</f>
        <v>0</v>
      </c>
      <c r="S16" s="205">
        <v>0</v>
      </c>
      <c r="T16" s="217" t="e">
        <f>+S16/R$8</f>
        <v>#REF!</v>
      </c>
      <c r="U16" s="199"/>
      <c r="V16" s="199">
        <f>N16+J16</f>
        <v>-8864</v>
      </c>
      <c r="W16" s="199">
        <f>+V16/V$11</f>
        <v>-66.149253731343279</v>
      </c>
      <c r="X16" s="208">
        <f>+V16/V$8</f>
        <v>-5.9826810024230397E-2</v>
      </c>
      <c r="Y16" s="203"/>
      <c r="Z16" s="203"/>
      <c r="AA16" s="199">
        <f>12*V16</f>
        <v>-106368</v>
      </c>
      <c r="AB16" s="199">
        <f t="shared" ref="AB16:AB44" si="0">+AA16/TUnits</f>
        <v>-793.79104477611941</v>
      </c>
      <c r="AC16" s="209">
        <f>+V16/V$19</f>
        <v>-5.1781605652375121E-2</v>
      </c>
    </row>
    <row r="17" spans="2:29">
      <c r="B17" s="214" t="s">
        <v>362</v>
      </c>
      <c r="C17" s="218">
        <f>1/6</f>
        <v>0.16666666666666666</v>
      </c>
      <c r="D17" s="199"/>
      <c r="E17" s="211"/>
      <c r="F17" s="216">
        <f>G17*F$11</f>
        <v>0</v>
      </c>
      <c r="G17" s="216">
        <f>(125*F7*F11*0.33)/12</f>
        <v>0</v>
      </c>
      <c r="H17" s="217">
        <f>+G17/F$8</f>
        <v>0</v>
      </c>
      <c r="I17" s="199"/>
      <c r="J17" s="216">
        <f>K17*K$11</f>
        <v>1165.9722222222222</v>
      </c>
      <c r="K17" s="199">
        <f>($C17*K$15)/12</f>
        <v>15.972222222222221</v>
      </c>
      <c r="L17" s="217">
        <f>+K17/K$8</f>
        <v>1.5720691163604548E-2</v>
      </c>
      <c r="M17" s="199"/>
      <c r="N17" s="216">
        <f>O17*O$11</f>
        <v>1296.25</v>
      </c>
      <c r="O17" s="199">
        <f>($C17*O$15)/12</f>
        <v>21.25</v>
      </c>
      <c r="P17" s="217">
        <f>+O17/O$8</f>
        <v>1.7518549051937345E-2</v>
      </c>
      <c r="Q17" s="199"/>
      <c r="R17" s="216">
        <f>S17*R$11</f>
        <v>0</v>
      </c>
      <c r="S17" s="216">
        <f>(125*R7*R11*0.33)/12</f>
        <v>0</v>
      </c>
      <c r="T17" s="217" t="e">
        <f>+S17/R$8</f>
        <v>#REF!</v>
      </c>
      <c r="U17" s="199"/>
      <c r="V17" s="199">
        <f>N17+J17</f>
        <v>2462.2222222222222</v>
      </c>
      <c r="W17" s="216">
        <f>+V17/V$11</f>
        <v>18.374792703150913</v>
      </c>
      <c r="X17" s="208">
        <f>+V17/V$8</f>
        <v>1.6618558340064E-2</v>
      </c>
      <c r="Y17" s="203"/>
      <c r="Z17" s="203"/>
      <c r="AA17" s="199">
        <f>12*V17</f>
        <v>29546.666666666664</v>
      </c>
      <c r="AB17" s="199">
        <f t="shared" si="0"/>
        <v>220.49751243781094</v>
      </c>
      <c r="AC17" s="209">
        <f>+V17/V$19</f>
        <v>1.4383779347881978E-2</v>
      </c>
    </row>
    <row r="18" spans="2:29">
      <c r="B18" s="285" t="s">
        <v>437</v>
      </c>
      <c r="C18" s="199">
        <v>300</v>
      </c>
      <c r="D18" s="199"/>
      <c r="E18" s="199"/>
      <c r="F18" s="216">
        <f>G18*F$11</f>
        <v>0</v>
      </c>
      <c r="G18" s="199">
        <v>0</v>
      </c>
      <c r="H18" s="217">
        <f>+G18/F$8</f>
        <v>0</v>
      </c>
      <c r="I18" s="199"/>
      <c r="J18" s="216">
        <f>K18*K$11</f>
        <v>164.66165413533835</v>
      </c>
      <c r="K18" s="286">
        <f>$C18/SM134Units</f>
        <v>2.255639097744361</v>
      </c>
      <c r="L18" s="287">
        <f>+K18/K$8</f>
        <v>2.2201172221893318E-3</v>
      </c>
      <c r="M18" s="199"/>
      <c r="N18" s="216">
        <f>O18*O$11</f>
        <v>137.59398496240601</v>
      </c>
      <c r="O18" s="286">
        <f>$C18/SM134Units</f>
        <v>2.255639097744361</v>
      </c>
      <c r="P18" s="287">
        <f>+O18/O$8</f>
        <v>1.8595540789318721E-3</v>
      </c>
      <c r="Q18" s="199"/>
      <c r="R18" s="216">
        <f>S18*R$11</f>
        <v>0</v>
      </c>
      <c r="S18" s="199">
        <v>0</v>
      </c>
      <c r="T18" s="217" t="e">
        <f>+S18/R$8</f>
        <v>#REF!</v>
      </c>
      <c r="U18" s="199"/>
      <c r="V18" s="286">
        <f>N18+J18</f>
        <v>302.25563909774439</v>
      </c>
      <c r="W18" s="281">
        <f>+V18/V$11</f>
        <v>2.255639097744361</v>
      </c>
      <c r="X18" s="284">
        <f>+V18/V$8</f>
        <v>2.0400485896946187E-3</v>
      </c>
      <c r="Y18" s="203"/>
      <c r="Z18" s="203"/>
      <c r="AA18" s="286">
        <f>12*V18</f>
        <v>3627.0676691729327</v>
      </c>
      <c r="AB18" s="286">
        <f t="shared" si="0"/>
        <v>27.067669172932334</v>
      </c>
      <c r="AC18" s="288">
        <f>+V18/V$19</f>
        <v>1.7657132569907509E-3</v>
      </c>
    </row>
    <row r="19" spans="2:29">
      <c r="B19" s="210" t="s">
        <v>312</v>
      </c>
      <c r="C19" s="199"/>
      <c r="D19" s="199"/>
      <c r="E19" s="199"/>
      <c r="F19" s="213">
        <f>F$11*G19</f>
        <v>0</v>
      </c>
      <c r="G19" s="213">
        <f>SUM(G14:G18)</f>
        <v>625</v>
      </c>
      <c r="H19" s="211">
        <f>+G19/F$8</f>
        <v>1.25</v>
      </c>
      <c r="I19" s="199"/>
      <c r="J19" s="213">
        <f>SUM(J14:J18)</f>
        <v>81083.133876357562</v>
      </c>
      <c r="K19" s="213">
        <f>SUM(K14:K18)</f>
        <v>1110.7278613199665</v>
      </c>
      <c r="L19" s="211">
        <f>+K19/K$8</f>
        <v>1.0932360839763449</v>
      </c>
      <c r="M19" s="199"/>
      <c r="N19" s="213">
        <f>SUM(N14:N18)</f>
        <v>90097.343984962412</v>
      </c>
      <c r="O19" s="213">
        <f>SUM(O14:O18)</f>
        <v>1477.0056390977443</v>
      </c>
      <c r="P19" s="211">
        <f>+O19/O$8</f>
        <v>1.2176468582833835</v>
      </c>
      <c r="Q19" s="199"/>
      <c r="R19" s="213">
        <f>R$11*S19</f>
        <v>0</v>
      </c>
      <c r="S19" s="213">
        <f>SUM(S14:S18)</f>
        <v>1700</v>
      </c>
      <c r="T19" s="211" t="e">
        <f>+S19/R$8</f>
        <v>#REF!</v>
      </c>
      <c r="U19" s="199"/>
      <c r="V19" s="213">
        <f>SUM(V14:V18)</f>
        <v>171180.47786131996</v>
      </c>
      <c r="W19" s="212">
        <f>+V19/V$11</f>
        <v>1277.4662526964175</v>
      </c>
      <c r="X19" s="215">
        <f>+V19/V$8</f>
        <v>1.1553679973901361</v>
      </c>
      <c r="Y19" s="203"/>
      <c r="Z19" s="203"/>
      <c r="AA19" s="213">
        <f>SUM(AA14:AA18)</f>
        <v>2054165.7343358397</v>
      </c>
      <c r="AB19" s="213">
        <f t="shared" si="0"/>
        <v>15329.595032357012</v>
      </c>
      <c r="AC19" s="209">
        <f>+V19/V$19</f>
        <v>1</v>
      </c>
    </row>
    <row r="20" spans="2:29">
      <c r="B20" s="210"/>
      <c r="C20" s="210"/>
      <c r="D20" s="210"/>
      <c r="E20" s="210"/>
      <c r="F20" s="210"/>
      <c r="G20" s="210"/>
      <c r="H20" s="210"/>
      <c r="I20" s="199"/>
      <c r="J20" s="210"/>
      <c r="K20" s="210"/>
      <c r="L20" s="210"/>
      <c r="M20" s="199"/>
      <c r="N20" s="210"/>
      <c r="O20" s="210"/>
      <c r="P20" s="210"/>
      <c r="Q20" s="199"/>
      <c r="R20" s="210"/>
      <c r="S20" s="210"/>
      <c r="T20" s="210"/>
      <c r="U20" s="210"/>
      <c r="V20" s="210"/>
      <c r="W20" s="210"/>
      <c r="X20" s="201"/>
      <c r="Y20" s="203"/>
      <c r="Z20" s="203"/>
      <c r="AA20" s="210"/>
      <c r="AB20" s="210">
        <f t="shared" si="0"/>
        <v>0</v>
      </c>
      <c r="AC20" s="206"/>
    </row>
    <row r="21" spans="2:29">
      <c r="B21" s="210" t="s">
        <v>313</v>
      </c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203"/>
      <c r="Z21" s="203"/>
      <c r="AA21" s="199"/>
      <c r="AB21" s="199">
        <f t="shared" si="0"/>
        <v>0</v>
      </c>
      <c r="AC21" s="199"/>
    </row>
    <row r="22" spans="2:29">
      <c r="B22" s="214" t="s">
        <v>361</v>
      </c>
      <c r="C22" s="199">
        <v>0.05</v>
      </c>
      <c r="D22" s="199"/>
      <c r="E22" s="219"/>
      <c r="F22" s="219"/>
      <c r="G22" s="219"/>
      <c r="H22" s="219"/>
      <c r="I22" s="199"/>
      <c r="J22" s="212">
        <f t="shared" ref="J22:J32" si="1">K$11*K22</f>
        <v>4197.5</v>
      </c>
      <c r="K22" s="213">
        <f>$C22*K$15</f>
        <v>57.5</v>
      </c>
      <c r="L22" s="215">
        <f t="shared" ref="L22:L32" si="2">+K22/K$8</f>
        <v>5.6594488188976375E-2</v>
      </c>
      <c r="M22" s="199"/>
      <c r="N22" s="213">
        <f t="shared" ref="N22:N32" si="3">O$11*O22</f>
        <v>4666.5</v>
      </c>
      <c r="O22" s="213">
        <f>$C22*O$15</f>
        <v>76.5</v>
      </c>
      <c r="P22" s="215">
        <f t="shared" ref="P22:P32" si="4">+O22/O$8</f>
        <v>6.3066776586974446E-2</v>
      </c>
      <c r="Q22" s="199"/>
      <c r="R22" s="219"/>
      <c r="S22" s="219"/>
      <c r="T22" s="219"/>
      <c r="U22" s="219"/>
      <c r="V22" s="213">
        <f>+N22+J22</f>
        <v>8864</v>
      </c>
      <c r="W22" s="213">
        <f t="shared" ref="W22:W32" si="5">+V22/V$11</f>
        <v>66.149253731343279</v>
      </c>
      <c r="X22" s="220">
        <f t="shared" ref="X22:X32" si="6">+V22/V$8</f>
        <v>5.9826810024230397E-2</v>
      </c>
      <c r="Y22" s="203"/>
      <c r="Z22" s="203"/>
      <c r="AA22" s="213">
        <f>V22*12</f>
        <v>106368</v>
      </c>
      <c r="AB22" s="213">
        <f t="shared" si="0"/>
        <v>793.79104477611941</v>
      </c>
      <c r="AC22" s="209">
        <f t="shared" ref="AC22:AC33" si="7">+V22/V$19</f>
        <v>5.1781605652375121E-2</v>
      </c>
    </row>
    <row r="23" spans="2:29">
      <c r="B23" s="214" t="s">
        <v>373</v>
      </c>
      <c r="C23" s="199" t="s">
        <v>349</v>
      </c>
      <c r="D23" s="199"/>
      <c r="E23" s="215"/>
      <c r="F23" s="215"/>
      <c r="G23" s="215"/>
      <c r="H23" s="215"/>
      <c r="I23" s="199"/>
      <c r="J23" s="201">
        <f t="shared" si="1"/>
        <v>1520.8333333333333</v>
      </c>
      <c r="K23" s="199">
        <f>250/12</f>
        <v>20.833333333333332</v>
      </c>
      <c r="L23" s="208">
        <f t="shared" si="2"/>
        <v>2.0505249343832018E-2</v>
      </c>
      <c r="M23" s="199"/>
      <c r="N23" s="201">
        <f t="shared" si="3"/>
        <v>1270.8333333333333</v>
      </c>
      <c r="O23" s="199">
        <f>250/12</f>
        <v>20.833333333333332</v>
      </c>
      <c r="P23" s="208">
        <f t="shared" si="4"/>
        <v>1.7175048090134652E-2</v>
      </c>
      <c r="Q23" s="199"/>
      <c r="R23" s="215"/>
      <c r="S23" s="215"/>
      <c r="T23" s="215"/>
      <c r="U23" s="215"/>
      <c r="V23" s="216">
        <f t="shared" ref="V23:V32" si="8">+R23+N23+J23+F23</f>
        <v>2791.6666666666665</v>
      </c>
      <c r="W23" s="201">
        <f t="shared" si="5"/>
        <v>20.833333333333332</v>
      </c>
      <c r="X23" s="221">
        <f t="shared" si="6"/>
        <v>1.8842115446485015E-2</v>
      </c>
      <c r="Y23" s="203"/>
      <c r="Z23" s="203"/>
      <c r="AA23" s="199">
        <f t="shared" ref="AA23:AA32" si="9">12*V23</f>
        <v>33500</v>
      </c>
      <c r="AB23" s="199">
        <f t="shared" si="0"/>
        <v>250</v>
      </c>
      <c r="AC23" s="209">
        <f t="shared" si="7"/>
        <v>1.630832383192846E-2</v>
      </c>
    </row>
    <row r="24" spans="2:29">
      <c r="B24" s="214" t="s">
        <v>428</v>
      </c>
      <c r="C24" s="201">
        <f>4800*10.3+2000*8</f>
        <v>65440</v>
      </c>
      <c r="D24" s="199"/>
      <c r="E24" s="215"/>
      <c r="F24" s="215"/>
      <c r="G24" s="215"/>
      <c r="H24" s="215"/>
      <c r="I24" s="199"/>
      <c r="J24" s="201">
        <f t="shared" si="1"/>
        <v>2970.8457711442784</v>
      </c>
      <c r="K24" s="201">
        <f>$C24/12/134</f>
        <v>40.696517412935322</v>
      </c>
      <c r="L24" s="208">
        <f t="shared" si="2"/>
        <v>4.0055627374936342E-2</v>
      </c>
      <c r="M24" s="199"/>
      <c r="N24" s="201">
        <f t="shared" si="3"/>
        <v>2482.4875621890546</v>
      </c>
      <c r="O24" s="201">
        <f>$C24/12/134</f>
        <v>40.696517412935322</v>
      </c>
      <c r="P24" s="208">
        <f t="shared" si="4"/>
        <v>3.3550302896071992E-2</v>
      </c>
      <c r="Q24" s="199"/>
      <c r="R24" s="215"/>
      <c r="S24" s="215"/>
      <c r="T24" s="215"/>
      <c r="U24" s="215"/>
      <c r="V24" s="216">
        <f t="shared" si="8"/>
        <v>5453.333333333333</v>
      </c>
      <c r="W24" s="201">
        <f t="shared" si="5"/>
        <v>40.696517412935322</v>
      </c>
      <c r="X24" s="221">
        <f t="shared" si="6"/>
        <v>3.6806807009491925E-2</v>
      </c>
      <c r="Y24" s="203"/>
      <c r="Z24" s="203"/>
      <c r="AA24" s="199">
        <f t="shared" si="9"/>
        <v>65440</v>
      </c>
      <c r="AB24" s="199">
        <f t="shared" si="0"/>
        <v>488.35820895522386</v>
      </c>
      <c r="AC24" s="209">
        <f t="shared" si="7"/>
        <v>3.1857215270489507E-2</v>
      </c>
    </row>
    <row r="25" spans="2:29">
      <c r="B25" s="214" t="s">
        <v>348</v>
      </c>
      <c r="C25" s="199" t="s">
        <v>429</v>
      </c>
      <c r="D25" s="199"/>
      <c r="E25" s="208"/>
      <c r="F25" s="201"/>
      <c r="G25" s="208"/>
      <c r="H25" s="208"/>
      <c r="I25" s="199"/>
      <c r="J25" s="201">
        <f t="shared" si="1"/>
        <v>1645.1071428571429</v>
      </c>
      <c r="K25" s="201">
        <f>351/28+10</f>
        <v>22.535714285714285</v>
      </c>
      <c r="L25" s="208">
        <f t="shared" si="2"/>
        <v>2.2180821147356578E-2</v>
      </c>
      <c r="M25" s="199"/>
      <c r="N25" s="201">
        <f t="shared" si="3"/>
        <v>1374.6785714285713</v>
      </c>
      <c r="O25" s="201">
        <f>351/28+10</f>
        <v>22.535714285714285</v>
      </c>
      <c r="P25" s="208">
        <f t="shared" si="4"/>
        <v>1.8578494876928513E-2</v>
      </c>
      <c r="Q25" s="199"/>
      <c r="R25" s="201"/>
      <c r="S25" s="208"/>
      <c r="T25" s="208"/>
      <c r="U25" s="208"/>
      <c r="V25" s="216">
        <f t="shared" si="8"/>
        <v>3019.7857142857142</v>
      </c>
      <c r="W25" s="201">
        <f t="shared" si="5"/>
        <v>22.535714285714285</v>
      </c>
      <c r="X25" s="221">
        <f t="shared" si="6"/>
        <v>2.0381785451540648E-2</v>
      </c>
      <c r="Y25" s="203"/>
      <c r="Z25" s="203"/>
      <c r="AA25" s="199">
        <f t="shared" si="9"/>
        <v>36237.428571428572</v>
      </c>
      <c r="AB25" s="199">
        <f t="shared" si="0"/>
        <v>270.42857142857144</v>
      </c>
      <c r="AC25" s="209">
        <f t="shared" si="7"/>
        <v>1.7640946865051757E-2</v>
      </c>
    </row>
    <row r="26" spans="2:29">
      <c r="B26" s="199" t="s">
        <v>314</v>
      </c>
      <c r="C26" s="199">
        <f>(598*2*0.1)+150+250</f>
        <v>519.6</v>
      </c>
      <c r="D26" s="199"/>
      <c r="E26" s="208"/>
      <c r="F26" s="201"/>
      <c r="G26" s="208"/>
      <c r="H26" s="208"/>
      <c r="I26" s="199"/>
      <c r="J26" s="201">
        <f t="shared" si="1"/>
        <v>283.06567164179103</v>
      </c>
      <c r="K26" s="201">
        <f>$C26/134</f>
        <v>3.8776119402985074</v>
      </c>
      <c r="L26" s="208">
        <f t="shared" si="2"/>
        <v>3.8165471853331768E-3</v>
      </c>
      <c r="M26" s="199"/>
      <c r="N26" s="201">
        <f t="shared" si="3"/>
        <v>236.53432835820894</v>
      </c>
      <c r="O26" s="201">
        <f>$C26/134</f>
        <v>3.8776119402985074</v>
      </c>
      <c r="P26" s="208">
        <f t="shared" si="4"/>
        <v>3.1967122343763456E-3</v>
      </c>
      <c r="Q26" s="199"/>
      <c r="R26" s="201"/>
      <c r="S26" s="208"/>
      <c r="T26" s="208"/>
      <c r="U26" s="208"/>
      <c r="V26" s="216">
        <f t="shared" si="8"/>
        <v>519.59999999999991</v>
      </c>
      <c r="W26" s="201">
        <f t="shared" si="5"/>
        <v>3.877611940298507</v>
      </c>
      <c r="X26" s="221">
        <f t="shared" si="6"/>
        <v>3.5069957681171152E-3</v>
      </c>
      <c r="Y26" s="203"/>
      <c r="Z26" s="203"/>
      <c r="AA26" s="199">
        <f t="shared" si="9"/>
        <v>6235.1999999999989</v>
      </c>
      <c r="AB26" s="199">
        <f t="shared" si="0"/>
        <v>46.531343283582082</v>
      </c>
      <c r="AC26" s="209">
        <f t="shared" si="7"/>
        <v>3.035392858413144E-3</v>
      </c>
    </row>
    <row r="27" spans="2:29">
      <c r="B27" s="199" t="s">
        <v>315</v>
      </c>
      <c r="C27" s="199" t="s">
        <v>427</v>
      </c>
      <c r="D27" s="199"/>
      <c r="E27" s="208"/>
      <c r="F27" s="201"/>
      <c r="G27" s="208"/>
      <c r="H27" s="208"/>
      <c r="I27" s="199"/>
      <c r="J27" s="201">
        <f t="shared" si="1"/>
        <v>13.619402985074627</v>
      </c>
      <c r="K27" s="208">
        <f>25/$V$11</f>
        <v>0.18656716417910449</v>
      </c>
      <c r="L27" s="208">
        <f t="shared" si="2"/>
        <v>1.8362909860148081E-4</v>
      </c>
      <c r="M27" s="199"/>
      <c r="N27" s="201">
        <f t="shared" si="3"/>
        <v>11.380597014925375</v>
      </c>
      <c r="O27" s="208">
        <f>25/$V$11</f>
        <v>0.18656716417910449</v>
      </c>
      <c r="P27" s="208">
        <f t="shared" si="4"/>
        <v>1.5380640080717601E-4</v>
      </c>
      <c r="Q27" s="199"/>
      <c r="R27" s="201"/>
      <c r="S27" s="208"/>
      <c r="T27" s="208"/>
      <c r="U27" s="208"/>
      <c r="V27" s="216">
        <f t="shared" si="8"/>
        <v>25</v>
      </c>
      <c r="W27" s="205">
        <f t="shared" si="5"/>
        <v>0.18656716417910449</v>
      </c>
      <c r="X27" s="221">
        <f t="shared" si="6"/>
        <v>1.6873536220732852E-4</v>
      </c>
      <c r="Y27" s="203"/>
      <c r="Z27" s="203"/>
      <c r="AA27" s="199">
        <f t="shared" si="9"/>
        <v>300</v>
      </c>
      <c r="AB27" s="199">
        <f t="shared" si="0"/>
        <v>2.2388059701492535</v>
      </c>
      <c r="AC27" s="209">
        <f t="shared" si="7"/>
        <v>1.4604469103219518E-4</v>
      </c>
    </row>
    <row r="28" spans="2:29">
      <c r="B28" s="214" t="s">
        <v>370</v>
      </c>
      <c r="C28" s="199"/>
      <c r="D28" s="199"/>
      <c r="E28" s="208"/>
      <c r="F28" s="201"/>
      <c r="G28" s="208"/>
      <c r="H28" s="208"/>
      <c r="I28" s="199"/>
      <c r="J28" s="201">
        <f t="shared" si="1"/>
        <v>9567.6719999999987</v>
      </c>
      <c r="K28" s="201">
        <f>0.129*K8</f>
        <v>131.06399999999999</v>
      </c>
      <c r="L28" s="208">
        <f t="shared" si="2"/>
        <v>0.129</v>
      </c>
      <c r="M28" s="199"/>
      <c r="N28" s="201">
        <f t="shared" si="3"/>
        <v>9545.0969999999998</v>
      </c>
      <c r="O28" s="201">
        <f>0.129*O8</f>
        <v>156.477</v>
      </c>
      <c r="P28" s="208">
        <f t="shared" si="4"/>
        <v>0.129</v>
      </c>
      <c r="Q28" s="199"/>
      <c r="R28" s="201"/>
      <c r="S28" s="208"/>
      <c r="T28" s="208"/>
      <c r="U28" s="208"/>
      <c r="V28" s="216">
        <f>+R28+N28+J28+F28</f>
        <v>19112.769</v>
      </c>
      <c r="W28" s="201">
        <f t="shared" si="5"/>
        <v>142.63260447761195</v>
      </c>
      <c r="X28" s="221">
        <f t="shared" si="6"/>
        <v>0.129</v>
      </c>
      <c r="Y28" s="203"/>
      <c r="Z28" s="203"/>
      <c r="AA28" s="199">
        <f t="shared" si="9"/>
        <v>229353.228</v>
      </c>
      <c r="AB28" s="199">
        <f t="shared" si="0"/>
        <v>1711.5912537313434</v>
      </c>
      <c r="AC28" s="209">
        <f t="shared" si="7"/>
        <v>0.11165273773498872</v>
      </c>
    </row>
    <row r="29" spans="2:29">
      <c r="B29" s="214" t="s">
        <v>371</v>
      </c>
      <c r="C29" s="199"/>
      <c r="D29" s="199"/>
      <c r="E29" s="208"/>
      <c r="F29" s="201"/>
      <c r="G29" s="208"/>
      <c r="H29" s="208"/>
      <c r="I29" s="199"/>
      <c r="J29" s="201">
        <f t="shared" si="1"/>
        <v>1390.65</v>
      </c>
      <c r="K29" s="201">
        <f>(75*K$8*0.003)/12</f>
        <v>19.05</v>
      </c>
      <c r="L29" s="208">
        <f t="shared" si="2"/>
        <v>1.8749999999999999E-2</v>
      </c>
      <c r="M29" s="199"/>
      <c r="N29" s="201">
        <f t="shared" si="3"/>
        <v>1387.3687500000001</v>
      </c>
      <c r="O29" s="208">
        <f>(75*O$8*0.003)/12</f>
        <v>22.743750000000002</v>
      </c>
      <c r="P29" s="208">
        <f t="shared" si="4"/>
        <v>1.8750000000000003E-2</v>
      </c>
      <c r="Q29" s="199"/>
      <c r="R29" s="201"/>
      <c r="S29" s="208"/>
      <c r="T29" s="208"/>
      <c r="U29" s="208"/>
      <c r="V29" s="216">
        <f t="shared" si="8"/>
        <v>2778.0187500000002</v>
      </c>
      <c r="W29" s="201">
        <f t="shared" si="5"/>
        <v>20.731483208955225</v>
      </c>
      <c r="X29" s="221">
        <f t="shared" si="6"/>
        <v>1.8750000000000003E-2</v>
      </c>
      <c r="Y29" s="203"/>
      <c r="Z29" s="203"/>
      <c r="AA29" s="199">
        <f t="shared" si="9"/>
        <v>33336.225000000006</v>
      </c>
      <c r="AB29" s="199">
        <f t="shared" si="0"/>
        <v>248.77779850746273</v>
      </c>
      <c r="AC29" s="209">
        <f t="shared" si="7"/>
        <v>1.6228595601015802E-2</v>
      </c>
    </row>
    <row r="30" spans="2:29">
      <c r="B30" s="214" t="s">
        <v>372</v>
      </c>
      <c r="C30" s="199"/>
      <c r="D30" s="199"/>
      <c r="E30" s="208"/>
      <c r="F30" s="201"/>
      <c r="G30" s="208"/>
      <c r="H30" s="208"/>
      <c r="I30" s="199"/>
      <c r="J30" s="201">
        <f t="shared" si="1"/>
        <v>304.16666666666669</v>
      </c>
      <c r="K30" s="208">
        <f>50/12</f>
        <v>4.166666666666667</v>
      </c>
      <c r="L30" s="208">
        <f t="shared" si="2"/>
        <v>4.1010498687664041E-3</v>
      </c>
      <c r="M30" s="199"/>
      <c r="N30" s="201">
        <f t="shared" si="3"/>
        <v>254.16666666666669</v>
      </c>
      <c r="O30" s="208">
        <f>50/12</f>
        <v>4.166666666666667</v>
      </c>
      <c r="P30" s="208">
        <f t="shared" si="4"/>
        <v>3.4350096180269306E-3</v>
      </c>
      <c r="Q30" s="199"/>
      <c r="R30" s="201"/>
      <c r="S30" s="208"/>
      <c r="T30" s="208"/>
      <c r="U30" s="208"/>
      <c r="V30" s="216">
        <f>+R30+N30+J30+F30</f>
        <v>558.33333333333337</v>
      </c>
      <c r="W30" s="201">
        <f t="shared" si="5"/>
        <v>4.166666666666667</v>
      </c>
      <c r="X30" s="221">
        <f t="shared" si="6"/>
        <v>3.7684230892970037E-3</v>
      </c>
      <c r="Y30" s="203"/>
      <c r="Z30" s="203"/>
      <c r="AA30" s="199">
        <f t="shared" si="9"/>
        <v>6700</v>
      </c>
      <c r="AB30" s="199">
        <f t="shared" si="0"/>
        <v>50</v>
      </c>
      <c r="AC30" s="209">
        <f t="shared" si="7"/>
        <v>3.2616647663856924E-3</v>
      </c>
    </row>
    <row r="31" spans="2:29">
      <c r="B31" s="214" t="s">
        <v>351</v>
      </c>
      <c r="C31" s="199"/>
      <c r="D31" s="199"/>
      <c r="E31" s="208"/>
      <c r="F31" s="201"/>
      <c r="G31" s="208"/>
      <c r="H31" s="208"/>
      <c r="I31" s="199"/>
      <c r="J31" s="201">
        <f t="shared" si="1"/>
        <v>68.097014925373131</v>
      </c>
      <c r="K31" s="208">
        <f>1500/12/$V$11</f>
        <v>0.93283582089552242</v>
      </c>
      <c r="L31" s="208">
        <f t="shared" si="2"/>
        <v>9.1814549300740398E-4</v>
      </c>
      <c r="M31" s="199"/>
      <c r="N31" s="201">
        <f t="shared" si="3"/>
        <v>56.902985074626869</v>
      </c>
      <c r="O31" s="208">
        <f>1500/12/$V$11</f>
        <v>0.93283582089552242</v>
      </c>
      <c r="P31" s="208">
        <f t="shared" si="4"/>
        <v>7.6903200403588003E-4</v>
      </c>
      <c r="Q31" s="199"/>
      <c r="R31" s="201"/>
      <c r="S31" s="208"/>
      <c r="T31" s="208"/>
      <c r="U31" s="208"/>
      <c r="V31" s="216">
        <f t="shared" si="8"/>
        <v>125</v>
      </c>
      <c r="W31" s="201">
        <f t="shared" si="5"/>
        <v>0.93283582089552242</v>
      </c>
      <c r="X31" s="221">
        <f t="shared" si="6"/>
        <v>8.4367681103664259E-4</v>
      </c>
      <c r="Y31" s="203"/>
      <c r="Z31" s="203"/>
      <c r="AA31" s="199">
        <f t="shared" si="9"/>
        <v>1500</v>
      </c>
      <c r="AB31" s="199">
        <f t="shared" si="0"/>
        <v>11.194029850746269</v>
      </c>
      <c r="AC31" s="209">
        <f t="shared" si="7"/>
        <v>7.3022345516097586E-4</v>
      </c>
    </row>
    <row r="32" spans="2:29">
      <c r="B32" s="285" t="s">
        <v>350</v>
      </c>
      <c r="C32" s="199"/>
      <c r="D32" s="199"/>
      <c r="E32" s="208"/>
      <c r="F32" s="201"/>
      <c r="G32" s="208"/>
      <c r="H32" s="208"/>
      <c r="I32" s="199"/>
      <c r="J32" s="201">
        <f t="shared" si="1"/>
        <v>723.91666666666674</v>
      </c>
      <c r="K32" s="284">
        <f>833/3/28</f>
        <v>9.9166666666666679</v>
      </c>
      <c r="L32" s="284">
        <f t="shared" si="2"/>
        <v>9.7604986876640432E-3</v>
      </c>
      <c r="M32" s="199"/>
      <c r="N32" s="201">
        <f t="shared" si="3"/>
        <v>604.91666666666674</v>
      </c>
      <c r="O32" s="284">
        <f>833/3/28</f>
        <v>9.9166666666666679</v>
      </c>
      <c r="P32" s="284">
        <f t="shared" si="4"/>
        <v>8.1753228909040958E-3</v>
      </c>
      <c r="Q32" s="199"/>
      <c r="R32" s="201"/>
      <c r="S32" s="208"/>
      <c r="T32" s="208"/>
      <c r="U32" s="208"/>
      <c r="V32" s="281">
        <f t="shared" si="8"/>
        <v>1328.8333333333335</v>
      </c>
      <c r="W32" s="282">
        <f t="shared" si="5"/>
        <v>9.9166666666666679</v>
      </c>
      <c r="X32" s="283">
        <f t="shared" si="6"/>
        <v>8.9688469525268689E-3</v>
      </c>
      <c r="Y32" s="203"/>
      <c r="Z32" s="203"/>
      <c r="AA32" s="286">
        <f t="shared" si="9"/>
        <v>15946.000000000002</v>
      </c>
      <c r="AB32" s="286">
        <f t="shared" si="0"/>
        <v>119.00000000000001</v>
      </c>
      <c r="AC32" s="288">
        <f t="shared" si="7"/>
        <v>7.7627621439979484E-3</v>
      </c>
    </row>
    <row r="33" spans="2:29">
      <c r="B33" s="210" t="s">
        <v>316</v>
      </c>
      <c r="C33" s="199"/>
      <c r="D33" s="199"/>
      <c r="E33" s="208"/>
      <c r="F33" s="201"/>
      <c r="G33" s="208"/>
      <c r="H33" s="208"/>
      <c r="I33" s="199"/>
      <c r="J33" s="213">
        <f>SUM(J22:J32)</f>
        <v>22685.473670220326</v>
      </c>
      <c r="K33" s="213">
        <f>SUM(K22:K32)</f>
        <v>310.75991329068944</v>
      </c>
      <c r="L33" s="215">
        <f>K33/K$8</f>
        <v>0.30586605638847386</v>
      </c>
      <c r="M33" s="199"/>
      <c r="N33" s="213">
        <f>SUM(N22:N32)</f>
        <v>21890.866460732057</v>
      </c>
      <c r="O33" s="213">
        <f>SUM(O22:O32)</f>
        <v>358.86666329068942</v>
      </c>
      <c r="P33" s="215">
        <f>O33/O$8</f>
        <v>0.29585050559826004</v>
      </c>
      <c r="Q33" s="199"/>
      <c r="R33" s="201"/>
      <c r="S33" s="208"/>
      <c r="T33" s="208"/>
      <c r="U33" s="208"/>
      <c r="V33" s="213">
        <f>SUM(V22:V32)</f>
        <v>44576.340130952391</v>
      </c>
      <c r="W33" s="213">
        <f>SUM(W22:W32)</f>
        <v>332.65925470859992</v>
      </c>
      <c r="X33" s="222">
        <f>V33/V$8</f>
        <v>0.30086419591493302</v>
      </c>
      <c r="Y33" s="203"/>
      <c r="Z33" s="203"/>
      <c r="AA33" s="213">
        <f>SUM(AA22:AA32)</f>
        <v>534916.08157142857</v>
      </c>
      <c r="AB33" s="213">
        <f t="shared" si="0"/>
        <v>3991.9110565031983</v>
      </c>
      <c r="AC33" s="209">
        <f t="shared" si="7"/>
        <v>0.26040551287083941</v>
      </c>
    </row>
    <row r="34" spans="2:29">
      <c r="B34" s="210"/>
      <c r="C34" s="199"/>
      <c r="D34" s="199"/>
      <c r="E34" s="208"/>
      <c r="F34" s="201"/>
      <c r="G34" s="208"/>
      <c r="H34" s="208"/>
      <c r="I34" s="199"/>
      <c r="J34" s="213"/>
      <c r="K34" s="213"/>
      <c r="L34" s="215"/>
      <c r="M34" s="199"/>
      <c r="N34" s="213"/>
      <c r="O34" s="213"/>
      <c r="P34" s="215"/>
      <c r="Q34" s="199"/>
      <c r="R34" s="201"/>
      <c r="S34" s="208"/>
      <c r="T34" s="208"/>
      <c r="U34" s="208"/>
      <c r="V34" s="213"/>
      <c r="W34" s="213"/>
      <c r="X34" s="222"/>
      <c r="Y34" s="203"/>
      <c r="Z34" s="203"/>
      <c r="AA34" s="213"/>
      <c r="AB34" s="213"/>
      <c r="AC34" s="209"/>
    </row>
    <row r="35" spans="2:29">
      <c r="B35" s="223" t="s">
        <v>354</v>
      </c>
      <c r="C35" s="224"/>
      <c r="D35" s="224"/>
      <c r="E35" s="225"/>
      <c r="F35" s="226"/>
      <c r="G35" s="225"/>
      <c r="H35" s="225"/>
      <c r="I35" s="199"/>
      <c r="J35" s="224">
        <f>+J19-J33</f>
        <v>58397.66020613724</v>
      </c>
      <c r="K35" s="227">
        <f>+K19-K33</f>
        <v>799.96794802927707</v>
      </c>
      <c r="L35" s="228">
        <f>+L19-L33</f>
        <v>0.787370027587871</v>
      </c>
      <c r="M35" s="199"/>
      <c r="N35" s="224">
        <f>+N19-N33</f>
        <v>68206.477524230359</v>
      </c>
      <c r="O35" s="227">
        <f>+O19-O33</f>
        <v>1118.138975807055</v>
      </c>
      <c r="P35" s="229">
        <f>+O35/O$8</f>
        <v>0.92179635268512361</v>
      </c>
      <c r="Q35" s="199"/>
      <c r="R35" s="226"/>
      <c r="S35" s="225"/>
      <c r="T35" s="225"/>
      <c r="U35" s="225"/>
      <c r="V35" s="227">
        <f>+V19-V33</f>
        <v>126604.13773036757</v>
      </c>
      <c r="W35" s="227">
        <f>+W19-W33</f>
        <v>944.80699798781757</v>
      </c>
      <c r="X35" s="228">
        <f>V35/V$8</f>
        <v>0.85450380147520311</v>
      </c>
      <c r="Y35" s="203"/>
      <c r="Z35" s="203"/>
      <c r="AA35" s="227">
        <f>+AA19-AA33</f>
        <v>1519249.6527644112</v>
      </c>
      <c r="AB35" s="227">
        <f t="shared" si="0"/>
        <v>11337.683975853815</v>
      </c>
      <c r="AC35" s="289">
        <f>+V35/V$19</f>
        <v>0.73959448712916065</v>
      </c>
    </row>
    <row r="36" spans="2:29">
      <c r="B36" s="210"/>
      <c r="C36" s="224"/>
      <c r="D36" s="224"/>
      <c r="E36" s="225"/>
      <c r="F36" s="226"/>
      <c r="G36" s="225"/>
      <c r="H36" s="225"/>
      <c r="I36" s="199"/>
      <c r="J36" s="224"/>
      <c r="K36" s="224"/>
      <c r="L36" s="231"/>
      <c r="M36" s="199"/>
      <c r="N36" s="224"/>
      <c r="O36" s="224"/>
      <c r="P36" s="232"/>
      <c r="Q36" s="199"/>
      <c r="R36" s="226"/>
      <c r="S36" s="225"/>
      <c r="T36" s="225"/>
      <c r="U36" s="225"/>
      <c r="V36" s="224"/>
      <c r="W36" s="224"/>
      <c r="X36" s="231"/>
      <c r="Y36" s="203"/>
      <c r="Z36" s="203"/>
      <c r="AA36" s="224"/>
      <c r="AB36" s="224"/>
      <c r="AC36" s="209"/>
    </row>
    <row r="37" spans="2:29">
      <c r="B37" s="199" t="s">
        <v>360</v>
      </c>
      <c r="C37" s="210"/>
      <c r="D37" s="210"/>
      <c r="E37" s="225"/>
      <c r="F37" s="226"/>
      <c r="G37" s="225"/>
      <c r="H37" s="225"/>
      <c r="I37" s="199"/>
      <c r="J37" s="201">
        <f>K$11*K37</f>
        <v>-2129.166666666667</v>
      </c>
      <c r="K37" s="208">
        <f>-350/12</f>
        <v>-29.166666666666668</v>
      </c>
      <c r="L37" s="208">
        <f>+K37/K$8</f>
        <v>-2.8707349081364832E-2</v>
      </c>
      <c r="M37" s="199"/>
      <c r="N37" s="201">
        <f>O$11*O37</f>
        <v>-1779.1666666666667</v>
      </c>
      <c r="O37" s="208">
        <f>-350/12</f>
        <v>-29.166666666666668</v>
      </c>
      <c r="P37" s="208">
        <f>+O37/O$8</f>
        <v>-2.4045067326188514E-2</v>
      </c>
      <c r="Q37" s="199"/>
      <c r="R37" s="201"/>
      <c r="S37" s="208"/>
      <c r="T37" s="208"/>
      <c r="U37" s="208"/>
      <c r="V37" s="233">
        <f>+R37+N37+J37+F37</f>
        <v>-3908.3333333333339</v>
      </c>
      <c r="W37" s="208">
        <f>+V37/V$11</f>
        <v>-29.166666666666671</v>
      </c>
      <c r="X37" s="234">
        <f>+V37/V$8</f>
        <v>-2.637896162507903E-2</v>
      </c>
      <c r="Y37" s="203"/>
      <c r="Z37" s="203"/>
      <c r="AA37" s="199">
        <f>12*V37</f>
        <v>-46900.000000000007</v>
      </c>
      <c r="AB37" s="199">
        <f t="shared" si="0"/>
        <v>-350.00000000000006</v>
      </c>
      <c r="AC37" s="209">
        <f>+-V37/V$19</f>
        <v>2.2831653364699851E-2</v>
      </c>
    </row>
    <row r="38" spans="2:29" ht="24">
      <c r="B38" s="235" t="s">
        <v>430</v>
      </c>
      <c r="C38" s="199" t="s">
        <v>426</v>
      </c>
      <c r="D38" s="236">
        <f>0.075/12</f>
        <v>6.2499999999999995E-3</v>
      </c>
      <c r="E38" s="208"/>
      <c r="F38" s="201"/>
      <c r="G38" s="208"/>
      <c r="H38" s="208"/>
      <c r="I38" s="199"/>
      <c r="J38" s="201">
        <f>K$11*K38</f>
        <v>-41429.141468495087</v>
      </c>
      <c r="K38" s="201">
        <f>PMT(MortRate,300,K59)</f>
        <v>-567.52248586979567</v>
      </c>
      <c r="L38" s="208">
        <f>+K38/K$8</f>
        <v>-0.55858512388759418</v>
      </c>
      <c r="M38" s="199"/>
      <c r="N38" s="201">
        <f>O$11*O38</f>
        <v>-48387.825752684905</v>
      </c>
      <c r="O38" s="201">
        <f>PMT(MortRate,300,O59)</f>
        <v>-793.24304512598201</v>
      </c>
      <c r="P38" s="208">
        <f>+O38/O$8</f>
        <v>-0.65395139746577247</v>
      </c>
      <c r="Q38" s="199"/>
      <c r="R38" s="201"/>
      <c r="S38" s="208"/>
      <c r="T38" s="208"/>
      <c r="U38" s="208"/>
      <c r="V38" s="201">
        <f>N38+J38</f>
        <v>-89816.967221179992</v>
      </c>
      <c r="W38" s="201">
        <f>+V38/V$11</f>
        <v>-670.27587478492535</v>
      </c>
      <c r="X38" s="234">
        <f>+V38/V$8</f>
        <v>-0.60621193985718236</v>
      </c>
      <c r="Y38" s="203"/>
      <c r="Z38" s="203"/>
      <c r="AA38" s="199">
        <f>12*V38</f>
        <v>-1077803.60665416</v>
      </c>
      <c r="AB38" s="199">
        <f t="shared" si="0"/>
        <v>-8043.3104974191037</v>
      </c>
      <c r="AC38" s="209">
        <f>-+V38/V$19</f>
        <v>0.52469164909064137</v>
      </c>
    </row>
    <row r="39" spans="2:29">
      <c r="B39" s="223" t="s">
        <v>355</v>
      </c>
      <c r="C39" s="237"/>
      <c r="D39" s="210"/>
      <c r="E39" s="225"/>
      <c r="F39" s="226"/>
      <c r="G39" s="225"/>
      <c r="H39" s="225"/>
      <c r="I39" s="199"/>
      <c r="J39" s="238">
        <f>+J38+J35</f>
        <v>16968.518737642153</v>
      </c>
      <c r="K39" s="239">
        <f>SUM(K35:K38)</f>
        <v>203.27879549281477</v>
      </c>
      <c r="L39" s="240">
        <f>+L38+L35</f>
        <v>0.22878490370027682</v>
      </c>
      <c r="M39" s="199"/>
      <c r="N39" s="238">
        <f>+N38+N35</f>
        <v>19818.651771545454</v>
      </c>
      <c r="O39" s="239">
        <f>SUM(O35:O38)</f>
        <v>295.72926401440623</v>
      </c>
      <c r="P39" s="240">
        <f>+O39/O$8</f>
        <v>0.24379988789316259</v>
      </c>
      <c r="Q39" s="199"/>
      <c r="R39" s="226"/>
      <c r="S39" s="225"/>
      <c r="T39" s="225"/>
      <c r="U39" s="225"/>
      <c r="V39" s="239">
        <f>+V38+V35</f>
        <v>36787.170509187577</v>
      </c>
      <c r="W39" s="239">
        <f>SUM(W35:W38)</f>
        <v>245.36445653622559</v>
      </c>
      <c r="X39" s="229">
        <f>V39/V$8</f>
        <v>0.24829186161802078</v>
      </c>
      <c r="Y39" s="203"/>
      <c r="Z39" s="203"/>
      <c r="AA39" s="239">
        <f>+AA38+AA35</f>
        <v>441446.04611025122</v>
      </c>
      <c r="AB39" s="239">
        <f t="shared" si="0"/>
        <v>3294.3734784347107</v>
      </c>
      <c r="AC39" s="289">
        <f>+V39/V$19</f>
        <v>0.21490283803851928</v>
      </c>
    </row>
    <row r="40" spans="2:29">
      <c r="B40" s="210"/>
      <c r="C40" s="210"/>
      <c r="D40" s="210"/>
      <c r="E40" s="210"/>
      <c r="F40" s="210"/>
      <c r="G40" s="210"/>
      <c r="H40" s="210"/>
      <c r="I40" s="199"/>
      <c r="J40" s="210"/>
      <c r="K40" s="210"/>
      <c r="L40" s="210"/>
      <c r="M40" s="199"/>
      <c r="N40" s="210"/>
      <c r="O40" s="210"/>
      <c r="P40" s="210"/>
      <c r="Q40" s="199"/>
      <c r="R40" s="210"/>
      <c r="S40" s="210"/>
      <c r="T40" s="210"/>
      <c r="U40" s="210"/>
      <c r="V40" s="210">
        <f>V39*0.175</f>
        <v>6437.7548391078253</v>
      </c>
      <c r="W40" s="210">
        <f>+V39*0.225</f>
        <v>8277.1133645672053</v>
      </c>
      <c r="X40" s="210">
        <f>+V39*0.25</f>
        <v>9196.7926272968944</v>
      </c>
      <c r="Y40" s="203"/>
      <c r="Z40" s="203"/>
      <c r="AA40" s="210"/>
      <c r="AB40" s="210"/>
      <c r="AC40" s="209"/>
    </row>
    <row r="41" spans="2:29">
      <c r="B41" s="210"/>
      <c r="C41" s="210"/>
      <c r="D41" s="210"/>
      <c r="E41" s="210"/>
      <c r="F41" s="210"/>
      <c r="G41" s="210"/>
      <c r="H41" s="210"/>
      <c r="I41" s="199"/>
      <c r="J41" s="210"/>
      <c r="K41" s="210"/>
      <c r="L41" s="210"/>
      <c r="M41" s="199"/>
      <c r="N41" s="210"/>
      <c r="O41" s="210"/>
      <c r="P41" s="210"/>
      <c r="Q41" s="199"/>
      <c r="R41" s="210"/>
      <c r="S41" s="210"/>
      <c r="T41" s="210"/>
      <c r="U41" s="210"/>
      <c r="V41" s="1">
        <v>0.35</v>
      </c>
      <c r="W41" s="1">
        <v>0.45</v>
      </c>
      <c r="X41" s="1">
        <v>0.5</v>
      </c>
      <c r="Y41" s="203"/>
      <c r="Z41" s="203"/>
      <c r="AA41" s="210"/>
      <c r="AB41" s="210"/>
      <c r="AC41" s="209"/>
    </row>
    <row r="42" spans="2:29">
      <c r="B42" s="210" t="s">
        <v>494</v>
      </c>
      <c r="C42" s="237"/>
      <c r="D42" s="210"/>
      <c r="E42" s="225"/>
      <c r="F42" s="226"/>
      <c r="G42" s="225"/>
      <c r="H42" s="225"/>
      <c r="I42" s="199"/>
      <c r="J42" s="230">
        <f>J35/-J38</f>
        <v>1.4095792994056107</v>
      </c>
      <c r="K42" s="224"/>
      <c r="L42" s="232"/>
      <c r="M42" s="199"/>
      <c r="N42" s="230">
        <f>N35/-N38</f>
        <v>1.4095792994056107</v>
      </c>
      <c r="O42" s="224"/>
      <c r="P42" s="232"/>
      <c r="Q42" s="199"/>
      <c r="R42" s="226"/>
      <c r="S42" s="225"/>
      <c r="T42" s="225"/>
      <c r="U42" s="225"/>
      <c r="V42" s="280">
        <f>V35/-V38</f>
        <v>1.4095792994056104</v>
      </c>
      <c r="W42" s="224"/>
      <c r="X42" s="232"/>
      <c r="Y42" s="203"/>
      <c r="Z42" s="203"/>
      <c r="AA42" s="280">
        <f>AA35/-AA38</f>
        <v>1.4095792994056107</v>
      </c>
      <c r="AB42" s="280"/>
      <c r="AC42" s="224"/>
    </row>
    <row r="43" spans="2:29">
      <c r="B43" s="210"/>
      <c r="C43" s="237"/>
      <c r="D43" s="210"/>
      <c r="E43" s="225"/>
      <c r="F43" s="226"/>
      <c r="G43" s="225"/>
      <c r="H43" s="225"/>
      <c r="I43" s="199"/>
      <c r="J43" s="241"/>
      <c r="K43" s="241"/>
      <c r="L43" s="232"/>
      <c r="M43" s="199"/>
      <c r="N43" s="241"/>
      <c r="O43" s="224"/>
      <c r="P43" s="232"/>
      <c r="Q43" s="199"/>
      <c r="R43" s="226"/>
      <c r="S43" s="225"/>
      <c r="T43" s="225"/>
      <c r="U43" s="225"/>
      <c r="V43" s="225"/>
      <c r="W43" s="241"/>
      <c r="X43" s="224"/>
      <c r="Y43" s="232"/>
      <c r="Z43" s="209"/>
    </row>
    <row r="44" spans="2:29">
      <c r="B44" s="210" t="s">
        <v>353</v>
      </c>
      <c r="C44" s="237">
        <v>0.1</v>
      </c>
      <c r="D44" s="210"/>
      <c r="E44" s="225"/>
      <c r="F44" s="226"/>
      <c r="G44" s="225"/>
      <c r="H44" s="225"/>
      <c r="I44" s="199"/>
      <c r="J44" s="224">
        <f>K$11*K44</f>
        <v>7007719.224736467</v>
      </c>
      <c r="K44" s="224">
        <f>(K$35*12)/CapRate</f>
        <v>95996.153763513241</v>
      </c>
      <c r="L44" s="232">
        <f>+K44/K$8</f>
        <v>94.484403310544522</v>
      </c>
      <c r="M44" s="199"/>
      <c r="N44" s="226">
        <f>O$11*O44</f>
        <v>8184777.3029076429</v>
      </c>
      <c r="O44" s="224">
        <f>(O$35*12)/CapRate</f>
        <v>134176.6770968466</v>
      </c>
      <c r="P44" s="232">
        <f>+O44/O$8</f>
        <v>110.61556232221484</v>
      </c>
      <c r="Q44" s="199"/>
      <c r="R44" s="226"/>
      <c r="S44" s="225"/>
      <c r="T44" s="225"/>
      <c r="U44" s="225"/>
      <c r="V44" s="242"/>
      <c r="W44" s="224">
        <f>Project_Value/V11</f>
        <v>113376.83975853813</v>
      </c>
      <c r="X44" s="232">
        <f>+AA44/V$8</f>
        <v>102.54045617702438</v>
      </c>
      <c r="Y44" s="203"/>
      <c r="Z44" s="203"/>
      <c r="AA44" s="242">
        <f>N44+J44</f>
        <v>15192496.527644109</v>
      </c>
      <c r="AB44" s="242">
        <f t="shared" si="0"/>
        <v>113376.83975853813</v>
      </c>
      <c r="AC44" s="224"/>
    </row>
    <row r="47" spans="2:29" ht="13.5" thickBot="1">
      <c r="B47" s="199"/>
      <c r="C47" s="243"/>
      <c r="D47" s="243"/>
      <c r="E47" s="244"/>
      <c r="F47" s="245"/>
      <c r="G47" s="244"/>
      <c r="H47" s="244"/>
      <c r="I47" s="245"/>
      <c r="J47" s="245"/>
      <c r="K47" s="244"/>
      <c r="L47" s="244"/>
      <c r="M47" s="244"/>
      <c r="N47" s="245"/>
      <c r="O47" s="244"/>
      <c r="P47" s="244"/>
      <c r="Q47" s="244"/>
      <c r="R47" s="245"/>
      <c r="S47" s="244"/>
      <c r="T47" s="244"/>
      <c r="U47" s="244"/>
      <c r="V47" s="244"/>
      <c r="W47" s="245"/>
      <c r="X47" s="245"/>
      <c r="Y47" s="208"/>
    </row>
    <row r="48" spans="2:29" s="249" customFormat="1" ht="14.25" thickTop="1" thickBot="1">
      <c r="B48" s="246" t="s">
        <v>420</v>
      </c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8" t="s">
        <v>444</v>
      </c>
    </row>
    <row r="49" spans="2:26">
      <c r="B49" s="250" t="s">
        <v>417</v>
      </c>
      <c r="C49" s="210"/>
      <c r="D49" s="210"/>
      <c r="E49" s="210"/>
      <c r="F49" s="210"/>
      <c r="G49" s="210"/>
      <c r="H49" s="210"/>
      <c r="I49" s="210"/>
      <c r="J49" s="242">
        <f>K49*K$11</f>
        <v>5269853.9152037296</v>
      </c>
      <c r="K49" s="242">
        <f>0.75*'UCost Final'!N$143</f>
        <v>72189.779660325061</v>
      </c>
      <c r="L49" s="232">
        <f t="shared" ref="L49:L54" si="10">+K49/K$8</f>
        <v>71.052932736540413</v>
      </c>
      <c r="M49" s="210"/>
      <c r="N49" s="242">
        <f>O49*O$11</f>
        <v>5052279.2144746203</v>
      </c>
      <c r="O49" s="242">
        <f>0.75*'UCost Final'!Q$143</f>
        <v>82824.249417616724</v>
      </c>
      <c r="P49" s="232">
        <f t="shared" ref="P49:P54" si="11">+O49/O$8</f>
        <v>68.280502405289965</v>
      </c>
      <c r="Q49" s="210"/>
      <c r="R49" s="210"/>
      <c r="S49" s="210"/>
      <c r="T49" s="210"/>
      <c r="U49" s="210"/>
      <c r="V49" s="210"/>
      <c r="W49" s="242">
        <f t="shared" ref="W49:W54" si="12">+N49+J49</f>
        <v>10322133.12967835</v>
      </c>
      <c r="X49" s="242">
        <f>+W49/V$11</f>
        <v>77030.844251330971</v>
      </c>
      <c r="Y49" s="232">
        <f>+W49/V$8</f>
        <v>69.668354895541668</v>
      </c>
      <c r="Z49" s="251">
        <f t="shared" ref="Z49:Z54" si="13">+W49/Project_Value</f>
        <v>0.67942310277289208</v>
      </c>
    </row>
    <row r="50" spans="2:26">
      <c r="B50" s="252" t="s">
        <v>431</v>
      </c>
      <c r="C50" s="210"/>
      <c r="D50" s="210"/>
      <c r="E50" s="210"/>
      <c r="F50" s="210"/>
      <c r="G50" s="210"/>
      <c r="H50" s="210"/>
      <c r="I50" s="210"/>
      <c r="J50" s="253">
        <f>K50*K$11</f>
        <v>689238.23740269488</v>
      </c>
      <c r="K50" s="253">
        <f>'UCost Final'!N$143-K49-constprofit2B</f>
        <v>9441.6196904478747</v>
      </c>
      <c r="L50" s="254">
        <f t="shared" si="10"/>
        <v>9.2929327661888532</v>
      </c>
      <c r="M50" s="253"/>
      <c r="N50" s="253">
        <f>O50*O$11</f>
        <v>636200.79640863952</v>
      </c>
      <c r="O50" s="253">
        <f>'UCost Final'!Q$143-O49-constprofit3B</f>
        <v>10429.521252600647</v>
      </c>
      <c r="P50" s="254">
        <f t="shared" si="11"/>
        <v>8.5981213953838811</v>
      </c>
      <c r="Q50" s="253"/>
      <c r="R50" s="253"/>
      <c r="S50" s="253"/>
      <c r="T50" s="253"/>
      <c r="U50" s="253"/>
      <c r="V50" s="253"/>
      <c r="W50" s="253">
        <f t="shared" si="12"/>
        <v>1325439.0338113345</v>
      </c>
      <c r="X50" s="253">
        <f>+W50/V$11</f>
        <v>9891.336073218914</v>
      </c>
      <c r="Y50" s="254">
        <f>+W50/V$8</f>
        <v>8.9459374181554825</v>
      </c>
      <c r="Z50" s="255">
        <f t="shared" si="13"/>
        <v>8.7243003899956761E-2</v>
      </c>
    </row>
    <row r="51" spans="2:26">
      <c r="B51" s="256" t="s">
        <v>418</v>
      </c>
      <c r="C51" s="210"/>
      <c r="D51" s="210"/>
      <c r="E51" s="210"/>
      <c r="F51" s="210"/>
      <c r="G51" s="210"/>
      <c r="H51" s="210"/>
      <c r="I51" s="199"/>
      <c r="J51" s="213">
        <f>K51*K$11</f>
        <v>6323824.6982444758</v>
      </c>
      <c r="K51" s="213">
        <f>0.9*'UCost Final'!N$143</f>
        <v>86627.735592390076</v>
      </c>
      <c r="L51" s="215">
        <f t="shared" si="10"/>
        <v>85.263519283848495</v>
      </c>
      <c r="M51" s="199"/>
      <c r="N51" s="213">
        <f>N$35/0.105*12*LTV</f>
        <v>6236020.8022153471</v>
      </c>
      <c r="O51" s="213">
        <f>0.9*'UCost Final'!Q$143</f>
        <v>99389.099301140071</v>
      </c>
      <c r="P51" s="215">
        <f t="shared" si="11"/>
        <v>81.936602886347956</v>
      </c>
      <c r="Q51" s="199"/>
      <c r="R51" s="199"/>
      <c r="S51" s="199"/>
      <c r="T51" s="199"/>
      <c r="U51" s="199"/>
      <c r="V51" s="199"/>
      <c r="W51" s="213">
        <f t="shared" si="12"/>
        <v>12559845.500459824</v>
      </c>
      <c r="X51" s="213">
        <f>+W51/V$11</f>
        <v>93730.190301938987</v>
      </c>
      <c r="Y51" s="215">
        <f>+W51/V$8</f>
        <v>84.77160319152695</v>
      </c>
      <c r="Z51" s="257">
        <f t="shared" si="13"/>
        <v>0.8267137318482225</v>
      </c>
    </row>
    <row r="52" spans="2:26" s="259" customFormat="1">
      <c r="B52" s="252" t="s">
        <v>431</v>
      </c>
      <c r="C52" s="210"/>
      <c r="D52" s="210"/>
      <c r="E52" s="210"/>
      <c r="F52" s="210"/>
      <c r="G52" s="210"/>
      <c r="H52" s="210"/>
      <c r="I52" s="210"/>
      <c r="J52" s="253">
        <f>IF(K52*K$11&lt;0,0,K52*K$11)</f>
        <v>0</v>
      </c>
      <c r="K52" s="253">
        <f>IF('UCost Final'!N$143-K51-constprofit2B&lt;0,0,'UCost Final'!N$143-K51-constprofit2B)</f>
        <v>0</v>
      </c>
      <c r="L52" s="254">
        <f t="shared" si="10"/>
        <v>0</v>
      </c>
      <c r="M52" s="253"/>
      <c r="N52" s="253">
        <f>IF(O52*O$11&lt;0,0,O52*O$11)</f>
        <v>0</v>
      </c>
      <c r="O52" s="253">
        <f>IF('UCost Final'!Q$143-O51-constprofit3B&lt;0,0,'UCost Final'!Q$143-O51-constprofit3B)</f>
        <v>0</v>
      </c>
      <c r="P52" s="254">
        <f t="shared" si="11"/>
        <v>0</v>
      </c>
      <c r="Q52" s="253"/>
      <c r="R52" s="253"/>
      <c r="S52" s="253"/>
      <c r="T52" s="253"/>
      <c r="U52" s="253"/>
      <c r="V52" s="253"/>
      <c r="W52" s="253">
        <f t="shared" si="12"/>
        <v>0</v>
      </c>
      <c r="X52" s="253">
        <f>+W52/V11</f>
        <v>0</v>
      </c>
      <c r="Y52" s="254">
        <f>+X52/V$8</f>
        <v>0</v>
      </c>
      <c r="Z52" s="258">
        <f t="shared" si="13"/>
        <v>0</v>
      </c>
    </row>
    <row r="53" spans="2:26">
      <c r="B53" s="250" t="s">
        <v>419</v>
      </c>
      <c r="C53" s="210"/>
      <c r="D53" s="210"/>
      <c r="E53" s="210"/>
      <c r="F53" s="210"/>
      <c r="G53" s="210"/>
      <c r="H53" s="210"/>
      <c r="I53" s="210"/>
      <c r="J53" s="242">
        <f>K53*K$11</f>
        <v>6815677.7303301571</v>
      </c>
      <c r="K53" s="242">
        <f>0.97*'UCost Final'!N$143</f>
        <v>93365.448360687078</v>
      </c>
      <c r="L53" s="232">
        <f t="shared" si="10"/>
        <v>91.895126339258937</v>
      </c>
      <c r="M53" s="210"/>
      <c r="N53" s="242">
        <f>N$35/0.11*12*LTV</f>
        <v>5952565.3112055585</v>
      </c>
      <c r="O53" s="242">
        <f>0.97*'UCost Final'!Q$143</f>
        <v>107119.36258011762</v>
      </c>
      <c r="P53" s="232">
        <f t="shared" si="11"/>
        <v>88.309449777508348</v>
      </c>
      <c r="Q53" s="210"/>
      <c r="R53" s="210"/>
      <c r="S53" s="210"/>
      <c r="T53" s="210"/>
      <c r="U53" s="210"/>
      <c r="V53" s="210"/>
      <c r="W53" s="242">
        <f t="shared" si="12"/>
        <v>12768243.041535717</v>
      </c>
      <c r="X53" s="242">
        <f>+W53/V$11</f>
        <v>95285.395832356095</v>
      </c>
      <c r="Y53" s="232">
        <f>+W53/V$8</f>
        <v>86.178164574589246</v>
      </c>
      <c r="Z53" s="255">
        <f t="shared" si="13"/>
        <v>0.840430867849978</v>
      </c>
    </row>
    <row r="54" spans="2:26" ht="13.5" thickBot="1">
      <c r="B54" s="260" t="s">
        <v>431</v>
      </c>
      <c r="C54" s="261"/>
      <c r="D54" s="261"/>
      <c r="E54" s="261"/>
      <c r="F54" s="261"/>
      <c r="G54" s="261"/>
      <c r="H54" s="261"/>
      <c r="I54" s="261"/>
      <c r="J54" s="262">
        <f>IF(K54*K$11&lt;0,0,K54*K$11)</f>
        <v>0</v>
      </c>
      <c r="K54" s="262">
        <f>IF('UCost Final'!N$143-K53-constprofit2B&lt;0,0,'UCost Final'!N$143-K53-constprofit2B)</f>
        <v>0</v>
      </c>
      <c r="L54" s="263">
        <f t="shared" si="10"/>
        <v>0</v>
      </c>
      <c r="M54" s="262"/>
      <c r="N54" s="262">
        <f>IF(O54*O$11&lt;0,0,O54*O$11)</f>
        <v>0</v>
      </c>
      <c r="O54" s="262">
        <f>IF('UCost Final'!Q$143-O53-constprofit3B&lt;0,0,'UCost Final'!Q$143-O53-constprofit3B)</f>
        <v>0</v>
      </c>
      <c r="P54" s="263">
        <f t="shared" si="11"/>
        <v>0</v>
      </c>
      <c r="Q54" s="262"/>
      <c r="R54" s="262"/>
      <c r="S54" s="262"/>
      <c r="T54" s="262"/>
      <c r="U54" s="262"/>
      <c r="V54" s="262"/>
      <c r="W54" s="262">
        <f t="shared" si="12"/>
        <v>0</v>
      </c>
      <c r="X54" s="262">
        <f>IF('UCost Final'!T$143-X53-constprofit3B&lt;0,0,'UCost Final'!T$143-X53-constprofit3B)</f>
        <v>0</v>
      </c>
      <c r="Y54" s="263">
        <f>+X54/V$8</f>
        <v>0</v>
      </c>
      <c r="Z54" s="264">
        <f t="shared" si="13"/>
        <v>0</v>
      </c>
    </row>
    <row r="55" spans="2:26" ht="14.25" thickTop="1" thickBot="1"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6"/>
      <c r="Z55" s="267"/>
    </row>
    <row r="56" spans="2:26" ht="14.25" thickTop="1" thickBot="1">
      <c r="B56" s="246" t="s">
        <v>416</v>
      </c>
      <c r="C56" s="247" t="s">
        <v>4</v>
      </c>
      <c r="D56" s="247">
        <v>0.8</v>
      </c>
      <c r="E56" s="247"/>
      <c r="F56" s="247"/>
      <c r="G56" s="247"/>
      <c r="H56" s="247"/>
      <c r="I56" s="247"/>
      <c r="J56" s="247"/>
      <c r="K56" s="247"/>
      <c r="L56" s="247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68"/>
    </row>
    <row r="57" spans="2:26">
      <c r="B57" s="250" t="s">
        <v>424</v>
      </c>
      <c r="C57" s="210"/>
      <c r="D57" s="210"/>
      <c r="E57" s="210"/>
      <c r="F57" s="210"/>
      <c r="G57" s="210"/>
      <c r="H57" s="210"/>
      <c r="I57" s="210"/>
      <c r="J57" s="242">
        <f>K57*K$11</f>
        <v>5901237.2418833412</v>
      </c>
      <c r="K57" s="242">
        <f>K$35/0.095*12*LTV</f>
        <v>80838.86632716906</v>
      </c>
      <c r="L57" s="232">
        <f>+K57/K$8</f>
        <v>79.565813314142773</v>
      </c>
      <c r="M57" s="210"/>
      <c r="N57" s="242">
        <f>O57*O$11</f>
        <v>6892444.0445538042</v>
      </c>
      <c r="O57" s="242">
        <f>O$35/0.095*12*LTV</f>
        <v>112990.88597629187</v>
      </c>
      <c r="P57" s="232">
        <f>+O57/O$8</f>
        <v>93.149947218707226</v>
      </c>
      <c r="Q57" s="210"/>
      <c r="R57" s="210"/>
      <c r="S57" s="210"/>
      <c r="T57" s="210"/>
      <c r="U57" s="210"/>
      <c r="V57" s="210"/>
      <c r="W57" s="242">
        <f>+N57+J57</f>
        <v>12793681.286437146</v>
      </c>
      <c r="X57" s="242">
        <f>+W57/V$11</f>
        <v>95475.233480874231</v>
      </c>
      <c r="Y57" s="232">
        <f>+W57/V$8</f>
        <v>86.349857833283707</v>
      </c>
      <c r="Z57" s="251">
        <f>+W57/Project_Value</f>
        <v>0.84210526315789491</v>
      </c>
    </row>
    <row r="58" spans="2:26">
      <c r="B58" s="250"/>
      <c r="C58" s="210"/>
      <c r="D58" s="210"/>
      <c r="E58" s="210"/>
      <c r="F58" s="210"/>
      <c r="G58" s="210"/>
      <c r="H58" s="210"/>
      <c r="I58" s="210"/>
      <c r="J58" s="242"/>
      <c r="K58" s="242"/>
      <c r="L58" s="210"/>
      <c r="M58" s="210"/>
      <c r="N58" s="242"/>
      <c r="O58" s="242"/>
      <c r="P58" s="210"/>
      <c r="Q58" s="210"/>
      <c r="R58" s="210"/>
      <c r="S58" s="210"/>
      <c r="T58" s="210"/>
      <c r="U58" s="210"/>
      <c r="V58" s="210"/>
      <c r="W58" s="242"/>
      <c r="X58" s="242"/>
      <c r="Y58" s="210"/>
      <c r="Z58" s="269"/>
    </row>
    <row r="59" spans="2:26">
      <c r="B59" s="250" t="s">
        <v>425</v>
      </c>
      <c r="D59" s="210"/>
      <c r="E59" s="210"/>
      <c r="F59" s="210"/>
      <c r="G59" s="210"/>
      <c r="H59" s="210"/>
      <c r="I59" s="210"/>
      <c r="J59" s="242">
        <f>K59*K$11</f>
        <v>5606175.3797891745</v>
      </c>
      <c r="K59" s="242">
        <f>K$35/0.1*12*LTV</f>
        <v>76796.923010810613</v>
      </c>
      <c r="L59" s="232">
        <f>+K59/K$8</f>
        <v>75.587522648435638</v>
      </c>
      <c r="M59" s="210"/>
      <c r="N59" s="242">
        <f>O59*O$11</f>
        <v>6547821.842326113</v>
      </c>
      <c r="O59" s="242">
        <f>O$35/0.1*12*LTV</f>
        <v>107341.34167747726</v>
      </c>
      <c r="P59" s="232">
        <f>+O59/O$8</f>
        <v>88.492449857771859</v>
      </c>
      <c r="Q59" s="210"/>
      <c r="R59" s="210"/>
      <c r="S59" s="210"/>
      <c r="T59" s="210"/>
      <c r="U59" s="210"/>
      <c r="V59" s="210"/>
      <c r="W59" s="242">
        <f>+N59+J59</f>
        <v>12153997.222115288</v>
      </c>
      <c r="X59" s="242">
        <f>+W59/V$11</f>
        <v>90701.471806830508</v>
      </c>
      <c r="Y59" s="232">
        <f>+W59/V$8</f>
        <v>82.032364941619505</v>
      </c>
      <c r="Z59" s="255">
        <f>+W59/Project_Value</f>
        <v>0.8</v>
      </c>
    </row>
    <row r="60" spans="2:26">
      <c r="B60" s="250"/>
      <c r="C60" s="210"/>
      <c r="D60" s="210"/>
      <c r="E60" s="210"/>
      <c r="F60" s="210"/>
      <c r="G60" s="210"/>
      <c r="H60" s="210"/>
      <c r="I60" s="210"/>
      <c r="J60" s="242"/>
      <c r="K60" s="242"/>
      <c r="L60" s="210"/>
      <c r="M60" s="210"/>
      <c r="N60" s="242"/>
      <c r="O60" s="242"/>
      <c r="P60" s="210"/>
      <c r="Q60" s="210"/>
      <c r="R60" s="210"/>
      <c r="S60" s="210"/>
      <c r="T60" s="210"/>
      <c r="U60" s="210"/>
      <c r="V60" s="210"/>
      <c r="W60" s="242"/>
      <c r="X60" s="242"/>
      <c r="Y60" s="210"/>
      <c r="Z60" s="269"/>
    </row>
    <row r="61" spans="2:26">
      <c r="B61" s="250" t="s">
        <v>352</v>
      </c>
      <c r="C61" s="210"/>
      <c r="D61" s="210"/>
      <c r="E61" s="210"/>
      <c r="F61" s="210"/>
      <c r="G61" s="210"/>
      <c r="H61" s="210"/>
      <c r="I61" s="210"/>
      <c r="J61" s="242">
        <f>K61*K$11</f>
        <v>5339214.6474182615</v>
      </c>
      <c r="K61" s="242">
        <f>K$35/0.105*12*LTV</f>
        <v>73139.926676962481</v>
      </c>
      <c r="L61" s="232">
        <f>+K61/K$8</f>
        <v>71.988116808033936</v>
      </c>
      <c r="M61" s="210"/>
      <c r="N61" s="242">
        <f>O61*O$11</f>
        <v>6236020.8022153471</v>
      </c>
      <c r="O61" s="242">
        <f>O$35/0.105*12*LTV</f>
        <v>102229.84921664503</v>
      </c>
      <c r="P61" s="232">
        <f>+O61/O$8</f>
        <v>84.278523674068452</v>
      </c>
      <c r="Q61" s="210"/>
      <c r="R61" s="210"/>
      <c r="S61" s="210"/>
      <c r="T61" s="210"/>
      <c r="U61" s="210"/>
      <c r="V61" s="210"/>
      <c r="W61" s="242">
        <f>+N61+J61</f>
        <v>11575235.44963361</v>
      </c>
      <c r="X61" s="242">
        <f>+W61/V$11</f>
        <v>86382.35410174336</v>
      </c>
      <c r="Y61" s="232">
        <f>+W61/V$8</f>
        <v>78.126061849161445</v>
      </c>
      <c r="Z61" s="251">
        <f>+W61/Project_Value</f>
        <v>0.76190476190476208</v>
      </c>
    </row>
    <row r="62" spans="2:26" ht="13.5" thickBot="1">
      <c r="B62" s="270"/>
      <c r="C62" s="261"/>
      <c r="D62" s="261"/>
      <c r="E62" s="261"/>
      <c r="F62" s="261"/>
      <c r="G62" s="261"/>
      <c r="H62" s="261"/>
      <c r="I62" s="261"/>
      <c r="J62" s="261"/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  <c r="Z62" s="271"/>
    </row>
    <row r="63" spans="2:26" ht="13.5" thickTop="1"/>
    <row r="64" spans="2:26">
      <c r="B64" s="272" t="s">
        <v>455</v>
      </c>
      <c r="C64" s="195"/>
      <c r="D64" s="195"/>
      <c r="E64" s="195"/>
      <c r="F64" s="195"/>
      <c r="G64" s="195"/>
      <c r="H64" s="195"/>
      <c r="I64" s="195"/>
      <c r="J64" s="242">
        <f>K64*K$11</f>
        <v>6852955.9754973864</v>
      </c>
      <c r="K64" s="242">
        <f>('UCost Final'!N$143-constprofit2B)*1.15</f>
        <v>93876.109253388859</v>
      </c>
      <c r="L64" s="232">
        <f>+K64/K$8</f>
        <v>92.39774532813864</v>
      </c>
      <c r="M64" s="195"/>
      <c r="N64" s="242">
        <f>O64*O$11</f>
        <v>6541752.0125157489</v>
      </c>
      <c r="O64" s="242">
        <f>('UCost Final'!Q$143-constprofit3B)*1.15</f>
        <v>107241.83627074998</v>
      </c>
      <c r="P64" s="232">
        <f>+O64/O$8</f>
        <v>88.410417370774923</v>
      </c>
      <c r="Q64" s="195"/>
      <c r="R64" s="195"/>
      <c r="S64" s="195"/>
      <c r="T64" s="195"/>
      <c r="U64" s="195"/>
      <c r="V64" s="195"/>
      <c r="W64" s="242">
        <f>+N64+J64</f>
        <v>13394707.988013135</v>
      </c>
      <c r="X64" s="242">
        <f>+W64/V$11</f>
        <v>99960.507373232351</v>
      </c>
      <c r="Y64" s="232">
        <f>+W64/V$8</f>
        <v>90.406436160751724</v>
      </c>
      <c r="Z64" s="273">
        <f>+W64/Project_Value</f>
        <v>0.88166602267377603</v>
      </c>
    </row>
    <row r="65" spans="2:26">
      <c r="B65" s="272" t="s">
        <v>457</v>
      </c>
      <c r="C65" s="195"/>
      <c r="D65" s="195"/>
      <c r="E65" s="195"/>
      <c r="F65" s="195"/>
      <c r="G65" s="195"/>
      <c r="H65" s="195"/>
      <c r="I65" s="195"/>
      <c r="J65" s="242">
        <f>K65*K$11</f>
        <v>1246780.5957082119</v>
      </c>
      <c r="K65" s="242">
        <f>+K64-K59</f>
        <v>17079.186242578246</v>
      </c>
      <c r="L65" s="232">
        <f>+K65/K$8</f>
        <v>16.810222679702999</v>
      </c>
      <c r="M65" s="195"/>
      <c r="N65" s="242">
        <f>O65*O$11</f>
        <v>-6069.829810364492</v>
      </c>
      <c r="O65" s="242">
        <f>+O64-O59</f>
        <v>-99.505406727286754</v>
      </c>
      <c r="P65" s="232">
        <f>+O65/O$8</f>
        <v>-8.2032486996938797E-2</v>
      </c>
      <c r="Q65" s="195"/>
      <c r="R65" s="195"/>
      <c r="S65" s="195"/>
      <c r="T65" s="195"/>
      <c r="U65" s="195"/>
      <c r="V65" s="195"/>
      <c r="W65" s="242">
        <f>+N65+J65</f>
        <v>1240710.7658978475</v>
      </c>
      <c r="X65" s="242">
        <f>+W65/V$11</f>
        <v>9259.0355664018462</v>
      </c>
      <c r="Y65" s="232">
        <f>+W65/V$8</f>
        <v>8.37407121913221</v>
      </c>
      <c r="Z65" s="273">
        <f>+W65/Project_Value</f>
        <v>8.166602267377604E-2</v>
      </c>
    </row>
    <row r="66" spans="2:26">
      <c r="B66" s="272" t="s">
        <v>456</v>
      </c>
      <c r="C66" s="195"/>
      <c r="D66" s="195"/>
      <c r="E66" s="195"/>
      <c r="F66" s="195"/>
      <c r="G66" s="195"/>
      <c r="H66" s="195"/>
      <c r="I66" s="195"/>
      <c r="J66" s="242">
        <f>K66*K$11</f>
        <v>154763.24923907989</v>
      </c>
      <c r="K66" s="242">
        <f>+K44-K64</f>
        <v>2120.0445101243822</v>
      </c>
      <c r="L66" s="232">
        <f>+K66/K$8</f>
        <v>2.086657982405888</v>
      </c>
      <c r="M66" s="195"/>
      <c r="N66" s="242">
        <f>O66*O$11</f>
        <v>1643025.2903918941</v>
      </c>
      <c r="O66" s="242">
        <f>+O44-O64</f>
        <v>26934.840826096624</v>
      </c>
      <c r="P66" s="232">
        <f>+O66/O$8</f>
        <v>22.20514495143992</v>
      </c>
      <c r="Q66" s="195"/>
      <c r="R66" s="195"/>
      <c r="S66" s="195"/>
      <c r="T66" s="195"/>
      <c r="U66" s="195"/>
      <c r="V66" s="195"/>
      <c r="W66" s="242">
        <f>+N66+J66</f>
        <v>1797788.5396309739</v>
      </c>
      <c r="X66" s="242">
        <f>+W66/V$11</f>
        <v>13416.332385305775</v>
      </c>
      <c r="Y66" s="232">
        <f>+W66/V$8</f>
        <v>12.134020016272663</v>
      </c>
      <c r="Z66" s="273">
        <f>+W66/Project_Value</f>
        <v>0.11833397732622394</v>
      </c>
    </row>
    <row r="67" spans="2:26" s="275" customFormat="1" ht="13.5">
      <c r="B67" s="274" t="s">
        <v>459</v>
      </c>
    </row>
    <row r="68" spans="2:26">
      <c r="B68" s="276" t="s">
        <v>460</v>
      </c>
      <c r="C68" s="277"/>
      <c r="D68" s="277"/>
      <c r="E68" s="277"/>
      <c r="F68" s="277"/>
      <c r="G68" s="277"/>
      <c r="H68" s="277"/>
      <c r="I68" s="277"/>
      <c r="J68" s="242"/>
      <c r="K68" s="242"/>
      <c r="L68" s="232"/>
      <c r="N68" s="242"/>
      <c r="O68" s="242"/>
      <c r="P68" s="232"/>
      <c r="W68" s="242">
        <f>X68*V$11</f>
        <v>197273.02305512538</v>
      </c>
      <c r="X68" s="242">
        <f>0.5*W39*12</f>
        <v>1472.1867392173535</v>
      </c>
      <c r="Y68" s="232"/>
    </row>
    <row r="69" spans="2:26">
      <c r="B69" s="276" t="s">
        <v>458</v>
      </c>
      <c r="C69" s="277"/>
      <c r="D69" s="277"/>
      <c r="E69" s="277"/>
      <c r="F69" s="277"/>
      <c r="G69" s="277"/>
      <c r="H69" s="277"/>
      <c r="I69" s="277"/>
      <c r="J69" s="241"/>
      <c r="K69" s="241"/>
      <c r="L69" s="232"/>
      <c r="N69" s="241"/>
      <c r="O69" s="241"/>
      <c r="P69" s="232"/>
      <c r="W69" s="278">
        <f>W68/W65</f>
        <v>0.15900000908944126</v>
      </c>
      <c r="X69" s="278"/>
      <c r="Y69" s="232"/>
    </row>
  </sheetData>
  <mergeCells count="8">
    <mergeCell ref="AA5:AC5"/>
    <mergeCell ref="F5:H5"/>
    <mergeCell ref="F9:G9"/>
    <mergeCell ref="J5:L5"/>
    <mergeCell ref="R9:S9"/>
    <mergeCell ref="N5:P5"/>
    <mergeCell ref="R5:T5"/>
    <mergeCell ref="V5:X5"/>
  </mergeCells>
  <printOptions horizontalCentered="1"/>
  <pageMargins left="0.5" right="0.5" top="1.04" bottom="1" header="0.5" footer="0.5"/>
  <pageSetup orientation="portrait" horizontalDpi="4294967292" verticalDpi="300" r:id="rId1"/>
  <headerFooter alignWithMargins="0">
    <oddHeader>&amp;C&amp;"Times New Roman,Bold"&amp;12SM134:  MONTHLY PROFORMA</oddHeader>
    <oddFooter>&amp;L&amp;8 &amp;F
 &amp;A&amp;C&amp;8 &amp;R&amp;8 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outlinePr summaryRight="0"/>
  </sheetPr>
  <dimension ref="A1:AJ185"/>
  <sheetViews>
    <sheetView tabSelected="1" topLeftCell="B5" zoomScale="85" workbookViewId="0">
      <pane xSplit="1" ySplit="8" topLeftCell="Q135" activePane="bottomRight" state="frozen"/>
      <selection activeCell="B5" sqref="B5"/>
      <selection pane="topRight" activeCell="C5" sqref="C5"/>
      <selection pane="bottomLeft" activeCell="B13" sqref="B13"/>
      <selection pane="bottomRight" activeCell="T184" sqref="T184"/>
    </sheetView>
  </sheetViews>
  <sheetFormatPr defaultColWidth="7.6640625" defaultRowHeight="12"/>
  <cols>
    <col min="1" max="1" width="8.1640625" style="51" hidden="1" customWidth="1"/>
    <col min="2" max="2" width="27" style="20" customWidth="1"/>
    <col min="3" max="3" width="16.5" style="20" customWidth="1"/>
    <col min="4" max="4" width="11.6640625" style="20" customWidth="1"/>
    <col min="5" max="5" width="13.5" style="20" customWidth="1"/>
    <col min="6" max="6" width="14" style="20" customWidth="1"/>
    <col min="7" max="7" width="12" style="20" customWidth="1"/>
    <col min="8" max="8" width="10" style="20" customWidth="1"/>
    <col min="9" max="9" width="1.1640625" style="20" customWidth="1"/>
    <col min="10" max="10" width="15.5" style="20" customWidth="1"/>
    <col min="11" max="11" width="11.83203125" style="20" customWidth="1"/>
    <col min="12" max="12" width="10.5" style="20" customWidth="1"/>
    <col min="13" max="13" width="14.33203125" style="20" customWidth="1"/>
    <col min="14" max="14" width="12" style="20" customWidth="1"/>
    <col min="15" max="15" width="9.6640625" style="20" customWidth="1"/>
    <col min="16" max="16" width="14.33203125" style="20" customWidth="1"/>
    <col min="17" max="17" width="12" style="20" customWidth="1"/>
    <col min="18" max="18" width="10.5" style="20" customWidth="1"/>
    <col min="19" max="19" width="15.1640625" style="20" customWidth="1"/>
    <col min="20" max="20" width="12" style="20" customWidth="1"/>
    <col min="21" max="21" width="10.5" style="20" customWidth="1"/>
    <col min="22" max="22" width="11.33203125" style="20" customWidth="1"/>
    <col min="23" max="23" width="10.1640625" style="20" customWidth="1"/>
    <col min="24" max="24" width="10" style="20" customWidth="1"/>
    <col min="25" max="25" width="9.83203125" style="20" customWidth="1"/>
    <col min="26" max="26" width="3.6640625" style="20" hidden="1" customWidth="1"/>
    <col min="27" max="27" width="24" style="20" hidden="1" customWidth="1"/>
    <col min="28" max="28" width="7.83203125" style="20" hidden="1" customWidth="1"/>
    <col min="29" max="29" width="13.83203125" style="20" customWidth="1"/>
    <col min="30" max="30" width="9.6640625" style="20" customWidth="1"/>
    <col min="31" max="31" width="9.6640625" style="20" hidden="1" customWidth="1"/>
    <col min="32" max="32" width="7.6640625" style="20" customWidth="1"/>
    <col min="33" max="33" width="11.6640625" style="20" customWidth="1"/>
    <col min="34" max="34" width="19" style="20" customWidth="1"/>
    <col min="35" max="35" width="16.5" style="20" customWidth="1"/>
    <col min="36" max="36" width="20" style="20" customWidth="1"/>
    <col min="37" max="16384" width="7.6640625" style="20"/>
  </cols>
  <sheetData>
    <row r="1" spans="1:36" ht="12.75">
      <c r="A1" s="298"/>
      <c r="B1" s="299" t="s">
        <v>220</v>
      </c>
      <c r="C1" s="299"/>
      <c r="D1" s="299"/>
      <c r="E1" s="299"/>
      <c r="F1" s="299"/>
      <c r="G1" s="299"/>
      <c r="H1" s="299"/>
      <c r="I1" s="299"/>
      <c r="J1" s="300">
        <v>1.1000000000000001</v>
      </c>
      <c r="K1" s="299" t="s">
        <v>202</v>
      </c>
      <c r="L1" s="299">
        <v>134</v>
      </c>
      <c r="M1" s="299" t="s">
        <v>319</v>
      </c>
      <c r="N1" s="299">
        <f>SQRT(10.3*43560)*25*4</f>
        <v>66982.684329608644</v>
      </c>
      <c r="O1" s="299"/>
      <c r="P1" s="299" t="s">
        <v>367</v>
      </c>
      <c r="Q1" s="299">
        <f>(15+10/12)*(33+5.5/12)</f>
        <v>529.75694444444446</v>
      </c>
      <c r="R1" s="299"/>
      <c r="S1" s="299"/>
      <c r="T1" s="301">
        <f>75/295</f>
        <v>0.25423728813559321</v>
      </c>
      <c r="U1" s="299"/>
      <c r="V1" s="302" t="s">
        <v>421</v>
      </c>
      <c r="W1" s="299">
        <f>14*20</f>
        <v>280</v>
      </c>
      <c r="X1" s="299"/>
      <c r="Y1" s="299"/>
      <c r="Z1" s="299"/>
      <c r="AA1" s="299"/>
      <c r="AB1" s="299"/>
      <c r="AC1" s="299"/>
      <c r="AD1" s="299"/>
      <c r="AE1" s="302"/>
      <c r="AF1" s="299"/>
    </row>
    <row r="2" spans="1:36" ht="12.75">
      <c r="A2" s="303"/>
      <c r="B2" s="304" t="s">
        <v>1</v>
      </c>
      <c r="C2" s="304"/>
      <c r="D2" s="304"/>
      <c r="E2" s="304"/>
      <c r="F2" s="304"/>
      <c r="G2" s="304"/>
      <c r="H2" s="304"/>
      <c r="I2" s="304"/>
      <c r="J2" s="305">
        <v>14</v>
      </c>
      <c r="K2" s="304" t="s">
        <v>302</v>
      </c>
      <c r="L2" s="306">
        <v>0.22</v>
      </c>
      <c r="M2" s="304" t="s">
        <v>320</v>
      </c>
      <c r="N2" s="304">
        <f>(670-((25+38+18+20+18+38)*2))*(670-((25+38+18+20+18+38)*2))-Pool-Vollybasketball</f>
        <v>112986</v>
      </c>
      <c r="O2" s="304">
        <f>+N2+N1</f>
        <v>179968.68432960863</v>
      </c>
      <c r="P2" s="304" t="s">
        <v>368</v>
      </c>
      <c r="Q2" s="304">
        <f>280+13+529</f>
        <v>822</v>
      </c>
      <c r="R2" s="304"/>
      <c r="S2" s="304"/>
      <c r="T2" s="304">
        <f>475*3</f>
        <v>1425</v>
      </c>
      <c r="U2" s="304"/>
      <c r="V2" s="304" t="s">
        <v>422</v>
      </c>
      <c r="W2" s="304">
        <v>91</v>
      </c>
      <c r="X2" s="304"/>
      <c r="Y2" s="304"/>
      <c r="Z2" s="304"/>
      <c r="AA2" s="304"/>
      <c r="AB2" s="304"/>
      <c r="AC2" s="304"/>
      <c r="AD2" s="304"/>
      <c r="AE2" s="304"/>
      <c r="AF2" s="304"/>
      <c r="AG2" s="191"/>
      <c r="AH2" s="191"/>
      <c r="AI2" s="191"/>
      <c r="AJ2" s="191"/>
    </row>
    <row r="3" spans="1:36" ht="12.75">
      <c r="A3" s="298" t="s">
        <v>175</v>
      </c>
      <c r="B3" s="299" t="s">
        <v>181</v>
      </c>
      <c r="C3" s="299"/>
      <c r="D3" s="299"/>
      <c r="E3" s="299"/>
      <c r="F3" s="299"/>
      <c r="G3" s="299"/>
      <c r="H3" s="299"/>
      <c r="I3" s="299"/>
      <c r="J3" s="299" t="s">
        <v>177</v>
      </c>
      <c r="K3" s="299"/>
      <c r="L3" s="299"/>
      <c r="M3" s="299" t="s">
        <v>234</v>
      </c>
      <c r="N3" s="299">
        <f>(45+15*2)*(20+15*2)</f>
        <v>3750</v>
      </c>
      <c r="O3" s="299"/>
      <c r="P3" s="299" t="s">
        <v>369</v>
      </c>
      <c r="Q3" s="299">
        <f>(11/12+30)*((47+5.5/12))</f>
        <v>1467.2534722222224</v>
      </c>
      <c r="R3" s="299"/>
      <c r="S3" s="299"/>
      <c r="T3" s="299">
        <f>75*12</f>
        <v>900</v>
      </c>
      <c r="U3" s="299"/>
      <c r="V3" s="302" t="s">
        <v>423</v>
      </c>
      <c r="W3" s="299">
        <v>74</v>
      </c>
      <c r="X3" s="299"/>
      <c r="Y3" s="299"/>
      <c r="Z3" s="299"/>
      <c r="AA3" s="299"/>
      <c r="AB3" s="299"/>
      <c r="AC3" s="299"/>
      <c r="AD3" s="299"/>
      <c r="AE3" s="302"/>
      <c r="AF3" s="299"/>
    </row>
    <row r="4" spans="1:36" ht="12.75">
      <c r="A4" s="298"/>
      <c r="B4"/>
      <c r="C4"/>
      <c r="D4"/>
      <c r="E4"/>
      <c r="F4"/>
      <c r="G4"/>
      <c r="H4" s="299"/>
      <c r="I4" s="299"/>
      <c r="J4" s="299"/>
      <c r="K4" s="299"/>
      <c r="L4" s="299"/>
      <c r="M4" s="299" t="s">
        <v>321</v>
      </c>
      <c r="N4" s="299">
        <f>100*50+100*50</f>
        <v>10000</v>
      </c>
      <c r="O4" s="299"/>
      <c r="P4" s="299"/>
      <c r="Q4" s="299"/>
      <c r="R4" s="299"/>
      <c r="S4" s="299"/>
      <c r="T4" s="299"/>
      <c r="U4" s="299"/>
      <c r="V4" s="302"/>
      <c r="W4" s="299"/>
      <c r="X4" s="299"/>
      <c r="Y4" s="299"/>
      <c r="Z4" s="299"/>
      <c r="AA4" s="299"/>
      <c r="AB4" s="299"/>
      <c r="AC4" s="299"/>
      <c r="AD4" s="299"/>
      <c r="AE4" s="302"/>
      <c r="AF4" s="299"/>
    </row>
    <row r="5" spans="1:36" ht="15.75">
      <c r="A5" s="298"/>
      <c r="B5" s="401" t="s">
        <v>400</v>
      </c>
      <c r="C5" s="400"/>
      <c r="D5" s="400"/>
      <c r="E5" s="400"/>
      <c r="F5" s="400"/>
      <c r="G5" s="400"/>
      <c r="H5" s="400"/>
      <c r="I5" s="400"/>
      <c r="J5" s="483" t="s">
        <v>503</v>
      </c>
      <c r="K5" s="483"/>
      <c r="L5" s="483"/>
      <c r="M5" s="484" t="s">
        <v>501</v>
      </c>
      <c r="N5" s="484"/>
      <c r="O5" s="484"/>
      <c r="P5" s="484" t="s">
        <v>500</v>
      </c>
      <c r="Q5" s="484"/>
      <c r="R5" s="484"/>
      <c r="S5" s="402" t="s">
        <v>2</v>
      </c>
      <c r="T5" s="403"/>
      <c r="U5" s="404"/>
      <c r="V5" s="405"/>
      <c r="W5" s="299"/>
      <c r="X5" s="299"/>
      <c r="Y5" s="299"/>
      <c r="Z5" s="299"/>
      <c r="AA5" s="299"/>
      <c r="AB5" s="302"/>
      <c r="AC5" s="299"/>
    </row>
    <row r="6" spans="1:36" ht="15.75">
      <c r="A6" s="298"/>
      <c r="B6" s="434"/>
      <c r="C6" s="400"/>
      <c r="D6" s="400"/>
      <c r="E6" s="400"/>
      <c r="F6" s="400"/>
      <c r="G6" s="400"/>
      <c r="H6" s="400"/>
      <c r="I6" s="400"/>
      <c r="J6" s="416"/>
      <c r="K6" s="416"/>
      <c r="L6" s="416"/>
      <c r="M6" s="435"/>
      <c r="N6" s="435"/>
      <c r="O6" s="435"/>
      <c r="P6" s="435"/>
      <c r="Q6" s="435"/>
      <c r="R6" s="435"/>
      <c r="S6" s="486" t="s">
        <v>520</v>
      </c>
      <c r="T6" s="485" t="s">
        <v>518</v>
      </c>
      <c r="U6" s="485"/>
      <c r="V6" s="436"/>
      <c r="W6" s="299"/>
      <c r="X6" s="299"/>
      <c r="Y6" s="299"/>
      <c r="Z6" s="299"/>
      <c r="AA6" s="299"/>
      <c r="AB6" s="302"/>
      <c r="AC6" s="299"/>
    </row>
    <row r="7" spans="1:36" ht="22.9" customHeight="1">
      <c r="A7" s="298"/>
      <c r="B7" s="370" t="s">
        <v>75</v>
      </c>
      <c r="D7" s="308"/>
      <c r="E7" s="308"/>
      <c r="F7" s="308"/>
      <c r="H7" s="308"/>
      <c r="I7" s="308"/>
      <c r="J7" s="308" t="s">
        <v>74</v>
      </c>
      <c r="K7" s="308" t="s">
        <v>73</v>
      </c>
      <c r="L7" s="308" t="s">
        <v>0</v>
      </c>
      <c r="M7" s="308" t="s">
        <v>74</v>
      </c>
      <c r="N7" s="308" t="s">
        <v>73</v>
      </c>
      <c r="O7" s="308" t="s">
        <v>0</v>
      </c>
      <c r="P7" s="308" t="s">
        <v>74</v>
      </c>
      <c r="Q7" s="308" t="s">
        <v>73</v>
      </c>
      <c r="R7" s="308" t="s">
        <v>0</v>
      </c>
      <c r="S7" s="487"/>
      <c r="T7" s="308" t="s">
        <v>340</v>
      </c>
      <c r="U7" s="308" t="s">
        <v>519</v>
      </c>
      <c r="V7" s="308" t="s">
        <v>445</v>
      </c>
      <c r="W7" s="308" t="s">
        <v>444</v>
      </c>
      <c r="X7" s="309"/>
      <c r="Y7" s="308"/>
      <c r="Z7" s="308" t="s">
        <v>179</v>
      </c>
      <c r="AA7" s="308" t="s">
        <v>73</v>
      </c>
      <c r="AB7" s="310" t="s">
        <v>211</v>
      </c>
      <c r="AC7" s="299"/>
    </row>
    <row r="8" spans="1:36" ht="13.5">
      <c r="A8" s="298"/>
      <c r="B8" s="370" t="s">
        <v>504</v>
      </c>
      <c r="D8" s="371"/>
      <c r="E8" s="372"/>
      <c r="F8" s="372"/>
      <c r="H8" s="372"/>
      <c r="I8" s="372"/>
      <c r="J8" s="371">
        <v>1</v>
      </c>
      <c r="K8" s="372"/>
      <c r="L8" s="372"/>
      <c r="M8" s="373"/>
      <c r="N8" s="371">
        <v>72</v>
      </c>
      <c r="O8" s="372"/>
      <c r="P8" s="373"/>
      <c r="Q8" s="371">
        <v>61</v>
      </c>
      <c r="R8" s="372"/>
      <c r="S8" s="374">
        <f>+N8+Q8</f>
        <v>133</v>
      </c>
      <c r="U8" s="426">
        <f>N11*$N8+Q11*$Q8</f>
        <v>147145</v>
      </c>
      <c r="V8" s="308"/>
      <c r="W8" s="299"/>
      <c r="X8" s="309"/>
      <c r="Y8" s="308"/>
      <c r="Z8" s="308"/>
      <c r="AA8" s="311">
        <f>+S8</f>
        <v>133</v>
      </c>
      <c r="AB8" s="312">
        <f>S8*U8</f>
        <v>19570285</v>
      </c>
      <c r="AC8" s="299"/>
      <c r="AD8" s="20">
        <f>+Q8+N8</f>
        <v>133</v>
      </c>
    </row>
    <row r="9" spans="1:36" ht="13.5">
      <c r="A9" s="298"/>
      <c r="B9" s="370" t="s">
        <v>517</v>
      </c>
      <c r="D9" s="371"/>
      <c r="E9" s="372"/>
      <c r="F9" s="372"/>
      <c r="H9" s="372"/>
      <c r="I9" s="372"/>
      <c r="J9" s="371"/>
      <c r="K9" s="372"/>
      <c r="L9" s="372"/>
      <c r="M9" s="373"/>
      <c r="N9" s="371">
        <v>73</v>
      </c>
      <c r="O9" s="372"/>
      <c r="P9" s="373"/>
      <c r="Q9" s="371">
        <v>61</v>
      </c>
      <c r="R9" s="372"/>
      <c r="S9" s="374">
        <f>+N9+Q9</f>
        <v>134</v>
      </c>
      <c r="U9" s="437">
        <f>+U8+K11</f>
        <v>148783</v>
      </c>
      <c r="V9" s="308"/>
      <c r="W9" s="299"/>
      <c r="X9" s="309"/>
      <c r="Y9" s="308"/>
      <c r="Z9" s="308"/>
      <c r="AA9" s="311"/>
      <c r="AB9" s="312"/>
      <c r="AC9" s="299"/>
    </row>
    <row r="10" spans="1:36" ht="13.5">
      <c r="A10" s="298"/>
      <c r="B10" s="370" t="s">
        <v>300</v>
      </c>
      <c r="D10" s="371"/>
      <c r="E10" s="372"/>
      <c r="F10" s="372"/>
      <c r="H10" s="372"/>
      <c r="I10" s="372"/>
      <c r="J10" s="375">
        <f>J8/SM134Units</f>
        <v>7.5187969924812026E-3</v>
      </c>
      <c r="K10" s="372"/>
      <c r="L10" s="372"/>
      <c r="M10" s="373"/>
      <c r="N10" s="376">
        <f>N8/SM134Units</f>
        <v>0.54135338345864659</v>
      </c>
      <c r="O10" s="372"/>
      <c r="P10" s="373"/>
      <c r="Q10" s="376">
        <f>Q8/SM134Units</f>
        <v>0.45864661654135336</v>
      </c>
      <c r="R10" s="372"/>
      <c r="S10" s="377">
        <f>+Q10+N10</f>
        <v>1</v>
      </c>
      <c r="T10" s="372"/>
      <c r="U10" s="372"/>
      <c r="V10" s="308"/>
      <c r="W10" s="299"/>
      <c r="X10" s="309"/>
      <c r="Y10" s="308"/>
      <c r="Z10" s="308"/>
      <c r="AA10" s="311"/>
      <c r="AB10" s="312"/>
      <c r="AC10" s="299"/>
    </row>
    <row r="11" spans="1:36" ht="13.5">
      <c r="A11" s="298"/>
      <c r="B11" s="370" t="s">
        <v>203</v>
      </c>
      <c r="D11" s="371"/>
      <c r="E11" s="372"/>
      <c r="F11" s="371"/>
      <c r="H11" s="371"/>
      <c r="I11" s="372"/>
      <c r="J11" s="371"/>
      <c r="K11" s="371">
        <f>(186+654)+598+200</f>
        <v>1638</v>
      </c>
      <c r="L11" s="371">
        <f>+K11+517+68</f>
        <v>2223</v>
      </c>
      <c r="M11" s="371"/>
      <c r="N11" s="378">
        <f>1107-Adj2B</f>
        <v>1016</v>
      </c>
      <c r="O11" s="378">
        <f>N11</f>
        <v>1016</v>
      </c>
      <c r="P11" s="378"/>
      <c r="Q11" s="378">
        <f>1287-ADj3B</f>
        <v>1213</v>
      </c>
      <c r="R11" s="378">
        <f>+Q11+13+_3BGarage</f>
        <v>1506</v>
      </c>
      <c r="S11" s="374"/>
      <c r="V11" s="308"/>
      <c r="W11" s="299"/>
      <c r="X11" s="309"/>
      <c r="Y11" s="308"/>
      <c r="Z11" s="308"/>
      <c r="AA11" s="308"/>
      <c r="AB11" s="310"/>
      <c r="AC11" s="299"/>
    </row>
    <row r="12" spans="1:36" ht="13.5">
      <c r="A12" s="298"/>
      <c r="B12" s="370" t="s">
        <v>487</v>
      </c>
      <c r="D12" s="371"/>
      <c r="E12" s="372"/>
      <c r="F12" s="371"/>
      <c r="H12" s="371"/>
      <c r="I12" s="372"/>
      <c r="J12" s="371"/>
      <c r="K12" s="371"/>
      <c r="L12" s="371"/>
      <c r="M12" s="371"/>
      <c r="N12" s="371" t="s">
        <v>488</v>
      </c>
      <c r="O12" s="371"/>
      <c r="P12" s="371"/>
      <c r="Q12" s="371" t="s">
        <v>489</v>
      </c>
      <c r="R12" s="371"/>
      <c r="S12" s="374"/>
      <c r="T12" s="371"/>
      <c r="U12" s="371"/>
      <c r="V12" s="308"/>
      <c r="W12" s="299"/>
      <c r="X12" s="309"/>
      <c r="Y12" s="308"/>
      <c r="Z12" s="308"/>
      <c r="AA12" s="308"/>
      <c r="AB12" s="310"/>
      <c r="AC12" s="299"/>
    </row>
    <row r="13" spans="1:36" ht="22.9" customHeight="1">
      <c r="A13" s="298"/>
      <c r="B13" s="307"/>
      <c r="D13" s="311"/>
      <c r="E13" s="308"/>
      <c r="F13" s="311"/>
      <c r="H13" s="311"/>
      <c r="I13" s="308"/>
      <c r="J13" s="311"/>
      <c r="K13" s="311"/>
      <c r="L13" s="311"/>
      <c r="M13" s="311"/>
      <c r="N13" s="311"/>
      <c r="O13" s="311"/>
      <c r="P13" s="311"/>
      <c r="Q13" s="311"/>
      <c r="R13" s="311"/>
      <c r="S13" s="310"/>
      <c r="T13" s="311"/>
      <c r="U13" s="311"/>
      <c r="V13" s="308"/>
      <c r="W13" s="299"/>
      <c r="X13" s="309"/>
      <c r="Y13" s="308"/>
      <c r="Z13" s="308"/>
      <c r="AA13" s="308"/>
      <c r="AB13" s="310"/>
      <c r="AC13" s="299"/>
    </row>
    <row r="14" spans="1:36" ht="12.75">
      <c r="A14" s="298" t="s">
        <v>149</v>
      </c>
      <c r="B14" s="299" t="s">
        <v>3</v>
      </c>
      <c r="C14" s="440">
        <v>0.87</v>
      </c>
      <c r="D14" s="314" t="s">
        <v>519</v>
      </c>
      <c r="E14" s="314"/>
      <c r="F14" s="315"/>
      <c r="H14" s="315"/>
      <c r="I14" s="315"/>
      <c r="J14" s="316">
        <f t="shared" ref="J14:J20" si="0">K14*J$8</f>
        <v>1425.06</v>
      </c>
      <c r="K14" s="316">
        <f>K$11*0.87</f>
        <v>1425.06</v>
      </c>
      <c r="L14" s="317">
        <f t="shared" ref="L14:L20" si="1">+K14/K$11</f>
        <v>0.87</v>
      </c>
      <c r="M14" s="316">
        <f t="shared" ref="M14:M20" si="2">N14*N$8</f>
        <v>63642.239999999998</v>
      </c>
      <c r="N14" s="316">
        <f>N$11*0.87</f>
        <v>883.92</v>
      </c>
      <c r="O14" s="317">
        <f t="shared" ref="O14:O20" si="3">+N14/N$11</f>
        <v>0.87</v>
      </c>
      <c r="P14" s="316">
        <f t="shared" ref="P14:P20" si="4">Q14*Q$8</f>
        <v>64373.909999999996</v>
      </c>
      <c r="Q14" s="316">
        <f>Q$11*0.87</f>
        <v>1055.31</v>
      </c>
      <c r="R14" s="317">
        <f t="shared" ref="R14:R20" si="5">+Q14/Q$11</f>
        <v>0.87</v>
      </c>
      <c r="S14" s="318">
        <f>+P14+M14</f>
        <v>128016.15</v>
      </c>
      <c r="T14" s="316">
        <f>S14/S$8</f>
        <v>962.5274436090225</v>
      </c>
      <c r="U14" s="317">
        <f>+S14/U$8</f>
        <v>0.87</v>
      </c>
      <c r="V14" s="457">
        <f t="shared" ref="V14:V20" si="6">+S14/TotalCost</f>
        <v>9.5505837109412101E-3</v>
      </c>
      <c r="W14" s="300">
        <f t="shared" ref="W14:W77" si="7">+$S14/TotalValue</f>
        <v>8.4262747578755827E-3</v>
      </c>
      <c r="X14"/>
      <c r="Y14"/>
      <c r="Z14"/>
      <c r="AA14"/>
      <c r="AB14"/>
      <c r="AC14"/>
    </row>
    <row r="15" spans="1:36" ht="12.75">
      <c r="A15" s="298" t="s">
        <v>206</v>
      </c>
      <c r="B15" s="299" t="s">
        <v>535</v>
      </c>
      <c r="C15" s="320"/>
      <c r="D15" s="314"/>
      <c r="E15" s="314"/>
      <c r="F15" s="315"/>
      <c r="H15" s="315"/>
      <c r="I15" s="315"/>
      <c r="J15" s="320">
        <f t="shared" si="0"/>
        <v>585.82089552238801</v>
      </c>
      <c r="K15" s="320">
        <f>((68000+10500)/134)</f>
        <v>585.82089552238801</v>
      </c>
      <c r="L15" s="315">
        <f t="shared" si="1"/>
        <v>0.35764401436043225</v>
      </c>
      <c r="M15" s="320">
        <f t="shared" si="2"/>
        <v>42179.104477611938</v>
      </c>
      <c r="N15" s="320">
        <f>((68000+10500)/134)</f>
        <v>585.82089552238801</v>
      </c>
      <c r="O15" s="315">
        <f t="shared" si="3"/>
        <v>0.57659536960864965</v>
      </c>
      <c r="P15" s="320">
        <f t="shared" si="4"/>
        <v>35735.074626865666</v>
      </c>
      <c r="Q15" s="320">
        <f>((68000+10500)/134)</f>
        <v>585.82089552238801</v>
      </c>
      <c r="R15" s="315">
        <f t="shared" si="5"/>
        <v>0.48295209853453258</v>
      </c>
      <c r="S15" s="321">
        <f>+P15+M15</f>
        <v>77914.179104477604</v>
      </c>
      <c r="T15" s="322">
        <f t="shared" ref="T15:T20" si="8">+S15/S$8</f>
        <v>585.82089552238801</v>
      </c>
      <c r="U15" s="315">
        <f>+S15/U$8</f>
        <v>0.52950612731983826</v>
      </c>
      <c r="V15" s="457">
        <f t="shared" si="6"/>
        <v>5.8127501085338045E-3</v>
      </c>
      <c r="W15" s="300">
        <f t="shared" si="7"/>
        <v>5.1284644997420777E-3</v>
      </c>
      <c r="X15"/>
      <c r="Y15"/>
      <c r="Z15"/>
      <c r="AA15"/>
      <c r="AB15"/>
      <c r="AC15"/>
    </row>
    <row r="16" spans="1:36" ht="12.75">
      <c r="A16" s="298"/>
      <c r="B16" s="299" t="s">
        <v>534</v>
      </c>
      <c r="C16" s="440">
        <v>0.15</v>
      </c>
      <c r="D16" s="314" t="s">
        <v>519</v>
      </c>
      <c r="E16" s="314"/>
      <c r="F16" s="315"/>
      <c r="H16" s="315"/>
      <c r="I16" s="315"/>
      <c r="J16" s="320">
        <f t="shared" si="0"/>
        <v>220.08802083333336</v>
      </c>
      <c r="K16" s="320">
        <f>$C16*MgrOffFirstFlr</f>
        <v>220.08802083333336</v>
      </c>
      <c r="L16" s="315">
        <f t="shared" si="1"/>
        <v>0.1343638710826211</v>
      </c>
      <c r="M16" s="320">
        <f t="shared" si="2"/>
        <v>5721.375</v>
      </c>
      <c r="N16" s="320">
        <f>$C16*TwoBdrm_First_Flr</f>
        <v>79.463541666666671</v>
      </c>
      <c r="O16" s="315">
        <f t="shared" si="3"/>
        <v>7.8212147309711294E-2</v>
      </c>
      <c r="P16" s="320">
        <f>Q16*Q$8</f>
        <v>7521.3</v>
      </c>
      <c r="Q16" s="320">
        <f>$C16*ThreeBdrm_First_Flr</f>
        <v>123.3</v>
      </c>
      <c r="R16" s="315">
        <f t="shared" si="5"/>
        <v>0.10164880461665292</v>
      </c>
      <c r="S16" s="321">
        <f>+P16+M16</f>
        <v>13242.674999999999</v>
      </c>
      <c r="T16" s="322">
        <f t="shared" si="8"/>
        <v>99.568984962406006</v>
      </c>
      <c r="U16" s="315">
        <f t="shared" ref="U16:U79" si="9">+S16/U$8</f>
        <v>8.9997451493424849E-2</v>
      </c>
      <c r="V16" s="457">
        <f t="shared" si="6"/>
        <v>9.8796344167738511E-4</v>
      </c>
      <c r="W16" s="300">
        <f t="shared" si="7"/>
        <v>8.716589124048023E-4</v>
      </c>
      <c r="X16"/>
      <c r="Y16"/>
      <c r="Z16"/>
      <c r="AA16"/>
      <c r="AB16"/>
      <c r="AC16"/>
    </row>
    <row r="17" spans="1:29" ht="12.75">
      <c r="A17" s="298" t="s">
        <v>151</v>
      </c>
      <c r="B17" s="299" t="s">
        <v>146</v>
      </c>
      <c r="C17" s="440">
        <f>0.42/100*60</f>
        <v>0.252</v>
      </c>
      <c r="D17" s="314" t="s">
        <v>532</v>
      </c>
      <c r="E17" s="314"/>
      <c r="F17" s="315"/>
      <c r="H17" s="315"/>
      <c r="I17" s="315"/>
      <c r="J17" s="320">
        <f t="shared" si="0"/>
        <v>412.77600000000001</v>
      </c>
      <c r="K17" s="320">
        <f>0.42/100*60*K11</f>
        <v>412.77600000000001</v>
      </c>
      <c r="L17" s="315">
        <f t="shared" si="1"/>
        <v>0.252</v>
      </c>
      <c r="M17" s="320">
        <f t="shared" si="2"/>
        <v>18434.304</v>
      </c>
      <c r="N17" s="320">
        <f>0.42/100*60*N11</f>
        <v>256.03199999999998</v>
      </c>
      <c r="O17" s="315">
        <f t="shared" si="3"/>
        <v>0.252</v>
      </c>
      <c r="P17" s="320">
        <f t="shared" si="4"/>
        <v>18646.236000000001</v>
      </c>
      <c r="Q17" s="320">
        <f>0.42/100*60*Q11</f>
        <v>305.67599999999999</v>
      </c>
      <c r="R17" s="315">
        <f t="shared" si="5"/>
        <v>0.252</v>
      </c>
      <c r="S17" s="321">
        <f t="shared" ref="S17:S80" si="10">+P17+M17</f>
        <v>37080.54</v>
      </c>
      <c r="T17" s="322">
        <f t="shared" si="8"/>
        <v>278.80105263157895</v>
      </c>
      <c r="U17" s="315">
        <f t="shared" si="9"/>
        <v>0.252</v>
      </c>
      <c r="V17" s="457">
        <f t="shared" si="6"/>
        <v>2.76637597144504E-3</v>
      </c>
      <c r="W17" s="300">
        <f t="shared" si="7"/>
        <v>2.4407140677984449E-3</v>
      </c>
      <c r="X17"/>
      <c r="Y17"/>
      <c r="Z17"/>
      <c r="AA17"/>
      <c r="AB17"/>
      <c r="AC17"/>
    </row>
    <row r="18" spans="1:29" ht="12.75">
      <c r="A18" s="298" t="s">
        <v>150</v>
      </c>
      <c r="B18" s="299" t="s">
        <v>147</v>
      </c>
      <c r="C18" s="440">
        <v>88</v>
      </c>
      <c r="D18" s="314" t="s">
        <v>340</v>
      </c>
      <c r="E18" s="314"/>
      <c r="F18" s="315"/>
      <c r="H18" s="315"/>
      <c r="I18" s="315"/>
      <c r="J18" s="320">
        <f t="shared" si="0"/>
        <v>96.800000000000011</v>
      </c>
      <c r="K18" s="320">
        <f>88*CMF</f>
        <v>96.800000000000011</v>
      </c>
      <c r="L18" s="315">
        <f t="shared" si="1"/>
        <v>5.9096459096459102E-2</v>
      </c>
      <c r="M18" s="320">
        <f t="shared" si="2"/>
        <v>6969.6</v>
      </c>
      <c r="N18" s="320">
        <f>88*CMF</f>
        <v>96.800000000000011</v>
      </c>
      <c r="O18" s="315">
        <f t="shared" si="3"/>
        <v>9.5275590551181108E-2</v>
      </c>
      <c r="P18" s="320">
        <f t="shared" si="4"/>
        <v>5904.8000000000011</v>
      </c>
      <c r="Q18" s="320">
        <f>88*CMF</f>
        <v>96.800000000000011</v>
      </c>
      <c r="R18" s="315">
        <f t="shared" si="5"/>
        <v>7.9802143446001658E-2</v>
      </c>
      <c r="S18" s="321">
        <f t="shared" si="10"/>
        <v>12874.400000000001</v>
      </c>
      <c r="T18" s="322">
        <f t="shared" si="8"/>
        <v>96.800000000000011</v>
      </c>
      <c r="U18" s="315">
        <f t="shared" si="9"/>
        <v>8.7494648136192205E-2</v>
      </c>
      <c r="V18" s="457">
        <f t="shared" si="6"/>
        <v>9.6048846124603432E-4</v>
      </c>
      <c r="W18" s="300">
        <f t="shared" si="7"/>
        <v>8.4741832763126702E-4</v>
      </c>
      <c r="X18"/>
      <c r="Y18"/>
      <c r="Z18"/>
      <c r="AA18"/>
      <c r="AB18"/>
      <c r="AC18"/>
    </row>
    <row r="19" spans="1:29" ht="12.75">
      <c r="A19" s="298" t="s">
        <v>150</v>
      </c>
      <c r="B19" s="299" t="s">
        <v>148</v>
      </c>
      <c r="C19" s="438"/>
      <c r="D19" s="314"/>
      <c r="E19" s="314"/>
      <c r="F19" s="315"/>
      <c r="H19" s="315"/>
      <c r="I19" s="315"/>
      <c r="J19" s="320">
        <f t="shared" si="0"/>
        <v>1432.2</v>
      </c>
      <c r="K19" s="320">
        <f>1302*CMF</f>
        <v>1432.2</v>
      </c>
      <c r="L19" s="315">
        <f t="shared" si="1"/>
        <v>0.87435897435897436</v>
      </c>
      <c r="M19" s="320">
        <f t="shared" si="2"/>
        <v>103118.40000000001</v>
      </c>
      <c r="N19" s="320">
        <f>1302*CMF</f>
        <v>1432.2</v>
      </c>
      <c r="O19" s="315">
        <f t="shared" si="3"/>
        <v>1.4096456692913386</v>
      </c>
      <c r="P19" s="320">
        <f t="shared" si="4"/>
        <v>87364.2</v>
      </c>
      <c r="Q19" s="320">
        <f>1302*CMF</f>
        <v>1432.2</v>
      </c>
      <c r="R19" s="315">
        <f t="shared" si="5"/>
        <v>1.1807089859851607</v>
      </c>
      <c r="S19" s="321">
        <f t="shared" si="10"/>
        <v>190482.6</v>
      </c>
      <c r="T19" s="322">
        <f t="shared" si="8"/>
        <v>1432.2</v>
      </c>
      <c r="U19" s="315">
        <f t="shared" si="9"/>
        <v>1.294523089469571</v>
      </c>
      <c r="V19" s="457">
        <f t="shared" si="6"/>
        <v>1.421086336979928E-2</v>
      </c>
      <c r="W19" s="300">
        <f t="shared" si="7"/>
        <v>1.2537939347453517E-2</v>
      </c>
      <c r="X19"/>
      <c r="Y19"/>
      <c r="Z19"/>
      <c r="AA19"/>
      <c r="AB19"/>
      <c r="AC19"/>
    </row>
    <row r="20" spans="1:29" ht="12.75">
      <c r="A20" s="298"/>
      <c r="B20" s="323" t="s">
        <v>5</v>
      </c>
      <c r="C20" s="438">
        <v>5.5</v>
      </c>
      <c r="D20" s="314" t="s">
        <v>519</v>
      </c>
      <c r="E20" s="314"/>
      <c r="F20" s="315"/>
      <c r="H20" s="315"/>
      <c r="I20" s="315"/>
      <c r="J20" s="320">
        <f t="shared" si="0"/>
        <v>8876.8835069444467</v>
      </c>
      <c r="K20" s="320">
        <f>5.5*MgrOffFirstFlr*CMF</f>
        <v>8876.8835069444467</v>
      </c>
      <c r="L20" s="315">
        <f t="shared" si="1"/>
        <v>5.4193428003323847</v>
      </c>
      <c r="M20" s="320">
        <f t="shared" si="2"/>
        <v>230762.12500000003</v>
      </c>
      <c r="N20" s="320">
        <f>5.5*TwoBdrm_First_Flr*CMF</f>
        <v>3205.0295138888891</v>
      </c>
      <c r="O20" s="315">
        <f t="shared" si="3"/>
        <v>3.1545566081583556</v>
      </c>
      <c r="P20" s="320">
        <f t="shared" si="4"/>
        <v>303359.10000000003</v>
      </c>
      <c r="Q20" s="320">
        <f>5.5*ThreeBdrm_First_Flr*CMF</f>
        <v>4973.1000000000004</v>
      </c>
      <c r="R20" s="315">
        <f t="shared" si="5"/>
        <v>4.0998351195383353</v>
      </c>
      <c r="S20" s="321">
        <f t="shared" si="10"/>
        <v>534121.22500000009</v>
      </c>
      <c r="T20" s="322">
        <f t="shared" si="8"/>
        <v>4015.9490601503767</v>
      </c>
      <c r="U20" s="315">
        <f t="shared" si="9"/>
        <v>3.6298972102348031</v>
      </c>
      <c r="V20" s="457">
        <f t="shared" si="6"/>
        <v>3.9847858814321208E-2</v>
      </c>
      <c r="W20" s="300">
        <f t="shared" si="7"/>
        <v>3.5156909466993701E-2</v>
      </c>
      <c r="X20"/>
      <c r="Y20"/>
      <c r="Z20"/>
      <c r="AA20"/>
      <c r="AB20"/>
      <c r="AC20"/>
    </row>
    <row r="21" spans="1:29" ht="12.75">
      <c r="A21" s="298" t="s">
        <v>161</v>
      </c>
      <c r="B21" s="298" t="s">
        <v>6</v>
      </c>
      <c r="C21" s="438"/>
      <c r="D21" s="314"/>
      <c r="E21" s="314"/>
      <c r="F21" s="315"/>
      <c r="H21" s="315"/>
      <c r="I21" s="315"/>
      <c r="M21" s="299"/>
      <c r="N21" s="299"/>
      <c r="O21" s="299"/>
      <c r="P21" s="299"/>
      <c r="Q21" s="299"/>
      <c r="R21" s="299"/>
      <c r="S21" s="302"/>
      <c r="T21" s="299"/>
      <c r="U21" s="315"/>
      <c r="V21" s="300"/>
      <c r="W21" s="300"/>
      <c r="X21"/>
      <c r="Y21"/>
      <c r="Z21"/>
      <c r="AA21"/>
      <c r="AB21"/>
      <c r="AC21"/>
    </row>
    <row r="22" spans="1:29" ht="12.75">
      <c r="A22" s="298" t="s">
        <v>161</v>
      </c>
      <c r="B22" s="298" t="s">
        <v>7</v>
      </c>
      <c r="C22" s="438"/>
      <c r="D22" s="314"/>
      <c r="E22" s="314"/>
      <c r="F22" s="315"/>
      <c r="H22" s="315"/>
      <c r="I22" s="315"/>
      <c r="J22" s="320"/>
      <c r="K22" s="320"/>
      <c r="L22" s="315"/>
      <c r="M22" s="320"/>
      <c r="N22" s="320"/>
      <c r="O22" s="315"/>
      <c r="P22" s="320"/>
      <c r="Q22" s="320"/>
      <c r="R22" s="315"/>
      <c r="S22" s="321"/>
      <c r="T22" s="322"/>
      <c r="U22" s="315"/>
      <c r="V22" s="300"/>
      <c r="W22" s="300"/>
      <c r="X22"/>
      <c r="Y22"/>
      <c r="Z22"/>
      <c r="AA22"/>
      <c r="AB22"/>
      <c r="AC22"/>
    </row>
    <row r="23" spans="1:29" ht="12.75">
      <c r="A23" s="298" t="s">
        <v>161</v>
      </c>
      <c r="B23" s="298" t="s">
        <v>8</v>
      </c>
      <c r="C23" s="438"/>
      <c r="D23" s="314"/>
      <c r="E23" s="314"/>
      <c r="F23" s="315"/>
      <c r="H23" s="315"/>
      <c r="I23" s="315"/>
      <c r="J23" s="320"/>
      <c r="K23" s="320"/>
      <c r="L23" s="315"/>
      <c r="M23" s="320"/>
      <c r="N23" s="320"/>
      <c r="O23" s="315"/>
      <c r="P23" s="320"/>
      <c r="Q23" s="320"/>
      <c r="R23" s="315"/>
      <c r="S23" s="321"/>
      <c r="T23" s="322"/>
      <c r="U23" s="315"/>
      <c r="V23" s="300"/>
      <c r="W23" s="300"/>
      <c r="X23"/>
      <c r="Y23"/>
      <c r="Z23"/>
      <c r="AA23"/>
      <c r="AB23"/>
      <c r="AC23"/>
    </row>
    <row r="24" spans="1:29" ht="12.75">
      <c r="A24" s="298"/>
      <c r="B24" s="323" t="s">
        <v>9</v>
      </c>
      <c r="C24" s="438"/>
      <c r="D24" s="314"/>
      <c r="E24" s="314"/>
      <c r="F24" s="315"/>
      <c r="H24" s="315"/>
      <c r="I24" s="315"/>
      <c r="J24" s="320"/>
      <c r="K24" s="320"/>
      <c r="L24" s="315"/>
      <c r="M24" s="320"/>
      <c r="N24" s="320"/>
      <c r="O24" s="315"/>
      <c r="P24" s="320"/>
      <c r="Q24" s="320"/>
      <c r="R24" s="315"/>
      <c r="S24" s="321"/>
      <c r="T24" s="322"/>
      <c r="U24" s="315"/>
      <c r="V24" s="300"/>
      <c r="W24" s="300"/>
      <c r="X24"/>
      <c r="Y24"/>
      <c r="Z24"/>
      <c r="AA24"/>
      <c r="AB24"/>
      <c r="AC24"/>
    </row>
    <row r="25" spans="1:29" ht="12.75">
      <c r="A25" s="298" t="s">
        <v>162</v>
      </c>
      <c r="B25" s="298" t="s">
        <v>10</v>
      </c>
      <c r="C25" s="320"/>
      <c r="D25" s="314"/>
      <c r="E25" s="314"/>
      <c r="F25" s="315"/>
      <c r="H25" s="315"/>
      <c r="I25" s="315"/>
      <c r="J25" s="320">
        <f>K25*J$8</f>
        <v>2232.4500000000003</v>
      </c>
      <c r="K25" s="320">
        <f>(13500+300-1500)/2*0.33*CMF</f>
        <v>2232.4500000000003</v>
      </c>
      <c r="L25" s="315">
        <f>+K25/K$11</f>
        <v>1.3629120879120882</v>
      </c>
      <c r="M25" s="320">
        <f>N25*N$8</f>
        <v>165963.6</v>
      </c>
      <c r="N25" s="320">
        <f>(13500+300-1100)/2*0.33*CMF</f>
        <v>2305.0500000000002</v>
      </c>
      <c r="O25" s="315">
        <f>+N25/N$11</f>
        <v>2.2687500000000003</v>
      </c>
      <c r="P25" s="320">
        <f>Q25*Q$8</f>
        <v>152786.70000000001</v>
      </c>
      <c r="Q25" s="320">
        <f>(13500+300)/2*0.33*CMF</f>
        <v>2504.7000000000003</v>
      </c>
      <c r="R25" s="315">
        <f>+Q25/Q$11</f>
        <v>2.0648804616652927</v>
      </c>
      <c r="S25" s="321">
        <f t="shared" si="10"/>
        <v>318750.30000000005</v>
      </c>
      <c r="T25" s="322">
        <f>+S25/S$8</f>
        <v>2396.6187969924817</v>
      </c>
      <c r="U25" s="315">
        <f t="shared" si="9"/>
        <v>2.1662326276801798</v>
      </c>
      <c r="V25" s="457">
        <f>+S25/TotalCost</f>
        <v>2.3780213848312297E-2</v>
      </c>
      <c r="W25" s="300">
        <f t="shared" si="7"/>
        <v>2.098077162104367E-2</v>
      </c>
      <c r="X25"/>
      <c r="Y25"/>
      <c r="Z25"/>
      <c r="AA25"/>
      <c r="AB25"/>
      <c r="AC25"/>
    </row>
    <row r="26" spans="1:29" ht="12.75">
      <c r="A26" s="298" t="s">
        <v>163</v>
      </c>
      <c r="B26" s="298" t="s">
        <v>11</v>
      </c>
      <c r="C26" s="320"/>
      <c r="D26" s="314"/>
      <c r="E26" s="314"/>
      <c r="F26" s="315"/>
      <c r="H26" s="315"/>
      <c r="I26" s="315"/>
      <c r="J26" s="320">
        <f>K26*J$8</f>
        <v>2232.4500000000003</v>
      </c>
      <c r="K26" s="320">
        <f>(13500+300-1500)/2*0.33*CMF</f>
        <v>2232.4500000000003</v>
      </c>
      <c r="L26" s="315">
        <f>+K26/K$11</f>
        <v>1.3629120879120882</v>
      </c>
      <c r="M26" s="320">
        <f>N26*N$8</f>
        <v>165963.6</v>
      </c>
      <c r="N26" s="320">
        <f>(13500+300-1100)/2*0.33*CMF</f>
        <v>2305.0500000000002</v>
      </c>
      <c r="O26" s="315">
        <f>+N26/N$11</f>
        <v>2.2687500000000003</v>
      </c>
      <c r="P26" s="320">
        <f>Q26*Q$8</f>
        <v>152786.70000000001</v>
      </c>
      <c r="Q26" s="320">
        <f>(13500+300)/2*0.33*CMF</f>
        <v>2504.7000000000003</v>
      </c>
      <c r="R26" s="315">
        <f>+Q26/Q$11</f>
        <v>2.0648804616652927</v>
      </c>
      <c r="S26" s="321">
        <f t="shared" si="10"/>
        <v>318750.30000000005</v>
      </c>
      <c r="T26" s="322">
        <f>+S26/S$8</f>
        <v>2396.6187969924817</v>
      </c>
      <c r="U26" s="315">
        <f t="shared" si="9"/>
        <v>2.1662326276801798</v>
      </c>
      <c r="V26" s="457">
        <f>+S26/TotalCost</f>
        <v>2.3780213848312297E-2</v>
      </c>
      <c r="W26" s="300">
        <f t="shared" si="7"/>
        <v>2.098077162104367E-2</v>
      </c>
      <c r="X26"/>
      <c r="Y26"/>
      <c r="Z26"/>
      <c r="AA26"/>
      <c r="AB26"/>
      <c r="AC26"/>
    </row>
    <row r="27" spans="1:29" ht="12.75">
      <c r="A27" s="298" t="s">
        <v>163</v>
      </c>
      <c r="B27" s="298" t="s">
        <v>12</v>
      </c>
      <c r="C27" s="320"/>
      <c r="D27" s="314"/>
      <c r="E27" s="314"/>
      <c r="F27" s="315"/>
      <c r="H27" s="315"/>
      <c r="I27" s="315"/>
      <c r="J27" s="320">
        <f>K27*J$8</f>
        <v>2232.4500000000003</v>
      </c>
      <c r="K27" s="320">
        <f>(13500+300-1500)/2*0.33*CMF</f>
        <v>2232.4500000000003</v>
      </c>
      <c r="L27" s="315">
        <f>+K27/K$11</f>
        <v>1.3629120879120882</v>
      </c>
      <c r="M27" s="320">
        <f>N27*N$8</f>
        <v>165963.6</v>
      </c>
      <c r="N27" s="320">
        <f>(13500+300-1100)/2*0.33*CMF</f>
        <v>2305.0500000000002</v>
      </c>
      <c r="O27" s="315">
        <f>+N27/N$11</f>
        <v>2.2687500000000003</v>
      </c>
      <c r="P27" s="320">
        <f>Q27*Q$8</f>
        <v>152786.70000000001</v>
      </c>
      <c r="Q27" s="320">
        <f>(13500+300)/2*0.33*CMF</f>
        <v>2504.7000000000003</v>
      </c>
      <c r="R27" s="315">
        <f>+Q27/Q$11</f>
        <v>2.0648804616652927</v>
      </c>
      <c r="S27" s="321">
        <f t="shared" si="10"/>
        <v>318750.30000000005</v>
      </c>
      <c r="T27" s="322">
        <f>+S27/S$8</f>
        <v>2396.6187969924817</v>
      </c>
      <c r="U27" s="315">
        <f t="shared" si="9"/>
        <v>2.1662326276801798</v>
      </c>
      <c r="V27" s="457">
        <f>+S27/TotalCost</f>
        <v>2.3780213848312297E-2</v>
      </c>
      <c r="W27" s="300">
        <f t="shared" si="7"/>
        <v>2.098077162104367E-2</v>
      </c>
      <c r="X27"/>
      <c r="Y27"/>
      <c r="Z27"/>
      <c r="AA27"/>
      <c r="AB27"/>
      <c r="AC27"/>
    </row>
    <row r="28" spans="1:29" ht="12.75">
      <c r="A28" s="298"/>
      <c r="B28" s="323" t="s">
        <v>13</v>
      </c>
      <c r="C28" s="438">
        <f>SUM(C29:C32)</f>
        <v>3.4</v>
      </c>
      <c r="D28" s="314" t="s">
        <v>519</v>
      </c>
      <c r="E28" s="314"/>
      <c r="F28" s="315">
        <f>E28/1376</f>
        <v>0</v>
      </c>
      <c r="H28" s="315"/>
      <c r="I28" s="315"/>
      <c r="J28" s="320"/>
      <c r="K28" s="320"/>
      <c r="L28" s="315"/>
      <c r="M28" s="320"/>
      <c r="N28" s="320"/>
      <c r="O28" s="315"/>
      <c r="P28" s="320"/>
      <c r="Q28" s="320"/>
      <c r="R28" s="315"/>
      <c r="S28" s="321"/>
      <c r="T28" s="322"/>
      <c r="U28" s="315">
        <f t="shared" si="9"/>
        <v>0</v>
      </c>
      <c r="V28" s="300"/>
      <c r="W28" s="300"/>
      <c r="X28"/>
      <c r="Y28"/>
      <c r="Z28"/>
      <c r="AA28"/>
      <c r="AB28"/>
      <c r="AC28"/>
    </row>
    <row r="29" spans="1:29" ht="12.75">
      <c r="A29" s="298" t="s">
        <v>164</v>
      </c>
      <c r="B29" s="298" t="s">
        <v>14</v>
      </c>
      <c r="C29" s="440">
        <v>0.88</v>
      </c>
      <c r="D29" s="314"/>
      <c r="E29" s="314"/>
      <c r="F29" s="315"/>
      <c r="H29" s="315"/>
      <c r="I29" s="315"/>
      <c r="J29" s="320">
        <f>K29*J$8</f>
        <v>2151.864</v>
      </c>
      <c r="K29" s="320">
        <f>L$11*$C29*CMF</f>
        <v>2151.864</v>
      </c>
      <c r="L29" s="315">
        <f>+K29/K$11</f>
        <v>1.3137142857142858</v>
      </c>
      <c r="M29" s="320">
        <f>N29*N$8</f>
        <v>70811.136000000013</v>
      </c>
      <c r="N29" s="320">
        <f>O$11*$C29*CMF</f>
        <v>983.48800000000017</v>
      </c>
      <c r="O29" s="315">
        <f>+N29/N$11</f>
        <v>0.96800000000000019</v>
      </c>
      <c r="P29" s="320">
        <f>Q29*Q$8</f>
        <v>88926.288</v>
      </c>
      <c r="Q29" s="320">
        <f>R$11*$C29*CMF</f>
        <v>1457.808</v>
      </c>
      <c r="R29" s="315">
        <f>+Q29/Q$11</f>
        <v>1.2018202802967848</v>
      </c>
      <c r="S29" s="321">
        <f t="shared" si="10"/>
        <v>159737.424</v>
      </c>
      <c r="T29" s="322">
        <f>+S29/S$8</f>
        <v>1201.0332631578947</v>
      </c>
      <c r="U29" s="315">
        <f t="shared" si="9"/>
        <v>1.0855783342961025</v>
      </c>
      <c r="V29" s="457">
        <f>+S29/TotalCost</f>
        <v>1.191713420284948E-2</v>
      </c>
      <c r="W29" s="300">
        <f t="shared" si="7"/>
        <v>1.0514231397673414E-2</v>
      </c>
      <c r="X29"/>
      <c r="Y29"/>
      <c r="Z29"/>
      <c r="AA29"/>
      <c r="AB29"/>
      <c r="AC29"/>
    </row>
    <row r="30" spans="1:29" ht="12.75">
      <c r="A30" s="298" t="s">
        <v>164</v>
      </c>
      <c r="B30" s="298" t="s">
        <v>15</v>
      </c>
      <c r="C30" s="440">
        <v>0.88</v>
      </c>
      <c r="D30" s="314"/>
      <c r="E30" s="314"/>
      <c r="F30" s="315"/>
      <c r="H30" s="315"/>
      <c r="I30" s="315"/>
      <c r="J30" s="320">
        <f>K30*J$8</f>
        <v>2151.864</v>
      </c>
      <c r="K30" s="320">
        <f>L$11*$C30*CMF</f>
        <v>2151.864</v>
      </c>
      <c r="L30" s="315">
        <f>+K30/K$11</f>
        <v>1.3137142857142858</v>
      </c>
      <c r="M30" s="320">
        <f>N30*N$8</f>
        <v>70811.136000000013</v>
      </c>
      <c r="N30" s="320">
        <f>O$11*$C30*CMF</f>
        <v>983.48800000000017</v>
      </c>
      <c r="O30" s="315">
        <f>+N30/N$11</f>
        <v>0.96800000000000019</v>
      </c>
      <c r="P30" s="320">
        <f>Q30*Q$8</f>
        <v>88926.288</v>
      </c>
      <c r="Q30" s="320">
        <f>R$11*$C30*CMF</f>
        <v>1457.808</v>
      </c>
      <c r="R30" s="315">
        <f>+Q30/Q$11</f>
        <v>1.2018202802967848</v>
      </c>
      <c r="S30" s="321">
        <f t="shared" si="10"/>
        <v>159737.424</v>
      </c>
      <c r="T30" s="322">
        <f>+S30/S$8</f>
        <v>1201.0332631578947</v>
      </c>
      <c r="U30" s="315">
        <f t="shared" si="9"/>
        <v>1.0855783342961025</v>
      </c>
      <c r="V30" s="457">
        <f>+S30/TotalCost</f>
        <v>1.191713420284948E-2</v>
      </c>
      <c r="W30" s="300">
        <f t="shared" si="7"/>
        <v>1.0514231397673414E-2</v>
      </c>
      <c r="X30"/>
      <c r="Y30"/>
      <c r="Z30"/>
      <c r="AA30"/>
      <c r="AB30"/>
      <c r="AC30"/>
    </row>
    <row r="31" spans="1:29" ht="12.75">
      <c r="A31" s="298" t="s">
        <v>164</v>
      </c>
      <c r="B31" s="298" t="s">
        <v>16</v>
      </c>
      <c r="C31" s="440">
        <v>0.35</v>
      </c>
      <c r="D31" s="314"/>
      <c r="E31" s="314"/>
      <c r="F31" s="315"/>
      <c r="H31" s="315"/>
      <c r="I31" s="315"/>
      <c r="J31" s="320">
        <f>K31*J$8</f>
        <v>855.85500000000002</v>
      </c>
      <c r="K31" s="320">
        <f>L$11*$C31*CMF</f>
        <v>855.85500000000002</v>
      </c>
      <c r="L31" s="315">
        <f>+K31/K$11</f>
        <v>0.52249999999999996</v>
      </c>
      <c r="M31" s="320">
        <f>N31*N$8</f>
        <v>28163.519999999997</v>
      </c>
      <c r="N31" s="320">
        <f>O$11*$C31*CMF</f>
        <v>391.15999999999997</v>
      </c>
      <c r="O31" s="315">
        <f>+N31/N$11</f>
        <v>0.38499999999999995</v>
      </c>
      <c r="P31" s="320">
        <f>Q31*Q$8</f>
        <v>35368.410000000003</v>
      </c>
      <c r="Q31" s="320">
        <f>R$11*$C31*CMF</f>
        <v>579.81000000000006</v>
      </c>
      <c r="R31" s="315">
        <f>+Q31/Q$11</f>
        <v>0.47799670239076675</v>
      </c>
      <c r="S31" s="321">
        <f t="shared" si="10"/>
        <v>63531.93</v>
      </c>
      <c r="T31" s="322">
        <f>+S31/S$8</f>
        <v>477.68368421052634</v>
      </c>
      <c r="U31" s="315">
        <f t="shared" si="9"/>
        <v>0.43176411023140437</v>
      </c>
      <c r="V31" s="457">
        <f>+S31/TotalCost</f>
        <v>4.7397692852242249E-3</v>
      </c>
      <c r="W31" s="300">
        <f t="shared" si="7"/>
        <v>4.1817965786201073E-3</v>
      </c>
      <c r="X31"/>
      <c r="Y31"/>
      <c r="Z31"/>
      <c r="AA31"/>
      <c r="AB31"/>
      <c r="AC31"/>
    </row>
    <row r="32" spans="1:29" ht="12.75">
      <c r="A32" s="298" t="s">
        <v>165</v>
      </c>
      <c r="B32" s="298" t="s">
        <v>17</v>
      </c>
      <c r="C32" s="440">
        <v>1.29</v>
      </c>
      <c r="D32" s="314"/>
      <c r="E32" s="314"/>
      <c r="F32" s="315"/>
      <c r="H32" s="315"/>
      <c r="I32" s="315"/>
      <c r="J32" s="320">
        <f>K32*J$8</f>
        <v>3154.4370000000004</v>
      </c>
      <c r="K32" s="320">
        <f>L$11*$C32*CMF</f>
        <v>3154.4370000000004</v>
      </c>
      <c r="L32" s="315">
        <f>+K32/K$11</f>
        <v>1.9257857142857144</v>
      </c>
      <c r="M32" s="320">
        <f>N32*N$8</f>
        <v>103802.68800000001</v>
      </c>
      <c r="N32" s="320">
        <f>O$11*$C32*CMF</f>
        <v>1441.7040000000002</v>
      </c>
      <c r="O32" s="315">
        <f>+N32/N$11</f>
        <v>1.4190000000000003</v>
      </c>
      <c r="P32" s="320">
        <f>Q32*Q$8</f>
        <v>130357.85400000001</v>
      </c>
      <c r="Q32" s="320">
        <f>R$11*$C32*CMF</f>
        <v>2137.0140000000001</v>
      </c>
      <c r="R32" s="315">
        <f>+Q32/Q$11</f>
        <v>1.7617592745259687</v>
      </c>
      <c r="S32" s="321">
        <f>(P32+M32)*0.5</f>
        <v>117080.27100000001</v>
      </c>
      <c r="T32" s="322">
        <f>+S32/S$8</f>
        <v>880.30278947368424</v>
      </c>
      <c r="U32" s="315">
        <f t="shared" si="9"/>
        <v>0.79567957456930249</v>
      </c>
      <c r="V32" s="457">
        <f>+S32/TotalCost</f>
        <v>8.7347176827703588E-3</v>
      </c>
      <c r="W32" s="300">
        <f t="shared" si="7"/>
        <v>7.7064536948856276E-3</v>
      </c>
      <c r="X32"/>
      <c r="Y32"/>
      <c r="Z32"/>
      <c r="AA32"/>
      <c r="AB32"/>
      <c r="AC32"/>
    </row>
    <row r="33" spans="1:29" ht="12.75">
      <c r="A33" s="298"/>
      <c r="B33" s="323" t="s">
        <v>18</v>
      </c>
      <c r="C33" s="438"/>
      <c r="D33" s="314"/>
      <c r="E33" s="314"/>
      <c r="F33" s="315"/>
      <c r="H33" s="315"/>
      <c r="I33" s="315"/>
      <c r="J33" s="320"/>
      <c r="K33" s="324"/>
      <c r="L33" s="315"/>
      <c r="M33" s="320"/>
      <c r="N33" s="320"/>
      <c r="O33" s="315"/>
      <c r="P33" s="320"/>
      <c r="Q33" s="320"/>
      <c r="R33" s="315"/>
      <c r="S33" s="322"/>
      <c r="T33" s="322"/>
      <c r="U33" s="315"/>
      <c r="V33" s="300"/>
      <c r="W33" s="300"/>
      <c r="X33"/>
      <c r="Y33"/>
      <c r="Z33"/>
      <c r="AA33"/>
      <c r="AB33"/>
      <c r="AC33"/>
    </row>
    <row r="34" spans="1:29" ht="12.75">
      <c r="A34" s="298" t="s">
        <v>164</v>
      </c>
      <c r="B34" s="298" t="s">
        <v>67</v>
      </c>
      <c r="C34" s="444">
        <v>2.37</v>
      </c>
      <c r="D34" s="314" t="s">
        <v>519</v>
      </c>
      <c r="E34" s="319"/>
      <c r="F34" s="315"/>
      <c r="H34" s="315"/>
      <c r="I34" s="315"/>
      <c r="J34" s="320">
        <f t="shared" ref="J34:J41" si="11">K34*J$8</f>
        <v>4270.2660000000005</v>
      </c>
      <c r="K34" s="320">
        <f>K$11*2.37*CMF</f>
        <v>4270.2660000000005</v>
      </c>
      <c r="L34" s="315">
        <f t="shared" ref="L34:L41" si="12">+K34/K$11</f>
        <v>2.6070000000000002</v>
      </c>
      <c r="M34" s="320">
        <f t="shared" ref="M34:M41" si="13">N34*N$8</f>
        <v>190707.26400000002</v>
      </c>
      <c r="N34" s="320">
        <f>N$11*2.37*CMF</f>
        <v>2648.7120000000004</v>
      </c>
      <c r="O34" s="315">
        <f t="shared" ref="O34:O41" si="14">+N34/N$11</f>
        <v>2.6070000000000007</v>
      </c>
      <c r="P34" s="320">
        <f t="shared" ref="P34:P41" si="15">Q34*Q$8</f>
        <v>192899.75100000002</v>
      </c>
      <c r="Q34" s="320">
        <f>Q$11*2.37*CMF</f>
        <v>3162.2910000000002</v>
      </c>
      <c r="R34" s="315">
        <f t="shared" ref="R34:R41" si="16">+Q34/Q$11</f>
        <v>2.6070000000000002</v>
      </c>
      <c r="S34" s="321">
        <f t="shared" si="10"/>
        <v>383607.01500000001</v>
      </c>
      <c r="T34" s="322">
        <f t="shared" ref="T34:T41" si="17">+S34/S$8</f>
        <v>2884.2632706766917</v>
      </c>
      <c r="U34" s="315">
        <f t="shared" si="9"/>
        <v>2.6070000000000002</v>
      </c>
      <c r="V34" s="457">
        <f t="shared" ref="V34:V41" si="18">+S34/TotalCost</f>
        <v>2.8618818085544524E-2</v>
      </c>
      <c r="W34" s="300">
        <f t="shared" si="7"/>
        <v>2.5249768153772008E-2</v>
      </c>
      <c r="X34"/>
      <c r="Y34"/>
      <c r="Z34"/>
      <c r="AA34"/>
      <c r="AB34"/>
      <c r="AC34"/>
    </row>
    <row r="35" spans="1:29" ht="12.75">
      <c r="A35" s="298" t="s">
        <v>164</v>
      </c>
      <c r="B35" s="298" t="s">
        <v>200</v>
      </c>
      <c r="C35" s="444">
        <v>2.12</v>
      </c>
      <c r="D35" s="314" t="s">
        <v>519</v>
      </c>
      <c r="E35" s="319"/>
      <c r="F35" s="315"/>
      <c r="H35" s="315"/>
      <c r="I35" s="315"/>
      <c r="J35" s="320">
        <f t="shared" si="11"/>
        <v>3819.8160000000007</v>
      </c>
      <c r="K35" s="320">
        <f>K$11*2.12*CMF</f>
        <v>3819.8160000000007</v>
      </c>
      <c r="L35" s="315">
        <f>+K35/K$11</f>
        <v>2.3320000000000003</v>
      </c>
      <c r="M35" s="320">
        <f t="shared" si="13"/>
        <v>170590.46400000004</v>
      </c>
      <c r="N35" s="320">
        <f>N$11*2.12*CMF</f>
        <v>2369.3120000000004</v>
      </c>
      <c r="O35" s="315">
        <f t="shared" si="14"/>
        <v>2.3320000000000003</v>
      </c>
      <c r="P35" s="320">
        <f t="shared" si="15"/>
        <v>172551.67600000004</v>
      </c>
      <c r="Q35" s="320">
        <f>Q$11*2.12*CMF</f>
        <v>2828.7160000000003</v>
      </c>
      <c r="R35" s="315">
        <f t="shared" si="16"/>
        <v>2.3320000000000003</v>
      </c>
      <c r="S35" s="321">
        <f t="shared" si="10"/>
        <v>343142.14000000007</v>
      </c>
      <c r="T35" s="322">
        <f t="shared" si="17"/>
        <v>2580.0160902255643</v>
      </c>
      <c r="U35" s="315">
        <f t="shared" si="9"/>
        <v>2.3320000000000003</v>
      </c>
      <c r="V35" s="457">
        <f t="shared" si="18"/>
        <v>2.5599955418292995E-2</v>
      </c>
      <c r="W35" s="300">
        <f t="shared" si="7"/>
        <v>2.2586290500420533E-2</v>
      </c>
      <c r="X35"/>
      <c r="Y35"/>
      <c r="Z35"/>
      <c r="AA35"/>
      <c r="AB35"/>
      <c r="AC35"/>
    </row>
    <row r="36" spans="1:29" ht="12.75">
      <c r="A36" s="298" t="s">
        <v>164</v>
      </c>
      <c r="B36" s="298" t="s">
        <v>19</v>
      </c>
      <c r="C36" s="441">
        <f>5.5*0.3</f>
        <v>1.65</v>
      </c>
      <c r="D36" s="314" t="s">
        <v>519</v>
      </c>
      <c r="E36" s="319"/>
      <c r="F36" s="315"/>
      <c r="H36" s="315"/>
      <c r="I36" s="315"/>
      <c r="J36" s="320">
        <f t="shared" si="11"/>
        <v>2972.9700000000003</v>
      </c>
      <c r="K36" s="320">
        <f>K$11*5.5*CMF*0.3</f>
        <v>2972.9700000000003</v>
      </c>
      <c r="L36" s="315">
        <f t="shared" si="12"/>
        <v>1.8150000000000002</v>
      </c>
      <c r="M36" s="320">
        <f t="shared" si="13"/>
        <v>132770.88</v>
      </c>
      <c r="N36" s="320">
        <f>N$11*5.5*CMF*0.3</f>
        <v>1844.04</v>
      </c>
      <c r="O36" s="315">
        <f t="shared" si="14"/>
        <v>1.8149999999999999</v>
      </c>
      <c r="P36" s="320">
        <f t="shared" si="15"/>
        <v>134297.29500000001</v>
      </c>
      <c r="Q36" s="320">
        <f>Q$11*5.5*CMF*0.3</f>
        <v>2201.5950000000003</v>
      </c>
      <c r="R36" s="315">
        <f t="shared" si="16"/>
        <v>1.8150000000000002</v>
      </c>
      <c r="S36" s="321">
        <f t="shared" si="10"/>
        <v>267068.17500000005</v>
      </c>
      <c r="T36" s="322">
        <f t="shared" si="17"/>
        <v>2008.0313909774441</v>
      </c>
      <c r="U36" s="315">
        <f t="shared" si="9"/>
        <v>1.8150000000000004</v>
      </c>
      <c r="V36" s="457">
        <f t="shared" si="18"/>
        <v>1.9924493603860113E-2</v>
      </c>
      <c r="W36" s="300">
        <f t="shared" si="7"/>
        <v>1.7578952512119755E-2</v>
      </c>
      <c r="X36"/>
      <c r="Y36"/>
      <c r="Z36"/>
      <c r="AA36"/>
      <c r="AB36"/>
      <c r="AC36"/>
    </row>
    <row r="37" spans="1:29" ht="12.75">
      <c r="A37" s="298" t="s">
        <v>164</v>
      </c>
      <c r="B37" s="298" t="s">
        <v>20</v>
      </c>
      <c r="C37" s="441">
        <f>5.5*0.3</f>
        <v>1.65</v>
      </c>
      <c r="D37" s="314" t="s">
        <v>519</v>
      </c>
      <c r="E37" s="319"/>
      <c r="F37" s="315"/>
      <c r="H37" s="315"/>
      <c r="I37" s="315"/>
      <c r="J37" s="320">
        <f t="shared" si="11"/>
        <v>2972.9700000000003</v>
      </c>
      <c r="K37" s="320">
        <f>K$11*5.5*CMF*0.3</f>
        <v>2972.9700000000003</v>
      </c>
      <c r="L37" s="315">
        <f t="shared" si="12"/>
        <v>1.8150000000000002</v>
      </c>
      <c r="M37" s="320">
        <f t="shared" si="13"/>
        <v>132770.88</v>
      </c>
      <c r="N37" s="320">
        <f>N$11*5.5*CMF*0.3</f>
        <v>1844.04</v>
      </c>
      <c r="O37" s="315">
        <f t="shared" si="14"/>
        <v>1.8149999999999999</v>
      </c>
      <c r="P37" s="320">
        <f t="shared" si="15"/>
        <v>134297.29500000001</v>
      </c>
      <c r="Q37" s="320">
        <f>Q$11*5.5*CMF*0.3</f>
        <v>2201.5950000000003</v>
      </c>
      <c r="R37" s="315">
        <f t="shared" si="16"/>
        <v>1.8150000000000002</v>
      </c>
      <c r="S37" s="321">
        <f t="shared" si="10"/>
        <v>267068.17500000005</v>
      </c>
      <c r="T37" s="322">
        <f t="shared" si="17"/>
        <v>2008.0313909774441</v>
      </c>
      <c r="U37" s="315">
        <f t="shared" si="9"/>
        <v>1.8150000000000004</v>
      </c>
      <c r="V37" s="457">
        <f t="shared" si="18"/>
        <v>1.9924493603860113E-2</v>
      </c>
      <c r="W37" s="300">
        <f t="shared" si="7"/>
        <v>1.7578952512119755E-2</v>
      </c>
      <c r="X37"/>
      <c r="Y37"/>
      <c r="Z37"/>
      <c r="AA37"/>
      <c r="AB37"/>
      <c r="AC37"/>
    </row>
    <row r="38" spans="1:29" ht="12.75">
      <c r="A38" s="298" t="s">
        <v>164</v>
      </c>
      <c r="B38" s="298" t="s">
        <v>21</v>
      </c>
      <c r="C38" s="441">
        <f>5.5*0.1</f>
        <v>0.55000000000000004</v>
      </c>
      <c r="D38" s="314" t="s">
        <v>519</v>
      </c>
      <c r="E38" s="325"/>
      <c r="F38" s="315"/>
      <c r="H38" s="315"/>
      <c r="I38" s="315"/>
      <c r="J38" s="320">
        <f t="shared" si="11"/>
        <v>990.99000000000024</v>
      </c>
      <c r="K38" s="320">
        <f>K$11*5.5*CMF*0.1</f>
        <v>990.99000000000024</v>
      </c>
      <c r="L38" s="315">
        <f t="shared" si="12"/>
        <v>0.60500000000000009</v>
      </c>
      <c r="M38" s="320">
        <f t="shared" si="13"/>
        <v>44256.960000000006</v>
      </c>
      <c r="N38" s="320">
        <f>N$11*5.5*CMF*0.1</f>
        <v>614.68000000000006</v>
      </c>
      <c r="O38" s="315">
        <f t="shared" si="14"/>
        <v>0.60500000000000009</v>
      </c>
      <c r="P38" s="320">
        <f t="shared" si="15"/>
        <v>44765.765000000007</v>
      </c>
      <c r="Q38" s="320">
        <f>Q$11*5.5*CMF*0.1</f>
        <v>733.86500000000012</v>
      </c>
      <c r="R38" s="315">
        <f t="shared" si="16"/>
        <v>0.60500000000000009</v>
      </c>
      <c r="S38" s="321">
        <f t="shared" si="10"/>
        <v>89022.725000000006</v>
      </c>
      <c r="T38" s="322">
        <f t="shared" si="17"/>
        <v>669.3437969924812</v>
      </c>
      <c r="U38" s="315">
        <f t="shared" si="9"/>
        <v>0.60500000000000009</v>
      </c>
      <c r="V38" s="457">
        <f t="shared" si="18"/>
        <v>6.6414978679533703E-3</v>
      </c>
      <c r="W38" s="300">
        <f t="shared" si="7"/>
        <v>5.8596508373732507E-3</v>
      </c>
      <c r="X38"/>
      <c r="Y38"/>
      <c r="Z38"/>
      <c r="AA38"/>
      <c r="AB38"/>
      <c r="AC38"/>
    </row>
    <row r="39" spans="1:29" ht="12.75">
      <c r="A39" s="298" t="s">
        <v>165</v>
      </c>
      <c r="B39" s="298" t="s">
        <v>22</v>
      </c>
      <c r="C39" s="441">
        <f>5.5*0.3</f>
        <v>1.65</v>
      </c>
      <c r="D39" s="314" t="s">
        <v>519</v>
      </c>
      <c r="E39" s="298"/>
      <c r="F39" s="315"/>
      <c r="H39" s="315"/>
      <c r="I39" s="315"/>
      <c r="J39" s="320">
        <f t="shared" si="11"/>
        <v>1560.8092500000002</v>
      </c>
      <c r="K39" s="320">
        <f>K$11*5.5*CMF*0.3*0.525</f>
        <v>1560.8092500000002</v>
      </c>
      <c r="L39" s="315">
        <f t="shared" si="12"/>
        <v>0.95287500000000014</v>
      </c>
      <c r="M39" s="320">
        <f t="shared" si="13"/>
        <v>69704.712</v>
      </c>
      <c r="N39" s="320">
        <f>N$11*5.5*CMF*0.3*0.525</f>
        <v>968.12099999999998</v>
      </c>
      <c r="O39" s="315">
        <f t="shared" si="14"/>
        <v>0.95287500000000003</v>
      </c>
      <c r="P39" s="320">
        <f t="shared" si="15"/>
        <v>70506.079875000025</v>
      </c>
      <c r="Q39" s="320">
        <f>Q$11*5.5*CMF*0.3*0.525</f>
        <v>1155.8373750000003</v>
      </c>
      <c r="R39" s="315">
        <f t="shared" si="16"/>
        <v>0.95287500000000025</v>
      </c>
      <c r="S39" s="321">
        <f>(P39+M39)*0.3</f>
        <v>42063.237562500006</v>
      </c>
      <c r="T39" s="322">
        <f t="shared" si="17"/>
        <v>316.26494407894739</v>
      </c>
      <c r="U39" s="315">
        <f t="shared" si="9"/>
        <v>0.28586250000000002</v>
      </c>
      <c r="V39" s="457">
        <f t="shared" si="18"/>
        <v>3.1381077426079675E-3</v>
      </c>
      <c r="W39" s="300">
        <f t="shared" si="7"/>
        <v>2.7686850206588612E-3</v>
      </c>
      <c r="X39"/>
      <c r="Y39"/>
      <c r="Z39"/>
      <c r="AA39"/>
      <c r="AB39"/>
      <c r="AC39"/>
    </row>
    <row r="40" spans="1:29" ht="12.75">
      <c r="A40" s="298" t="s">
        <v>166</v>
      </c>
      <c r="B40" s="298" t="s">
        <v>23</v>
      </c>
      <c r="C40" s="320">
        <f>(120+80+70+40)</f>
        <v>310</v>
      </c>
      <c r="D40" s="314" t="s">
        <v>524</v>
      </c>
      <c r="E40" s="319"/>
      <c r="F40" s="315"/>
      <c r="H40" s="315"/>
      <c r="I40" s="315"/>
      <c r="J40" s="320">
        <f>(120+4*80+70+4*40)*CMF</f>
        <v>737.00000000000011</v>
      </c>
      <c r="K40" s="320">
        <f>(120+80+70+40)*CMF</f>
        <v>341</v>
      </c>
      <c r="L40" s="315">
        <f t="shared" si="12"/>
        <v>0.20818070818070819</v>
      </c>
      <c r="M40" s="320">
        <f t="shared" si="13"/>
        <v>53064.000000000007</v>
      </c>
      <c r="N40" s="320">
        <f>(120+4*80+70+4*40)*CMF</f>
        <v>737.00000000000011</v>
      </c>
      <c r="O40" s="315">
        <f t="shared" si="14"/>
        <v>0.72539370078740173</v>
      </c>
      <c r="P40" s="320">
        <f t="shared" si="15"/>
        <v>44957.000000000007</v>
      </c>
      <c r="Q40" s="320">
        <f>(120+4*80+70+4*40)*CMF</f>
        <v>737.00000000000011</v>
      </c>
      <c r="R40" s="315">
        <f t="shared" si="16"/>
        <v>0.60758450123660357</v>
      </c>
      <c r="S40" s="321">
        <f t="shared" si="10"/>
        <v>98021.000000000015</v>
      </c>
      <c r="T40" s="322">
        <f t="shared" si="17"/>
        <v>737.00000000000011</v>
      </c>
      <c r="U40" s="315">
        <f t="shared" si="9"/>
        <v>0.66615243467328156</v>
      </c>
      <c r="V40" s="457">
        <f t="shared" si="18"/>
        <v>7.3128098753959441E-3</v>
      </c>
      <c r="W40" s="300">
        <f t="shared" si="7"/>
        <v>6.4519349944653281E-3</v>
      </c>
      <c r="X40"/>
      <c r="Y40"/>
      <c r="Z40"/>
      <c r="AA40"/>
      <c r="AB40"/>
      <c r="AC40"/>
    </row>
    <row r="41" spans="1:29" ht="12.75">
      <c r="A41" s="298" t="s">
        <v>164</v>
      </c>
      <c r="B41" s="298" t="s">
        <v>24</v>
      </c>
      <c r="C41" s="326">
        <f>((75+46+13)*2+180+70)</f>
        <v>518</v>
      </c>
      <c r="D41" s="314" t="s">
        <v>524</v>
      </c>
      <c r="E41" s="319"/>
      <c r="F41" s="315"/>
      <c r="H41" s="315"/>
      <c r="I41" s="315"/>
      <c r="J41" s="320">
        <f t="shared" si="11"/>
        <v>569.80000000000007</v>
      </c>
      <c r="K41" s="326">
        <f>((75+46+13)*2+180+70)*CMF</f>
        <v>569.80000000000007</v>
      </c>
      <c r="L41" s="315">
        <f t="shared" si="12"/>
        <v>0.3478632478632479</v>
      </c>
      <c r="M41" s="320">
        <f t="shared" si="13"/>
        <v>41025.600000000006</v>
      </c>
      <c r="N41" s="326">
        <f>((75+46+13)*2+180+70)*CMF</f>
        <v>569.80000000000007</v>
      </c>
      <c r="O41" s="315">
        <f t="shared" si="14"/>
        <v>0.56082677165354333</v>
      </c>
      <c r="P41" s="320">
        <f t="shared" si="15"/>
        <v>34757.800000000003</v>
      </c>
      <c r="Q41" s="326">
        <f>((75+46+13)*2+180+70)*CMF</f>
        <v>569.80000000000007</v>
      </c>
      <c r="R41" s="315">
        <f t="shared" si="16"/>
        <v>0.46974443528441884</v>
      </c>
      <c r="S41" s="321">
        <f t="shared" si="10"/>
        <v>75783.400000000009</v>
      </c>
      <c r="T41" s="322">
        <f t="shared" si="17"/>
        <v>569.80000000000007</v>
      </c>
      <c r="U41" s="315">
        <f t="shared" si="9"/>
        <v>0.51502531516531314</v>
      </c>
      <c r="V41" s="457">
        <f t="shared" si="18"/>
        <v>5.6537843514255209E-3</v>
      </c>
      <c r="W41" s="300">
        <f t="shared" si="7"/>
        <v>4.9882124285567757E-3</v>
      </c>
      <c r="X41"/>
      <c r="Y41"/>
      <c r="Z41"/>
      <c r="AA41"/>
      <c r="AB41"/>
      <c r="AC41"/>
    </row>
    <row r="42" spans="1:29" ht="12.75">
      <c r="A42" s="298"/>
      <c r="B42" s="323" t="s">
        <v>218</v>
      </c>
      <c r="C42" s="441" t="s">
        <v>533</v>
      </c>
      <c r="D42" s="314"/>
      <c r="E42" s="314"/>
      <c r="F42" s="315"/>
      <c r="H42" s="315"/>
      <c r="I42" s="315"/>
      <c r="J42" s="320"/>
      <c r="K42" s="324"/>
      <c r="L42" s="315"/>
      <c r="M42" s="320"/>
      <c r="N42" s="458"/>
      <c r="O42" s="315"/>
      <c r="P42" s="320"/>
      <c r="Q42" s="320"/>
      <c r="R42" s="315"/>
      <c r="S42" s="321">
        <f t="shared" si="10"/>
        <v>0</v>
      </c>
      <c r="T42" s="322"/>
      <c r="U42" s="315">
        <f t="shared" si="9"/>
        <v>0</v>
      </c>
      <c r="V42" s="300"/>
      <c r="W42" s="300"/>
      <c r="X42"/>
      <c r="Y42"/>
      <c r="Z42"/>
      <c r="AA42"/>
      <c r="AB42"/>
      <c r="AC42"/>
    </row>
    <row r="43" spans="1:29" ht="12.75">
      <c r="A43" s="298" t="s">
        <v>219</v>
      </c>
      <c r="B43" s="298" t="s">
        <v>26</v>
      </c>
      <c r="C43" s="445">
        <v>2</v>
      </c>
      <c r="D43" s="319" t="s">
        <v>519</v>
      </c>
      <c r="E43" s="319"/>
      <c r="F43" s="366"/>
      <c r="G43" s="51"/>
      <c r="H43" s="366"/>
      <c r="I43" s="315"/>
      <c r="J43" s="320">
        <f>K43*J$8</f>
        <v>900</v>
      </c>
      <c r="K43" s="320">
        <f>(26-8+15+26-14)*10*$C43</f>
        <v>900</v>
      </c>
      <c r="L43" s="315">
        <f>+K43/K$11</f>
        <v>0.5494505494505495</v>
      </c>
      <c r="M43" s="320">
        <f>N43*N$8</f>
        <v>43200</v>
      </c>
      <c r="N43" s="320">
        <f>15*20*$C43</f>
        <v>600</v>
      </c>
      <c r="O43" s="315">
        <f>+N43/N$11</f>
        <v>0.59055118110236215</v>
      </c>
      <c r="P43" s="320">
        <f>Q43*Q$8</f>
        <v>54900</v>
      </c>
      <c r="Q43" s="320">
        <f>(26-8+15+26-14)*10*$C43</f>
        <v>900</v>
      </c>
      <c r="R43" s="315">
        <f>+Q43/Q$11</f>
        <v>0.74196207749381693</v>
      </c>
      <c r="S43" s="321">
        <f t="shared" si="10"/>
        <v>98100</v>
      </c>
      <c r="T43" s="322">
        <f>+S43/S$8</f>
        <v>737.59398496240601</v>
      </c>
      <c r="U43" s="315">
        <f t="shared" si="9"/>
        <v>0.66668932005844572</v>
      </c>
      <c r="V43" s="457">
        <f>+S43/TotalCost</f>
        <v>7.3187036326536354E-3</v>
      </c>
      <c r="W43" s="300">
        <f t="shared" si="7"/>
        <v>6.4571349298318589E-3</v>
      </c>
      <c r="X43"/>
      <c r="Y43"/>
      <c r="Z43"/>
      <c r="AA43"/>
      <c r="AB43"/>
      <c r="AC43"/>
    </row>
    <row r="44" spans="1:29" ht="12.75">
      <c r="A44" s="298" t="s">
        <v>219</v>
      </c>
      <c r="B44" s="298" t="s">
        <v>27</v>
      </c>
      <c r="C44" s="445">
        <v>3.5</v>
      </c>
      <c r="D44" s="319" t="s">
        <v>519</v>
      </c>
      <c r="E44" s="319"/>
      <c r="F44" s="366"/>
      <c r="G44" s="51"/>
      <c r="H44" s="366"/>
      <c r="I44" s="315"/>
      <c r="J44" s="320">
        <f>K44*J$8</f>
        <v>1575</v>
      </c>
      <c r="K44" s="320">
        <f>(26-8+15+26-14)*10*$C44</f>
        <v>1575</v>
      </c>
      <c r="L44" s="315">
        <f>+K44/K$11</f>
        <v>0.96153846153846156</v>
      </c>
      <c r="M44" s="320">
        <f>N44*N$8</f>
        <v>75600</v>
      </c>
      <c r="N44" s="320">
        <f>15*20*$C44</f>
        <v>1050</v>
      </c>
      <c r="O44" s="315">
        <f>+N44/N$11</f>
        <v>1.0334645669291338</v>
      </c>
      <c r="P44" s="320">
        <f>Q44*Q$8</f>
        <v>96075</v>
      </c>
      <c r="Q44" s="320">
        <f>(26-8+15+26-14)*10*$C44</f>
        <v>1575</v>
      </c>
      <c r="R44" s="315">
        <f>+Q44/Q$11</f>
        <v>1.2984336356141797</v>
      </c>
      <c r="S44" s="321">
        <f t="shared" si="10"/>
        <v>171675</v>
      </c>
      <c r="T44" s="322">
        <f>+S44/S$8</f>
        <v>1290.7894736842106</v>
      </c>
      <c r="U44" s="315">
        <f t="shared" si="9"/>
        <v>1.1667063101022801</v>
      </c>
      <c r="V44" s="457">
        <f>+S44/TotalCost</f>
        <v>1.2807731357143862E-2</v>
      </c>
      <c r="W44" s="300">
        <f t="shared" si="7"/>
        <v>1.1299986127205753E-2</v>
      </c>
      <c r="X44"/>
      <c r="Y44"/>
      <c r="Z44"/>
      <c r="AA44"/>
      <c r="AB44"/>
      <c r="AC44"/>
    </row>
    <row r="45" spans="1:29" ht="12.75">
      <c r="A45" s="298"/>
      <c r="B45" s="307" t="s">
        <v>25</v>
      </c>
      <c r="C45" s="438"/>
      <c r="D45" s="314"/>
      <c r="E45" s="314"/>
      <c r="F45" s="315"/>
      <c r="H45" s="315"/>
      <c r="I45" s="315"/>
      <c r="J45" s="320"/>
      <c r="K45" s="320"/>
      <c r="L45" s="315"/>
      <c r="M45" s="320"/>
      <c r="N45" s="320"/>
      <c r="O45" s="315"/>
      <c r="P45" s="320"/>
      <c r="Q45" s="320"/>
      <c r="R45" s="315"/>
      <c r="S45" s="321"/>
      <c r="T45" s="322"/>
      <c r="U45" s="315"/>
      <c r="V45" s="300"/>
      <c r="W45" s="300"/>
      <c r="X45"/>
      <c r="Y45"/>
      <c r="Z45"/>
      <c r="AA45"/>
      <c r="AB45"/>
      <c r="AC45"/>
    </row>
    <row r="46" spans="1:29" ht="14.45" customHeight="1">
      <c r="A46" s="298" t="s">
        <v>167</v>
      </c>
      <c r="B46" s="299" t="s">
        <v>26</v>
      </c>
      <c r="C46" s="438">
        <v>23.5</v>
      </c>
      <c r="D46" s="314" t="s">
        <v>531</v>
      </c>
      <c r="E46" s="314"/>
      <c r="F46" s="315"/>
      <c r="H46" s="315"/>
      <c r="I46" s="315"/>
      <c r="J46" s="320">
        <f>K46*J$8</f>
        <v>689.57460000000003</v>
      </c>
      <c r="K46" s="320">
        <f>((L$11*1.2)/100*23.5)*CMF</f>
        <v>689.57460000000003</v>
      </c>
      <c r="L46" s="315">
        <f>+K46/K$11</f>
        <v>0.4209857142857143</v>
      </c>
      <c r="M46" s="320">
        <f>N46*N$8</f>
        <v>22691.750400000001</v>
      </c>
      <c r="N46" s="320">
        <f>((O$11*1.2)/100*23.5)*CMF</f>
        <v>315.16320000000002</v>
      </c>
      <c r="O46" s="315">
        <f>+N46/N$11</f>
        <v>0.31020000000000003</v>
      </c>
      <c r="P46" s="320">
        <f>Q46*Q$8</f>
        <v>28496.833200000005</v>
      </c>
      <c r="Q46" s="320">
        <f>((R$11*1.2)/100*23.5)*CMF</f>
        <v>467.16120000000006</v>
      </c>
      <c r="R46" s="315">
        <f>+Q46/Q$11</f>
        <v>0.38512877164056064</v>
      </c>
      <c r="S46" s="321">
        <f t="shared" si="10"/>
        <v>51188.583600000005</v>
      </c>
      <c r="T46" s="322">
        <f>+S46/S$8</f>
        <v>384.8765684210527</v>
      </c>
      <c r="U46" s="315">
        <f t="shared" si="9"/>
        <v>0.34787851167216016</v>
      </c>
      <c r="V46" s="457">
        <f>+S46/TotalCost</f>
        <v>3.8188998240949474E-3</v>
      </c>
      <c r="W46" s="300">
        <f t="shared" si="7"/>
        <v>3.3693332433453443E-3</v>
      </c>
      <c r="X46"/>
      <c r="Y46"/>
      <c r="Z46"/>
      <c r="AA46"/>
      <c r="AB46"/>
      <c r="AC46"/>
    </row>
    <row r="47" spans="1:29" ht="12.75">
      <c r="A47" s="298" t="s">
        <v>167</v>
      </c>
      <c r="B47" s="299" t="s">
        <v>27</v>
      </c>
      <c r="C47" s="438">
        <v>21</v>
      </c>
      <c r="D47" s="314" t="s">
        <v>531</v>
      </c>
      <c r="E47" s="314"/>
      <c r="F47" s="315"/>
      <c r="H47" s="315"/>
      <c r="I47" s="315"/>
      <c r="J47" s="320">
        <f>K47*J$8</f>
        <v>616.21559999999999</v>
      </c>
      <c r="K47" s="320">
        <f>((L$11*1.2)/100*21)*CMF</f>
        <v>616.21559999999999</v>
      </c>
      <c r="L47" s="315">
        <f>+K47/K$11</f>
        <v>0.37619999999999998</v>
      </c>
      <c r="M47" s="320">
        <f>N47*N$8</f>
        <v>20277.734400000001</v>
      </c>
      <c r="N47" s="320">
        <f>((O$11*1.2)/100*21)*CMF</f>
        <v>281.6352</v>
      </c>
      <c r="O47" s="315">
        <f>+N47/N$11</f>
        <v>0.2772</v>
      </c>
      <c r="P47" s="320">
        <f>Q47*Q$8</f>
        <v>25465.255200000003</v>
      </c>
      <c r="Q47" s="320">
        <f>((R$11*1.2)/100*21)*CMF</f>
        <v>417.46320000000003</v>
      </c>
      <c r="R47" s="315">
        <f>+Q47/Q$11</f>
        <v>0.34415762572135206</v>
      </c>
      <c r="S47" s="321">
        <f t="shared" si="10"/>
        <v>45742.989600000001</v>
      </c>
      <c r="T47" s="322">
        <f>+S47/S$8</f>
        <v>343.93225263157893</v>
      </c>
      <c r="U47" s="315">
        <f t="shared" si="9"/>
        <v>0.31087015936661117</v>
      </c>
      <c r="V47" s="457">
        <f>+S47/TotalCost</f>
        <v>3.4126338853614421E-3</v>
      </c>
      <c r="W47" s="300">
        <f t="shared" si="7"/>
        <v>3.0108935366064777E-3</v>
      </c>
      <c r="X47"/>
      <c r="Y47"/>
      <c r="Z47"/>
      <c r="AA47"/>
      <c r="AB47"/>
      <c r="AC47"/>
    </row>
    <row r="48" spans="1:29" ht="12.75">
      <c r="A48" s="298"/>
      <c r="B48" s="307" t="s">
        <v>28</v>
      </c>
      <c r="C48" s="438">
        <v>2.25</v>
      </c>
      <c r="D48" s="314" t="s">
        <v>519</v>
      </c>
      <c r="E48" s="314"/>
      <c r="F48" s="315"/>
      <c r="H48" s="315"/>
      <c r="I48" s="315"/>
      <c r="J48" s="320"/>
      <c r="K48" s="320"/>
      <c r="L48" s="315"/>
      <c r="M48" s="320"/>
      <c r="N48" s="320"/>
      <c r="O48" s="315"/>
      <c r="P48" s="320"/>
      <c r="Q48" s="320"/>
      <c r="R48" s="315"/>
      <c r="S48" s="321"/>
      <c r="T48" s="322"/>
      <c r="U48" s="315"/>
      <c r="V48" s="300"/>
      <c r="W48" s="300"/>
      <c r="X48"/>
      <c r="Y48"/>
      <c r="Z48"/>
      <c r="AA48"/>
      <c r="AB48"/>
      <c r="AC48"/>
    </row>
    <row r="49" spans="1:29" ht="12.75">
      <c r="A49" s="298" t="s">
        <v>168</v>
      </c>
      <c r="B49" s="299" t="s">
        <v>29</v>
      </c>
      <c r="C49" s="443">
        <v>10000</v>
      </c>
      <c r="D49" s="314" t="s">
        <v>524</v>
      </c>
      <c r="E49" s="314"/>
      <c r="F49" s="315"/>
      <c r="H49" s="315"/>
      <c r="I49" s="315"/>
      <c r="J49" s="320">
        <f>K49*J$8</f>
        <v>82.706766917293237</v>
      </c>
      <c r="K49" s="320">
        <f>10000/SM134Units*CMF</f>
        <v>82.706766917293237</v>
      </c>
      <c r="L49" s="315">
        <f>+K49/K$11</f>
        <v>5.0492531695539217E-2</v>
      </c>
      <c r="M49" s="320">
        <f>N49*N$8</f>
        <v>5954.8872180451126</v>
      </c>
      <c r="N49" s="320">
        <f>10000/SM134Units*CMF</f>
        <v>82.706766917293237</v>
      </c>
      <c r="O49" s="315">
        <f>+N49/N$11</f>
        <v>8.1404298146942167E-2</v>
      </c>
      <c r="P49" s="320">
        <f>Q49*Q$8</f>
        <v>5045.1127819548874</v>
      </c>
      <c r="Q49" s="320">
        <f>10000/SM134Units*CMF</f>
        <v>82.706766917293237</v>
      </c>
      <c r="R49" s="315">
        <f>+Q49/Q$11</f>
        <v>6.8183649560835322E-2</v>
      </c>
      <c r="S49" s="321">
        <f t="shared" si="10"/>
        <v>11000</v>
      </c>
      <c r="T49" s="322">
        <f>+S49/S$8</f>
        <v>82.706766917293237</v>
      </c>
      <c r="U49" s="315">
        <f t="shared" si="9"/>
        <v>7.4756192870977609E-2</v>
      </c>
      <c r="V49" s="457">
        <f>+S49/TotalCost</f>
        <v>8.2064974474199779E-4</v>
      </c>
      <c r="W49" s="300">
        <f t="shared" si="7"/>
        <v>7.2404163331447956E-4</v>
      </c>
      <c r="X49"/>
      <c r="Y49"/>
      <c r="Z49"/>
      <c r="AA49"/>
      <c r="AB49"/>
      <c r="AC49"/>
    </row>
    <row r="50" spans="1:29" ht="12.75">
      <c r="A50" s="298" t="s">
        <v>168</v>
      </c>
      <c r="B50" s="299" t="s">
        <v>10</v>
      </c>
      <c r="C50" s="442">
        <v>0.6</v>
      </c>
      <c r="D50" s="314"/>
      <c r="E50" s="314"/>
      <c r="F50" s="315"/>
      <c r="H50" s="315"/>
      <c r="I50" s="315"/>
      <c r="J50" s="320">
        <f>K50*J$8</f>
        <v>2432.4300000000003</v>
      </c>
      <c r="K50" s="320">
        <f>2.25*CMF*60%*K$11</f>
        <v>2432.4300000000003</v>
      </c>
      <c r="L50" s="315">
        <f>+K50/K$11</f>
        <v>1.4850000000000001</v>
      </c>
      <c r="M50" s="320">
        <f>N50*N$8</f>
        <v>108630.72</v>
      </c>
      <c r="N50" s="320">
        <f>2.25*CMF*60%*N$11</f>
        <v>1508.76</v>
      </c>
      <c r="O50" s="315">
        <f>+N50/N$11</f>
        <v>1.4850000000000001</v>
      </c>
      <c r="P50" s="320">
        <f>Q50*Q$8</f>
        <v>109879.60500000001</v>
      </c>
      <c r="Q50" s="320">
        <f>2.25*CMF*60%*Q$11</f>
        <v>1801.3050000000001</v>
      </c>
      <c r="R50" s="315">
        <f>+Q50/Q$11</f>
        <v>1.4850000000000001</v>
      </c>
      <c r="S50" s="321">
        <f t="shared" si="10"/>
        <v>218510.32500000001</v>
      </c>
      <c r="T50" s="322">
        <f>+S50/S$8</f>
        <v>1642.9347744360903</v>
      </c>
      <c r="U50" s="315">
        <f t="shared" si="9"/>
        <v>1.4850000000000001</v>
      </c>
      <c r="V50" s="457">
        <f>+S50/TotalCost</f>
        <v>1.6301858403158273E-2</v>
      </c>
      <c r="W50" s="300">
        <f t="shared" si="7"/>
        <v>1.4382779328097979E-2</v>
      </c>
      <c r="X50"/>
      <c r="Y50"/>
      <c r="Z50"/>
      <c r="AA50"/>
      <c r="AB50"/>
      <c r="AC50"/>
    </row>
    <row r="51" spans="1:29" ht="12.75">
      <c r="A51" s="298" t="s">
        <v>158</v>
      </c>
      <c r="B51" s="327" t="s">
        <v>30</v>
      </c>
      <c r="C51" s="442">
        <v>0.4</v>
      </c>
      <c r="D51" s="314"/>
      <c r="E51" s="314"/>
      <c r="F51" s="315"/>
      <c r="H51" s="315"/>
      <c r="I51" s="315"/>
      <c r="J51" s="320">
        <f>K51*J$8</f>
        <v>1621.6200000000001</v>
      </c>
      <c r="K51" s="320">
        <f>2.25*CMF*40%*K$11</f>
        <v>1621.6200000000001</v>
      </c>
      <c r="L51" s="315">
        <f>+K51/K$11</f>
        <v>0.9900000000000001</v>
      </c>
      <c r="M51" s="320">
        <f>N51*N$8</f>
        <v>72420.48000000001</v>
      </c>
      <c r="N51" s="320">
        <f>2.25*CMF*40%*N$11</f>
        <v>1005.8400000000001</v>
      </c>
      <c r="O51" s="315">
        <f>+N51/N$11</f>
        <v>0.9900000000000001</v>
      </c>
      <c r="P51" s="320">
        <f>Q51*Q$8</f>
        <v>73253.070000000007</v>
      </c>
      <c r="Q51" s="320">
        <f>2.25*CMF*40%*Q$11</f>
        <v>1200.8700000000001</v>
      </c>
      <c r="R51" s="315">
        <f>+Q51/Q$11</f>
        <v>0.9900000000000001</v>
      </c>
      <c r="S51" s="321">
        <f t="shared" si="10"/>
        <v>145673.55000000002</v>
      </c>
      <c r="T51" s="322">
        <f>+S51/S$8</f>
        <v>1095.2898496240603</v>
      </c>
      <c r="U51" s="315">
        <f t="shared" si="9"/>
        <v>0.9900000000000001</v>
      </c>
      <c r="V51" s="457">
        <f>+S51/TotalCost</f>
        <v>1.0867905602105515E-2</v>
      </c>
      <c r="W51" s="300">
        <f t="shared" si="7"/>
        <v>9.588519552065319E-3</v>
      </c>
      <c r="X51"/>
      <c r="Y51"/>
      <c r="Z51"/>
      <c r="AA51"/>
      <c r="AB51"/>
      <c r="AC51"/>
    </row>
    <row r="52" spans="1:29" ht="12.75">
      <c r="A52" s="298"/>
      <c r="B52" s="307" t="s">
        <v>31</v>
      </c>
      <c r="C52" s="438">
        <v>200</v>
      </c>
      <c r="D52" s="314" t="s">
        <v>340</v>
      </c>
      <c r="E52" s="299"/>
      <c r="F52" s="315"/>
      <c r="H52" s="315"/>
      <c r="I52" s="315"/>
      <c r="J52" s="320">
        <f>K52*J$8</f>
        <v>220.00000000000003</v>
      </c>
      <c r="K52" s="320">
        <f>200*CMF</f>
        <v>220.00000000000003</v>
      </c>
      <c r="L52" s="315">
        <f>+K52/K$11</f>
        <v>0.13431013431013433</v>
      </c>
      <c r="M52" s="320">
        <f>N52*N$8</f>
        <v>15840.000000000002</v>
      </c>
      <c r="N52" s="320">
        <f>200*CMF</f>
        <v>220.00000000000003</v>
      </c>
      <c r="O52" s="315">
        <f>+N52/N$11</f>
        <v>0.21653543307086617</v>
      </c>
      <c r="P52" s="320">
        <f>Q52*Q$8</f>
        <v>13420.000000000002</v>
      </c>
      <c r="Q52" s="320">
        <f>200*CMF</f>
        <v>220.00000000000003</v>
      </c>
      <c r="R52" s="315">
        <f>+Q52/Q$11</f>
        <v>0.18136850783182196</v>
      </c>
      <c r="S52" s="321">
        <f>+P52+M52</f>
        <v>29260.000000000004</v>
      </c>
      <c r="T52" s="322">
        <f>+S52/S$8</f>
        <v>220.00000000000003</v>
      </c>
      <c r="U52" s="315">
        <f t="shared" si="9"/>
        <v>0.19885147303680045</v>
      </c>
      <c r="V52" s="457">
        <f>+S52/TotalCost</f>
        <v>2.1829283210137145E-3</v>
      </c>
      <c r="W52" s="300">
        <f t="shared" si="7"/>
        <v>1.9259507446165159E-3</v>
      </c>
      <c r="X52"/>
      <c r="Y52"/>
      <c r="Z52"/>
      <c r="AA52"/>
      <c r="AB52"/>
      <c r="AC52"/>
    </row>
    <row r="53" spans="1:29" ht="12.75">
      <c r="A53" s="298" t="s">
        <v>158</v>
      </c>
      <c r="B53" s="299" t="s">
        <v>10</v>
      </c>
      <c r="C53" s="438"/>
      <c r="D53" s="314"/>
      <c r="E53" s="314"/>
      <c r="F53" s="315"/>
      <c r="H53" s="315"/>
      <c r="I53" s="315"/>
      <c r="J53" s="320"/>
      <c r="K53" s="320"/>
      <c r="L53" s="315"/>
      <c r="M53" s="320"/>
      <c r="N53" s="320"/>
      <c r="O53" s="315"/>
      <c r="P53" s="320"/>
      <c r="Q53" s="320"/>
      <c r="R53" s="315"/>
      <c r="S53" s="321"/>
      <c r="T53" s="322"/>
      <c r="U53" s="315"/>
      <c r="V53" s="300"/>
      <c r="W53" s="300"/>
      <c r="X53"/>
      <c r="Y53"/>
      <c r="Z53"/>
      <c r="AA53"/>
      <c r="AB53"/>
      <c r="AC53"/>
    </row>
    <row r="54" spans="1:29" ht="12.75">
      <c r="A54" s="298" t="s">
        <v>158</v>
      </c>
      <c r="B54" s="299" t="s">
        <v>30</v>
      </c>
      <c r="C54" s="438"/>
      <c r="D54" s="314"/>
      <c r="E54" s="314"/>
      <c r="F54" s="315"/>
      <c r="H54" s="315"/>
      <c r="I54" s="315"/>
      <c r="J54" s="320"/>
      <c r="K54" s="320"/>
      <c r="L54" s="315"/>
      <c r="M54" s="320"/>
      <c r="N54" s="320"/>
      <c r="O54" s="315"/>
      <c r="P54" s="320"/>
      <c r="Q54" s="320"/>
      <c r="R54" s="315"/>
      <c r="S54" s="321"/>
      <c r="T54" s="322"/>
      <c r="U54" s="315"/>
      <c r="V54" s="300"/>
      <c r="W54" s="300"/>
      <c r="X54"/>
      <c r="Y54"/>
      <c r="Z54"/>
      <c r="AA54"/>
      <c r="AB54"/>
      <c r="AC54"/>
    </row>
    <row r="55" spans="1:29" ht="12.75">
      <c r="A55" s="298"/>
      <c r="B55" s="307" t="s">
        <v>32</v>
      </c>
      <c r="C55" s="438"/>
      <c r="D55" s="314"/>
      <c r="E55" s="314"/>
      <c r="F55" s="315"/>
      <c r="H55" s="315"/>
      <c r="I55" s="315"/>
      <c r="J55" s="324"/>
      <c r="K55" s="324"/>
      <c r="L55" s="315"/>
      <c r="M55" s="320"/>
      <c r="N55" s="320"/>
      <c r="O55" s="315"/>
      <c r="P55" s="320"/>
      <c r="Q55" s="320"/>
      <c r="R55" s="315"/>
      <c r="S55" s="321"/>
      <c r="T55" s="322"/>
      <c r="U55" s="315"/>
      <c r="V55" s="300"/>
      <c r="W55" s="300"/>
      <c r="X55"/>
      <c r="Y55"/>
      <c r="Z55"/>
      <c r="AA55"/>
      <c r="AB55"/>
      <c r="AC55"/>
    </row>
    <row r="56" spans="1:29" ht="12.75">
      <c r="A56" s="298" t="s">
        <v>169</v>
      </c>
      <c r="B56" s="299" t="s">
        <v>10</v>
      </c>
      <c r="C56" s="438">
        <v>1.17</v>
      </c>
      <c r="D56" s="314" t="s">
        <v>519</v>
      </c>
      <c r="E56" s="314"/>
      <c r="F56" s="315"/>
      <c r="H56" s="315"/>
      <c r="I56" s="315"/>
      <c r="J56" s="320">
        <f>K56*J$8</f>
        <v>2108.1059999999998</v>
      </c>
      <c r="K56" s="320">
        <f>1.17*K$11*CMF</f>
        <v>2108.1059999999998</v>
      </c>
      <c r="L56" s="315">
        <f>+K56/K$11</f>
        <v>1.2869999999999999</v>
      </c>
      <c r="M56" s="320">
        <f>N56*N$8</f>
        <v>94146.624000000011</v>
      </c>
      <c r="N56" s="320">
        <f>1.17*N$11*CMF</f>
        <v>1307.5920000000001</v>
      </c>
      <c r="O56" s="315">
        <f>+N56/N$11</f>
        <v>1.2870000000000001</v>
      </c>
      <c r="P56" s="320">
        <f>Q56*Q$8</f>
        <v>95228.990999999995</v>
      </c>
      <c r="Q56" s="320">
        <f>1.17*Q$11*CMF</f>
        <v>1561.1309999999999</v>
      </c>
      <c r="R56" s="315">
        <f>+Q56/Q$11</f>
        <v>1.2869999999999999</v>
      </c>
      <c r="S56" s="321">
        <f t="shared" si="10"/>
        <v>189375.61499999999</v>
      </c>
      <c r="T56" s="322">
        <f>+S56/S$8</f>
        <v>1423.8768045112781</v>
      </c>
      <c r="U56" s="315">
        <f t="shared" si="9"/>
        <v>1.2869999999999999</v>
      </c>
      <c r="V56" s="457">
        <f>+S56/TotalCost</f>
        <v>1.4128277282737169E-2</v>
      </c>
      <c r="W56" s="300">
        <f t="shared" si="7"/>
        <v>1.2465075417684914E-2</v>
      </c>
      <c r="X56"/>
      <c r="Y56"/>
      <c r="Z56"/>
      <c r="AA56"/>
      <c r="AB56"/>
      <c r="AC56"/>
    </row>
    <row r="57" spans="1:29" ht="12.75">
      <c r="A57" s="298" t="s">
        <v>170</v>
      </c>
      <c r="B57" s="299" t="s">
        <v>33</v>
      </c>
      <c r="C57" s="438">
        <v>1.17</v>
      </c>
      <c r="D57" s="314" t="s">
        <v>519</v>
      </c>
      <c r="E57" s="314"/>
      <c r="F57" s="315"/>
      <c r="H57" s="315"/>
      <c r="I57" s="315"/>
      <c r="J57" s="320">
        <f>K57*J$8</f>
        <v>2108.1059999999998</v>
      </c>
      <c r="K57" s="320">
        <f>1.17*K$11*CMF</f>
        <v>2108.1059999999998</v>
      </c>
      <c r="L57" s="315">
        <f>+K57/K$11</f>
        <v>1.2869999999999999</v>
      </c>
      <c r="M57" s="320">
        <f>N57*N$8</f>
        <v>94146.624000000011</v>
      </c>
      <c r="N57" s="320">
        <f>1.17*N$11*CMF</f>
        <v>1307.5920000000001</v>
      </c>
      <c r="O57" s="315">
        <f>+N57/N$11</f>
        <v>1.2870000000000001</v>
      </c>
      <c r="P57" s="320">
        <f>Q57*Q$8</f>
        <v>95228.990999999995</v>
      </c>
      <c r="Q57" s="320">
        <f>1.17*Q$11*CMF</f>
        <v>1561.1309999999999</v>
      </c>
      <c r="R57" s="315">
        <f>+Q57/Q$11</f>
        <v>1.2869999999999999</v>
      </c>
      <c r="S57" s="321">
        <f t="shared" si="10"/>
        <v>189375.61499999999</v>
      </c>
      <c r="T57" s="322">
        <f>+S57/S$8</f>
        <v>1423.8768045112781</v>
      </c>
      <c r="U57" s="315">
        <f t="shared" si="9"/>
        <v>1.2869999999999999</v>
      </c>
      <c r="V57" s="457">
        <f>+S57/TotalCost</f>
        <v>1.4128277282737169E-2</v>
      </c>
      <c r="W57" s="300">
        <f t="shared" si="7"/>
        <v>1.2465075417684914E-2</v>
      </c>
      <c r="X57"/>
      <c r="Y57"/>
      <c r="Z57"/>
      <c r="AA57"/>
      <c r="AB57"/>
      <c r="AC57"/>
    </row>
    <row r="58" spans="1:29" ht="12.75">
      <c r="A58" s="298" t="s">
        <v>171</v>
      </c>
      <c r="B58" s="307" t="s">
        <v>34</v>
      </c>
      <c r="C58" s="440">
        <v>0.85</v>
      </c>
      <c r="D58" s="314" t="s">
        <v>519</v>
      </c>
      <c r="E58" s="314"/>
      <c r="F58" s="315"/>
      <c r="H58" s="315"/>
      <c r="I58" s="315"/>
      <c r="J58" s="320">
        <f>K58*J$8</f>
        <v>1531.53</v>
      </c>
      <c r="K58" s="320">
        <f>K$11*0.85*CMF</f>
        <v>1531.53</v>
      </c>
      <c r="L58" s="315">
        <f>+K58/K$11</f>
        <v>0.93499999999999994</v>
      </c>
      <c r="M58" s="320">
        <f>N58*N$8</f>
        <v>68397.12000000001</v>
      </c>
      <c r="N58" s="320">
        <f>N$11*0.85*CMF</f>
        <v>949.96000000000015</v>
      </c>
      <c r="O58" s="315">
        <f>+N58/N$11</f>
        <v>0.93500000000000016</v>
      </c>
      <c r="P58" s="320">
        <f>Q58*Q$8</f>
        <v>69183.455000000002</v>
      </c>
      <c r="Q58" s="320">
        <f>Q$11*0.85*CMF</f>
        <v>1134.155</v>
      </c>
      <c r="R58" s="315">
        <f>+Q58/Q$11</f>
        <v>0.93499999999999994</v>
      </c>
      <c r="S58" s="321">
        <f t="shared" si="10"/>
        <v>137580.57500000001</v>
      </c>
      <c r="T58" s="322">
        <f>+S58/S$8</f>
        <v>1034.4404135338348</v>
      </c>
      <c r="U58" s="315">
        <f t="shared" si="9"/>
        <v>0.93500000000000005</v>
      </c>
      <c r="V58" s="457">
        <f>+S58/TotalCost</f>
        <v>1.0264133068655208E-2</v>
      </c>
      <c r="W58" s="300">
        <f t="shared" si="7"/>
        <v>9.0558240213950234E-3</v>
      </c>
      <c r="X58"/>
      <c r="Y58"/>
      <c r="Z58"/>
      <c r="AA58"/>
      <c r="AB58"/>
      <c r="AC58"/>
    </row>
    <row r="59" spans="1:29" ht="12.75">
      <c r="A59" s="298" t="s">
        <v>172</v>
      </c>
      <c r="B59" s="307" t="s">
        <v>35</v>
      </c>
      <c r="C59" s="440">
        <v>3</v>
      </c>
      <c r="D59" s="314" t="s">
        <v>519</v>
      </c>
      <c r="E59" s="314"/>
      <c r="F59" s="315"/>
      <c r="H59" s="315"/>
      <c r="I59" s="315"/>
      <c r="J59" s="320"/>
      <c r="K59" s="324"/>
      <c r="L59" s="315"/>
      <c r="M59" s="320"/>
      <c r="N59" s="320"/>
      <c r="O59" s="315"/>
      <c r="P59" s="320"/>
      <c r="Q59" s="320"/>
      <c r="R59" s="315"/>
      <c r="S59" s="321"/>
      <c r="T59" s="322"/>
      <c r="U59" s="315"/>
      <c r="V59" s="300"/>
      <c r="W59" s="300"/>
      <c r="X59"/>
      <c r="Y59"/>
      <c r="Z59"/>
      <c r="AA59"/>
      <c r="AB59"/>
      <c r="AC59"/>
    </row>
    <row r="60" spans="1:29" ht="12.75">
      <c r="A60" s="298" t="s">
        <v>172</v>
      </c>
      <c r="B60" s="299" t="s">
        <v>36</v>
      </c>
      <c r="C60" s="442">
        <v>0.33</v>
      </c>
      <c r="D60" s="314"/>
      <c r="E60" s="314"/>
      <c r="F60" s="315"/>
      <c r="H60" s="315"/>
      <c r="I60" s="315"/>
      <c r="J60" s="320">
        <f>K60*J$8</f>
        <v>1783.7820000000004</v>
      </c>
      <c r="K60" s="320">
        <f>K$11*3*0.33*CMF</f>
        <v>1783.7820000000004</v>
      </c>
      <c r="L60" s="315">
        <f>+K60/K$11</f>
        <v>1.0890000000000002</v>
      </c>
      <c r="M60" s="448">
        <f>N60*N$8</f>
        <v>79662.52800000002</v>
      </c>
      <c r="N60" s="320">
        <f>N$11*3*0.33*CMF</f>
        <v>1106.4240000000002</v>
      </c>
      <c r="O60" s="315">
        <f>+N60/N$11</f>
        <v>1.0890000000000002</v>
      </c>
      <c r="P60" s="320">
        <f>Q60*Q$8</f>
        <v>80578.377000000022</v>
      </c>
      <c r="Q60" s="320">
        <f>Q$11*3*0.33*CMF</f>
        <v>1320.9570000000003</v>
      </c>
      <c r="R60" s="315">
        <f>+Q60/Q$11</f>
        <v>1.0890000000000002</v>
      </c>
      <c r="S60" s="321">
        <f t="shared" si="10"/>
        <v>160240.90500000003</v>
      </c>
      <c r="T60" s="322">
        <f>+S60/S$8</f>
        <v>1204.8188345864664</v>
      </c>
      <c r="U60" s="315">
        <f t="shared" si="9"/>
        <v>1.0890000000000002</v>
      </c>
      <c r="V60" s="457">
        <f>+S60/TotalCost</f>
        <v>1.1954696162316068E-2</v>
      </c>
      <c r="W60" s="300">
        <f t="shared" si="7"/>
        <v>1.0547371507271853E-2</v>
      </c>
      <c r="X60"/>
      <c r="Y60"/>
      <c r="Z60"/>
      <c r="AA60"/>
      <c r="AB60"/>
      <c r="AC60"/>
    </row>
    <row r="61" spans="1:29" ht="12.75">
      <c r="A61" s="298" t="s">
        <v>172</v>
      </c>
      <c r="B61" s="299" t="s">
        <v>72</v>
      </c>
      <c r="C61" s="442">
        <v>0.67</v>
      </c>
      <c r="D61" s="314"/>
      <c r="E61" s="314"/>
      <c r="F61" s="315"/>
      <c r="H61" s="315"/>
      <c r="I61" s="315"/>
      <c r="J61" s="320">
        <f>K61*J$8</f>
        <v>3621.6180000000004</v>
      </c>
      <c r="K61" s="320">
        <f>$K$11*3*0.67*CMF</f>
        <v>3621.6180000000004</v>
      </c>
      <c r="L61" s="315">
        <f>+K61/K$11</f>
        <v>2.2110000000000003</v>
      </c>
      <c r="M61" s="320">
        <f>N61*N$8</f>
        <v>161739.07200000001</v>
      </c>
      <c r="N61" s="320">
        <f>N$11*3*0.67*CMF</f>
        <v>2246.3760000000002</v>
      </c>
      <c r="O61" s="315">
        <f>+N61/N$11</f>
        <v>2.2110000000000003</v>
      </c>
      <c r="P61" s="320">
        <f>Q61*Q$8</f>
        <v>163598.52300000002</v>
      </c>
      <c r="Q61" s="320">
        <f>Q$11*3*0.67*CMF</f>
        <v>2681.9430000000002</v>
      </c>
      <c r="R61" s="315">
        <f>+Q61/Q$11</f>
        <v>2.2110000000000003</v>
      </c>
      <c r="S61" s="321">
        <f t="shared" si="10"/>
        <v>325337.59500000003</v>
      </c>
      <c r="T61" s="322">
        <f>+S61/S$8</f>
        <v>2446.1473308270679</v>
      </c>
      <c r="U61" s="315">
        <f t="shared" si="9"/>
        <v>2.2110000000000003</v>
      </c>
      <c r="V61" s="457">
        <f>+S61/TotalCost</f>
        <v>2.4271655844702318E-2</v>
      </c>
      <c r="W61" s="300">
        <f t="shared" si="7"/>
        <v>2.141436033294588E-2</v>
      </c>
      <c r="X61"/>
      <c r="Y61"/>
      <c r="Z61"/>
      <c r="AA61"/>
      <c r="AB61"/>
      <c r="AC61"/>
    </row>
    <row r="62" spans="1:29" ht="12.75">
      <c r="A62" s="298" t="s">
        <v>159</v>
      </c>
      <c r="B62" s="323" t="s">
        <v>37</v>
      </c>
      <c r="C62" s="20">
        <v>365</v>
      </c>
      <c r="D62" s="314" t="s">
        <v>522</v>
      </c>
      <c r="E62" s="441" t="s">
        <v>530</v>
      </c>
      <c r="F62" s="315"/>
      <c r="H62" s="315"/>
      <c r="I62" s="315"/>
      <c r="J62" s="320">
        <f>K62*J$8</f>
        <v>730</v>
      </c>
      <c r="K62" s="320">
        <f>365*2</f>
        <v>730</v>
      </c>
      <c r="L62" s="315">
        <f>+K62/K$11</f>
        <v>0.44566544566544569</v>
      </c>
      <c r="M62" s="320">
        <f>N62*N$8</f>
        <v>0</v>
      </c>
      <c r="N62" s="320">
        <v>0</v>
      </c>
      <c r="O62" s="315">
        <f>+N62/N$11</f>
        <v>0</v>
      </c>
      <c r="P62" s="320">
        <f>Q62*Q$8</f>
        <v>22265</v>
      </c>
      <c r="Q62" s="320">
        <v>365</v>
      </c>
      <c r="R62" s="315">
        <f>+Q62/Q$11</f>
        <v>0.30090684253915911</v>
      </c>
      <c r="S62" s="321">
        <f t="shared" si="10"/>
        <v>22265</v>
      </c>
      <c r="T62" s="322">
        <f>+S62/S$8</f>
        <v>167.40601503759399</v>
      </c>
      <c r="U62" s="315">
        <f t="shared" si="9"/>
        <v>0.1513133303883924</v>
      </c>
      <c r="V62" s="457">
        <f>+S62/TotalCost</f>
        <v>1.6610696878800529E-3</v>
      </c>
      <c r="W62" s="300">
        <f t="shared" si="7"/>
        <v>1.4655260877951715E-3</v>
      </c>
      <c r="X62"/>
      <c r="Y62"/>
      <c r="Z62"/>
      <c r="AA62"/>
      <c r="AB62"/>
      <c r="AC62"/>
    </row>
    <row r="63" spans="1:29" ht="12.75">
      <c r="A63" s="298"/>
      <c r="B63" s="323" t="s">
        <v>359</v>
      </c>
      <c r="C63" s="441" t="s">
        <v>529</v>
      </c>
      <c r="D63" s="314"/>
      <c r="E63" s="314"/>
      <c r="F63" s="315"/>
      <c r="H63" s="315"/>
      <c r="I63" s="315"/>
      <c r="J63" s="320">
        <f>K63*J$8</f>
        <v>500</v>
      </c>
      <c r="K63" s="320">
        <v>500</v>
      </c>
      <c r="L63" s="315">
        <f>+K63/K$11</f>
        <v>0.30525030525030528</v>
      </c>
      <c r="M63" s="320">
        <f>N63*N$8</f>
        <v>36000</v>
      </c>
      <c r="N63" s="320">
        <v>500</v>
      </c>
      <c r="O63" s="315">
        <f>+N63/N$11</f>
        <v>0.49212598425196852</v>
      </c>
      <c r="P63" s="320">
        <f>Q63*Q$8</f>
        <v>0</v>
      </c>
      <c r="Q63" s="320">
        <v>0</v>
      </c>
      <c r="R63" s="315">
        <f>+Q63/Q$11</f>
        <v>0</v>
      </c>
      <c r="S63" s="321">
        <f t="shared" si="10"/>
        <v>36000</v>
      </c>
      <c r="T63" s="322">
        <f>+S63/S$8</f>
        <v>270.6766917293233</v>
      </c>
      <c r="U63" s="315">
        <f t="shared" si="9"/>
        <v>0.24465663121410852</v>
      </c>
      <c r="V63" s="457">
        <f>+S63/TotalCost</f>
        <v>2.6857628009738111E-3</v>
      </c>
      <c r="W63" s="300">
        <f t="shared" si="7"/>
        <v>2.3695907999382966E-3</v>
      </c>
      <c r="X63"/>
      <c r="Y63"/>
      <c r="Z63"/>
      <c r="AA63"/>
      <c r="AB63"/>
      <c r="AC63"/>
    </row>
    <row r="64" spans="1:29" ht="12.75">
      <c r="A64" s="298" t="s">
        <v>159</v>
      </c>
      <c r="B64" s="307" t="s">
        <v>38</v>
      </c>
      <c r="C64" s="438"/>
      <c r="D64" s="314"/>
      <c r="E64" s="319"/>
      <c r="F64" s="315"/>
      <c r="H64" s="315"/>
      <c r="I64" s="315"/>
      <c r="J64" s="320"/>
      <c r="K64" s="320"/>
      <c r="L64" s="315"/>
      <c r="M64" s="320"/>
      <c r="N64" s="320"/>
      <c r="O64" s="315"/>
      <c r="P64" s="320"/>
      <c r="Q64" s="320"/>
      <c r="R64" s="315"/>
      <c r="S64" s="321"/>
      <c r="T64" s="322"/>
      <c r="U64" s="315"/>
      <c r="V64" s="300"/>
      <c r="W64" s="300"/>
      <c r="X64"/>
      <c r="Y64"/>
      <c r="Z64"/>
      <c r="AA64"/>
      <c r="AB64"/>
      <c r="AC64"/>
    </row>
    <row r="65" spans="1:30" ht="12.75">
      <c r="A65" s="298" t="s">
        <v>159</v>
      </c>
      <c r="B65" s="298" t="s">
        <v>39</v>
      </c>
      <c r="C65" s="438">
        <v>75</v>
      </c>
      <c r="D65" s="314" t="s">
        <v>522</v>
      </c>
      <c r="E65" s="314"/>
      <c r="F65" s="315"/>
      <c r="H65" s="315"/>
      <c r="I65" s="315"/>
      <c r="J65" s="320">
        <f>K65*J$8</f>
        <v>990.00000000000011</v>
      </c>
      <c r="K65" s="320">
        <f>12*75*CMF</f>
        <v>990.00000000000011</v>
      </c>
      <c r="L65" s="315">
        <f>+K65/K$11</f>
        <v>0.60439560439560447</v>
      </c>
      <c r="M65" s="320">
        <f>N65*N$8</f>
        <v>71280.000000000015</v>
      </c>
      <c r="N65" s="320">
        <f>12*75*CMF</f>
        <v>990.00000000000011</v>
      </c>
      <c r="O65" s="315">
        <f>+N65/N$11</f>
        <v>0.97440944881889779</v>
      </c>
      <c r="P65" s="320">
        <f>Q65*Q$8</f>
        <v>60390.000000000007</v>
      </c>
      <c r="Q65" s="320">
        <f>12*75*CMF</f>
        <v>990.00000000000011</v>
      </c>
      <c r="R65" s="315">
        <f>+Q65/Q$11</f>
        <v>0.81615828524319878</v>
      </c>
      <c r="S65" s="321">
        <f t="shared" si="10"/>
        <v>131670.00000000003</v>
      </c>
      <c r="T65" s="322">
        <f>+S65/S$8</f>
        <v>990.00000000000023</v>
      </c>
      <c r="U65" s="315">
        <f t="shared" si="9"/>
        <v>0.89483162866560217</v>
      </c>
      <c r="V65" s="457">
        <f>+S65/TotalCost</f>
        <v>9.8231774445617162E-3</v>
      </c>
      <c r="W65" s="300">
        <f t="shared" si="7"/>
        <v>8.6667783507743228E-3</v>
      </c>
      <c r="X65"/>
      <c r="Y65"/>
      <c r="Z65"/>
      <c r="AA65"/>
      <c r="AB65"/>
      <c r="AC65"/>
    </row>
    <row r="66" spans="1:30" ht="12.75">
      <c r="A66" s="298" t="s">
        <v>159</v>
      </c>
      <c r="B66" s="299" t="s">
        <v>40</v>
      </c>
      <c r="C66" s="438">
        <v>0.55000000000000004</v>
      </c>
      <c r="D66" s="314" t="s">
        <v>519</v>
      </c>
      <c r="E66" s="314"/>
      <c r="F66" s="315"/>
      <c r="H66" s="315"/>
      <c r="I66" s="315"/>
      <c r="J66" s="320">
        <f>K66*J$8</f>
        <v>990.99000000000024</v>
      </c>
      <c r="K66" s="320">
        <f>K$11*0.55*CMF</f>
        <v>990.99000000000024</v>
      </c>
      <c r="L66" s="315">
        <f>+K66/K$11</f>
        <v>0.60500000000000009</v>
      </c>
      <c r="M66" s="320">
        <f>N66*N$8</f>
        <v>44256.960000000014</v>
      </c>
      <c r="N66" s="320">
        <f>N$11*0.55*CMF</f>
        <v>614.68000000000018</v>
      </c>
      <c r="O66" s="315">
        <f>+N66/N$11</f>
        <v>0.6050000000000002</v>
      </c>
      <c r="P66" s="320">
        <f>Q66*Q$8</f>
        <v>44765.765000000007</v>
      </c>
      <c r="Q66" s="320">
        <f>Q$11*0.55*CMF</f>
        <v>733.86500000000012</v>
      </c>
      <c r="R66" s="315">
        <f>+Q66/Q$11</f>
        <v>0.60500000000000009</v>
      </c>
      <c r="S66" s="321">
        <f t="shared" si="10"/>
        <v>89022.72500000002</v>
      </c>
      <c r="T66" s="322">
        <f>+S66/S$8</f>
        <v>669.34379699248132</v>
      </c>
      <c r="U66" s="315">
        <f t="shared" si="9"/>
        <v>0.60500000000000009</v>
      </c>
      <c r="V66" s="457">
        <f>+S66/TotalCost</f>
        <v>6.6414978679533712E-3</v>
      </c>
      <c r="W66" s="300">
        <f t="shared" si="7"/>
        <v>5.8596508373732516E-3</v>
      </c>
      <c r="X66"/>
      <c r="Y66"/>
      <c r="Z66"/>
      <c r="AA66"/>
      <c r="AB66"/>
      <c r="AC66"/>
    </row>
    <row r="67" spans="1:30" ht="12.75">
      <c r="A67" s="298" t="s">
        <v>159</v>
      </c>
      <c r="B67" s="299" t="s">
        <v>27</v>
      </c>
      <c r="C67" s="438">
        <v>0.6</v>
      </c>
      <c r="D67" s="314" t="s">
        <v>519</v>
      </c>
      <c r="E67" s="314"/>
      <c r="F67" s="315"/>
      <c r="H67" s="315"/>
      <c r="I67" s="315"/>
      <c r="J67" s="320">
        <f>K67*J$8</f>
        <v>1081.08</v>
      </c>
      <c r="K67" s="320">
        <f>K$11*0.6*CMF</f>
        <v>1081.08</v>
      </c>
      <c r="L67" s="315">
        <f>+K67/K$11</f>
        <v>0.65999999999999992</v>
      </c>
      <c r="M67" s="320">
        <f>N67*N$8</f>
        <v>48280.320000000007</v>
      </c>
      <c r="N67" s="320">
        <f>N$11*0.6*CMF</f>
        <v>670.56000000000006</v>
      </c>
      <c r="O67" s="315">
        <f>+N67/N$11</f>
        <v>0.66</v>
      </c>
      <c r="P67" s="320">
        <f>Q67*Q$8</f>
        <v>48835.380000000005</v>
      </c>
      <c r="Q67" s="320">
        <f>Q$11*0.6*CMF</f>
        <v>800.58</v>
      </c>
      <c r="R67" s="315">
        <f>+Q67/Q$11</f>
        <v>0.66</v>
      </c>
      <c r="S67" s="321">
        <f t="shared" si="10"/>
        <v>97115.700000000012</v>
      </c>
      <c r="T67" s="322">
        <f>+S67/S$8</f>
        <v>730.19323308270691</v>
      </c>
      <c r="U67" s="315">
        <f t="shared" si="9"/>
        <v>0.66</v>
      </c>
      <c r="V67" s="457">
        <f>+S67/TotalCost</f>
        <v>7.2452704014036775E-3</v>
      </c>
      <c r="W67" s="300">
        <f t="shared" si="7"/>
        <v>6.3923463680435463E-3</v>
      </c>
      <c r="X67"/>
      <c r="Y67"/>
      <c r="Z67"/>
      <c r="AA67"/>
      <c r="AB67"/>
      <c r="AC67"/>
      <c r="AD67" s="31"/>
    </row>
    <row r="68" spans="1:30" ht="12.75">
      <c r="A68" s="298"/>
      <c r="B68" s="307" t="s">
        <v>41</v>
      </c>
      <c r="C68" s="438"/>
      <c r="D68" s="314"/>
      <c r="E68" s="314"/>
      <c r="F68" s="315"/>
      <c r="H68" s="315"/>
      <c r="I68" s="315"/>
      <c r="J68" s="320"/>
      <c r="K68" s="320"/>
      <c r="L68" s="315"/>
      <c r="M68" s="320"/>
      <c r="N68" s="320"/>
      <c r="O68" s="315"/>
      <c r="P68" s="320"/>
      <c r="Q68" s="320"/>
      <c r="R68" s="315"/>
      <c r="S68" s="321"/>
      <c r="T68" s="322"/>
      <c r="U68" s="315"/>
      <c r="V68" s="300"/>
      <c r="W68" s="300"/>
      <c r="X68" s="299"/>
      <c r="Y68" s="313"/>
      <c r="Z68" s="314">
        <f>N8</f>
        <v>72</v>
      </c>
      <c r="AA68" s="299">
        <v>1200</v>
      </c>
      <c r="AB68" s="302">
        <f>AA68*Z68</f>
        <v>86400</v>
      </c>
      <c r="AC68" s="299"/>
      <c r="AD68" s="31"/>
    </row>
    <row r="69" spans="1:30" ht="12.75">
      <c r="A69" s="298" t="s">
        <v>173</v>
      </c>
      <c r="B69" s="299" t="s">
        <v>42</v>
      </c>
      <c r="C69" s="438">
        <v>0.66</v>
      </c>
      <c r="D69" s="314" t="s">
        <v>523</v>
      </c>
      <c r="E69" s="314"/>
      <c r="F69" s="315"/>
      <c r="H69" s="315"/>
      <c r="I69" s="315"/>
      <c r="J69" s="320">
        <f>K69*J$8</f>
        <v>1613.8980000000001</v>
      </c>
      <c r="K69" s="320">
        <f>2*L$11*0.33*CMF</f>
        <v>1613.8980000000001</v>
      </c>
      <c r="L69" s="315">
        <f>+K69/K$11</f>
        <v>0.98528571428571432</v>
      </c>
      <c r="M69" s="320">
        <f>N69*N$8</f>
        <v>53108.352000000006</v>
      </c>
      <c r="N69" s="320">
        <f>2*O$11*0.33*CMF</f>
        <v>737.6160000000001</v>
      </c>
      <c r="O69" s="315">
        <f>+N69/N$11</f>
        <v>0.72600000000000009</v>
      </c>
      <c r="P69" s="320">
        <f>Q69*Q$8</f>
        <v>66694.716000000015</v>
      </c>
      <c r="Q69" s="320">
        <f>2*R$11*0.33*CMF</f>
        <v>1093.3560000000002</v>
      </c>
      <c r="R69" s="315">
        <f>+Q69/Q$11</f>
        <v>0.90136521022258875</v>
      </c>
      <c r="S69" s="321">
        <f t="shared" si="10"/>
        <v>119803.06800000003</v>
      </c>
      <c r="T69" s="322">
        <f>+S69/S$8</f>
        <v>900.77494736842129</v>
      </c>
      <c r="U69" s="315">
        <f t="shared" si="9"/>
        <v>0.81418375072207705</v>
      </c>
      <c r="V69" s="457">
        <f>+S69/TotalCost</f>
        <v>8.9378506521371123E-3</v>
      </c>
      <c r="W69" s="300">
        <f t="shared" si="7"/>
        <v>7.8856735482550622E-3</v>
      </c>
      <c r="X69" s="299"/>
      <c r="Y69" s="313"/>
      <c r="Z69" s="299">
        <f>J8</f>
        <v>1</v>
      </c>
      <c r="AA69" s="314">
        <v>1250</v>
      </c>
      <c r="AB69" s="302">
        <f>AA69*Z69</f>
        <v>1250</v>
      </c>
      <c r="AC69" s="299"/>
      <c r="AD69" s="31"/>
    </row>
    <row r="70" spans="1:30" ht="12.75">
      <c r="A70" s="298" t="s">
        <v>174</v>
      </c>
      <c r="B70" s="299" t="s">
        <v>43</v>
      </c>
      <c r="C70" s="438">
        <v>1.34</v>
      </c>
      <c r="D70" s="314" t="s">
        <v>523</v>
      </c>
      <c r="E70" s="314"/>
      <c r="F70" s="315"/>
      <c r="H70" s="315"/>
      <c r="I70" s="315"/>
      <c r="J70" s="320">
        <f>K70*J$8</f>
        <v>3276.7020000000002</v>
      </c>
      <c r="K70" s="320">
        <f>2*L$11*0.67*CMF</f>
        <v>3276.7020000000002</v>
      </c>
      <c r="L70" s="315">
        <f>+K70/K$11</f>
        <v>2.0004285714285714</v>
      </c>
      <c r="M70" s="320">
        <f>N70*N$8</f>
        <v>107826.04800000002</v>
      </c>
      <c r="N70" s="320">
        <f>2*O$11*0.67*CMF</f>
        <v>1497.5840000000003</v>
      </c>
      <c r="O70" s="315">
        <f>+N70/N$11</f>
        <v>1.4740000000000002</v>
      </c>
      <c r="P70" s="320">
        <f>Q70*Q$8</f>
        <v>135410.48400000003</v>
      </c>
      <c r="Q70" s="320">
        <f>2*R$11*0.67*CMF</f>
        <v>2219.8440000000005</v>
      </c>
      <c r="R70" s="315">
        <f>+Q70/Q$11</f>
        <v>1.83004451772465</v>
      </c>
      <c r="S70" s="321">
        <f t="shared" si="10"/>
        <v>243236.53200000006</v>
      </c>
      <c r="T70" s="322">
        <f>+S70/S$8</f>
        <v>1828.8461052631583</v>
      </c>
      <c r="U70" s="315">
        <f t="shared" si="9"/>
        <v>1.6530397363145202</v>
      </c>
      <c r="V70" s="457">
        <f>+S70/TotalCost</f>
        <v>1.8146545263429896E-2</v>
      </c>
      <c r="W70" s="300">
        <f t="shared" si="7"/>
        <v>1.6010306901002701E-2</v>
      </c>
      <c r="X70" s="299"/>
      <c r="Y70" s="313"/>
      <c r="Z70" s="299">
        <f>2900000/28</f>
        <v>103571.42857142857</v>
      </c>
      <c r="AA70" s="317">
        <f>Z70/1343</f>
        <v>77.119455377087533</v>
      </c>
      <c r="AB70" s="331"/>
      <c r="AC70" s="299"/>
    </row>
    <row r="71" spans="1:30" ht="12.75">
      <c r="A71" s="298" t="s">
        <v>174</v>
      </c>
      <c r="B71" s="299" t="s">
        <v>44</v>
      </c>
      <c r="C71" s="438">
        <v>0.2</v>
      </c>
      <c r="D71" s="314" t="s">
        <v>523</v>
      </c>
      <c r="E71" s="314"/>
      <c r="F71" s="315"/>
      <c r="H71" s="315"/>
      <c r="I71" s="315"/>
      <c r="J71" s="320">
        <f>K71*J$8</f>
        <v>360.36000000000007</v>
      </c>
      <c r="K71" s="320">
        <f>K$11*0.2*CMF</f>
        <v>360.36000000000007</v>
      </c>
      <c r="L71" s="315">
        <f>+K71/K$11</f>
        <v>0.22000000000000006</v>
      </c>
      <c r="M71" s="320">
        <f>N71*N$8</f>
        <v>16093.440000000002</v>
      </c>
      <c r="N71" s="320">
        <f>N$11*0.2*CMF</f>
        <v>223.52000000000004</v>
      </c>
      <c r="O71" s="315">
        <f>+N71/N$11</f>
        <v>0.22000000000000003</v>
      </c>
      <c r="P71" s="320">
        <f>Q71*Q$8</f>
        <v>16278.460000000005</v>
      </c>
      <c r="Q71" s="320">
        <f>Q$11*0.2*CMF</f>
        <v>266.86000000000007</v>
      </c>
      <c r="R71" s="315">
        <f>+Q71/Q$11</f>
        <v>0.22000000000000006</v>
      </c>
      <c r="S71" s="321">
        <f t="shared" si="10"/>
        <v>32371.900000000009</v>
      </c>
      <c r="T71" s="322">
        <f>+S71/S$8</f>
        <v>243.39774436090232</v>
      </c>
      <c r="U71" s="315">
        <f t="shared" si="9"/>
        <v>0.22000000000000006</v>
      </c>
      <c r="V71" s="457">
        <f>+S71/TotalCost</f>
        <v>2.4150901338012261E-3</v>
      </c>
      <c r="W71" s="300">
        <f t="shared" si="7"/>
        <v>2.1307821226811824E-3</v>
      </c>
      <c r="X71" s="299"/>
      <c r="Y71" s="299"/>
      <c r="Z71" s="299">
        <f>2700000/28</f>
        <v>96428.571428571435</v>
      </c>
      <c r="AA71" s="317">
        <f>Z71/1343</f>
        <v>71.800872247633237</v>
      </c>
      <c r="AB71" s="302"/>
      <c r="AC71" s="299"/>
    </row>
    <row r="72" spans="1:30" ht="12.75">
      <c r="A72" s="298"/>
      <c r="B72" s="307" t="s">
        <v>45</v>
      </c>
      <c r="C72" s="438"/>
      <c r="D72" s="314"/>
      <c r="E72" s="314"/>
      <c r="F72" s="315"/>
      <c r="H72" s="315"/>
      <c r="I72" s="315"/>
      <c r="J72" s="320"/>
      <c r="K72" s="324"/>
      <c r="L72" s="315"/>
      <c r="M72" s="320"/>
      <c r="N72" s="320"/>
      <c r="O72" s="315"/>
      <c r="P72" s="320"/>
      <c r="Q72" s="320"/>
      <c r="R72" s="315"/>
      <c r="S72" s="321"/>
      <c r="T72" s="322"/>
      <c r="U72" s="315"/>
      <c r="V72" s="300"/>
      <c r="W72" s="300"/>
      <c r="X72" s="299"/>
      <c r="Y72" s="299"/>
      <c r="Z72" s="299"/>
      <c r="AA72" s="299"/>
      <c r="AB72" s="302"/>
      <c r="AC72" s="299"/>
    </row>
    <row r="73" spans="1:30" ht="12.75">
      <c r="A73" s="298" t="s">
        <v>160</v>
      </c>
      <c r="B73" s="299" t="s">
        <v>46</v>
      </c>
      <c r="C73" s="438">
        <v>1500</v>
      </c>
      <c r="D73" s="314" t="s">
        <v>340</v>
      </c>
      <c r="E73" s="314"/>
      <c r="F73" s="315"/>
      <c r="H73" s="315"/>
      <c r="I73" s="315"/>
      <c r="J73" s="320">
        <f t="shared" ref="J73:J80" si="19">K73*J$8</f>
        <v>1595.0000000000002</v>
      </c>
      <c r="K73" s="320">
        <f>1450*CMF</f>
        <v>1595.0000000000002</v>
      </c>
      <c r="L73" s="315">
        <f t="shared" ref="L73:L80" si="20">+K73/K$11</f>
        <v>0.97374847374847384</v>
      </c>
      <c r="M73" s="320">
        <f t="shared" ref="M73:M80" si="21">N73*N$8</f>
        <v>114840.00000000001</v>
      </c>
      <c r="N73" s="320">
        <f>1450*CMF</f>
        <v>1595.0000000000002</v>
      </c>
      <c r="O73" s="315">
        <f t="shared" ref="O73:O80" si="22">+N73/N$11</f>
        <v>1.5698818897637798</v>
      </c>
      <c r="P73" s="320">
        <f t="shared" ref="P73:P80" si="23">Q73*Q$8</f>
        <v>97295.000000000015</v>
      </c>
      <c r="Q73" s="320">
        <f>1450*CMF</f>
        <v>1595.0000000000002</v>
      </c>
      <c r="R73" s="315">
        <f t="shared" ref="R73:R80" si="24">+Q73/Q$11</f>
        <v>1.3149216817807092</v>
      </c>
      <c r="S73" s="321">
        <f t="shared" si="10"/>
        <v>212135.00000000003</v>
      </c>
      <c r="T73" s="322">
        <f t="shared" ref="T73:T80" si="25">+S73/S$8</f>
        <v>1595.0000000000002</v>
      </c>
      <c r="U73" s="315">
        <f t="shared" si="9"/>
        <v>1.4416731795168034</v>
      </c>
      <c r="V73" s="457">
        <f t="shared" ref="V73:V80" si="26">+S73/TotalCost</f>
        <v>1.5826230327349429E-2</v>
      </c>
      <c r="W73" s="300">
        <f t="shared" si="7"/>
        <v>1.3963142898469741E-2</v>
      </c>
      <c r="X73" s="299"/>
      <c r="Y73" s="299"/>
      <c r="Z73" s="332">
        <f>0.0725/12</f>
        <v>6.0416666666666665E-3</v>
      </c>
      <c r="AA73" s="299"/>
      <c r="AB73" s="302"/>
      <c r="AC73" s="299"/>
    </row>
    <row r="74" spans="1:30" ht="12.75">
      <c r="A74" s="298" t="s">
        <v>160</v>
      </c>
      <c r="B74" s="298" t="s">
        <v>65</v>
      </c>
      <c r="C74" s="438">
        <v>600</v>
      </c>
      <c r="D74" s="314" t="s">
        <v>340</v>
      </c>
      <c r="E74" s="314"/>
      <c r="F74" s="315"/>
      <c r="H74" s="315"/>
      <c r="I74" s="315"/>
      <c r="J74" s="320">
        <f t="shared" si="19"/>
        <v>660</v>
      </c>
      <c r="K74" s="320">
        <f>600*CMF</f>
        <v>660</v>
      </c>
      <c r="L74" s="315">
        <f t="shared" si="20"/>
        <v>0.40293040293040294</v>
      </c>
      <c r="M74" s="320">
        <f t="shared" si="21"/>
        <v>47520</v>
      </c>
      <c r="N74" s="320">
        <f>600*CMF</f>
        <v>660</v>
      </c>
      <c r="O74" s="315">
        <f t="shared" si="22"/>
        <v>0.64960629921259838</v>
      </c>
      <c r="P74" s="320">
        <f t="shared" si="23"/>
        <v>40260</v>
      </c>
      <c r="Q74" s="320">
        <f>600*CMF</f>
        <v>660</v>
      </c>
      <c r="R74" s="315">
        <f t="shared" si="24"/>
        <v>0.54410552349546581</v>
      </c>
      <c r="S74" s="321">
        <f t="shared" si="10"/>
        <v>87780</v>
      </c>
      <c r="T74" s="322">
        <f t="shared" si="25"/>
        <v>660</v>
      </c>
      <c r="U74" s="315">
        <f t="shared" si="9"/>
        <v>0.5965544191104013</v>
      </c>
      <c r="V74" s="457">
        <f t="shared" si="26"/>
        <v>6.5487849630411427E-3</v>
      </c>
      <c r="W74" s="300">
        <f t="shared" si="7"/>
        <v>5.7778522338495474E-3</v>
      </c>
      <c r="X74" s="299"/>
      <c r="Y74" s="299"/>
      <c r="Z74" s="299">
        <v>360</v>
      </c>
      <c r="AA74" s="299"/>
      <c r="AB74" s="302"/>
      <c r="AC74" s="299"/>
    </row>
    <row r="75" spans="1:30" ht="12.75">
      <c r="A75" s="298" t="s">
        <v>153</v>
      </c>
      <c r="B75" s="298" t="s">
        <v>230</v>
      </c>
      <c r="C75" s="20" t="s">
        <v>525</v>
      </c>
      <c r="D75" s="314"/>
      <c r="E75" s="314"/>
      <c r="F75" s="315"/>
      <c r="H75" s="315"/>
      <c r="I75" s="315"/>
      <c r="J75" s="320">
        <f t="shared" si="19"/>
        <v>850.63</v>
      </c>
      <c r="K75" s="320">
        <f>(K$11*0.35+200)*CMF</f>
        <v>850.63</v>
      </c>
      <c r="L75" s="315">
        <f t="shared" si="20"/>
        <v>0.51931013431013429</v>
      </c>
      <c r="M75" s="320">
        <f t="shared" si="21"/>
        <v>44003.519999999997</v>
      </c>
      <c r="N75" s="320">
        <f>(N$11*0.35+200)*CMF</f>
        <v>611.16</v>
      </c>
      <c r="O75" s="315">
        <f t="shared" si="22"/>
        <v>0.6015354330708661</v>
      </c>
      <c r="P75" s="320">
        <f t="shared" si="23"/>
        <v>41907.305</v>
      </c>
      <c r="Q75" s="320">
        <f>(Q$11*0.35+200)*CMF</f>
        <v>687.005</v>
      </c>
      <c r="R75" s="315">
        <f t="shared" si="24"/>
        <v>0.56636850783182191</v>
      </c>
      <c r="S75" s="321">
        <f t="shared" si="10"/>
        <v>85910.824999999997</v>
      </c>
      <c r="T75" s="322">
        <f t="shared" si="25"/>
        <v>645.94605263157894</v>
      </c>
      <c r="U75" s="315">
        <f t="shared" si="9"/>
        <v>0.58385147303680041</v>
      </c>
      <c r="V75" s="457">
        <f t="shared" si="26"/>
        <v>6.4093360551658587E-3</v>
      </c>
      <c r="W75" s="300">
        <f t="shared" si="7"/>
        <v>5.6548194593085835E-3</v>
      </c>
      <c r="X75" s="299"/>
      <c r="Y75" s="313"/>
      <c r="Z75" s="314">
        <f>PMT(Z73,Z74,Z54)</f>
        <v>0</v>
      </c>
      <c r="AA75" s="314"/>
      <c r="AB75" s="302"/>
      <c r="AC75" s="299"/>
    </row>
    <row r="76" spans="1:30" ht="12.75">
      <c r="A76" s="298" t="s">
        <v>158</v>
      </c>
      <c r="B76" s="298" t="s">
        <v>48</v>
      </c>
      <c r="C76" s="438">
        <v>0.28999999999999998</v>
      </c>
      <c r="D76" s="314" t="s">
        <v>519</v>
      </c>
      <c r="E76" s="314"/>
      <c r="F76" s="315"/>
      <c r="H76" s="315"/>
      <c r="I76" s="315"/>
      <c r="J76" s="320">
        <f t="shared" si="19"/>
        <v>522.52200000000005</v>
      </c>
      <c r="K76" s="320">
        <f>K$11*0.29*CMF</f>
        <v>522.52200000000005</v>
      </c>
      <c r="L76" s="315">
        <f t="shared" si="20"/>
        <v>0.31900000000000001</v>
      </c>
      <c r="M76" s="320">
        <f t="shared" si="21"/>
        <v>23335.487999999998</v>
      </c>
      <c r="N76" s="320">
        <f>N$11*0.29*CMF</f>
        <v>324.10399999999998</v>
      </c>
      <c r="O76" s="315">
        <f t="shared" si="22"/>
        <v>0.31900000000000001</v>
      </c>
      <c r="P76" s="320">
        <f t="shared" si="23"/>
        <v>23603.767</v>
      </c>
      <c r="Q76" s="320">
        <f>Q$11*0.29*CMF</f>
        <v>386.947</v>
      </c>
      <c r="R76" s="315">
        <f t="shared" si="24"/>
        <v>0.31900000000000001</v>
      </c>
      <c r="S76" s="321">
        <f t="shared" si="10"/>
        <v>46939.254999999997</v>
      </c>
      <c r="T76" s="322">
        <f t="shared" si="25"/>
        <v>352.92672932330822</v>
      </c>
      <c r="U76" s="315">
        <f t="shared" si="9"/>
        <v>0.31900000000000001</v>
      </c>
      <c r="V76" s="457">
        <f t="shared" si="26"/>
        <v>3.5018806940117766E-3</v>
      </c>
      <c r="W76" s="300">
        <f t="shared" si="7"/>
        <v>3.0896340778877136E-3</v>
      </c>
      <c r="X76" s="299"/>
      <c r="Y76" s="313"/>
      <c r="Z76" s="314">
        <f>+AC69</f>
        <v>0</v>
      </c>
      <c r="AA76" s="314"/>
      <c r="AB76" s="331">
        <f>2700000*0.105</f>
        <v>283500</v>
      </c>
      <c r="AC76" s="299"/>
    </row>
    <row r="77" spans="1:30" ht="12.75">
      <c r="A77" s="298" t="s">
        <v>156</v>
      </c>
      <c r="B77" s="298" t="s">
        <v>521</v>
      </c>
      <c r="C77" s="439">
        <f>(250+300+250+100)</f>
        <v>900</v>
      </c>
      <c r="D77" s="314" t="s">
        <v>340</v>
      </c>
      <c r="E77" s="314"/>
      <c r="F77" s="315"/>
      <c r="H77" s="315"/>
      <c r="I77" s="315"/>
      <c r="J77" s="320">
        <f t="shared" si="19"/>
        <v>990.00000000000011</v>
      </c>
      <c r="K77" s="320">
        <f>(250+300+250+100)*CMF</f>
        <v>990.00000000000011</v>
      </c>
      <c r="L77" s="315">
        <f t="shared" si="20"/>
        <v>0.60439560439560447</v>
      </c>
      <c r="M77" s="320">
        <f t="shared" si="21"/>
        <v>71280.000000000015</v>
      </c>
      <c r="N77" s="320">
        <f>(250+300+250+100)*CMF</f>
        <v>990.00000000000011</v>
      </c>
      <c r="O77" s="315">
        <f t="shared" si="22"/>
        <v>0.97440944881889779</v>
      </c>
      <c r="P77" s="320">
        <f t="shared" si="23"/>
        <v>60390.000000000007</v>
      </c>
      <c r="Q77" s="320">
        <f>(250+300+250+100)*CMF</f>
        <v>990.00000000000011</v>
      </c>
      <c r="R77" s="315">
        <f t="shared" si="24"/>
        <v>0.81615828524319878</v>
      </c>
      <c r="S77" s="321">
        <f t="shared" si="10"/>
        <v>131670.00000000003</v>
      </c>
      <c r="T77" s="322">
        <f t="shared" si="25"/>
        <v>990.00000000000023</v>
      </c>
      <c r="U77" s="315">
        <f t="shared" si="9"/>
        <v>0.89483162866560217</v>
      </c>
      <c r="V77" s="457">
        <f t="shared" si="26"/>
        <v>9.8231774445617162E-3</v>
      </c>
      <c r="W77" s="300">
        <f t="shared" si="7"/>
        <v>8.6667783507743228E-3</v>
      </c>
      <c r="X77" s="309"/>
      <c r="Y77" s="299"/>
      <c r="Z77" s="314">
        <f>0.9*Z76</f>
        <v>0</v>
      </c>
      <c r="AA77" s="314"/>
      <c r="AB77" s="331">
        <f>AB76/12</f>
        <v>23625</v>
      </c>
      <c r="AC77" s="299"/>
    </row>
    <row r="78" spans="1:30" ht="12.75">
      <c r="A78" s="298" t="s">
        <v>157</v>
      </c>
      <c r="B78" s="298" t="s">
        <v>63</v>
      </c>
      <c r="C78" s="438">
        <v>1.22</v>
      </c>
      <c r="D78" s="314" t="s">
        <v>519</v>
      </c>
      <c r="E78" s="314"/>
      <c r="F78" s="315"/>
      <c r="H78" s="315"/>
      <c r="I78" s="315"/>
      <c r="J78" s="320">
        <f t="shared" si="19"/>
        <v>2198.1959999999999</v>
      </c>
      <c r="K78" s="320">
        <f>1.22*K$11*CMF</f>
        <v>2198.1959999999999</v>
      </c>
      <c r="L78" s="315">
        <f t="shared" si="20"/>
        <v>1.3419999999999999</v>
      </c>
      <c r="M78" s="320">
        <f t="shared" si="21"/>
        <v>98169.983999999997</v>
      </c>
      <c r="N78" s="320">
        <f>1.22*N$11*CMF</f>
        <v>1363.472</v>
      </c>
      <c r="O78" s="315">
        <f t="shared" si="22"/>
        <v>1.3420000000000001</v>
      </c>
      <c r="P78" s="320">
        <f t="shared" si="23"/>
        <v>99298.606</v>
      </c>
      <c r="Q78" s="320">
        <f>1.22*Q$11*CMF</f>
        <v>1627.846</v>
      </c>
      <c r="R78" s="315">
        <f t="shared" si="24"/>
        <v>1.3420000000000001</v>
      </c>
      <c r="S78" s="321">
        <f t="shared" si="10"/>
        <v>197468.59</v>
      </c>
      <c r="T78" s="322">
        <f t="shared" si="25"/>
        <v>1484.7262406015038</v>
      </c>
      <c r="U78" s="315">
        <f t="shared" si="9"/>
        <v>1.3420000000000001</v>
      </c>
      <c r="V78" s="457">
        <f t="shared" si="26"/>
        <v>1.4732049816187474E-2</v>
      </c>
      <c r="W78" s="300">
        <f t="shared" ref="W78:W114" si="27">+$S78/TotalValue</f>
        <v>1.2997770948355209E-2</v>
      </c>
      <c r="X78" s="299"/>
      <c r="Y78" s="313"/>
      <c r="Z78" s="301">
        <f>((110000/28/1343)*1187*134)/12</f>
        <v>38773.313122717438</v>
      </c>
      <c r="AA78" s="314"/>
      <c r="AB78" s="331"/>
      <c r="AC78" s="299"/>
    </row>
    <row r="79" spans="1:30" ht="12.75">
      <c r="A79" s="298" t="s">
        <v>159</v>
      </c>
      <c r="B79" s="298" t="s">
        <v>64</v>
      </c>
      <c r="C79" s="438">
        <v>157</v>
      </c>
      <c r="D79" s="314" t="s">
        <v>340</v>
      </c>
      <c r="E79" s="314"/>
      <c r="F79" s="315"/>
      <c r="H79" s="315"/>
      <c r="I79" s="315"/>
      <c r="J79" s="320">
        <f t="shared" si="19"/>
        <v>172.70000000000002</v>
      </c>
      <c r="K79" s="320">
        <f>157*CMF</f>
        <v>172.70000000000002</v>
      </c>
      <c r="L79" s="315">
        <f t="shared" si="20"/>
        <v>0.10543345543345545</v>
      </c>
      <c r="M79" s="320">
        <f t="shared" si="21"/>
        <v>12434.400000000001</v>
      </c>
      <c r="N79" s="320">
        <f>157*CMF</f>
        <v>172.70000000000002</v>
      </c>
      <c r="O79" s="315">
        <f t="shared" si="22"/>
        <v>0.16998031496062993</v>
      </c>
      <c r="P79" s="320">
        <f t="shared" si="23"/>
        <v>10534.7</v>
      </c>
      <c r="Q79" s="320">
        <f>157*CMF</f>
        <v>172.70000000000002</v>
      </c>
      <c r="R79" s="315">
        <f t="shared" si="24"/>
        <v>0.14237427864798022</v>
      </c>
      <c r="S79" s="321">
        <f t="shared" si="10"/>
        <v>22969.100000000002</v>
      </c>
      <c r="T79" s="322">
        <f t="shared" si="25"/>
        <v>172.70000000000002</v>
      </c>
      <c r="U79" s="315">
        <f t="shared" si="9"/>
        <v>0.15609840633388836</v>
      </c>
      <c r="V79" s="457">
        <f t="shared" si="26"/>
        <v>1.7135987319957659E-3</v>
      </c>
      <c r="W79" s="300">
        <f t="shared" si="27"/>
        <v>1.5118713345239649E-3</v>
      </c>
      <c r="X79" s="299"/>
      <c r="Y79" s="313"/>
      <c r="Z79" s="314">
        <f>+Z77-Z78</f>
        <v>-38773.313122717438</v>
      </c>
      <c r="AA79" s="314"/>
      <c r="AB79" s="331"/>
      <c r="AC79" s="299"/>
    </row>
    <row r="80" spans="1:30" ht="12.75">
      <c r="A80" s="298" t="s">
        <v>154</v>
      </c>
      <c r="B80" s="323" t="s">
        <v>50</v>
      </c>
      <c r="C80" s="438">
        <v>2.25</v>
      </c>
      <c r="D80" s="314" t="s">
        <v>519</v>
      </c>
      <c r="E80" s="314"/>
      <c r="F80" s="315"/>
      <c r="H80" s="315"/>
      <c r="I80" s="315"/>
      <c r="J80" s="320">
        <f t="shared" si="19"/>
        <v>158.4</v>
      </c>
      <c r="K80" s="320">
        <f>8*8*2.25*CMF</f>
        <v>158.4</v>
      </c>
      <c r="L80" s="315">
        <f t="shared" si="20"/>
        <v>9.6703296703296707E-2</v>
      </c>
      <c r="M80" s="320">
        <f t="shared" si="21"/>
        <v>11404.800000000001</v>
      </c>
      <c r="N80" s="320">
        <f>8*8*2.25*CMF</f>
        <v>158.4</v>
      </c>
      <c r="O80" s="315">
        <f t="shared" si="22"/>
        <v>0.15590551181102363</v>
      </c>
      <c r="P80" s="320">
        <f t="shared" si="23"/>
        <v>9662.4</v>
      </c>
      <c r="Q80" s="320">
        <f>8*8*2.25*CMF</f>
        <v>158.4</v>
      </c>
      <c r="R80" s="315">
        <f t="shared" si="24"/>
        <v>0.13058532563891179</v>
      </c>
      <c r="S80" s="321">
        <f t="shared" si="10"/>
        <v>21067.200000000001</v>
      </c>
      <c r="T80" s="322">
        <f t="shared" si="25"/>
        <v>158.4</v>
      </c>
      <c r="U80" s="315">
        <f t="shared" ref="U80:U94" si="28">+S80/U$8</f>
        <v>0.14317306058649631</v>
      </c>
      <c r="V80" s="457">
        <f t="shared" si="26"/>
        <v>1.5717083911298744E-3</v>
      </c>
      <c r="W80" s="300">
        <f t="shared" si="27"/>
        <v>1.3866845361238914E-3</v>
      </c>
      <c r="X80" s="299"/>
      <c r="Y80" s="313"/>
      <c r="Z80" s="301" t="e">
        <f>+Z79/-Z75</f>
        <v>#DIV/0!</v>
      </c>
      <c r="AA80" s="314"/>
      <c r="AB80" s="331"/>
      <c r="AC80" s="299"/>
    </row>
    <row r="81" spans="1:31" ht="12.75">
      <c r="A81" s="298" t="s">
        <v>154</v>
      </c>
      <c r="B81" s="298" t="s">
        <v>51</v>
      </c>
      <c r="C81" s="20" t="s">
        <v>528</v>
      </c>
      <c r="D81" s="314"/>
      <c r="E81" s="314"/>
      <c r="F81" s="315"/>
      <c r="H81" s="315"/>
      <c r="I81" s="315"/>
      <c r="J81" s="320"/>
      <c r="K81" s="320"/>
      <c r="L81" s="315"/>
      <c r="M81" s="320"/>
      <c r="N81" s="320"/>
      <c r="O81" s="315"/>
      <c r="P81" s="320"/>
      <c r="Q81" s="320"/>
      <c r="R81" s="315"/>
      <c r="S81" s="321"/>
      <c r="T81" s="322"/>
      <c r="U81" s="315"/>
      <c r="V81" s="300"/>
      <c r="W81" s="300"/>
      <c r="X81" s="309"/>
      <c r="Y81" s="313"/>
      <c r="Z81" s="314"/>
      <c r="AA81" s="314"/>
      <c r="AB81" s="331"/>
      <c r="AC81" s="299"/>
    </row>
    <row r="82" spans="1:31" ht="12.75">
      <c r="A82" s="298" t="s">
        <v>154</v>
      </c>
      <c r="B82" s="298" t="s">
        <v>52</v>
      </c>
      <c r="C82" s="20" t="s">
        <v>528</v>
      </c>
      <c r="D82" s="314"/>
      <c r="E82" s="314"/>
      <c r="F82" s="315"/>
      <c r="H82" s="315"/>
      <c r="I82" s="315"/>
      <c r="J82" s="320"/>
      <c r="K82" s="320"/>
      <c r="L82" s="315"/>
      <c r="M82" s="320"/>
      <c r="N82" s="320"/>
      <c r="O82" s="315"/>
      <c r="P82" s="320"/>
      <c r="Q82" s="320"/>
      <c r="R82" s="315"/>
      <c r="S82" s="321"/>
      <c r="T82" s="322"/>
      <c r="U82" s="315"/>
      <c r="V82" s="300"/>
      <c r="W82" s="300"/>
      <c r="X82" s="299"/>
      <c r="Y82" s="299"/>
      <c r="Z82" s="314">
        <f>+Z76-Z78+0.05*Z76</f>
        <v>-38773.313122717438</v>
      </c>
      <c r="AA82" s="314"/>
      <c r="AB82" s="302">
        <f>AE82*12</f>
        <v>0</v>
      </c>
      <c r="AC82" s="299"/>
      <c r="AE82" s="95"/>
    </row>
    <row r="83" spans="1:31" ht="12.75">
      <c r="A83" s="298" t="s">
        <v>154</v>
      </c>
      <c r="B83" s="298" t="s">
        <v>53</v>
      </c>
      <c r="C83" s="20" t="s">
        <v>528</v>
      </c>
      <c r="D83" s="314"/>
      <c r="E83" s="314"/>
      <c r="F83" s="315"/>
      <c r="H83" s="315"/>
      <c r="I83" s="315"/>
      <c r="J83" s="320"/>
      <c r="K83" s="320"/>
      <c r="L83" s="315"/>
      <c r="M83" s="320"/>
      <c r="N83" s="320"/>
      <c r="O83" s="315"/>
      <c r="P83" s="320"/>
      <c r="Q83" s="320"/>
      <c r="R83" s="315"/>
      <c r="S83" s="321"/>
      <c r="T83" s="322"/>
      <c r="U83" s="315"/>
      <c r="V83" s="300"/>
      <c r="W83" s="300"/>
      <c r="X83" s="299"/>
      <c r="Y83" s="313"/>
      <c r="Z83" s="314">
        <f>+Z75</f>
        <v>0</v>
      </c>
      <c r="AA83" s="314"/>
      <c r="AB83" s="331">
        <f>0.8*AB82</f>
        <v>0</v>
      </c>
      <c r="AC83" s="299"/>
    </row>
    <row r="84" spans="1:31" ht="12.75">
      <c r="A84" s="298" t="s">
        <v>155</v>
      </c>
      <c r="B84" s="323" t="s">
        <v>196</v>
      </c>
      <c r="C84" s="20" t="s">
        <v>527</v>
      </c>
      <c r="D84" s="314"/>
      <c r="E84" s="314"/>
      <c r="F84" s="315"/>
      <c r="H84" s="315"/>
      <c r="I84" s="315"/>
      <c r="J84" s="320"/>
      <c r="K84" s="320"/>
      <c r="L84" s="315"/>
      <c r="M84" s="320"/>
      <c r="N84" s="320"/>
      <c r="O84" s="315"/>
      <c r="P84" s="320"/>
      <c r="Q84" s="320"/>
      <c r="R84" s="315"/>
      <c r="S84" s="321"/>
      <c r="T84" s="322"/>
      <c r="U84" s="315"/>
      <c r="V84" s="300"/>
      <c r="W84" s="300"/>
      <c r="X84" s="309"/>
      <c r="Y84" s="299"/>
      <c r="Z84" s="314">
        <f>+Z83+Z82</f>
        <v>-38773.313122717438</v>
      </c>
      <c r="AA84" s="314"/>
      <c r="AB84" s="331"/>
      <c r="AC84" s="299"/>
    </row>
    <row r="85" spans="1:31" ht="12.75">
      <c r="A85" s="298" t="s">
        <v>155</v>
      </c>
      <c r="B85" s="323" t="s">
        <v>197</v>
      </c>
      <c r="D85" s="314"/>
      <c r="E85" s="314"/>
      <c r="F85" s="315"/>
      <c r="H85" s="315"/>
      <c r="I85" s="315"/>
      <c r="J85" s="320"/>
      <c r="K85" s="299"/>
      <c r="L85" s="315"/>
      <c r="M85" s="320"/>
      <c r="N85" s="299"/>
      <c r="O85" s="315"/>
      <c r="P85" s="320"/>
      <c r="Q85" s="299"/>
      <c r="R85" s="315"/>
      <c r="S85" s="321"/>
      <c r="T85" s="322"/>
      <c r="U85" s="315"/>
      <c r="V85" s="300"/>
      <c r="W85" s="300"/>
      <c r="X85" s="299"/>
      <c r="Y85" s="313"/>
      <c r="Z85" s="314">
        <f>Z84*12</f>
        <v>-465279.75747260929</v>
      </c>
      <c r="AA85" s="314"/>
      <c r="AB85" s="331"/>
      <c r="AC85" s="299"/>
    </row>
    <row r="86" spans="1:31" ht="12.75">
      <c r="A86" s="298" t="s">
        <v>155</v>
      </c>
      <c r="B86" s="299" t="s">
        <v>62</v>
      </c>
      <c r="C86" s="20" t="s">
        <v>527</v>
      </c>
      <c r="D86" s="314"/>
      <c r="E86" s="314"/>
      <c r="F86" s="315"/>
      <c r="H86" s="315"/>
      <c r="I86" s="315"/>
      <c r="J86" s="320"/>
      <c r="K86" s="320"/>
      <c r="L86" s="315"/>
      <c r="M86" s="320"/>
      <c r="N86" s="320"/>
      <c r="O86" s="315"/>
      <c r="P86" s="320"/>
      <c r="Q86" s="320"/>
      <c r="R86" s="315"/>
      <c r="S86" s="321"/>
      <c r="T86" s="322"/>
      <c r="U86" s="315"/>
      <c r="V86" s="300"/>
      <c r="W86" s="300"/>
      <c r="X86" s="299"/>
      <c r="Y86" s="313"/>
      <c r="Z86" s="314">
        <f>Z85/0.105</f>
        <v>-4431235.785453422</v>
      </c>
      <c r="AA86" s="333"/>
      <c r="AB86" s="331"/>
      <c r="AC86" s="299"/>
    </row>
    <row r="87" spans="1:31" ht="12.75">
      <c r="A87" s="298"/>
      <c r="B87" s="307" t="s">
        <v>54</v>
      </c>
      <c r="D87" s="314"/>
      <c r="E87" s="314"/>
      <c r="F87" s="315"/>
      <c r="H87" s="315"/>
      <c r="I87" s="315"/>
      <c r="J87" s="320"/>
      <c r="K87" s="320"/>
      <c r="L87" s="315"/>
      <c r="M87" s="320"/>
      <c r="N87" s="320"/>
      <c r="O87" s="315"/>
      <c r="P87" s="320"/>
      <c r="Q87" s="320"/>
      <c r="R87" s="315"/>
      <c r="S87" s="321"/>
      <c r="T87" s="322"/>
      <c r="U87" s="315"/>
      <c r="V87" s="300"/>
      <c r="W87" s="300"/>
      <c r="X87" s="299"/>
      <c r="Y87" s="313"/>
      <c r="Z87" s="314"/>
      <c r="AA87" s="314"/>
      <c r="AB87" s="331"/>
      <c r="AC87" s="299"/>
    </row>
    <row r="88" spans="1:31" ht="12.75">
      <c r="A88" s="298" t="s">
        <v>152</v>
      </c>
      <c r="B88" s="299" t="s">
        <v>55</v>
      </c>
      <c r="C88" s="440">
        <f>2*8*40*4.33</f>
        <v>2771.2</v>
      </c>
      <c r="D88" s="314" t="s">
        <v>526</v>
      </c>
      <c r="E88" s="314"/>
      <c r="F88" s="315"/>
      <c r="H88" s="315"/>
      <c r="I88" s="315"/>
      <c r="J88" s="320">
        <f t="shared" ref="J88:J95" si="29">K88*J$8</f>
        <v>343.79548872180453</v>
      </c>
      <c r="K88" s="320">
        <f>(((40*8*2)*4.33*15)*CMF)/SM134Units</f>
        <v>343.79548872180453</v>
      </c>
      <c r="L88" s="315">
        <f t="shared" ref="L88:L95" si="30">+K88/K$11</f>
        <v>0.20988735575201742</v>
      </c>
      <c r="M88" s="320">
        <f t="shared" ref="M88:M95" si="31">N88*N$8</f>
        <v>24753.275187969928</v>
      </c>
      <c r="N88" s="320">
        <f>(((40*8*2)*4.33*15)*CMF)/SM134Units</f>
        <v>343.79548872180453</v>
      </c>
      <c r="O88" s="315">
        <f t="shared" ref="O88:O95" si="32">+N88/N$11</f>
        <v>0.33838138653720917</v>
      </c>
      <c r="P88" s="320">
        <f t="shared" ref="P88:P95" si="33">Q88*Q$8</f>
        <v>20971.524812030075</v>
      </c>
      <c r="Q88" s="320">
        <f>(((40*8*2)*4.33*15)*CMF)/SM134Units</f>
        <v>343.79548872180453</v>
      </c>
      <c r="R88" s="315">
        <f t="shared" ref="R88:R95" si="34">+Q88/Q$11</f>
        <v>0.28342579449448024</v>
      </c>
      <c r="S88" s="321">
        <f t="shared" ref="S88:S94" si="35">+P88+M88</f>
        <v>45724.800000000003</v>
      </c>
      <c r="T88" s="322">
        <f t="shared" ref="T88:T94" si="36">+S88/S$8</f>
        <v>343.79548872180453</v>
      </c>
      <c r="U88" s="315">
        <f t="shared" si="28"/>
        <v>0.31074654252607975</v>
      </c>
      <c r="V88" s="457">
        <f t="shared" ref="V88:V95" si="37">+S88/TotalCost</f>
        <v>3.4112768589435369E-3</v>
      </c>
      <c r="W88" s="300">
        <f t="shared" si="27"/>
        <v>3.009696261361629E-3</v>
      </c>
      <c r="X88" s="309"/>
      <c r="Y88" s="299"/>
      <c r="Z88" s="314">
        <v>7000</v>
      </c>
      <c r="AA88" s="314"/>
      <c r="AB88" s="331"/>
      <c r="AC88" s="299"/>
    </row>
    <row r="89" spans="1:31" ht="12.75">
      <c r="A89" s="298" t="s">
        <v>152</v>
      </c>
      <c r="B89" s="299" t="s">
        <v>56</v>
      </c>
      <c r="C89" s="440">
        <v>0.15</v>
      </c>
      <c r="D89" s="314" t="s">
        <v>519</v>
      </c>
      <c r="E89" s="314"/>
      <c r="F89" s="315"/>
      <c r="H89" s="315"/>
      <c r="I89" s="315"/>
      <c r="J89" s="320">
        <f t="shared" si="29"/>
        <v>270.27</v>
      </c>
      <c r="K89" s="320">
        <f>$C89*K$11*CMF</f>
        <v>270.27</v>
      </c>
      <c r="L89" s="315">
        <f t="shared" si="30"/>
        <v>0.16499999999999998</v>
      </c>
      <c r="M89" s="320">
        <f t="shared" si="31"/>
        <v>12070.080000000002</v>
      </c>
      <c r="N89" s="320">
        <f>$C89*N$11*CMF</f>
        <v>167.64000000000001</v>
      </c>
      <c r="O89" s="315">
        <f t="shared" si="32"/>
        <v>0.16500000000000001</v>
      </c>
      <c r="P89" s="320">
        <f t="shared" si="33"/>
        <v>12208.845000000001</v>
      </c>
      <c r="Q89" s="320">
        <f>$C89*Q$11*CMF</f>
        <v>200.14500000000001</v>
      </c>
      <c r="R89" s="315">
        <f t="shared" si="34"/>
        <v>0.16500000000000001</v>
      </c>
      <c r="S89" s="321">
        <f t="shared" si="35"/>
        <v>24278.925000000003</v>
      </c>
      <c r="T89" s="322">
        <f t="shared" si="36"/>
        <v>182.54830827067673</v>
      </c>
      <c r="U89" s="315">
        <f t="shared" si="28"/>
        <v>0.16500000000000001</v>
      </c>
      <c r="V89" s="457">
        <f t="shared" si="37"/>
        <v>1.8113176003509194E-3</v>
      </c>
      <c r="W89" s="300">
        <f t="shared" si="27"/>
        <v>1.5980865920108866E-3</v>
      </c>
      <c r="X89" s="299"/>
      <c r="Y89" s="313"/>
      <c r="Z89" s="314">
        <f>1250*14+1220*14</f>
        <v>34580</v>
      </c>
      <c r="AA89" s="314"/>
      <c r="AB89" s="331"/>
      <c r="AC89" s="299"/>
    </row>
    <row r="90" spans="1:31" ht="12.75">
      <c r="A90" s="298" t="s">
        <v>152</v>
      </c>
      <c r="B90" s="299" t="s">
        <v>57</v>
      </c>
      <c r="C90" s="440">
        <v>350</v>
      </c>
      <c r="D90" s="314" t="s">
        <v>340</v>
      </c>
      <c r="E90" s="314"/>
      <c r="F90" s="315"/>
      <c r="H90" s="315"/>
      <c r="I90" s="315"/>
      <c r="J90" s="320">
        <f t="shared" si="29"/>
        <v>385.00000000000006</v>
      </c>
      <c r="K90" s="320">
        <f>$C90*CMF</f>
        <v>385.00000000000006</v>
      </c>
      <c r="L90" s="315">
        <f t="shared" si="30"/>
        <v>0.23504273504273507</v>
      </c>
      <c r="M90" s="320">
        <f t="shared" si="31"/>
        <v>27720.000000000004</v>
      </c>
      <c r="N90" s="320">
        <f>$C90*CMF</f>
        <v>385.00000000000006</v>
      </c>
      <c r="O90" s="315">
        <f t="shared" si="32"/>
        <v>0.3789370078740158</v>
      </c>
      <c r="P90" s="320">
        <f t="shared" si="33"/>
        <v>23485.000000000004</v>
      </c>
      <c r="Q90" s="320">
        <f>$C90*CMF</f>
        <v>385.00000000000006</v>
      </c>
      <c r="R90" s="315">
        <f t="shared" si="34"/>
        <v>0.31739488870568844</v>
      </c>
      <c r="S90" s="321">
        <f t="shared" si="35"/>
        <v>51205.000000000007</v>
      </c>
      <c r="T90" s="322">
        <f t="shared" si="36"/>
        <v>385.00000000000006</v>
      </c>
      <c r="U90" s="315">
        <f t="shared" si="28"/>
        <v>0.34799007781440083</v>
      </c>
      <c r="V90" s="457">
        <f t="shared" si="37"/>
        <v>3.8201245617740004E-3</v>
      </c>
      <c r="W90" s="300">
        <f t="shared" si="27"/>
        <v>3.3704138030789029E-3</v>
      </c>
      <c r="X90" s="299"/>
      <c r="Y90" s="313"/>
      <c r="Z90" s="314">
        <f>28*3*475</f>
        <v>39900</v>
      </c>
      <c r="AA90" s="314"/>
      <c r="AB90" s="331"/>
      <c r="AC90" s="299"/>
    </row>
    <row r="91" spans="1:31" ht="12.75">
      <c r="A91" s="298" t="s">
        <v>152</v>
      </c>
      <c r="B91" s="299" t="s">
        <v>58</v>
      </c>
      <c r="C91" s="440">
        <v>442</v>
      </c>
      <c r="D91" s="314" t="s">
        <v>340</v>
      </c>
      <c r="E91" s="314"/>
      <c r="F91" s="315"/>
      <c r="H91" s="315"/>
      <c r="I91" s="315"/>
      <c r="J91" s="320">
        <f t="shared" si="29"/>
        <v>486.20000000000005</v>
      </c>
      <c r="K91" s="320">
        <f>442*CMF</f>
        <v>486.20000000000005</v>
      </c>
      <c r="L91" s="315">
        <f t="shared" si="30"/>
        <v>0.29682539682539683</v>
      </c>
      <c r="M91" s="320">
        <f t="shared" si="31"/>
        <v>35006.400000000001</v>
      </c>
      <c r="N91" s="320">
        <f>442*CMF</f>
        <v>486.20000000000005</v>
      </c>
      <c r="O91" s="315">
        <f t="shared" si="32"/>
        <v>0.47854330708661424</v>
      </c>
      <c r="P91" s="320">
        <f t="shared" si="33"/>
        <v>29658.200000000004</v>
      </c>
      <c r="Q91" s="320">
        <f>442*CMF</f>
        <v>486.20000000000005</v>
      </c>
      <c r="R91" s="315">
        <f t="shared" si="34"/>
        <v>0.4008244023083265</v>
      </c>
      <c r="S91" s="321">
        <f t="shared" si="35"/>
        <v>64664.600000000006</v>
      </c>
      <c r="T91" s="322">
        <f t="shared" si="36"/>
        <v>486.20000000000005</v>
      </c>
      <c r="U91" s="315">
        <f t="shared" si="28"/>
        <v>0.43946175541132898</v>
      </c>
      <c r="V91" s="457">
        <f t="shared" si="37"/>
        <v>4.8242715894403088E-3</v>
      </c>
      <c r="W91" s="300">
        <f t="shared" si="27"/>
        <v>4.2563511456024999E-3</v>
      </c>
      <c r="X91" s="309"/>
      <c r="Y91" s="299"/>
      <c r="Z91" s="314">
        <f>+Z90-Z89</f>
        <v>5320</v>
      </c>
      <c r="AA91" s="314"/>
      <c r="AB91" s="331"/>
      <c r="AC91" s="299"/>
    </row>
    <row r="92" spans="1:31" ht="12.75">
      <c r="A92" s="298" t="s">
        <v>152</v>
      </c>
      <c r="B92" s="299" t="s">
        <v>59</v>
      </c>
      <c r="C92" s="440">
        <v>70</v>
      </c>
      <c r="D92" s="314" t="s">
        <v>526</v>
      </c>
      <c r="E92" s="314"/>
      <c r="F92" s="315"/>
      <c r="H92" s="315"/>
      <c r="I92" s="315"/>
      <c r="J92" s="320">
        <f t="shared" si="29"/>
        <v>37.602631578947374</v>
      </c>
      <c r="K92" s="320">
        <f>((70*4.33*15)*CMF)/SM134Units</f>
        <v>37.602631578947374</v>
      </c>
      <c r="L92" s="315">
        <f t="shared" si="30"/>
        <v>2.2956429535376906E-2</v>
      </c>
      <c r="M92" s="320">
        <f t="shared" si="31"/>
        <v>4001.6842105263163</v>
      </c>
      <c r="N92" s="320">
        <f>((70*8*12)*CMF)/SM134Units</f>
        <v>55.578947368421062</v>
      </c>
      <c r="O92" s="315">
        <f t="shared" si="32"/>
        <v>5.4703688354745136E-2</v>
      </c>
      <c r="P92" s="320">
        <f t="shared" si="33"/>
        <v>3390.3157894736846</v>
      </c>
      <c r="Q92" s="320">
        <f>((70*8*12)*CMF)/SM134Units</f>
        <v>55.578947368421062</v>
      </c>
      <c r="R92" s="315">
        <f t="shared" si="34"/>
        <v>4.5819412504881335E-2</v>
      </c>
      <c r="S92" s="321">
        <f t="shared" si="35"/>
        <v>7392.0000000000009</v>
      </c>
      <c r="T92" s="322">
        <f t="shared" si="36"/>
        <v>55.578947368421062</v>
      </c>
      <c r="U92" s="315">
        <f t="shared" si="28"/>
        <v>5.0236161609296962E-2</v>
      </c>
      <c r="V92" s="457">
        <f t="shared" si="37"/>
        <v>5.5147662846662256E-4</v>
      </c>
      <c r="W92" s="300">
        <f t="shared" si="27"/>
        <v>4.8655597758733032E-4</v>
      </c>
      <c r="X92" s="299"/>
      <c r="Y92" s="313"/>
      <c r="Z92" s="314">
        <f>+Z91+Z88</f>
        <v>12320</v>
      </c>
      <c r="AA92" s="314"/>
      <c r="AB92" s="331"/>
      <c r="AC92" s="299"/>
    </row>
    <row r="93" spans="1:31" ht="12.75">
      <c r="A93" s="298" t="s">
        <v>151</v>
      </c>
      <c r="B93" s="307" t="s">
        <v>60</v>
      </c>
      <c r="C93" s="440">
        <v>1000</v>
      </c>
      <c r="D93" s="314" t="s">
        <v>524</v>
      </c>
      <c r="E93" s="314"/>
      <c r="F93" s="315"/>
      <c r="H93" s="315"/>
      <c r="I93" s="315"/>
      <c r="J93" s="320">
        <f t="shared" si="29"/>
        <v>1100</v>
      </c>
      <c r="K93" s="320">
        <f>1000*CMF</f>
        <v>1100</v>
      </c>
      <c r="L93" s="315">
        <f t="shared" si="30"/>
        <v>0.6715506715506715</v>
      </c>
      <c r="M93" s="320">
        <f t="shared" si="31"/>
        <v>79200</v>
      </c>
      <c r="N93" s="320">
        <f>1000*CMF</f>
        <v>1100</v>
      </c>
      <c r="O93" s="315">
        <f t="shared" si="32"/>
        <v>1.0826771653543308</v>
      </c>
      <c r="P93" s="320">
        <f t="shared" si="33"/>
        <v>100650.00000000001</v>
      </c>
      <c r="Q93" s="320">
        <f>1500*CMF</f>
        <v>1650.0000000000002</v>
      </c>
      <c r="R93" s="315">
        <f t="shared" si="34"/>
        <v>1.3602638087386647</v>
      </c>
      <c r="S93" s="321">
        <f t="shared" si="35"/>
        <v>179850</v>
      </c>
      <c r="T93" s="322">
        <f t="shared" si="36"/>
        <v>1352.2556390977443</v>
      </c>
      <c r="U93" s="315">
        <f t="shared" si="28"/>
        <v>1.2222637534404839</v>
      </c>
      <c r="V93" s="457">
        <f t="shared" si="37"/>
        <v>1.3417623326531665E-2</v>
      </c>
      <c r="W93" s="300">
        <f t="shared" si="27"/>
        <v>1.1838080704691742E-2</v>
      </c>
      <c r="X93" s="299"/>
      <c r="Y93" s="313"/>
      <c r="Z93" s="314">
        <f>Z92*0.58</f>
        <v>7145.5999999999995</v>
      </c>
      <c r="AA93" s="314"/>
      <c r="AB93" s="331"/>
      <c r="AC93" s="299"/>
      <c r="AE93" s="20">
        <f>AD93*12</f>
        <v>0</v>
      </c>
    </row>
    <row r="94" spans="1:31" ht="12.75">
      <c r="A94" s="298" t="s">
        <v>213</v>
      </c>
      <c r="B94" s="307" t="s">
        <v>61</v>
      </c>
      <c r="C94" s="320">
        <f>(1000+500+500+500)*4.33</f>
        <v>10825</v>
      </c>
      <c r="D94" s="314" t="s">
        <v>526</v>
      </c>
      <c r="E94"/>
      <c r="F94"/>
      <c r="G94"/>
      <c r="H94"/>
      <c r="I94" s="315"/>
      <c r="J94" s="320">
        <f t="shared" si="29"/>
        <v>1342.9511278195489</v>
      </c>
      <c r="K94" s="320">
        <f>(((1000+500+500+500)*4.33*15)*CMF)/SM134Units</f>
        <v>1342.9511278195489</v>
      </c>
      <c r="L94" s="315">
        <f t="shared" si="30"/>
        <v>0.81987248340631802</v>
      </c>
      <c r="M94" s="320">
        <f t="shared" si="31"/>
        <v>96692.481203007526</v>
      </c>
      <c r="N94" s="320">
        <f>(((1000+500+500+500)*4.33*15)*CMF)/SM134Units</f>
        <v>1342.9511278195489</v>
      </c>
      <c r="O94" s="315">
        <f t="shared" si="32"/>
        <v>1.3218022911609733</v>
      </c>
      <c r="P94" s="320">
        <f t="shared" si="33"/>
        <v>81920.018796992488</v>
      </c>
      <c r="Q94" s="320">
        <f>(((1000+500+500+500)*4.33*15)*CMF)/SM134Units</f>
        <v>1342.9511278195489</v>
      </c>
      <c r="R94" s="315">
        <f t="shared" si="34"/>
        <v>1.1071320097440633</v>
      </c>
      <c r="S94" s="412">
        <f t="shared" si="35"/>
        <v>178612.5</v>
      </c>
      <c r="T94" s="322">
        <f t="shared" si="36"/>
        <v>1342.9511278195489</v>
      </c>
      <c r="U94" s="315">
        <f t="shared" si="28"/>
        <v>1.213853681742499</v>
      </c>
      <c r="V94" s="453">
        <f t="shared" si="37"/>
        <v>1.332530023024819E-2</v>
      </c>
      <c r="W94" s="453">
        <f t="shared" si="27"/>
        <v>1.1756626020943862E-2</v>
      </c>
      <c r="X94" s="314"/>
      <c r="Y94" s="299"/>
      <c r="Z94" s="299">
        <f>0.5*Z85/12</f>
        <v>-19386.656561358719</v>
      </c>
      <c r="AA94" s="299"/>
      <c r="AB94" s="331"/>
      <c r="AC94" s="299"/>
      <c r="AE94" s="20">
        <f>AD94*12</f>
        <v>0</v>
      </c>
    </row>
    <row r="95" spans="1:31" ht="13.5" thickBot="1">
      <c r="A95" s="334"/>
      <c r="B95" s="353" t="s">
        <v>357</v>
      </c>
      <c r="D95"/>
      <c r="E95"/>
      <c r="F95"/>
      <c r="G95"/>
      <c r="H95"/>
      <c r="I95" s="355"/>
      <c r="J95" s="354">
        <f t="shared" si="29"/>
        <v>85506.60588833777</v>
      </c>
      <c r="K95" s="354">
        <f>+SUM(K14:K94)</f>
        <v>85506.60588833777</v>
      </c>
      <c r="L95" s="474">
        <f t="shared" si="30"/>
        <v>52.201835096665306</v>
      </c>
      <c r="M95" s="354">
        <f t="shared" si="31"/>
        <v>4019181.9610971604</v>
      </c>
      <c r="N95" s="354">
        <f>+SUM(N14:N94)</f>
        <v>55821.971681905008</v>
      </c>
      <c r="O95" s="356">
        <f t="shared" si="32"/>
        <v>54.942885513686029</v>
      </c>
      <c r="P95" s="354">
        <f t="shared" si="33"/>
        <v>4114104.9230823163</v>
      </c>
      <c r="Q95" s="354">
        <f>+SUM(Q14:Q94)</f>
        <v>67444.343001349451</v>
      </c>
      <c r="R95" s="356">
        <f t="shared" si="34"/>
        <v>55.60127205387424</v>
      </c>
      <c r="S95" s="321">
        <f>SUM(S14:S94)</f>
        <v>7918059.0588669777</v>
      </c>
      <c r="T95" s="354">
        <f>+SUM(T14:T94)</f>
        <v>59534.278638097581</v>
      </c>
      <c r="U95" s="356">
        <f>+S95/U$8</f>
        <v>53.81126819713193</v>
      </c>
      <c r="V95" s="475">
        <f t="shared" si="37"/>
        <v>0.59072301322829535</v>
      </c>
      <c r="W95" s="459">
        <f t="shared" si="27"/>
        <v>0.52118221942386889</v>
      </c>
      <c r="X95" s="299"/>
      <c r="Y95" s="299"/>
      <c r="Z95" s="299"/>
      <c r="AA95" s="299"/>
      <c r="AB95" s="302"/>
      <c r="AC95" s="299"/>
    </row>
    <row r="96" spans="1:31" ht="13.5" thickTop="1">
      <c r="A96" s="298"/>
      <c r="B96" s="299"/>
      <c r="C96" s="335" t="s">
        <v>340</v>
      </c>
      <c r="D96" s="335" t="s">
        <v>341</v>
      </c>
      <c r="E96" s="335" t="s">
        <v>342</v>
      </c>
      <c r="F96" s="335" t="s">
        <v>253</v>
      </c>
      <c r="G96" s="335" t="s">
        <v>252</v>
      </c>
      <c r="H96" s="299"/>
      <c r="I96" s="299"/>
      <c r="J96" s="299"/>
      <c r="K96" s="299"/>
      <c r="L96" s="299"/>
      <c r="M96" s="299"/>
      <c r="N96" s="299"/>
      <c r="O96" s="413"/>
      <c r="P96" s="299"/>
      <c r="Q96" s="299"/>
      <c r="R96" s="299"/>
      <c r="S96" s="302"/>
      <c r="T96" s="299"/>
      <c r="U96" s="299"/>
      <c r="V96" s="300"/>
      <c r="W96" s="300"/>
      <c r="X96" s="299"/>
      <c r="Y96" s="299"/>
      <c r="Z96" s="299"/>
      <c r="AA96" s="299"/>
      <c r="AB96" s="302"/>
      <c r="AC96" s="299"/>
    </row>
    <row r="97" spans="1:29" ht="12.75">
      <c r="A97" s="298"/>
      <c r="B97" s="307" t="s">
        <v>238</v>
      </c>
      <c r="C97" s="299" t="s">
        <v>297</v>
      </c>
      <c r="D97" s="299"/>
      <c r="E97" s="299"/>
      <c r="F97" s="299">
        <f>10.3*43560*2.5</f>
        <v>1121670.0000000002</v>
      </c>
      <c r="G97" s="299">
        <f>F97/10.3</f>
        <v>108900.00000000001</v>
      </c>
      <c r="H97" s="299"/>
      <c r="I97" s="299"/>
      <c r="J97" s="336"/>
      <c r="K97" s="336"/>
      <c r="L97" s="317"/>
      <c r="M97" s="336">
        <f>N97*N$8</f>
        <v>607219.84962406033</v>
      </c>
      <c r="N97" s="336">
        <f>+$F97/SM134Units</f>
        <v>8433.609022556393</v>
      </c>
      <c r="O97" s="414">
        <f t="shared" ref="O97:O143" si="38">+N97/N$11</f>
        <v>8.3007962820436934</v>
      </c>
      <c r="P97" s="336">
        <f>Q97*Q$8</f>
        <v>514450.15037593996</v>
      </c>
      <c r="Q97" s="336">
        <f>+$F97/SM134Units</f>
        <v>8433.609022556393</v>
      </c>
      <c r="R97" s="317">
        <f>+Q97/Q$11</f>
        <v>6.9526867457183785</v>
      </c>
      <c r="S97" s="337">
        <f>+P97+M97</f>
        <v>1121670.0000000002</v>
      </c>
      <c r="T97" s="336">
        <f>+S97/S$8</f>
        <v>8433.609022556393</v>
      </c>
      <c r="U97" s="317">
        <f>+S97/U$8</f>
        <v>7.6228889870535879</v>
      </c>
      <c r="V97" s="457">
        <f t="shared" ref="V97:V112" si="39">+S97/TotalCost</f>
        <v>8.3681654471341543E-2</v>
      </c>
      <c r="W97" s="300">
        <f t="shared" si="27"/>
        <v>7.3830525349077497E-2</v>
      </c>
      <c r="X97" s="299"/>
      <c r="Y97" s="299"/>
      <c r="Z97" s="299"/>
      <c r="AA97" s="299"/>
      <c r="AB97" s="302"/>
      <c r="AC97" s="299"/>
    </row>
    <row r="98" spans="1:29" ht="12.75">
      <c r="A98" s="298"/>
      <c r="B98" s="330" t="s">
        <v>239</v>
      </c>
      <c r="C98" s="299"/>
      <c r="D98" s="299"/>
      <c r="E98" s="299"/>
      <c r="F98" s="299"/>
      <c r="G98" s="299"/>
      <c r="H98" s="299"/>
      <c r="I98" s="299"/>
      <c r="J98" s="320"/>
      <c r="K98" s="299"/>
      <c r="L98" s="315"/>
      <c r="M98" s="320"/>
      <c r="N98" s="299"/>
      <c r="O98" s="413"/>
      <c r="P98" s="320"/>
      <c r="Q98" s="299"/>
      <c r="R98" s="315"/>
      <c r="S98" s="302"/>
      <c r="T98" s="299"/>
      <c r="U98" s="299"/>
      <c r="V98" s="300"/>
      <c r="W98" s="300"/>
      <c r="X98" s="299"/>
      <c r="Y98" s="299"/>
      <c r="Z98" s="299"/>
      <c r="AA98" s="299"/>
      <c r="AB98" s="302"/>
      <c r="AC98" s="299"/>
    </row>
    <row r="99" spans="1:29" ht="12.75">
      <c r="A99" s="298"/>
      <c r="B99" s="299" t="s">
        <v>299</v>
      </c>
      <c r="C99" s="299" t="s">
        <v>331</v>
      </c>
      <c r="D99" s="299">
        <v>1</v>
      </c>
      <c r="E99" s="299">
        <v>37800</v>
      </c>
      <c r="F99" s="299">
        <f>+E99*D99</f>
        <v>37800</v>
      </c>
      <c r="G99" s="299">
        <f t="shared" ref="G99:G111" si="40">F99/10.3</f>
        <v>3669.9029126213591</v>
      </c>
      <c r="H99" s="299"/>
      <c r="I99" s="299"/>
      <c r="J99" s="320"/>
      <c r="K99" s="315"/>
      <c r="L99" s="315"/>
      <c r="M99" s="448">
        <f t="shared" ref="M99:M114" si="41">N99*N$8</f>
        <v>20310.447761194031</v>
      </c>
      <c r="N99" s="448">
        <f>(37800)/134</f>
        <v>282.08955223880599</v>
      </c>
      <c r="O99" s="415">
        <f t="shared" si="38"/>
        <v>0.27764719708543895</v>
      </c>
      <c r="P99" s="448">
        <f t="shared" ref="P99:P114" si="42">Q99*Q$8</f>
        <v>17207.462686567167</v>
      </c>
      <c r="Q99" s="448">
        <f>(37800)/134</f>
        <v>282.08955223880599</v>
      </c>
      <c r="R99" s="315">
        <f>+Q99/Q$11</f>
        <v>0.23255527802045012</v>
      </c>
      <c r="S99" s="337">
        <f t="shared" ref="S99:S114" si="43">+P99+M99</f>
        <v>37517.910447761198</v>
      </c>
      <c r="T99" s="322">
        <f>+S99/S$8</f>
        <v>282.08955223880599</v>
      </c>
      <c r="U99" s="317">
        <f>+S99/U$8</f>
        <v>0.25497237723171834</v>
      </c>
      <c r="V99" s="457">
        <f t="shared" si="39"/>
        <v>2.7990057847462144E-3</v>
      </c>
      <c r="W99" s="300">
        <f t="shared" si="27"/>
        <v>2.4695026508312176E-3</v>
      </c>
      <c r="X99" s="299"/>
      <c r="Y99" s="299"/>
      <c r="Z99" s="299"/>
      <c r="AA99" s="299"/>
      <c r="AB99" s="302"/>
      <c r="AC99" s="299"/>
    </row>
    <row r="100" spans="1:29" ht="12.75">
      <c r="A100" s="298"/>
      <c r="B100" s="299" t="s">
        <v>322</v>
      </c>
      <c r="C100" s="299" t="s">
        <v>336</v>
      </c>
      <c r="D100" s="299">
        <v>13100</v>
      </c>
      <c r="E100" s="317">
        <v>5.75</v>
      </c>
      <c r="F100" s="299">
        <f>+E100*D100</f>
        <v>75325</v>
      </c>
      <c r="G100" s="299">
        <f t="shared" si="40"/>
        <v>7313.1067961165045</v>
      </c>
      <c r="H100" s="299"/>
      <c r="I100" s="299"/>
      <c r="J100" s="320"/>
      <c r="K100" s="299"/>
      <c r="L100" s="315"/>
      <c r="M100" s="320">
        <f t="shared" si="41"/>
        <v>40777.443609022557</v>
      </c>
      <c r="N100" s="299">
        <f>+$F100/SM134Units</f>
        <v>566.35338345864659</v>
      </c>
      <c r="O100" s="315">
        <f t="shared" si="38"/>
        <v>0.55743443253803793</v>
      </c>
      <c r="P100" s="320">
        <f t="shared" si="42"/>
        <v>34547.556390977443</v>
      </c>
      <c r="Q100" s="299">
        <f t="shared" ref="Q100:Q114" si="44">+$F100/SM134Units</f>
        <v>566.35338345864659</v>
      </c>
      <c r="R100" s="315">
        <f t="shared" ref="R100:R114" si="45">+Q100/Q$11</f>
        <v>0.46690303665181088</v>
      </c>
      <c r="S100" s="331">
        <f t="shared" si="43"/>
        <v>75325</v>
      </c>
      <c r="T100" s="322">
        <f t="shared" ref="T100:T114" si="46">+S100/S$8</f>
        <v>566.35338345864659</v>
      </c>
      <c r="U100" s="439">
        <f>+S100/U$8</f>
        <v>0.51191002072785352</v>
      </c>
      <c r="V100" s="457">
        <f t="shared" si="39"/>
        <v>5.6195856384264531E-3</v>
      </c>
      <c r="W100" s="300">
        <f t="shared" si="27"/>
        <v>4.9580396390375616E-3</v>
      </c>
      <c r="X100" s="299"/>
      <c r="Y100" s="299"/>
      <c r="Z100" s="299"/>
      <c r="AA100" s="299"/>
      <c r="AB100" s="302"/>
      <c r="AC100" s="299"/>
    </row>
    <row r="101" spans="1:29" ht="12.75">
      <c r="A101" s="298"/>
      <c r="B101" s="299" t="s">
        <v>323</v>
      </c>
      <c r="C101" s="299" t="s">
        <v>336</v>
      </c>
      <c r="D101" s="299">
        <v>13100</v>
      </c>
      <c r="E101" s="315">
        <v>3.75</v>
      </c>
      <c r="F101" s="299">
        <f t="shared" ref="F101:F114" si="47">+E101*D101</f>
        <v>49125</v>
      </c>
      <c r="G101" s="299">
        <f t="shared" si="40"/>
        <v>4769.4174757281553</v>
      </c>
      <c r="H101" s="299"/>
      <c r="I101" s="299"/>
      <c r="J101" s="320"/>
      <c r="K101" s="299"/>
      <c r="L101" s="315"/>
      <c r="M101" s="320">
        <f t="shared" si="41"/>
        <v>26593.984962406015</v>
      </c>
      <c r="N101" s="299">
        <f>+$F101/SM134Units</f>
        <v>369.36090225563908</v>
      </c>
      <c r="O101" s="315">
        <f t="shared" si="38"/>
        <v>0.363544195133503</v>
      </c>
      <c r="P101" s="320">
        <f t="shared" si="42"/>
        <v>22531.015037593985</v>
      </c>
      <c r="Q101" s="299">
        <f t="shared" si="44"/>
        <v>369.36090225563908</v>
      </c>
      <c r="R101" s="315">
        <f t="shared" si="45"/>
        <v>0.30450198042509402</v>
      </c>
      <c r="S101" s="331">
        <f t="shared" si="43"/>
        <v>49125</v>
      </c>
      <c r="T101" s="322">
        <f t="shared" si="46"/>
        <v>369.36090225563908</v>
      </c>
      <c r="U101" s="439">
        <f t="shared" ref="U101:U114" si="48">+S101/U$8</f>
        <v>0.33385436134425228</v>
      </c>
      <c r="V101" s="457">
        <f t="shared" si="39"/>
        <v>3.6649471554955132E-3</v>
      </c>
      <c r="W101" s="300">
        <f t="shared" si="27"/>
        <v>3.233504112415801E-3</v>
      </c>
      <c r="X101" s="299"/>
      <c r="Y101" s="299"/>
      <c r="Z101" s="299"/>
      <c r="AA101" s="299"/>
      <c r="AB101" s="302"/>
      <c r="AC101" s="299"/>
    </row>
    <row r="102" spans="1:29" ht="12.75">
      <c r="A102" s="298"/>
      <c r="B102" s="299" t="s">
        <v>324</v>
      </c>
      <c r="C102" s="299" t="s">
        <v>337</v>
      </c>
      <c r="D102" s="299">
        <v>10000</v>
      </c>
      <c r="E102" s="315">
        <v>3</v>
      </c>
      <c r="F102" s="299">
        <f t="shared" si="47"/>
        <v>30000</v>
      </c>
      <c r="G102" s="299">
        <f t="shared" si="40"/>
        <v>2912.6213592233007</v>
      </c>
      <c r="H102" s="299"/>
      <c r="I102" s="299"/>
      <c r="J102" s="320"/>
      <c r="K102" s="299"/>
      <c r="L102" s="315"/>
      <c r="M102" s="320">
        <f t="shared" si="41"/>
        <v>16240.601503759399</v>
      </c>
      <c r="N102" s="299">
        <f>+$F102/SM134Units</f>
        <v>225.5639097744361</v>
      </c>
      <c r="O102" s="315">
        <f t="shared" si="38"/>
        <v>0.22201172221893317</v>
      </c>
      <c r="P102" s="320">
        <f t="shared" si="42"/>
        <v>13759.398496240601</v>
      </c>
      <c r="Q102" s="299">
        <f t="shared" si="44"/>
        <v>225.5639097744361</v>
      </c>
      <c r="R102" s="315">
        <f t="shared" si="45"/>
        <v>0.18595540789318721</v>
      </c>
      <c r="S102" s="331">
        <f t="shared" si="43"/>
        <v>30000</v>
      </c>
      <c r="T102" s="322">
        <f t="shared" si="46"/>
        <v>225.5639097744361</v>
      </c>
      <c r="U102" s="439">
        <f t="shared" si="48"/>
        <v>0.2038805260117571</v>
      </c>
      <c r="V102" s="457">
        <f t="shared" si="39"/>
        <v>2.2381356674781761E-3</v>
      </c>
      <c r="W102" s="300">
        <f t="shared" si="27"/>
        <v>1.9746589999485808E-3</v>
      </c>
      <c r="X102" s="299"/>
      <c r="Y102" s="299"/>
      <c r="Z102" s="299"/>
      <c r="AA102" s="299"/>
      <c r="AB102" s="302"/>
      <c r="AC102" s="299"/>
    </row>
    <row r="103" spans="1:29" ht="12.75">
      <c r="A103" s="298"/>
      <c r="B103" s="299" t="s">
        <v>325</v>
      </c>
      <c r="C103" s="299" t="s">
        <v>338</v>
      </c>
      <c r="D103" s="299">
        <v>5000</v>
      </c>
      <c r="E103" s="315">
        <v>6</v>
      </c>
      <c r="F103" s="299">
        <f t="shared" si="47"/>
        <v>30000</v>
      </c>
      <c r="G103" s="299">
        <f t="shared" si="40"/>
        <v>2912.6213592233007</v>
      </c>
      <c r="H103" s="299"/>
      <c r="I103" s="299"/>
      <c r="J103" s="320"/>
      <c r="K103" s="299"/>
      <c r="L103" s="315"/>
      <c r="M103" s="320">
        <f t="shared" si="41"/>
        <v>16240.601503759399</v>
      </c>
      <c r="N103" s="299">
        <f t="shared" ref="N103:N114" si="49">+$F103/SM134Units</f>
        <v>225.5639097744361</v>
      </c>
      <c r="O103" s="315">
        <f t="shared" si="38"/>
        <v>0.22201172221893317</v>
      </c>
      <c r="P103" s="320">
        <f t="shared" si="42"/>
        <v>13759.398496240601</v>
      </c>
      <c r="Q103" s="299">
        <f t="shared" si="44"/>
        <v>225.5639097744361</v>
      </c>
      <c r="R103" s="315">
        <f t="shared" si="45"/>
        <v>0.18595540789318721</v>
      </c>
      <c r="S103" s="331">
        <f t="shared" si="43"/>
        <v>30000</v>
      </c>
      <c r="T103" s="322">
        <f t="shared" si="46"/>
        <v>225.5639097744361</v>
      </c>
      <c r="U103" s="439">
        <f t="shared" si="48"/>
        <v>0.2038805260117571</v>
      </c>
      <c r="V103" s="457">
        <f t="shared" si="39"/>
        <v>2.2381356674781761E-3</v>
      </c>
      <c r="W103" s="300">
        <f t="shared" si="27"/>
        <v>1.9746589999485808E-3</v>
      </c>
      <c r="X103" s="299"/>
      <c r="Y103" s="299"/>
      <c r="Z103" s="299"/>
      <c r="AA103" s="299"/>
      <c r="AB103" s="302"/>
      <c r="AC103" s="299"/>
    </row>
    <row r="104" spans="1:29" ht="12.75">
      <c r="A104" s="298"/>
      <c r="B104" s="299" t="s">
        <v>326</v>
      </c>
      <c r="C104" s="299" t="s">
        <v>338</v>
      </c>
      <c r="D104" s="299">
        <v>2200</v>
      </c>
      <c r="E104" s="315">
        <v>25</v>
      </c>
      <c r="F104" s="299">
        <f t="shared" si="47"/>
        <v>55000</v>
      </c>
      <c r="G104" s="299">
        <f t="shared" si="40"/>
        <v>5339.8058252427181</v>
      </c>
      <c r="H104" s="299"/>
      <c r="I104" s="299"/>
      <c r="J104" s="320"/>
      <c r="K104" s="299"/>
      <c r="L104" s="315"/>
      <c r="M104" s="320">
        <f t="shared" si="41"/>
        <v>29774.436090225565</v>
      </c>
      <c r="N104" s="299">
        <f t="shared" si="49"/>
        <v>413.53383458646618</v>
      </c>
      <c r="O104" s="315">
        <f t="shared" si="38"/>
        <v>0.40702149073471083</v>
      </c>
      <c r="P104" s="320">
        <f t="shared" si="42"/>
        <v>25225.563909774439</v>
      </c>
      <c r="Q104" s="299">
        <f t="shared" si="44"/>
        <v>413.53383458646618</v>
      </c>
      <c r="R104" s="315">
        <f t="shared" si="45"/>
        <v>0.34091824780417657</v>
      </c>
      <c r="S104" s="331">
        <f t="shared" si="43"/>
        <v>55000</v>
      </c>
      <c r="T104" s="322">
        <f t="shared" si="46"/>
        <v>413.53383458646618</v>
      </c>
      <c r="U104" s="439">
        <f t="shared" si="48"/>
        <v>0.37378096435488806</v>
      </c>
      <c r="V104" s="457">
        <f t="shared" si="39"/>
        <v>4.103248723709989E-3</v>
      </c>
      <c r="W104" s="300">
        <f t="shared" si="27"/>
        <v>3.620208166572398E-3</v>
      </c>
      <c r="X104" s="299"/>
      <c r="Y104" s="299"/>
      <c r="Z104" s="299"/>
      <c r="AA104" s="299"/>
      <c r="AB104" s="302"/>
      <c r="AC104" s="299"/>
    </row>
    <row r="105" spans="1:29" ht="12.75">
      <c r="A105" s="298"/>
      <c r="B105" s="299" t="s">
        <v>335</v>
      </c>
      <c r="C105" s="299" t="s">
        <v>338</v>
      </c>
      <c r="D105" s="299">
        <v>210</v>
      </c>
      <c r="E105" s="315">
        <v>17</v>
      </c>
      <c r="F105" s="299">
        <f t="shared" si="47"/>
        <v>3570</v>
      </c>
      <c r="G105" s="299">
        <f t="shared" si="40"/>
        <v>346.60194174757277</v>
      </c>
      <c r="H105" s="299"/>
      <c r="I105" s="299"/>
      <c r="J105" s="320"/>
      <c r="K105" s="299"/>
      <c r="L105" s="315"/>
      <c r="M105" s="320">
        <f t="shared" si="41"/>
        <v>1932.6315789473683</v>
      </c>
      <c r="N105" s="299">
        <f t="shared" si="49"/>
        <v>26.842105263157894</v>
      </c>
      <c r="O105" s="315">
        <f t="shared" si="38"/>
        <v>2.6419394944053046E-2</v>
      </c>
      <c r="P105" s="320">
        <f t="shared" si="42"/>
        <v>1637.3684210526314</v>
      </c>
      <c r="Q105" s="299">
        <f t="shared" si="44"/>
        <v>26.842105263157894</v>
      </c>
      <c r="R105" s="315">
        <f t="shared" si="45"/>
        <v>2.2128693539289278E-2</v>
      </c>
      <c r="S105" s="331">
        <f t="shared" si="43"/>
        <v>3570</v>
      </c>
      <c r="T105" s="322">
        <f t="shared" si="46"/>
        <v>26.842105263157894</v>
      </c>
      <c r="U105" s="439">
        <f t="shared" si="48"/>
        <v>2.4261782595399097E-2</v>
      </c>
      <c r="V105" s="457">
        <f t="shared" si="39"/>
        <v>2.6633814442990296E-4</v>
      </c>
      <c r="W105" s="300">
        <f t="shared" si="27"/>
        <v>2.349844209938811E-4</v>
      </c>
      <c r="X105" s="299"/>
      <c r="Y105" s="299"/>
      <c r="Z105" s="299"/>
      <c r="AA105" s="299"/>
      <c r="AB105" s="302"/>
      <c r="AC105" s="299"/>
    </row>
    <row r="106" spans="1:29" ht="12.75">
      <c r="A106" s="298"/>
      <c r="B106" s="299" t="s">
        <v>327</v>
      </c>
      <c r="C106" s="299" t="s">
        <v>339</v>
      </c>
      <c r="D106" s="299">
        <v>134</v>
      </c>
      <c r="E106" s="299">
        <v>600</v>
      </c>
      <c r="F106" s="299">
        <f t="shared" si="47"/>
        <v>80400</v>
      </c>
      <c r="G106" s="299">
        <f t="shared" si="40"/>
        <v>7805.8252427184461</v>
      </c>
      <c r="H106" s="299"/>
      <c r="I106" s="299"/>
      <c r="J106" s="320"/>
      <c r="K106" s="299"/>
      <c r="L106" s="315"/>
      <c r="M106" s="320">
        <f t="shared" si="41"/>
        <v>43524.812030075183</v>
      </c>
      <c r="N106" s="299">
        <f t="shared" si="49"/>
        <v>604.51127819548867</v>
      </c>
      <c r="O106" s="315">
        <f t="shared" si="38"/>
        <v>0.59499141554674084</v>
      </c>
      <c r="P106" s="320">
        <f t="shared" si="42"/>
        <v>36875.187969924809</v>
      </c>
      <c r="Q106" s="299">
        <f t="shared" si="44"/>
        <v>604.51127819548867</v>
      </c>
      <c r="R106" s="315">
        <f t="shared" si="45"/>
        <v>0.4983604931537417</v>
      </c>
      <c r="S106" s="331">
        <f t="shared" si="43"/>
        <v>80400</v>
      </c>
      <c r="T106" s="322">
        <f t="shared" si="46"/>
        <v>604.51127819548867</v>
      </c>
      <c r="U106" s="439">
        <f t="shared" si="48"/>
        <v>0.54639980971150903</v>
      </c>
      <c r="V106" s="457">
        <f t="shared" si="39"/>
        <v>5.9982035888415117E-3</v>
      </c>
      <c r="W106" s="300">
        <f t="shared" si="27"/>
        <v>5.2920861198621962E-3</v>
      </c>
      <c r="X106" s="299"/>
      <c r="Y106" s="299"/>
      <c r="Z106" s="299"/>
      <c r="AA106" s="299"/>
      <c r="AB106" s="302"/>
      <c r="AC106" s="299"/>
    </row>
    <row r="107" spans="1:29" ht="12.75">
      <c r="A107" s="298"/>
      <c r="B107" s="299" t="s">
        <v>328</v>
      </c>
      <c r="C107" s="299" t="s">
        <v>339</v>
      </c>
      <c r="D107" s="299">
        <v>2</v>
      </c>
      <c r="E107" s="299">
        <v>17500</v>
      </c>
      <c r="F107" s="299">
        <f t="shared" si="47"/>
        <v>35000</v>
      </c>
      <c r="G107" s="299">
        <f t="shared" si="40"/>
        <v>3398.058252427184</v>
      </c>
      <c r="H107" s="299"/>
      <c r="I107" s="299"/>
      <c r="J107" s="320"/>
      <c r="K107" s="299"/>
      <c r="L107" s="315"/>
      <c r="M107" s="320">
        <f t="shared" si="41"/>
        <v>18947.36842105263</v>
      </c>
      <c r="N107" s="299">
        <f t="shared" si="49"/>
        <v>263.15789473684208</v>
      </c>
      <c r="O107" s="315">
        <f t="shared" si="38"/>
        <v>0.25901367592208868</v>
      </c>
      <c r="P107" s="320">
        <f t="shared" si="42"/>
        <v>16052.631578947367</v>
      </c>
      <c r="Q107" s="299">
        <f t="shared" si="44"/>
        <v>263.15789473684208</v>
      </c>
      <c r="R107" s="315">
        <f t="shared" si="45"/>
        <v>0.21694797587538506</v>
      </c>
      <c r="S107" s="331">
        <f t="shared" si="43"/>
        <v>35000</v>
      </c>
      <c r="T107" s="322">
        <f t="shared" si="46"/>
        <v>263.15789473684208</v>
      </c>
      <c r="U107" s="439">
        <f t="shared" si="48"/>
        <v>0.2378606136803833</v>
      </c>
      <c r="V107" s="457">
        <f t="shared" si="39"/>
        <v>2.6111582787245384E-3</v>
      </c>
      <c r="W107" s="300">
        <f t="shared" si="27"/>
        <v>2.3037688332733439E-3</v>
      </c>
      <c r="X107" s="299"/>
      <c r="Y107" s="299"/>
      <c r="Z107" s="299"/>
      <c r="AA107" s="299"/>
      <c r="AB107" s="302"/>
      <c r="AC107" s="299"/>
    </row>
    <row r="108" spans="1:29" ht="12.75">
      <c r="A108" s="298"/>
      <c r="B108" s="299" t="s">
        <v>329</v>
      </c>
      <c r="C108" s="299" t="s">
        <v>339</v>
      </c>
      <c r="D108" s="299">
        <v>9</v>
      </c>
      <c r="E108" s="299">
        <v>2000</v>
      </c>
      <c r="F108" s="299">
        <f t="shared" si="47"/>
        <v>18000</v>
      </c>
      <c r="G108" s="299">
        <f t="shared" si="40"/>
        <v>1747.5728155339805</v>
      </c>
      <c r="H108" s="299"/>
      <c r="I108" s="299"/>
      <c r="J108" s="320"/>
      <c r="K108" s="299"/>
      <c r="L108" s="315"/>
      <c r="M108" s="320">
        <f t="shared" si="41"/>
        <v>9744.3609022556393</v>
      </c>
      <c r="N108" s="299">
        <f t="shared" si="49"/>
        <v>135.33834586466165</v>
      </c>
      <c r="O108" s="315">
        <f t="shared" si="38"/>
        <v>0.13320703333135989</v>
      </c>
      <c r="P108" s="320">
        <f t="shared" si="42"/>
        <v>8255.6390977443607</v>
      </c>
      <c r="Q108" s="299">
        <f t="shared" si="44"/>
        <v>135.33834586466165</v>
      </c>
      <c r="R108" s="315">
        <f t="shared" si="45"/>
        <v>0.11157324473591232</v>
      </c>
      <c r="S108" s="331">
        <f t="shared" si="43"/>
        <v>18000</v>
      </c>
      <c r="T108" s="322">
        <f t="shared" si="46"/>
        <v>135.33834586466165</v>
      </c>
      <c r="U108" s="439">
        <f t="shared" si="48"/>
        <v>0.12232831560705426</v>
      </c>
      <c r="V108" s="457">
        <f t="shared" si="39"/>
        <v>1.3428814004869056E-3</v>
      </c>
      <c r="W108" s="300">
        <f t="shared" si="27"/>
        <v>1.1847953999691483E-3</v>
      </c>
      <c r="X108" s="299"/>
      <c r="Y108" s="299"/>
      <c r="Z108" s="299"/>
      <c r="AA108" s="299"/>
      <c r="AB108" s="302"/>
      <c r="AC108" s="299"/>
    </row>
    <row r="109" spans="1:29" ht="12.75">
      <c r="A109" s="298"/>
      <c r="B109" s="299" t="s">
        <v>333</v>
      </c>
      <c r="C109" s="299" t="s">
        <v>338</v>
      </c>
      <c r="D109" s="299">
        <v>1860</v>
      </c>
      <c r="E109" s="315">
        <v>25</v>
      </c>
      <c r="F109" s="299">
        <f t="shared" si="47"/>
        <v>46500</v>
      </c>
      <c r="G109" s="299">
        <f t="shared" si="40"/>
        <v>4514.5631067961158</v>
      </c>
      <c r="H109" s="299"/>
      <c r="I109" s="299"/>
      <c r="J109" s="320"/>
      <c r="K109" s="299"/>
      <c r="L109" s="315"/>
      <c r="M109" s="320">
        <f t="shared" si="41"/>
        <v>25172.932330827069</v>
      </c>
      <c r="N109" s="299">
        <f t="shared" si="49"/>
        <v>349.62406015037595</v>
      </c>
      <c r="O109" s="315">
        <f t="shared" si="38"/>
        <v>0.34411816943934642</v>
      </c>
      <c r="P109" s="320">
        <f t="shared" si="42"/>
        <v>21327.067669172931</v>
      </c>
      <c r="Q109" s="299">
        <f t="shared" si="44"/>
        <v>349.62406015037595</v>
      </c>
      <c r="R109" s="315">
        <f t="shared" si="45"/>
        <v>0.28823088223444021</v>
      </c>
      <c r="S109" s="331">
        <f t="shared" si="43"/>
        <v>46500</v>
      </c>
      <c r="T109" s="322">
        <f t="shared" si="46"/>
        <v>349.62406015037595</v>
      </c>
      <c r="U109" s="439">
        <f t="shared" si="48"/>
        <v>0.31601481531822351</v>
      </c>
      <c r="V109" s="457">
        <f t="shared" si="39"/>
        <v>3.4691102845911728E-3</v>
      </c>
      <c r="W109" s="300">
        <f t="shared" si="27"/>
        <v>3.0607214499203E-3</v>
      </c>
      <c r="X109" s="299"/>
      <c r="Y109" s="299"/>
      <c r="Z109" s="299"/>
      <c r="AA109" s="299"/>
      <c r="AB109" s="302"/>
      <c r="AC109" s="299"/>
    </row>
    <row r="110" spans="1:29" ht="12.75">
      <c r="A110" s="298"/>
      <c r="B110" s="299" t="s">
        <v>334</v>
      </c>
      <c r="C110" s="299" t="s">
        <v>339</v>
      </c>
      <c r="D110" s="299">
        <v>12</v>
      </c>
      <c r="E110" s="299">
        <v>2000</v>
      </c>
      <c r="F110" s="299">
        <f t="shared" si="47"/>
        <v>24000</v>
      </c>
      <c r="G110" s="299">
        <f t="shared" si="40"/>
        <v>2330.0970873786405</v>
      </c>
      <c r="H110" s="299"/>
      <c r="I110" s="299"/>
      <c r="J110" s="320"/>
      <c r="K110" s="299"/>
      <c r="L110" s="315"/>
      <c r="M110" s="320">
        <f t="shared" si="41"/>
        <v>12992.481203007519</v>
      </c>
      <c r="N110" s="299">
        <f t="shared" si="49"/>
        <v>180.45112781954887</v>
      </c>
      <c r="O110" s="315">
        <f t="shared" si="38"/>
        <v>0.17760937777514652</v>
      </c>
      <c r="P110" s="320">
        <f t="shared" si="42"/>
        <v>11007.518796992481</v>
      </c>
      <c r="Q110" s="299">
        <f t="shared" si="44"/>
        <v>180.45112781954887</v>
      </c>
      <c r="R110" s="315">
        <f t="shared" si="45"/>
        <v>0.14876432631454978</v>
      </c>
      <c r="S110" s="331">
        <f t="shared" si="43"/>
        <v>24000</v>
      </c>
      <c r="T110" s="322">
        <f t="shared" si="46"/>
        <v>180.45112781954887</v>
      </c>
      <c r="U110" s="439">
        <f t="shared" si="48"/>
        <v>0.16310442080940568</v>
      </c>
      <c r="V110" s="457">
        <f t="shared" si="39"/>
        <v>1.7905085339825408E-3</v>
      </c>
      <c r="W110" s="300">
        <f t="shared" si="27"/>
        <v>1.5797271999588645E-3</v>
      </c>
      <c r="X110" s="299"/>
      <c r="Y110" s="299"/>
      <c r="Z110" s="299"/>
      <c r="AA110" s="299"/>
      <c r="AB110" s="302"/>
      <c r="AC110" s="299"/>
    </row>
    <row r="111" spans="1:29" ht="12.75">
      <c r="A111" s="298"/>
      <c r="B111" s="299" t="s">
        <v>332</v>
      </c>
      <c r="C111" s="299" t="s">
        <v>339</v>
      </c>
      <c r="D111" s="299">
        <v>2</v>
      </c>
      <c r="E111" s="299">
        <v>2000</v>
      </c>
      <c r="F111" s="299">
        <f t="shared" si="47"/>
        <v>4000</v>
      </c>
      <c r="G111" s="299">
        <f t="shared" si="40"/>
        <v>388.34951456310677</v>
      </c>
      <c r="H111" s="299"/>
      <c r="I111" s="299"/>
      <c r="J111" s="320"/>
      <c r="K111" s="299"/>
      <c r="L111" s="315"/>
      <c r="M111" s="320">
        <f t="shared" si="41"/>
        <v>2165.4135338345864</v>
      </c>
      <c r="N111" s="299">
        <f t="shared" si="49"/>
        <v>30.075187969924812</v>
      </c>
      <c r="O111" s="315">
        <f t="shared" si="38"/>
        <v>2.9601562962524423E-2</v>
      </c>
      <c r="P111" s="320">
        <f t="shared" si="42"/>
        <v>1834.5864661654136</v>
      </c>
      <c r="Q111" s="299">
        <f t="shared" si="44"/>
        <v>30.075187969924812</v>
      </c>
      <c r="R111" s="315">
        <f t="shared" si="45"/>
        <v>2.4794054385758296E-2</v>
      </c>
      <c r="S111" s="331">
        <f t="shared" si="43"/>
        <v>4000</v>
      </c>
      <c r="T111" s="322">
        <f t="shared" si="46"/>
        <v>30.075187969924812</v>
      </c>
      <c r="U111" s="439">
        <f t="shared" si="48"/>
        <v>2.7184070134900949E-2</v>
      </c>
      <c r="V111" s="457">
        <f t="shared" si="39"/>
        <v>2.9841808899709014E-4</v>
      </c>
      <c r="W111" s="300">
        <f t="shared" si="27"/>
        <v>2.6328786665981077E-4</v>
      </c>
      <c r="X111" s="299"/>
      <c r="Y111" s="299"/>
      <c r="Z111" s="299"/>
      <c r="AA111" s="299"/>
      <c r="AB111" s="302"/>
      <c r="AC111" s="299"/>
    </row>
    <row r="112" spans="1:29" ht="12.75">
      <c r="A112" s="298"/>
      <c r="B112" s="299" t="s">
        <v>251</v>
      </c>
      <c r="C112" s="299" t="s">
        <v>331</v>
      </c>
      <c r="D112" s="299">
        <v>1</v>
      </c>
      <c r="E112" s="299">
        <v>10000</v>
      </c>
      <c r="F112" s="299">
        <f t="shared" si="47"/>
        <v>10000</v>
      </c>
      <c r="G112" s="299">
        <f>F112/10.3</f>
        <v>970.87378640776694</v>
      </c>
      <c r="H112" s="299"/>
      <c r="I112" s="299"/>
      <c r="J112" s="320"/>
      <c r="K112" s="299"/>
      <c r="L112" s="315"/>
      <c r="M112" s="320">
        <f t="shared" si="41"/>
        <v>5413.5338345864657</v>
      </c>
      <c r="N112" s="299">
        <f t="shared" si="49"/>
        <v>75.187969924812023</v>
      </c>
      <c r="O112" s="315">
        <f t="shared" si="38"/>
        <v>7.4003907406311048E-2</v>
      </c>
      <c r="P112" s="320">
        <f t="shared" si="42"/>
        <v>4586.4661654135334</v>
      </c>
      <c r="Q112" s="299">
        <f t="shared" si="44"/>
        <v>75.187969924812023</v>
      </c>
      <c r="R112" s="315">
        <f t="shared" si="45"/>
        <v>6.1985135964395734E-2</v>
      </c>
      <c r="S112" s="331">
        <f t="shared" si="43"/>
        <v>10000</v>
      </c>
      <c r="T112" s="322">
        <f t="shared" si="46"/>
        <v>75.187969924812023</v>
      </c>
      <c r="U112" s="439">
        <f t="shared" si="48"/>
        <v>6.7960175337252376E-2</v>
      </c>
      <c r="V112" s="457">
        <f t="shared" si="39"/>
        <v>7.4604522249272528E-4</v>
      </c>
      <c r="W112" s="300">
        <f t="shared" si="27"/>
        <v>6.5821966664952685E-4</v>
      </c>
      <c r="X112" s="299"/>
      <c r="Y112" s="299"/>
      <c r="Z112" s="299"/>
      <c r="AA112" s="299"/>
      <c r="AB112" s="302"/>
      <c r="AC112" s="299"/>
    </row>
    <row r="113" spans="1:29" ht="12.75">
      <c r="A113" s="298"/>
      <c r="B113" s="299" t="s">
        <v>330</v>
      </c>
      <c r="C113" s="299" t="s">
        <v>331</v>
      </c>
      <c r="D113" s="299">
        <v>1</v>
      </c>
      <c r="E113" s="299">
        <v>75000</v>
      </c>
      <c r="F113" s="299">
        <f t="shared" si="47"/>
        <v>75000</v>
      </c>
      <c r="G113" s="299">
        <f>F113/10.3</f>
        <v>7281.5533980582522</v>
      </c>
      <c r="H113" s="299"/>
      <c r="I113" s="299"/>
      <c r="J113" s="320"/>
      <c r="K113" s="299"/>
      <c r="L113" s="315"/>
      <c r="M113" s="320">
        <f t="shared" si="41"/>
        <v>40601.503759398489</v>
      </c>
      <c r="N113" s="299">
        <f t="shared" si="49"/>
        <v>563.90977443609017</v>
      </c>
      <c r="O113" s="315">
        <f t="shared" si="38"/>
        <v>0.55502930554733287</v>
      </c>
      <c r="P113" s="320">
        <f t="shared" si="42"/>
        <v>34398.496240601504</v>
      </c>
      <c r="Q113" s="299">
        <f t="shared" si="44"/>
        <v>563.90977443609017</v>
      </c>
      <c r="R113" s="315">
        <f t="shared" si="45"/>
        <v>0.46488851973296802</v>
      </c>
      <c r="S113" s="331">
        <f t="shared" si="43"/>
        <v>75000</v>
      </c>
      <c r="T113" s="322">
        <f t="shared" si="46"/>
        <v>563.90977443609017</v>
      </c>
      <c r="U113" s="439">
        <f t="shared" si="48"/>
        <v>0.50970131502939275</v>
      </c>
      <c r="V113" s="457">
        <f>+S113/TotalCost</f>
        <v>5.59533916869544E-3</v>
      </c>
      <c r="W113" s="300">
        <f t="shared" si="27"/>
        <v>4.9366474998714513E-3</v>
      </c>
      <c r="X113" s="299"/>
      <c r="Y113" s="299"/>
      <c r="Z113" s="299"/>
      <c r="AA113" s="299"/>
      <c r="AB113" s="302"/>
      <c r="AC113" s="299"/>
    </row>
    <row r="114" spans="1:29" ht="12.75">
      <c r="A114" s="298"/>
      <c r="B114" s="299" t="s">
        <v>345</v>
      </c>
      <c r="C114" s="338" t="s">
        <v>331</v>
      </c>
      <c r="D114" s="339">
        <v>1</v>
      </c>
      <c r="E114" s="338">
        <v>53592</v>
      </c>
      <c r="F114" s="340">
        <f t="shared" si="47"/>
        <v>53592</v>
      </c>
      <c r="G114" s="299">
        <f>F114/10.3</f>
        <v>5203.1067961165045</v>
      </c>
      <c r="H114" s="299"/>
      <c r="I114" s="299"/>
      <c r="J114" s="341"/>
      <c r="K114" s="340"/>
      <c r="L114" s="339"/>
      <c r="M114" s="341">
        <f t="shared" si="41"/>
        <v>29012.21052631579</v>
      </c>
      <c r="N114" s="340">
        <f t="shared" si="49"/>
        <v>402.94736842105266</v>
      </c>
      <c r="O114" s="339">
        <f t="shared" si="38"/>
        <v>0.39660174057190223</v>
      </c>
      <c r="P114" s="341">
        <f t="shared" si="42"/>
        <v>24579.789473684214</v>
      </c>
      <c r="Q114" s="340">
        <f t="shared" si="44"/>
        <v>402.94736842105266</v>
      </c>
      <c r="R114" s="339">
        <f t="shared" si="45"/>
        <v>0.33219074066038967</v>
      </c>
      <c r="S114" s="331">
        <f t="shared" si="43"/>
        <v>53592</v>
      </c>
      <c r="T114" s="342">
        <f t="shared" si="46"/>
        <v>402.94736842105266</v>
      </c>
      <c r="U114" s="439">
        <f t="shared" si="48"/>
        <v>0.36421217166740288</v>
      </c>
      <c r="V114" s="453">
        <f>+S114/TotalCost</f>
        <v>3.9982055563830138E-3</v>
      </c>
      <c r="W114" s="453">
        <f t="shared" si="27"/>
        <v>3.5275308375081445E-3</v>
      </c>
      <c r="X114" s="299"/>
      <c r="Y114" s="299"/>
      <c r="Z114" s="299"/>
      <c r="AA114" s="299"/>
      <c r="AB114" s="302"/>
      <c r="AC114" s="299"/>
    </row>
    <row r="115" spans="1:29" ht="12.75">
      <c r="A115" s="298"/>
      <c r="B115" s="343" t="s">
        <v>263</v>
      </c>
      <c r="C115" s="299"/>
      <c r="D115" s="299"/>
      <c r="E115" s="299"/>
      <c r="F115" s="344">
        <f>SUM(F99:F114)</f>
        <v>627312</v>
      </c>
      <c r="G115" s="343">
        <f>SUM(G99:G114)</f>
        <v>60904.077669902916</v>
      </c>
      <c r="H115" s="299"/>
      <c r="I115" s="299"/>
      <c r="J115" s="345"/>
      <c r="K115" s="345"/>
      <c r="L115" s="346"/>
      <c r="M115" s="345">
        <f>SUM(M99:M114)</f>
        <v>339444.76355066762</v>
      </c>
      <c r="N115" s="345">
        <f>SUM(N99:N114)</f>
        <v>4714.5106048703847</v>
      </c>
      <c r="O115" s="346">
        <f t="shared" si="38"/>
        <v>4.6402663433763625</v>
      </c>
      <c r="P115" s="345">
        <f>SUM(P99:P114)</f>
        <v>287585.14689709351</v>
      </c>
      <c r="Q115" s="345">
        <f>SUM(Q99:Q114)</f>
        <v>4714.5106048703847</v>
      </c>
      <c r="R115" s="346">
        <f>SUM(R99:R114)</f>
        <v>3.8866534252847358</v>
      </c>
      <c r="S115" s="348">
        <f>SUM(S99:S114)</f>
        <v>627029.91044776118</v>
      </c>
      <c r="T115" s="345">
        <f>SUM(T99:T114)</f>
        <v>4714.5106048703847</v>
      </c>
      <c r="U115" s="346">
        <f>+S115/U$8</f>
        <v>4.2613062655731504</v>
      </c>
      <c r="V115" s="300">
        <f>+S115/TotalCost</f>
        <v>4.6779266904959364E-2</v>
      </c>
      <c r="W115" s="300">
        <f>+$S115/TotalValue</f>
        <v>4.1272341863420804E-2</v>
      </c>
      <c r="X115" s="299"/>
      <c r="Y115" s="299"/>
      <c r="Z115" s="299"/>
      <c r="AA115" s="299"/>
      <c r="AB115" s="302"/>
      <c r="AC115" s="299"/>
    </row>
    <row r="116" spans="1:29" ht="12.75">
      <c r="A116" s="298"/>
      <c r="B116" s="330" t="s">
        <v>346</v>
      </c>
      <c r="C116" s="299"/>
      <c r="D116" s="299"/>
      <c r="E116" s="299"/>
      <c r="F116" s="299"/>
      <c r="G116" s="299"/>
      <c r="H116" s="299"/>
      <c r="I116" s="299"/>
      <c r="J116" s="320"/>
      <c r="K116" s="299"/>
      <c r="L116" s="315"/>
      <c r="M116" s="320"/>
      <c r="N116" s="299"/>
      <c r="O116" s="315">
        <f t="shared" si="38"/>
        <v>0</v>
      </c>
      <c r="P116" s="320"/>
      <c r="Q116" s="299"/>
      <c r="R116" s="315"/>
      <c r="S116" s="302"/>
      <c r="T116" s="299"/>
      <c r="U116" s="299"/>
      <c r="V116" s="300"/>
      <c r="W116" s="300"/>
      <c r="X116" s="299"/>
      <c r="Y116" s="299"/>
      <c r="Z116" s="299"/>
      <c r="AA116" s="299"/>
      <c r="AB116" s="302"/>
      <c r="AC116" s="299"/>
    </row>
    <row r="117" spans="1:29" ht="12.75">
      <c r="A117" s="298"/>
      <c r="B117" s="299" t="s">
        <v>243</v>
      </c>
      <c r="C117" s="299" t="s">
        <v>338</v>
      </c>
      <c r="D117" s="299">
        <v>670</v>
      </c>
      <c r="E117" s="315">
        <v>55</v>
      </c>
      <c r="F117" s="299">
        <f t="shared" ref="F117:F127" si="50">+E117*D117</f>
        <v>36850</v>
      </c>
      <c r="G117" s="299">
        <f t="shared" ref="G117:G127" si="51">F117/10.3</f>
        <v>3577.6699029126212</v>
      </c>
      <c r="H117" s="299"/>
      <c r="I117" s="299"/>
      <c r="J117" s="320"/>
      <c r="K117" s="299"/>
      <c r="L117" s="315"/>
      <c r="M117" s="448">
        <f t="shared" ref="M117:M127" si="52">N117*N$8</f>
        <v>19948.872180451126</v>
      </c>
      <c r="N117" s="448">
        <f>+$F117/SM134Units</f>
        <v>277.06766917293231</v>
      </c>
      <c r="O117" s="447">
        <f t="shared" si="38"/>
        <v>0.27270439879225622</v>
      </c>
      <c r="P117" s="448">
        <f t="shared" ref="P117:P127" si="53">Q117*Q$8</f>
        <v>16901.12781954887</v>
      </c>
      <c r="Q117" s="448">
        <f>+$F117/SM134Units</f>
        <v>277.06766917293231</v>
      </c>
      <c r="R117" s="447">
        <f>+Q117/Q$11</f>
        <v>0.22841522602879827</v>
      </c>
      <c r="S117" s="337">
        <f t="shared" ref="S117:S127" si="54">+P117+M117</f>
        <v>36850</v>
      </c>
      <c r="T117" s="448">
        <f>+S117/S$8</f>
        <v>277.06766917293231</v>
      </c>
      <c r="U117" s="317">
        <f>+S117/U$8</f>
        <v>0.25043324611777501</v>
      </c>
      <c r="V117" s="300">
        <f>+S117/TotalCost</f>
        <v>2.7491766448856929E-3</v>
      </c>
      <c r="W117" s="300">
        <f t="shared" ref="W117:W126" si="55">+$S117/TotalValue</f>
        <v>2.4255394716035067E-3</v>
      </c>
      <c r="X117" s="299"/>
      <c r="Y117" s="299"/>
      <c r="Z117" s="299"/>
      <c r="AA117" s="299"/>
      <c r="AB117" s="302"/>
      <c r="AC117" s="299"/>
    </row>
    <row r="118" spans="1:29" ht="12.75">
      <c r="A118" s="298"/>
      <c r="B118" s="299" t="s">
        <v>343</v>
      </c>
      <c r="C118" s="299" t="s">
        <v>338</v>
      </c>
      <c r="D118" s="299">
        <f>670*3</f>
        <v>2010</v>
      </c>
      <c r="E118" s="315">
        <v>30</v>
      </c>
      <c r="F118" s="299">
        <f t="shared" si="50"/>
        <v>60300</v>
      </c>
      <c r="G118" s="299">
        <f t="shared" si="51"/>
        <v>5854.3689320388348</v>
      </c>
      <c r="H118" s="299"/>
      <c r="I118" s="299"/>
      <c r="J118" s="320"/>
      <c r="K118" s="299"/>
      <c r="L118" s="315"/>
      <c r="M118" s="320">
        <f t="shared" si="52"/>
        <v>32643.609022556389</v>
      </c>
      <c r="N118" s="299">
        <f t="shared" ref="N118:N127" si="56">+$F118/SM134Units</f>
        <v>453.38345864661653</v>
      </c>
      <c r="O118" s="315">
        <f t="shared" si="38"/>
        <v>0.44624356166005563</v>
      </c>
      <c r="P118" s="320">
        <f t="shared" si="53"/>
        <v>27656.390977443607</v>
      </c>
      <c r="Q118" s="299">
        <f t="shared" ref="Q118:Q127" si="57">+$F118/SM134Units</f>
        <v>453.38345864661653</v>
      </c>
      <c r="R118" s="315">
        <f t="shared" ref="R118:R127" si="58">+Q118/Q$11</f>
        <v>0.37377036986530632</v>
      </c>
      <c r="S118" s="331">
        <f t="shared" si="54"/>
        <v>60300</v>
      </c>
      <c r="T118" s="322">
        <f>+S118/S$8</f>
        <v>453.38345864661653</v>
      </c>
      <c r="U118" s="439">
        <f t="shared" ref="U118:U127" si="59">+S118/U$8</f>
        <v>0.40979985728363177</v>
      </c>
      <c r="V118" s="300">
        <f t="shared" ref="V118:V131" si="60">+S118/TotalCost</f>
        <v>4.498652691631134E-3</v>
      </c>
      <c r="W118" s="300">
        <f t="shared" si="55"/>
        <v>3.9690645898966467E-3</v>
      </c>
      <c r="X118" s="299"/>
      <c r="Y118" s="299"/>
      <c r="Z118" s="299"/>
      <c r="AA118" s="299"/>
      <c r="AB118" s="302"/>
      <c r="AC118" s="299"/>
    </row>
    <row r="119" spans="1:29" ht="12.75">
      <c r="A119" s="298"/>
      <c r="B119" s="299" t="s">
        <v>298</v>
      </c>
      <c r="C119" s="299" t="s">
        <v>344</v>
      </c>
      <c r="D119" s="299">
        <f>LandscapeArea</f>
        <v>179968.68432960863</v>
      </c>
      <c r="E119" s="315">
        <v>2</v>
      </c>
      <c r="F119" s="299">
        <f t="shared" si="50"/>
        <v>359937.36865921726</v>
      </c>
      <c r="G119" s="299">
        <f t="shared" si="51"/>
        <v>34945.375597982253</v>
      </c>
      <c r="H119" s="299"/>
      <c r="I119" s="299"/>
      <c r="J119" s="320"/>
      <c r="K119" s="299"/>
      <c r="L119" s="315"/>
      <c r="M119" s="320">
        <f t="shared" si="52"/>
        <v>194853.31235686952</v>
      </c>
      <c r="N119" s="299">
        <f t="shared" si="56"/>
        <v>2706.2960049565208</v>
      </c>
      <c r="O119" s="315">
        <f t="shared" si="38"/>
        <v>2.6636771702327962</v>
      </c>
      <c r="P119" s="320">
        <f t="shared" si="53"/>
        <v>165084.05630234777</v>
      </c>
      <c r="Q119" s="299">
        <f t="shared" si="57"/>
        <v>2706.2960049565208</v>
      </c>
      <c r="R119" s="315">
        <f t="shared" si="58"/>
        <v>2.2310766735008416</v>
      </c>
      <c r="S119" s="331">
        <f t="shared" si="54"/>
        <v>359937.36865921726</v>
      </c>
      <c r="T119" s="322">
        <f t="shared" ref="T119:T127" si="61">+S119/S$8</f>
        <v>2706.2960049565208</v>
      </c>
      <c r="U119" s="439">
        <f t="shared" si="59"/>
        <v>2.446140668450965</v>
      </c>
      <c r="V119" s="300">
        <f t="shared" si="60"/>
        <v>2.6852955428481182E-2</v>
      </c>
      <c r="W119" s="300">
        <f t="shared" si="55"/>
        <v>2.3691785481357783E-2</v>
      </c>
      <c r="X119" s="299"/>
      <c r="Y119" s="299"/>
      <c r="Z119" s="299"/>
      <c r="AA119" s="299"/>
      <c r="AB119" s="302"/>
      <c r="AC119" s="299"/>
    </row>
    <row r="120" spans="1:29" ht="12.75">
      <c r="A120" s="298"/>
      <c r="B120" s="299" t="s">
        <v>242</v>
      </c>
      <c r="C120" s="299" t="s">
        <v>339</v>
      </c>
      <c r="D120" s="299">
        <v>2</v>
      </c>
      <c r="E120" s="315">
        <v>4000</v>
      </c>
      <c r="F120" s="299">
        <f t="shared" si="50"/>
        <v>8000</v>
      </c>
      <c r="G120" s="299">
        <f t="shared" si="51"/>
        <v>776.69902912621353</v>
      </c>
      <c r="H120" s="299"/>
      <c r="I120" s="299"/>
      <c r="J120" s="320"/>
      <c r="K120" s="299"/>
      <c r="L120" s="315"/>
      <c r="M120" s="320">
        <f t="shared" si="52"/>
        <v>4330.8270676691727</v>
      </c>
      <c r="N120" s="299">
        <f t="shared" si="56"/>
        <v>60.150375939849624</v>
      </c>
      <c r="O120" s="315">
        <f t="shared" si="38"/>
        <v>5.9203125925048845E-2</v>
      </c>
      <c r="P120" s="320">
        <f t="shared" si="53"/>
        <v>3669.1729323308273</v>
      </c>
      <c r="Q120" s="299">
        <f t="shared" si="57"/>
        <v>60.150375939849624</v>
      </c>
      <c r="R120" s="315">
        <f t="shared" si="58"/>
        <v>4.9588108771516592E-2</v>
      </c>
      <c r="S120" s="331">
        <f t="shared" si="54"/>
        <v>8000</v>
      </c>
      <c r="T120" s="322">
        <f t="shared" si="61"/>
        <v>60.150375939849624</v>
      </c>
      <c r="U120" s="439">
        <f t="shared" si="59"/>
        <v>5.4368140269801898E-2</v>
      </c>
      <c r="V120" s="300">
        <f t="shared" si="60"/>
        <v>5.9683617799418027E-4</v>
      </c>
      <c r="W120" s="300">
        <f t="shared" si="55"/>
        <v>5.2657573331962154E-4</v>
      </c>
      <c r="X120" s="299"/>
      <c r="Y120" s="299"/>
      <c r="Z120" s="299"/>
      <c r="AA120" s="299"/>
      <c r="AB120" s="302"/>
      <c r="AC120" s="299"/>
    </row>
    <row r="121" spans="1:29" ht="25.5">
      <c r="A121" s="298"/>
      <c r="B121" s="349" t="s">
        <v>366</v>
      </c>
      <c r="C121" s="350" t="s">
        <v>331</v>
      </c>
      <c r="D121" s="351">
        <v>1</v>
      </c>
      <c r="E121" s="350">
        <f>+K95</f>
        <v>85506.60588833777</v>
      </c>
      <c r="F121" s="299">
        <f>+E121*D121</f>
        <v>85506.60588833777</v>
      </c>
      <c r="G121" s="299">
        <f t="shared" si="51"/>
        <v>8301.6122221687147</v>
      </c>
      <c r="H121" s="299"/>
      <c r="I121" s="299"/>
      <c r="J121" s="320"/>
      <c r="K121" s="299"/>
      <c r="L121" s="315"/>
      <c r="M121" s="320">
        <f t="shared" si="52"/>
        <v>46289.290405716689</v>
      </c>
      <c r="N121" s="454">
        <f>+$K$95/SM134Units</f>
        <v>642.90681119050953</v>
      </c>
      <c r="O121" s="315">
        <f t="shared" si="38"/>
        <v>0.63278229447884793</v>
      </c>
      <c r="P121" s="320">
        <f t="shared" si="53"/>
        <v>39217.315482621081</v>
      </c>
      <c r="Q121" s="454">
        <f>+$K$95/SM134Units</f>
        <v>642.90681119050953</v>
      </c>
      <c r="R121" s="315">
        <f t="shared" si="58"/>
        <v>0.5300138591842618</v>
      </c>
      <c r="S121" s="455">
        <f t="shared" si="54"/>
        <v>85506.60588833777</v>
      </c>
      <c r="T121" s="322">
        <f t="shared" si="61"/>
        <v>642.90681119050953</v>
      </c>
      <c r="U121" s="439">
        <f t="shared" si="59"/>
        <v>0.58110439286647708</v>
      </c>
      <c r="V121" s="456">
        <f t="shared" si="60"/>
        <v>6.3791794814562729E-3</v>
      </c>
      <c r="W121" s="456">
        <f t="shared" si="55"/>
        <v>5.6282129624154161E-3</v>
      </c>
      <c r="X121" s="299"/>
      <c r="Y121" s="299"/>
      <c r="Z121" s="299"/>
      <c r="AA121" s="299"/>
      <c r="AB121" s="302"/>
      <c r="AC121" s="299"/>
    </row>
    <row r="122" spans="1:29" ht="12.75">
      <c r="A122" s="298"/>
      <c r="B122" s="299" t="s">
        <v>256</v>
      </c>
      <c r="C122" s="350" t="s">
        <v>331</v>
      </c>
      <c r="D122" s="351">
        <v>3</v>
      </c>
      <c r="E122" s="350">
        <v>7500</v>
      </c>
      <c r="F122" s="299">
        <f t="shared" si="50"/>
        <v>22500</v>
      </c>
      <c r="G122" s="299">
        <f t="shared" si="51"/>
        <v>2184.4660194174758</v>
      </c>
      <c r="H122" s="299"/>
      <c r="I122" s="299"/>
      <c r="J122" s="320"/>
      <c r="K122" s="299"/>
      <c r="L122" s="315"/>
      <c r="M122" s="320">
        <f t="shared" si="52"/>
        <v>12180.45112781955</v>
      </c>
      <c r="N122" s="299">
        <f t="shared" si="56"/>
        <v>169.17293233082708</v>
      </c>
      <c r="O122" s="315">
        <f t="shared" si="38"/>
        <v>0.16650879166419988</v>
      </c>
      <c r="P122" s="320">
        <f t="shared" si="53"/>
        <v>10319.548872180452</v>
      </c>
      <c r="Q122" s="299">
        <f t="shared" si="57"/>
        <v>169.17293233082708</v>
      </c>
      <c r="R122" s="315">
        <f t="shared" si="58"/>
        <v>0.13946655591989043</v>
      </c>
      <c r="S122" s="331">
        <f t="shared" si="54"/>
        <v>22500</v>
      </c>
      <c r="T122" s="322">
        <f t="shared" si="61"/>
        <v>169.17293233082708</v>
      </c>
      <c r="U122" s="439">
        <f t="shared" si="59"/>
        <v>0.15291039450881783</v>
      </c>
      <c r="V122" s="300">
        <f t="shared" si="60"/>
        <v>1.6786017506086319E-3</v>
      </c>
      <c r="W122" s="300">
        <f t="shared" si="55"/>
        <v>1.4809942499614355E-3</v>
      </c>
      <c r="X122" s="299"/>
      <c r="Y122" s="299"/>
      <c r="Z122" s="299"/>
      <c r="AA122" s="299"/>
      <c r="AB122" s="302"/>
      <c r="AC122" s="299"/>
    </row>
    <row r="123" spans="1:29" ht="12.75">
      <c r="A123" s="298"/>
      <c r="B123" s="299" t="s">
        <v>356</v>
      </c>
      <c r="C123" s="350" t="s">
        <v>339</v>
      </c>
      <c r="D123" s="351">
        <v>134</v>
      </c>
      <c r="E123" s="350">
        <v>200</v>
      </c>
      <c r="F123" s="299">
        <f t="shared" si="50"/>
        <v>26800</v>
      </c>
      <c r="G123" s="299">
        <f t="shared" si="51"/>
        <v>2601.9417475728155</v>
      </c>
      <c r="H123" s="299"/>
      <c r="I123" s="299"/>
      <c r="J123" s="320"/>
      <c r="K123" s="299"/>
      <c r="L123" s="315"/>
      <c r="M123" s="320">
        <f t="shared" si="52"/>
        <v>14508.270676691729</v>
      </c>
      <c r="N123" s="299">
        <f t="shared" si="56"/>
        <v>201.50375939849624</v>
      </c>
      <c r="O123" s="315">
        <f t="shared" si="38"/>
        <v>0.19833047184891361</v>
      </c>
      <c r="P123" s="320">
        <f t="shared" si="53"/>
        <v>12291.729323308271</v>
      </c>
      <c r="Q123" s="299">
        <f t="shared" si="57"/>
        <v>201.50375939849624</v>
      </c>
      <c r="R123" s="315">
        <f t="shared" si="58"/>
        <v>0.16612016438458058</v>
      </c>
      <c r="S123" s="331">
        <f t="shared" si="54"/>
        <v>26800</v>
      </c>
      <c r="T123" s="322">
        <f t="shared" si="61"/>
        <v>201.50375939849624</v>
      </c>
      <c r="U123" s="439">
        <f t="shared" si="59"/>
        <v>0.18213326990383635</v>
      </c>
      <c r="V123" s="300">
        <f t="shared" si="60"/>
        <v>1.9994011962805036E-3</v>
      </c>
      <c r="W123" s="300">
        <f t="shared" si="55"/>
        <v>1.7640287066207319E-3</v>
      </c>
      <c r="X123" s="299"/>
      <c r="Y123" s="299"/>
      <c r="Z123" s="299"/>
      <c r="AA123" s="299"/>
      <c r="AB123" s="302"/>
      <c r="AC123" s="299"/>
    </row>
    <row r="124" spans="1:29" ht="12.75">
      <c r="A124" s="298"/>
      <c r="B124" s="299" t="s">
        <v>244</v>
      </c>
      <c r="C124" s="299" t="s">
        <v>331</v>
      </c>
      <c r="D124" s="315">
        <v>1</v>
      </c>
      <c r="E124" s="336">
        <f>65000+5000+3000</f>
        <v>73000</v>
      </c>
      <c r="F124" s="299">
        <f t="shared" si="50"/>
        <v>73000</v>
      </c>
      <c r="G124" s="299">
        <f t="shared" si="51"/>
        <v>7087.3786407766984</v>
      </c>
      <c r="H124" s="299"/>
      <c r="I124" s="299"/>
      <c r="J124" s="320"/>
      <c r="K124" s="299"/>
      <c r="L124" s="315"/>
      <c r="M124" s="320">
        <f t="shared" si="52"/>
        <v>39518.796992481206</v>
      </c>
      <c r="N124" s="299">
        <f t="shared" si="56"/>
        <v>548.87218045112786</v>
      </c>
      <c r="O124" s="315">
        <f t="shared" si="38"/>
        <v>0.54022852406607069</v>
      </c>
      <c r="P124" s="320">
        <f t="shared" si="53"/>
        <v>33481.203007518801</v>
      </c>
      <c r="Q124" s="299">
        <f t="shared" si="57"/>
        <v>548.87218045112786</v>
      </c>
      <c r="R124" s="315">
        <f t="shared" si="58"/>
        <v>0.45249149254008891</v>
      </c>
      <c r="S124" s="331">
        <f t="shared" si="54"/>
        <v>73000</v>
      </c>
      <c r="T124" s="322">
        <f t="shared" si="61"/>
        <v>548.87218045112786</v>
      </c>
      <c r="U124" s="439">
        <f t="shared" si="59"/>
        <v>0.49610927996194232</v>
      </c>
      <c r="V124" s="300">
        <f t="shared" si="60"/>
        <v>5.4461301241968945E-3</v>
      </c>
      <c r="W124" s="300">
        <f t="shared" si="55"/>
        <v>4.8050035665415458E-3</v>
      </c>
      <c r="X124" s="299"/>
      <c r="Y124" s="299"/>
      <c r="Z124" s="299"/>
      <c r="AA124" s="299"/>
      <c r="AB124" s="302"/>
      <c r="AC124" s="299"/>
    </row>
    <row r="125" spans="1:29" ht="12.75">
      <c r="A125" s="298"/>
      <c r="B125" s="299" t="s">
        <v>453</v>
      </c>
      <c r="C125" s="299" t="s">
        <v>331</v>
      </c>
      <c r="D125" s="315">
        <v>1</v>
      </c>
      <c r="E125" s="336">
        <f>30000+800*30+2200+8000+2000*3</f>
        <v>70200</v>
      </c>
      <c r="F125" s="299">
        <f t="shared" si="50"/>
        <v>70200</v>
      </c>
      <c r="G125" s="299">
        <f t="shared" si="51"/>
        <v>6815.5339805825242</v>
      </c>
      <c r="H125" s="299"/>
      <c r="I125" s="299"/>
      <c r="J125" s="320"/>
      <c r="K125" s="299"/>
      <c r="L125" s="315"/>
      <c r="M125" s="320">
        <f t="shared" si="52"/>
        <v>38003.007518796992</v>
      </c>
      <c r="N125" s="299">
        <f t="shared" si="56"/>
        <v>527.81954887218046</v>
      </c>
      <c r="O125" s="315">
        <f t="shared" si="38"/>
        <v>0.51950742999230359</v>
      </c>
      <c r="P125" s="320">
        <f t="shared" si="53"/>
        <v>32196.992481203008</v>
      </c>
      <c r="Q125" s="299">
        <f t="shared" si="57"/>
        <v>527.81954887218046</v>
      </c>
      <c r="R125" s="315">
        <f t="shared" si="58"/>
        <v>0.43513565447005809</v>
      </c>
      <c r="S125" s="331">
        <f t="shared" si="54"/>
        <v>70200</v>
      </c>
      <c r="T125" s="322">
        <f t="shared" si="61"/>
        <v>527.81954887218046</v>
      </c>
      <c r="U125" s="439">
        <f t="shared" si="59"/>
        <v>0.47708043086751162</v>
      </c>
      <c r="V125" s="300">
        <f t="shared" si="60"/>
        <v>5.2372374618989319E-3</v>
      </c>
      <c r="W125" s="300">
        <f t="shared" si="55"/>
        <v>4.6207020598796784E-3</v>
      </c>
      <c r="X125" s="299"/>
      <c r="Y125" s="299"/>
      <c r="Z125" s="299"/>
      <c r="AA125" s="299"/>
      <c r="AB125" s="302"/>
      <c r="AC125" s="299"/>
    </row>
    <row r="126" spans="1:29" ht="12.75">
      <c r="A126" s="298"/>
      <c r="B126" s="299" t="s">
        <v>245</v>
      </c>
      <c r="C126" s="299" t="s">
        <v>331</v>
      </c>
      <c r="D126" s="351">
        <v>1</v>
      </c>
      <c r="E126" s="350">
        <v>20000</v>
      </c>
      <c r="F126" s="299">
        <f t="shared" si="50"/>
        <v>20000</v>
      </c>
      <c r="G126" s="299">
        <f t="shared" si="51"/>
        <v>1941.7475728155339</v>
      </c>
      <c r="H126" s="299"/>
      <c r="I126" s="299"/>
      <c r="J126" s="320"/>
      <c r="K126" s="299"/>
      <c r="L126" s="315"/>
      <c r="M126" s="320">
        <f t="shared" si="52"/>
        <v>10827.067669172931</v>
      </c>
      <c r="N126" s="299">
        <f t="shared" si="56"/>
        <v>150.37593984962405</v>
      </c>
      <c r="O126" s="315">
        <f t="shared" si="38"/>
        <v>0.1480078148126221</v>
      </c>
      <c r="P126" s="320">
        <f t="shared" si="53"/>
        <v>9172.9323308270668</v>
      </c>
      <c r="Q126" s="299">
        <f t="shared" si="57"/>
        <v>150.37593984962405</v>
      </c>
      <c r="R126" s="315">
        <f t="shared" si="58"/>
        <v>0.12397027192879147</v>
      </c>
      <c r="S126" s="331">
        <f t="shared" si="54"/>
        <v>20000</v>
      </c>
      <c r="T126" s="322">
        <f t="shared" si="61"/>
        <v>150.37593984962405</v>
      </c>
      <c r="U126" s="439">
        <f t="shared" si="59"/>
        <v>0.13592035067450475</v>
      </c>
      <c r="V126" s="300">
        <f t="shared" si="60"/>
        <v>1.4920904449854506E-3</v>
      </c>
      <c r="W126" s="300">
        <f t="shared" si="55"/>
        <v>1.3164393332990537E-3</v>
      </c>
      <c r="X126" s="299"/>
      <c r="Y126" s="299"/>
      <c r="Z126" s="299"/>
      <c r="AA126" s="299"/>
      <c r="AB126" s="302"/>
      <c r="AC126" s="299"/>
    </row>
    <row r="127" spans="1:29" ht="12.75">
      <c r="A127" s="298"/>
      <c r="B127" s="299" t="s">
        <v>318</v>
      </c>
      <c r="C127" s="299" t="s">
        <v>331</v>
      </c>
      <c r="D127" s="351">
        <v>1</v>
      </c>
      <c r="E127" s="350">
        <v>25000</v>
      </c>
      <c r="F127" s="299">
        <f t="shared" si="50"/>
        <v>25000</v>
      </c>
      <c r="G127" s="299">
        <f t="shared" si="51"/>
        <v>2427.1844660194174</v>
      </c>
      <c r="H127" s="299"/>
      <c r="I127" s="299"/>
      <c r="J127" s="341"/>
      <c r="K127" s="340"/>
      <c r="L127" s="339"/>
      <c r="M127" s="341">
        <f t="shared" si="52"/>
        <v>13533.834586466166</v>
      </c>
      <c r="N127" s="340">
        <f t="shared" si="56"/>
        <v>187.96992481203009</v>
      </c>
      <c r="O127" s="339">
        <f t="shared" si="38"/>
        <v>0.18500976851577763</v>
      </c>
      <c r="P127" s="341">
        <f t="shared" si="53"/>
        <v>11466.165413533836</v>
      </c>
      <c r="Q127" s="340">
        <f t="shared" si="57"/>
        <v>187.96992481203009</v>
      </c>
      <c r="R127" s="339">
        <f t="shared" si="58"/>
        <v>0.15496283991098936</v>
      </c>
      <c r="S127" s="331">
        <f t="shared" si="54"/>
        <v>25000</v>
      </c>
      <c r="T127" s="322">
        <f t="shared" si="61"/>
        <v>187.96992481203009</v>
      </c>
      <c r="U127" s="439">
        <f t="shared" si="59"/>
        <v>0.16990043834313093</v>
      </c>
      <c r="V127" s="300">
        <f t="shared" si="60"/>
        <v>1.8651130562318133E-3</v>
      </c>
      <c r="W127" s="453">
        <f>+$S127/TotalValue</f>
        <v>1.6455491666238172E-3</v>
      </c>
      <c r="X127" s="299"/>
      <c r="Y127" s="299"/>
      <c r="Z127" s="299"/>
      <c r="AA127" s="299"/>
      <c r="AB127" s="302"/>
      <c r="AC127" s="299"/>
    </row>
    <row r="128" spans="1:29" ht="12.75">
      <c r="A128" s="298"/>
      <c r="B128" s="343" t="s">
        <v>248</v>
      </c>
      <c r="C128" s="352"/>
      <c r="D128" s="343"/>
      <c r="E128" s="343"/>
      <c r="F128" s="343">
        <f>SUM(F117:F127)</f>
        <v>788093.97454755497</v>
      </c>
      <c r="G128" s="343">
        <f>SUM(G124:G126)</f>
        <v>15844.660194174756</v>
      </c>
      <c r="H128" s="299"/>
      <c r="I128" s="299"/>
      <c r="J128" s="345"/>
      <c r="K128" s="345"/>
      <c r="L128" s="347"/>
      <c r="M128" s="345">
        <f>SUM(M117:M127)</f>
        <v>426637.33960469143</v>
      </c>
      <c r="N128" s="345">
        <f>SUM(N117:N127)</f>
        <v>5925.5186056207149</v>
      </c>
      <c r="O128" s="347">
        <f t="shared" si="38"/>
        <v>5.8322033519888929</v>
      </c>
      <c r="P128" s="345">
        <f>SUM(P117:P127)</f>
        <v>361456.63494286354</v>
      </c>
      <c r="Q128" s="345">
        <f>SUM(Q117:Q127)</f>
        <v>5925.5186056207149</v>
      </c>
      <c r="R128" s="347">
        <f>SUM(R117:R127)</f>
        <v>4.8850112165051227</v>
      </c>
      <c r="S128" s="348">
        <f>SUM(S117:S127)</f>
        <v>788093.97454755497</v>
      </c>
      <c r="T128" s="345">
        <f>SUM(T117:T127)</f>
        <v>5925.5186056207149</v>
      </c>
      <c r="U128" s="346">
        <f>+S128/U$8</f>
        <v>5.355900469248394</v>
      </c>
      <c r="V128" s="449">
        <f t="shared" si="60"/>
        <v>5.8795374458650684E-2</v>
      </c>
      <c r="W128" s="449">
        <f>+$S128/TotalValue</f>
        <v>5.1873895321519238E-2</v>
      </c>
      <c r="X128" s="299"/>
      <c r="Y128" s="299"/>
      <c r="Z128" s="299"/>
      <c r="AA128" s="299"/>
      <c r="AB128" s="302"/>
      <c r="AC128" s="299"/>
    </row>
    <row r="129" spans="1:30" ht="12.75">
      <c r="A129" s="298"/>
      <c r="B129" s="353" t="s">
        <v>264</v>
      </c>
      <c r="C129" s="352"/>
      <c r="D129" s="352"/>
      <c r="E129" s="352"/>
      <c r="F129" s="343">
        <f>+F128+F115</f>
        <v>1415405.974547555</v>
      </c>
      <c r="G129" s="343">
        <f>+G128+G115</f>
        <v>76748.737864077673</v>
      </c>
      <c r="H129" s="299"/>
      <c r="I129" s="299"/>
      <c r="J129" s="345"/>
      <c r="K129" s="345"/>
      <c r="L129" s="347"/>
      <c r="M129" s="345">
        <f>+M128+M115</f>
        <v>766082.10315535904</v>
      </c>
      <c r="N129" s="345">
        <f>+N128+N115</f>
        <v>10640.029210491099</v>
      </c>
      <c r="O129" s="347">
        <f t="shared" si="38"/>
        <v>10.472469695365255</v>
      </c>
      <c r="P129" s="345">
        <f>+P128+P115</f>
        <v>649041.781839957</v>
      </c>
      <c r="Q129" s="345">
        <f>+Q128+Q115</f>
        <v>10640.029210491099</v>
      </c>
      <c r="R129" s="347">
        <f>+R128+R115</f>
        <v>8.7716646417898581</v>
      </c>
      <c r="S129" s="348">
        <f>+S128+S115</f>
        <v>1415123.8849953162</v>
      </c>
      <c r="T129" s="345">
        <f>+T128+T115</f>
        <v>10640.029210491099</v>
      </c>
      <c r="U129" s="346">
        <f>+S129/U$8</f>
        <v>9.6172067348215453</v>
      </c>
      <c r="V129" s="449">
        <f t="shared" si="60"/>
        <v>0.10557464136361004</v>
      </c>
      <c r="W129" s="449">
        <f>$S129/TotalValue</f>
        <v>9.3146237184940042E-2</v>
      </c>
      <c r="X129" s="299"/>
      <c r="Y129" s="299"/>
      <c r="Z129" s="299"/>
      <c r="AA129" s="299"/>
      <c r="AB129" s="302"/>
      <c r="AC129" s="299"/>
    </row>
    <row r="130" spans="1:30" ht="12.75">
      <c r="A130" s="298"/>
      <c r="B130" s="353" t="s">
        <v>255</v>
      </c>
      <c r="C130" s="299"/>
      <c r="D130" s="299"/>
      <c r="E130" s="299"/>
      <c r="F130" s="354">
        <f>+F129+F97</f>
        <v>2537075.9745475552</v>
      </c>
      <c r="G130" s="354">
        <f>+G129+G97</f>
        <v>185648.73786407767</v>
      </c>
      <c r="H130" s="355"/>
      <c r="I130" s="355"/>
      <c r="J130" s="354"/>
      <c r="K130" s="354"/>
      <c r="L130" s="356"/>
      <c r="M130" s="354">
        <f>+M129+M97</f>
        <v>1373301.9527794193</v>
      </c>
      <c r="N130" s="354">
        <f>+N129+N97</f>
        <v>19073.638233047492</v>
      </c>
      <c r="O130" s="356">
        <f t="shared" si="38"/>
        <v>18.773265977408947</v>
      </c>
      <c r="P130" s="354">
        <f>+P129+P97</f>
        <v>1163491.9322158969</v>
      </c>
      <c r="Q130" s="354">
        <f>+Q129+Q97</f>
        <v>19073.638233047492</v>
      </c>
      <c r="R130" s="356">
        <f>+R129+R97</f>
        <v>15.724351387508236</v>
      </c>
      <c r="S130" s="357">
        <f>+S129+S97</f>
        <v>2536793.8849953162</v>
      </c>
      <c r="T130" s="354">
        <f>+T129+T97</f>
        <v>19073.638233047492</v>
      </c>
      <c r="U130" s="346">
        <f>+S130/U$8</f>
        <v>17.240095721875132</v>
      </c>
      <c r="V130" s="450">
        <f t="shared" si="60"/>
        <v>0.18925629583495157</v>
      </c>
      <c r="W130" s="450">
        <f>+$S130/TotalValue</f>
        <v>0.16697676253401753</v>
      </c>
      <c r="X130" s="299"/>
      <c r="Y130" s="299"/>
      <c r="Z130" s="299"/>
      <c r="AA130" s="299"/>
      <c r="AB130" s="302"/>
      <c r="AC130" s="299"/>
    </row>
    <row r="131" spans="1:30" ht="12.75">
      <c r="A131" s="298"/>
      <c r="B131" s="327" t="s">
        <v>217</v>
      </c>
      <c r="C131" s="299"/>
      <c r="D131" s="299"/>
      <c r="E131" s="299"/>
      <c r="F131" s="299"/>
      <c r="G131" s="299"/>
      <c r="H131" s="299"/>
      <c r="I131" s="299"/>
      <c r="J131" s="320"/>
      <c r="K131" s="333"/>
      <c r="L131" s="333"/>
      <c r="M131" s="320">
        <f>N131*N$8</f>
        <v>1052758.0941355545</v>
      </c>
      <c r="N131" s="299">
        <f>(N129+N95)*Const_Profit</f>
        <v>14621.640196327146</v>
      </c>
      <c r="O131" s="333">
        <f t="shared" si="38"/>
        <v>14.391378145991284</v>
      </c>
      <c r="P131" s="320">
        <f>Q131*Q$8</f>
        <v>1047892.2750829003</v>
      </c>
      <c r="Q131" s="299">
        <f>(Q129+Q95)*Const_Profit</f>
        <v>17178.561886604923</v>
      </c>
      <c r="R131" s="333">
        <f>0.15*(R129+R95)</f>
        <v>9.6559405043496138</v>
      </c>
      <c r="S131" s="321">
        <f>T131*S$8</f>
        <v>2053300.2476497048</v>
      </c>
      <c r="T131" s="299">
        <f>(T129+T95)*Const_Profit</f>
        <v>15438.34772668951</v>
      </c>
      <c r="U131" s="446">
        <f>+S131/U$8</f>
        <v>13.954264485029766</v>
      </c>
      <c r="V131" s="453">
        <f t="shared" si="60"/>
        <v>0.1531854840102192</v>
      </c>
      <c r="W131" s="453">
        <f>+$S131/TotalValue</f>
        <v>0.13515226045393797</v>
      </c>
      <c r="X131" s="299"/>
      <c r="Y131" s="299"/>
      <c r="Z131" s="299"/>
      <c r="AA131" s="299"/>
      <c r="AB131" s="302"/>
      <c r="AC131" s="299"/>
    </row>
    <row r="132" spans="1:30" ht="12.75">
      <c r="A132" s="298"/>
      <c r="B132" s="353" t="s">
        <v>265</v>
      </c>
      <c r="C132" s="299"/>
      <c r="D132" s="299"/>
      <c r="E132" s="299"/>
      <c r="F132" s="299"/>
      <c r="G132" s="299"/>
      <c r="H132" s="299"/>
      <c r="I132" s="355"/>
      <c r="J132" s="354"/>
      <c r="K132" s="354"/>
      <c r="L132" s="356"/>
      <c r="M132" s="354">
        <f>+M131+M130+M95</f>
        <v>6445242.0080121346</v>
      </c>
      <c r="N132" s="354">
        <f>+N131+N130+N95</f>
        <v>89517.250111279645</v>
      </c>
      <c r="O132" s="356">
        <f t="shared" si="38"/>
        <v>88.107529637086259</v>
      </c>
      <c r="P132" s="354">
        <f>+P131+P130+P95</f>
        <v>6325489.1303811129</v>
      </c>
      <c r="Q132" s="354">
        <f>+Q131+Q130+Q95</f>
        <v>103696.54312100186</v>
      </c>
      <c r="R132" s="356">
        <f>+R131+R130+R95</f>
        <v>80.981563945732091</v>
      </c>
      <c r="S132" s="357">
        <f>+S131+S130+S95</f>
        <v>12508153.191512</v>
      </c>
      <c r="T132" s="354">
        <f>+T131+T130+T95</f>
        <v>94046.264597834583</v>
      </c>
      <c r="U132" s="346">
        <f>+S132/U$8</f>
        <v>85.005628404036827</v>
      </c>
      <c r="V132" s="300">
        <f>+S132/TotalCost</f>
        <v>0.93316479307346623</v>
      </c>
      <c r="W132" s="300">
        <f>+$S132/TotalValue</f>
        <v>0.82331124241182441</v>
      </c>
      <c r="X132" s="299"/>
      <c r="Y132" s="299"/>
      <c r="Z132" s="299"/>
      <c r="AA132" s="299"/>
      <c r="AB132" s="302"/>
      <c r="AC132" s="299"/>
    </row>
    <row r="133" spans="1:30" ht="12.75">
      <c r="A133" s="298"/>
      <c r="B133" s="327"/>
      <c r="C133" s="299"/>
      <c r="D133" s="299"/>
      <c r="E133" s="299"/>
      <c r="F133" s="299"/>
      <c r="G133" s="299"/>
      <c r="H133" s="299"/>
      <c r="I133" s="299"/>
      <c r="J133" s="299"/>
      <c r="K133" s="299"/>
      <c r="L133" s="315"/>
      <c r="M133" s="299"/>
      <c r="N133" s="299"/>
      <c r="O133" s="299"/>
      <c r="P133" s="299"/>
      <c r="Q133" s="299"/>
      <c r="R133" s="299"/>
      <c r="S133" s="302"/>
      <c r="T133" s="299"/>
      <c r="U133" s="299"/>
      <c r="V133" s="299"/>
      <c r="W133" s="299"/>
      <c r="X133" s="299"/>
      <c r="Y133" s="299"/>
      <c r="Z133" s="299"/>
      <c r="AA133" s="299"/>
      <c r="AB133" s="302"/>
      <c r="AC133" s="299"/>
    </row>
    <row r="134" spans="1:30" ht="12.75">
      <c r="A134" s="298"/>
      <c r="B134" s="330" t="s">
        <v>257</v>
      </c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302"/>
      <c r="T134" s="299"/>
      <c r="U134" s="299"/>
      <c r="V134" s="299"/>
      <c r="W134" s="299"/>
      <c r="X134" s="299"/>
      <c r="Y134" s="299"/>
      <c r="Z134" s="299"/>
      <c r="AA134" s="299"/>
      <c r="AB134" s="302"/>
      <c r="AC134" s="299"/>
    </row>
    <row r="135" spans="1:30" ht="12.75">
      <c r="A135" s="298"/>
      <c r="B135" s="299" t="s">
        <v>69</v>
      </c>
      <c r="C135" s="299"/>
      <c r="D135" s="299"/>
      <c r="E135" s="299"/>
      <c r="F135" s="299">
        <v>3500</v>
      </c>
      <c r="G135" s="299"/>
      <c r="H135" s="299"/>
      <c r="I135" s="299"/>
      <c r="J135" s="336"/>
      <c r="K135" s="336"/>
      <c r="L135" s="317"/>
      <c r="M135" s="336">
        <f>N135*N$8</f>
        <v>1894.7368421052631</v>
      </c>
      <c r="N135" s="336">
        <f>+$F135/SM134Units</f>
        <v>26.315789473684209</v>
      </c>
      <c r="O135" s="317">
        <f t="shared" si="38"/>
        <v>2.5901367592208867E-2</v>
      </c>
      <c r="P135" s="336">
        <f>Q135*Q$8</f>
        <v>1605.2631578947367</v>
      </c>
      <c r="Q135" s="336">
        <f>+$F135/SM134Units</f>
        <v>26.315789473684209</v>
      </c>
      <c r="R135" s="317">
        <f>+Q135/Q$11</f>
        <v>2.1694797587538506E-2</v>
      </c>
      <c r="S135" s="337">
        <f>+P135+M135</f>
        <v>3500</v>
      </c>
      <c r="T135" s="336">
        <f>+S135/S$8</f>
        <v>26.315789473684209</v>
      </c>
      <c r="U135" s="317">
        <f>+T135/U$8</f>
        <v>1.7884256667697991E-4</v>
      </c>
      <c r="V135" s="300">
        <f>+S135/TotalCost</f>
        <v>2.6111582787245388E-4</v>
      </c>
      <c r="W135" s="300">
        <f>+S135/TotalValue</f>
        <v>2.3037688332733442E-4</v>
      </c>
      <c r="X135" s="299"/>
      <c r="Y135" s="299"/>
      <c r="Z135" s="299"/>
      <c r="AA135" s="299"/>
      <c r="AB135" s="302"/>
      <c r="AC135" s="299"/>
    </row>
    <row r="136" spans="1:30" ht="12.75">
      <c r="A136" s="298"/>
      <c r="B136" s="358" t="s">
        <v>432</v>
      </c>
      <c r="C136" s="299"/>
      <c r="D136" s="299"/>
      <c r="E136" s="299"/>
      <c r="F136" s="299"/>
      <c r="G136" s="299"/>
      <c r="H136" s="299"/>
      <c r="I136" s="299"/>
      <c r="J136" s="336"/>
      <c r="K136" s="336"/>
      <c r="L136" s="317"/>
      <c r="M136" s="336"/>
      <c r="N136" s="336"/>
      <c r="O136" s="317">
        <f t="shared" si="38"/>
        <v>0</v>
      </c>
      <c r="P136" s="336"/>
      <c r="Q136" s="336"/>
      <c r="R136" s="317"/>
      <c r="S136" s="337"/>
      <c r="T136" s="336"/>
      <c r="U136" s="317"/>
      <c r="V136" s="300"/>
      <c r="W136" s="299"/>
      <c r="X136" s="299"/>
      <c r="Y136" s="299"/>
      <c r="Z136" s="299"/>
      <c r="AA136" s="299"/>
      <c r="AB136" s="302"/>
      <c r="AC136" s="299"/>
    </row>
    <row r="137" spans="1:30" ht="12.75">
      <c r="A137" s="298"/>
      <c r="B137" s="299" t="s">
        <v>258</v>
      </c>
      <c r="C137" s="299"/>
      <c r="D137" s="1">
        <v>0.01</v>
      </c>
      <c r="E137" s="299"/>
      <c r="F137" s="299">
        <f>15500000*0.75*0.01</f>
        <v>116250</v>
      </c>
      <c r="G137" s="301"/>
      <c r="H137" s="299"/>
      <c r="I137" s="299"/>
      <c r="J137" s="320"/>
      <c r="K137" s="299"/>
      <c r="L137" s="315"/>
      <c r="M137" s="320">
        <f>N137*N$8</f>
        <v>62932.330827067672</v>
      </c>
      <c r="N137" s="299">
        <f>+$F137/SM134Units</f>
        <v>874.06015037593988</v>
      </c>
      <c r="O137" s="315">
        <f t="shared" si="38"/>
        <v>0.86029542359836608</v>
      </c>
      <c r="P137" s="320">
        <f>Q137*Q$8</f>
        <v>53317.669172932336</v>
      </c>
      <c r="Q137" s="299">
        <f>+$F137/SM134Units</f>
        <v>874.06015037593988</v>
      </c>
      <c r="R137" s="315">
        <f>+Q137/Q$11</f>
        <v>0.7205772055861005</v>
      </c>
      <c r="S137" s="331">
        <f>+P137+M137</f>
        <v>116250</v>
      </c>
      <c r="T137" s="322">
        <f>+S137/S$8</f>
        <v>874.06015037593988</v>
      </c>
      <c r="U137" s="315">
        <f>+T137/U$8</f>
        <v>5.9401281074854045E-3</v>
      </c>
      <c r="V137" s="300">
        <f>+S137/TotalCost</f>
        <v>8.672775711477931E-3</v>
      </c>
      <c r="W137" s="300">
        <f>+S137/TotalValue</f>
        <v>7.6518036248007498E-3</v>
      </c>
      <c r="X137" s="299"/>
      <c r="Y137" s="299"/>
      <c r="Z137" s="299"/>
      <c r="AA137" s="299"/>
      <c r="AB137" s="302"/>
      <c r="AC137" s="299"/>
    </row>
    <row r="138" spans="1:30" ht="12.75">
      <c r="A138" s="298"/>
      <c r="B138" s="299" t="s">
        <v>262</v>
      </c>
      <c r="C138" s="299"/>
      <c r="D138" s="1">
        <v>2.5000000000000001E-3</v>
      </c>
      <c r="E138" s="299"/>
      <c r="F138" s="299">
        <f>15500000*0.75*0.0025</f>
        <v>29062.5</v>
      </c>
      <c r="G138" s="299"/>
      <c r="H138" s="299"/>
      <c r="I138" s="299"/>
      <c r="J138" s="320"/>
      <c r="K138" s="299"/>
      <c r="L138" s="315"/>
      <c r="M138" s="320">
        <f>N138*N$8</f>
        <v>15733.082706766918</v>
      </c>
      <c r="N138" s="299">
        <f>+$F138/SM134Units</f>
        <v>218.51503759398497</v>
      </c>
      <c r="O138" s="315">
        <f t="shared" si="38"/>
        <v>0.21507385589959152</v>
      </c>
      <c r="P138" s="320">
        <f>Q138*Q$8</f>
        <v>13329.417293233084</v>
      </c>
      <c r="Q138" s="299">
        <f>+$F138/SM134Units</f>
        <v>218.51503759398497</v>
      </c>
      <c r="R138" s="315">
        <f>+Q138/Q$11</f>
        <v>0.18014430139652512</v>
      </c>
      <c r="S138" s="331">
        <f>+P138+M138</f>
        <v>29062.5</v>
      </c>
      <c r="T138" s="322">
        <f>+S138/S$8</f>
        <v>218.51503759398497</v>
      </c>
      <c r="U138" s="315">
        <f>+T138/U$8</f>
        <v>1.4850320268713511E-3</v>
      </c>
      <c r="V138" s="300">
        <f>+S138/TotalCost</f>
        <v>2.1681939278694828E-3</v>
      </c>
      <c r="W138" s="300">
        <f>+S138/TotalValue</f>
        <v>1.9129509062001874E-3</v>
      </c>
      <c r="X138" s="299"/>
      <c r="Y138" s="299"/>
      <c r="Z138" s="299"/>
      <c r="AA138" s="299"/>
      <c r="AB138" s="302"/>
      <c r="AC138" s="299"/>
    </row>
    <row r="139" spans="1:30" ht="12.75">
      <c r="A139" s="298"/>
      <c r="B139" s="299" t="s">
        <v>433</v>
      </c>
      <c r="C139" s="299" t="s">
        <v>435</v>
      </c>
      <c r="D139" s="359">
        <f>0.0975</f>
        <v>9.7500000000000003E-2</v>
      </c>
      <c r="E139" s="299"/>
      <c r="F139" s="299">
        <f>(TotalDirectCost*1.1*0.9*0.75*Interim_Int_Rate*0.75)*1.1</f>
        <v>747047.49496411812</v>
      </c>
      <c r="G139" s="299"/>
      <c r="H139" s="299"/>
      <c r="I139" s="299"/>
      <c r="J139" s="320"/>
      <c r="K139" s="299"/>
      <c r="L139" s="315"/>
      <c r="M139" s="320">
        <f>N139*N$8</f>
        <v>404416.68900313159</v>
      </c>
      <c r="N139" s="299">
        <f>+$F139/SM134Units</f>
        <v>5616.8984583768279</v>
      </c>
      <c r="O139" s="315">
        <f t="shared" si="38"/>
        <v>5.5284433645441222</v>
      </c>
      <c r="P139" s="320">
        <f>Q139*Q$8</f>
        <v>342630.80596098647</v>
      </c>
      <c r="Q139" s="299">
        <f>+$F139/SM134Units</f>
        <v>5616.8984583768279</v>
      </c>
      <c r="R139" s="315">
        <f>+Q139/Q$11</f>
        <v>4.6305840547212105</v>
      </c>
      <c r="S139" s="331">
        <f>+P139+M139</f>
        <v>747047.49496411812</v>
      </c>
      <c r="T139" s="322">
        <f>+S139/S$8</f>
        <v>5616.8984583768279</v>
      </c>
      <c r="U139" s="315">
        <f>+T139/U$8</f>
        <v>3.8172540408283176E-2</v>
      </c>
      <c r="V139" s="300">
        <f>+S139/TotalCost</f>
        <v>5.5733121459313861E-2</v>
      </c>
      <c r="W139" s="300">
        <f>+S139/TotalValue</f>
        <v>4.917213531066459E-2</v>
      </c>
      <c r="X139" s="299"/>
      <c r="Y139" s="299"/>
      <c r="Z139" s="299"/>
      <c r="AA139" s="299"/>
      <c r="AB139" s="302"/>
      <c r="AC139" s="299"/>
    </row>
    <row r="140" spans="1:30" ht="12.75" hidden="1">
      <c r="A140" s="298"/>
      <c r="B140" s="299" t="s">
        <v>434</v>
      </c>
      <c r="C140" s="299" t="s">
        <v>436</v>
      </c>
      <c r="D140" s="1">
        <v>0.01</v>
      </c>
      <c r="E140" s="299"/>
      <c r="F140" s="299">
        <v>0</v>
      </c>
      <c r="G140" s="299"/>
      <c r="H140" s="299"/>
      <c r="I140" s="299"/>
      <c r="J140" s="320"/>
      <c r="K140" s="299"/>
      <c r="L140" s="315"/>
      <c r="M140" s="320">
        <f>N140*N$8</f>
        <v>0</v>
      </c>
      <c r="N140" s="299">
        <f>+$F140/SM134Units</f>
        <v>0</v>
      </c>
      <c r="O140" s="315">
        <f t="shared" si="38"/>
        <v>0</v>
      </c>
      <c r="P140" s="320">
        <f>Q140*Q$8</f>
        <v>0</v>
      </c>
      <c r="Q140" s="299">
        <f>+$F140/SM134Units</f>
        <v>0</v>
      </c>
      <c r="R140" s="315">
        <f>+Q140/Q$11</f>
        <v>0</v>
      </c>
      <c r="S140" s="331">
        <f>+P140+M140</f>
        <v>0</v>
      </c>
      <c r="T140" s="322">
        <f>+S140/S$8</f>
        <v>0</v>
      </c>
      <c r="U140" s="315">
        <f>+T140/U$8</f>
        <v>0</v>
      </c>
      <c r="V140" s="300">
        <f>+S140/TotalCost</f>
        <v>0</v>
      </c>
      <c r="W140" s="300">
        <f>+S140/TotalValue</f>
        <v>0</v>
      </c>
      <c r="X140" s="299"/>
      <c r="Y140" s="299"/>
      <c r="Z140" s="299"/>
      <c r="AA140" s="299"/>
      <c r="AB140" s="302"/>
      <c r="AC140" s="299"/>
    </row>
    <row r="141" spans="1:30" ht="12.75">
      <c r="A141" s="298"/>
      <c r="B141" s="352" t="s">
        <v>260</v>
      </c>
      <c r="C141" s="299"/>
      <c r="D141" s="299"/>
      <c r="E141" s="299"/>
      <c r="F141" s="352">
        <f>SUM(F135:F140)</f>
        <v>895859.99496411812</v>
      </c>
      <c r="G141" s="352"/>
      <c r="H141" s="299"/>
      <c r="I141" s="299"/>
      <c r="J141" s="360"/>
      <c r="K141" s="360"/>
      <c r="L141" s="361"/>
      <c r="M141" s="360">
        <f>SUM(M135:M140)</f>
        <v>484976.83937907143</v>
      </c>
      <c r="N141" s="360">
        <f>SUM(N135:N140)</f>
        <v>6735.7894358204367</v>
      </c>
      <c r="O141" s="361">
        <f t="shared" si="38"/>
        <v>6.6297140116342881</v>
      </c>
      <c r="P141" s="360">
        <f t="shared" ref="P141:U141" si="62">SUM(P135:P140)</f>
        <v>410883.15558504662</v>
      </c>
      <c r="Q141" s="360">
        <f t="shared" si="62"/>
        <v>6735.7894358204367</v>
      </c>
      <c r="R141" s="361">
        <f t="shared" si="62"/>
        <v>5.5530003592913744</v>
      </c>
      <c r="S141" s="362">
        <f t="shared" si="62"/>
        <v>895859.99496411812</v>
      </c>
      <c r="T141" s="360">
        <f t="shared" si="62"/>
        <v>6735.7894358204367</v>
      </c>
      <c r="U141" s="361">
        <f t="shared" si="62"/>
        <v>4.5776543109316913E-2</v>
      </c>
      <c r="V141" s="449">
        <f>+S141/TotalCost</f>
        <v>6.6835206926533733E-2</v>
      </c>
      <c r="W141" s="449">
        <f>+S141/TotalValue</f>
        <v>5.8967266724992869E-2</v>
      </c>
      <c r="X141" s="299"/>
      <c r="Y141" s="299"/>
      <c r="Z141" s="299"/>
      <c r="AA141" s="299"/>
      <c r="AB141" s="302"/>
      <c r="AC141" s="299"/>
    </row>
    <row r="142" spans="1:30" ht="12.75">
      <c r="A142" s="298"/>
      <c r="B142" s="343"/>
      <c r="C142" s="299"/>
      <c r="D142" s="299"/>
      <c r="E142" s="299"/>
      <c r="F142" s="343"/>
      <c r="G142" s="343"/>
      <c r="H142" s="299"/>
      <c r="I142" s="299"/>
      <c r="J142" s="345"/>
      <c r="K142" s="345"/>
      <c r="L142" s="346"/>
      <c r="M142" s="345"/>
      <c r="N142" s="345"/>
      <c r="O142" s="346">
        <f t="shared" si="38"/>
        <v>0</v>
      </c>
      <c r="P142" s="345"/>
      <c r="Q142" s="345"/>
      <c r="R142" s="346"/>
      <c r="S142" s="348"/>
      <c r="T142" s="345"/>
      <c r="U142" s="346"/>
      <c r="V142" s="299"/>
      <c r="W142" s="299"/>
      <c r="X142" s="299"/>
      <c r="Y142" s="299"/>
      <c r="Z142" s="299"/>
      <c r="AA142" s="299"/>
      <c r="AB142" s="302"/>
      <c r="AC142" s="299"/>
    </row>
    <row r="143" spans="1:30" ht="13.5" thickBot="1">
      <c r="A143" s="298"/>
      <c r="B143" s="328" t="s">
        <v>261</v>
      </c>
      <c r="C143" s="299"/>
      <c r="D143" s="299"/>
      <c r="E143" s="299"/>
      <c r="F143" s="328">
        <f>+F141+F132+D95</f>
        <v>895859.99496411812</v>
      </c>
      <c r="G143" s="328"/>
      <c r="H143" s="299"/>
      <c r="I143" s="299"/>
      <c r="J143" s="329"/>
      <c r="K143" s="329"/>
      <c r="L143" s="363"/>
      <c r="M143" s="329">
        <f>+M141+M132</f>
        <v>6930218.8473912058</v>
      </c>
      <c r="N143" s="329">
        <f>+N141+N132</f>
        <v>96253.039547100081</v>
      </c>
      <c r="O143" s="363">
        <f t="shared" si="38"/>
        <v>94.73724364872055</v>
      </c>
      <c r="P143" s="329">
        <f t="shared" ref="P143:U143" si="63">+P141+P132</f>
        <v>6736372.2859661598</v>
      </c>
      <c r="Q143" s="329">
        <f t="shared" si="63"/>
        <v>110432.33255682229</v>
      </c>
      <c r="R143" s="363">
        <f t="shared" si="63"/>
        <v>86.534564305023466</v>
      </c>
      <c r="S143" s="364">
        <f t="shared" si="63"/>
        <v>13404013.186476119</v>
      </c>
      <c r="T143" s="329">
        <f t="shared" si="63"/>
        <v>100782.05403365502</v>
      </c>
      <c r="U143" s="363">
        <f t="shared" si="63"/>
        <v>85.051404947146139</v>
      </c>
      <c r="V143" s="451">
        <f>+$S143/TotalCost</f>
        <v>1</v>
      </c>
      <c r="W143" s="452">
        <f>+$S143/TotalValue</f>
        <v>0.88227850913681738</v>
      </c>
      <c r="X143" s="299"/>
      <c r="Y143" s="299"/>
      <c r="Z143" s="299"/>
      <c r="AA143" s="299"/>
      <c r="AB143" s="302"/>
      <c r="AC143" s="299"/>
      <c r="AD143" s="96"/>
    </row>
    <row r="144" spans="1:30" ht="13.5" thickTop="1">
      <c r="A144" s="298"/>
      <c r="B144" s="299"/>
      <c r="C144" s="299"/>
      <c r="D144" s="299"/>
      <c r="E144" s="299"/>
      <c r="F144" s="299"/>
      <c r="G144" s="299"/>
      <c r="H144" s="299"/>
      <c r="I144" s="299"/>
      <c r="J144" s="299"/>
      <c r="K144" s="333"/>
      <c r="L144" s="299"/>
      <c r="M144" s="299"/>
      <c r="N144" s="299"/>
      <c r="O144" s="299"/>
      <c r="P144" s="299"/>
      <c r="Q144" s="299"/>
      <c r="R144" s="299"/>
      <c r="S144" s="302"/>
      <c r="T144" s="333"/>
      <c r="U144" s="299"/>
      <c r="V144" s="299"/>
      <c r="W144" s="299"/>
      <c r="X144" s="299"/>
      <c r="Y144" s="299"/>
      <c r="Z144" s="299"/>
      <c r="AA144" s="299"/>
      <c r="AB144" s="302"/>
      <c r="AC144" s="299"/>
    </row>
    <row r="145" spans="1:29" ht="12.75">
      <c r="A145" s="298"/>
      <c r="B145" s="299"/>
      <c r="C145" s="299"/>
      <c r="D145" s="299"/>
      <c r="E145" s="299"/>
      <c r="F145" s="299" t="s">
        <v>502</v>
      </c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302"/>
      <c r="T145" s="299"/>
      <c r="U145" s="299"/>
      <c r="V145" s="299"/>
      <c r="W145" s="299"/>
      <c r="X145" s="299"/>
      <c r="Y145" s="299"/>
      <c r="Z145" s="299"/>
      <c r="AA145" s="299"/>
      <c r="AB145" s="302"/>
      <c r="AC145" s="299"/>
    </row>
    <row r="146" spans="1:29" ht="12.75">
      <c r="A146" s="298"/>
      <c r="B146" s="330" t="s">
        <v>407</v>
      </c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302"/>
      <c r="T146" s="299"/>
      <c r="U146" s="299"/>
      <c r="V146" s="299"/>
      <c r="W146" s="299"/>
      <c r="X146" s="299"/>
      <c r="Y146" s="299"/>
      <c r="Z146" s="299"/>
      <c r="AA146" s="299"/>
      <c r="AB146" s="302"/>
      <c r="AC146" s="299"/>
    </row>
    <row r="147" spans="1:29" ht="12.75" hidden="1">
      <c r="A147" s="298"/>
      <c r="B147" s="358" t="s">
        <v>317</v>
      </c>
      <c r="C147" s="299"/>
      <c r="D147" s="299"/>
      <c r="E147" s="299"/>
      <c r="F147" s="299"/>
      <c r="G147" s="299"/>
      <c r="H147" s="299"/>
      <c r="I147" s="299"/>
      <c r="J147" s="299"/>
      <c r="K147" s="299"/>
      <c r="L147" s="299"/>
      <c r="M147" s="299"/>
      <c r="N147" s="299"/>
      <c r="O147" s="299"/>
      <c r="P147" s="299"/>
      <c r="Q147" s="299"/>
      <c r="R147" s="299"/>
      <c r="S147" s="302"/>
      <c r="T147" s="299"/>
      <c r="U147" s="299"/>
      <c r="V147" s="299"/>
      <c r="W147" s="299"/>
      <c r="X147" s="299"/>
      <c r="Y147" s="299"/>
      <c r="Z147" s="299"/>
      <c r="AA147" s="299"/>
      <c r="AB147" s="302"/>
      <c r="AC147" s="299"/>
    </row>
    <row r="148" spans="1:29" ht="12.75" hidden="1">
      <c r="A148" s="298"/>
      <c r="B148" s="299" t="s">
        <v>253</v>
      </c>
      <c r="C148" s="299"/>
      <c r="D148" s="299"/>
      <c r="E148" s="299"/>
      <c r="F148" s="299"/>
      <c r="G148" s="299"/>
      <c r="H148" s="299"/>
      <c r="I148" s="299"/>
      <c r="J148" s="299" t="e">
        <f>J$8*K148</f>
        <v>#REF!</v>
      </c>
      <c r="K148" s="299" t="e">
        <f>+K$143-#REF!</f>
        <v>#REF!</v>
      </c>
      <c r="L148" s="315" t="e">
        <f>+K148/K$11</f>
        <v>#REF!</v>
      </c>
      <c r="M148" s="299" t="e">
        <f>N$8*N148</f>
        <v>#REF!</v>
      </c>
      <c r="N148" s="299" t="e">
        <f>+N$143-#REF!</f>
        <v>#REF!</v>
      </c>
      <c r="O148" s="315" t="e">
        <f>+N148/N$11</f>
        <v>#REF!</v>
      </c>
      <c r="P148" s="299" t="e">
        <f>Q$8*Q148</f>
        <v>#REF!</v>
      </c>
      <c r="Q148" s="299" t="e">
        <f>+Q$143-#REF!</f>
        <v>#REF!</v>
      </c>
      <c r="R148" s="315" t="e">
        <f t="shared" ref="R148:R155" si="64">+Q148/Q$11</f>
        <v>#REF!</v>
      </c>
      <c r="S148" s="302"/>
      <c r="T148" s="299" t="e">
        <f>+T$143-#REF!</f>
        <v>#REF!</v>
      </c>
      <c r="U148" s="315" t="e">
        <f>+T148/U$8</f>
        <v>#REF!</v>
      </c>
      <c r="V148" s="299"/>
      <c r="W148" s="299"/>
      <c r="X148" s="299"/>
      <c r="Y148" s="299"/>
      <c r="Z148" s="299"/>
      <c r="AA148" s="299"/>
      <c r="AB148" s="302"/>
      <c r="AC148" s="299"/>
    </row>
    <row r="149" spans="1:29" ht="12.75" hidden="1">
      <c r="A149" s="298"/>
      <c r="B149" s="299" t="s">
        <v>269</v>
      </c>
      <c r="C149" s="299"/>
      <c r="D149" s="299"/>
      <c r="E149" s="299"/>
      <c r="F149" s="299"/>
      <c r="G149" s="299"/>
      <c r="H149" s="299"/>
      <c r="I149" s="299"/>
      <c r="J149" s="299">
        <f>J$8*K149</f>
        <v>0</v>
      </c>
      <c r="K149" s="299">
        <f>-K$131</f>
        <v>0</v>
      </c>
      <c r="L149" s="333">
        <f>+K149/K$11</f>
        <v>0</v>
      </c>
      <c r="M149" s="299">
        <f>N$8*N149</f>
        <v>-1052758.0941355545</v>
      </c>
      <c r="N149" s="299">
        <f>-N$131</f>
        <v>-14621.640196327146</v>
      </c>
      <c r="O149" s="333">
        <f>+N149/N$11</f>
        <v>-14.391378145991284</v>
      </c>
      <c r="P149" s="299">
        <f>Q$8*Q149</f>
        <v>-1047892.2750829003</v>
      </c>
      <c r="Q149" s="299">
        <f>-Q$131</f>
        <v>-17178.561886604923</v>
      </c>
      <c r="R149" s="333">
        <f t="shared" si="64"/>
        <v>-14.162046073046103</v>
      </c>
      <c r="S149" s="302"/>
      <c r="T149" s="299">
        <f>-T$131</f>
        <v>-15438.34772668951</v>
      </c>
      <c r="U149" s="333">
        <f>+T149/U$8</f>
        <v>-0.10491928184232906</v>
      </c>
      <c r="V149" s="299"/>
      <c r="W149" s="299"/>
      <c r="X149" s="299"/>
      <c r="Y149" s="299"/>
      <c r="Z149" s="299"/>
      <c r="AA149" s="299"/>
      <c r="AB149" s="302"/>
      <c r="AC149" s="299"/>
    </row>
    <row r="150" spans="1:29" ht="12.75" hidden="1">
      <c r="A150" s="298"/>
      <c r="B150" s="299" t="s">
        <v>303</v>
      </c>
      <c r="C150" s="299"/>
      <c r="D150" s="299"/>
      <c r="E150" s="299"/>
      <c r="F150" s="299"/>
      <c r="G150" s="299"/>
      <c r="H150" s="299"/>
      <c r="I150" s="299"/>
      <c r="J150" s="299" t="e">
        <f>J$8*K150</f>
        <v>#REF!</v>
      </c>
      <c r="K150" s="299" t="e">
        <f>N150</f>
        <v>#REF!</v>
      </c>
      <c r="L150" s="333" t="e">
        <f>+K150/K$11</f>
        <v>#REF!</v>
      </c>
      <c r="M150" s="299" t="e">
        <f>N$8*N150</f>
        <v>#REF!</v>
      </c>
      <c r="N150" s="299" t="e">
        <f>Q150</f>
        <v>#REF!</v>
      </c>
      <c r="O150" s="333" t="e">
        <f>+N150/N$11</f>
        <v>#REF!</v>
      </c>
      <c r="P150" s="299" t="e">
        <f>Q$8*Q150</f>
        <v>#REF!</v>
      </c>
      <c r="Q150" s="299" t="e">
        <f>#REF!</f>
        <v>#REF!</v>
      </c>
      <c r="R150" s="333" t="e">
        <f t="shared" si="64"/>
        <v>#REF!</v>
      </c>
      <c r="S150" s="302"/>
      <c r="T150" s="299">
        <f>S150/SM134Units</f>
        <v>0</v>
      </c>
      <c r="U150" s="333">
        <f>+T150/U$8</f>
        <v>0</v>
      </c>
      <c r="V150" s="299"/>
      <c r="W150" s="299"/>
      <c r="X150" s="299"/>
      <c r="Y150" s="299"/>
      <c r="Z150" s="299"/>
      <c r="AA150" s="299"/>
      <c r="AB150" s="302"/>
      <c r="AC150" s="299"/>
    </row>
    <row r="151" spans="1:29" ht="12.75" hidden="1">
      <c r="A151" s="298"/>
      <c r="B151" s="299" t="s">
        <v>301</v>
      </c>
      <c r="C151" s="299"/>
      <c r="D151" s="299"/>
      <c r="E151" s="299"/>
      <c r="F151" s="299"/>
      <c r="G151" s="299"/>
      <c r="H151" s="299"/>
      <c r="I151" s="299"/>
      <c r="J151" s="299" t="e">
        <f>J$8*K151</f>
        <v>#REF!</v>
      </c>
      <c r="K151" s="299" t="e">
        <f>+K149+K148+K150</f>
        <v>#REF!</v>
      </c>
      <c r="L151" s="315" t="e">
        <f>+K151/K$11</f>
        <v>#REF!</v>
      </c>
      <c r="M151" s="299" t="e">
        <f>N$8*N151</f>
        <v>#REF!</v>
      </c>
      <c r="N151" s="299" t="e">
        <f>+N149+N148+N150</f>
        <v>#REF!</v>
      </c>
      <c r="O151" s="315" t="e">
        <f>+N151/N$11</f>
        <v>#REF!</v>
      </c>
      <c r="P151" s="299" t="e">
        <f>Q$8*Q151</f>
        <v>#REF!</v>
      </c>
      <c r="Q151" s="299" t="e">
        <f>+Q149+Q148+Q150</f>
        <v>#REF!</v>
      </c>
      <c r="R151" s="315" t="e">
        <f t="shared" si="64"/>
        <v>#REF!</v>
      </c>
      <c r="S151" s="302"/>
      <c r="T151" s="299" t="e">
        <f>+T149+T148+T150</f>
        <v>#REF!</v>
      </c>
      <c r="U151" s="315" t="e">
        <f>+T151/U$8</f>
        <v>#REF!</v>
      </c>
      <c r="V151" s="299"/>
      <c r="W151" s="299"/>
      <c r="X151" s="299"/>
      <c r="Y151" s="299"/>
      <c r="Z151" s="299"/>
      <c r="AA151" s="299"/>
      <c r="AB151" s="302"/>
      <c r="AC151" s="299"/>
    </row>
    <row r="152" spans="1:29" ht="12.75">
      <c r="A152" s="298"/>
      <c r="B152" s="379" t="s">
        <v>483</v>
      </c>
      <c r="C152" s="380"/>
      <c r="D152" s="380"/>
      <c r="E152" s="380"/>
      <c r="F152" s="380"/>
      <c r="G152" s="380"/>
      <c r="H152" s="380"/>
      <c r="I152" s="380"/>
      <c r="J152" s="380"/>
      <c r="K152" s="380"/>
      <c r="L152" s="381"/>
      <c r="M152" s="380"/>
      <c r="N152" s="380"/>
      <c r="O152" s="381"/>
      <c r="P152" s="380"/>
      <c r="Q152" s="380"/>
      <c r="R152" s="381"/>
      <c r="S152" s="382"/>
      <c r="T152" s="380"/>
      <c r="U152" s="381"/>
      <c r="V152" s="380"/>
      <c r="W152" s="299"/>
      <c r="X152" s="299"/>
      <c r="Y152" s="299"/>
      <c r="Z152" s="299"/>
      <c r="AA152" s="299"/>
      <c r="AB152" s="302"/>
      <c r="AC152" s="299"/>
    </row>
    <row r="153" spans="1:29" ht="12.75">
      <c r="A153" s="298"/>
      <c r="B153" s="383"/>
      <c r="C153" s="380"/>
      <c r="D153" s="380"/>
      <c r="E153" s="380"/>
      <c r="F153" s="380"/>
      <c r="G153" s="380"/>
      <c r="H153" s="380"/>
      <c r="I153" s="380"/>
      <c r="J153" s="380"/>
      <c r="K153" s="380"/>
      <c r="L153" s="381"/>
      <c r="M153" s="380"/>
      <c r="N153" s="380"/>
      <c r="O153" s="381"/>
      <c r="P153" s="380"/>
      <c r="Q153" s="380"/>
      <c r="R153" s="381"/>
      <c r="S153" s="382"/>
      <c r="T153" s="380"/>
      <c r="U153" s="381"/>
      <c r="V153" s="380"/>
      <c r="W153" s="299"/>
      <c r="X153" s="299"/>
      <c r="Y153" s="299"/>
      <c r="Z153" s="299"/>
      <c r="AA153" s="299"/>
      <c r="AB153" s="302"/>
      <c r="AC153" s="299"/>
    </row>
    <row r="154" spans="1:29" ht="12.75">
      <c r="A154" s="298"/>
      <c r="B154" s="384" t="s">
        <v>490</v>
      </c>
      <c r="C154" s="384"/>
      <c r="D154" s="384"/>
      <c r="E154" s="384"/>
      <c r="F154" s="384"/>
      <c r="G154" s="384"/>
      <c r="H154" s="384"/>
      <c r="I154" s="384"/>
      <c r="J154" s="384"/>
      <c r="K154" s="384"/>
      <c r="L154" s="384"/>
      <c r="M154" s="385">
        <f>+M97</f>
        <v>607219.84962406033</v>
      </c>
      <c r="N154" s="385">
        <f>+M154/N$8</f>
        <v>8433.609022556393</v>
      </c>
      <c r="O154" s="386">
        <f t="shared" ref="O154:O169" si="65">+N154/N$11</f>
        <v>8.3007962820436934</v>
      </c>
      <c r="P154" s="385">
        <f>+P97</f>
        <v>514450.15037593996</v>
      </c>
      <c r="Q154" s="385">
        <f>+P154/Q$8</f>
        <v>8433.609022556393</v>
      </c>
      <c r="R154" s="386">
        <f t="shared" si="64"/>
        <v>6.9526867457183785</v>
      </c>
      <c r="S154" s="387">
        <f>+P154+M154</f>
        <v>1121670.0000000002</v>
      </c>
      <c r="T154" s="385">
        <f>+S154/S$8</f>
        <v>8433.609022556393</v>
      </c>
      <c r="U154" s="386">
        <f>+T154/U$8</f>
        <v>5.7314954789876603E-2</v>
      </c>
      <c r="V154" s="388">
        <f>+S154/S$169</f>
        <v>8.2073868242259193E-2</v>
      </c>
      <c r="W154" s="300">
        <f t="shared" ref="W154:W169" si="66">+S154/TotalValue</f>
        <v>7.3830525349077497E-2</v>
      </c>
      <c r="X154" s="299"/>
      <c r="Y154" s="299"/>
      <c r="Z154" s="299"/>
      <c r="AA154" s="299"/>
      <c r="AB154" s="302"/>
      <c r="AC154" s="299"/>
    </row>
    <row r="155" spans="1:29" ht="12.75">
      <c r="A155" s="298"/>
      <c r="B155" s="384" t="s">
        <v>484</v>
      </c>
      <c r="C155" s="384"/>
      <c r="D155" s="384"/>
      <c r="E155" s="384"/>
      <c r="F155" s="384"/>
      <c r="G155" s="384"/>
      <c r="H155" s="384"/>
      <c r="I155" s="384"/>
      <c r="J155" s="384"/>
      <c r="K155" s="384"/>
      <c r="L155" s="384"/>
      <c r="M155" s="384">
        <f>+M115</f>
        <v>339444.76355066762</v>
      </c>
      <c r="N155" s="384">
        <f>+M155/N$8</f>
        <v>4714.5106048703838</v>
      </c>
      <c r="O155" s="389">
        <f t="shared" si="65"/>
        <v>4.6402663433763616</v>
      </c>
      <c r="P155" s="384">
        <f>+P115</f>
        <v>287585.14689709351</v>
      </c>
      <c r="Q155" s="384">
        <f>+P155/Q$8</f>
        <v>4714.5106048703856</v>
      </c>
      <c r="R155" s="389">
        <f t="shared" si="64"/>
        <v>3.8866534252847367</v>
      </c>
      <c r="S155" s="390">
        <f>+P155+M155</f>
        <v>627029.91044776118</v>
      </c>
      <c r="T155" s="384">
        <f t="shared" ref="T155:T169" si="67">+S155/S$8</f>
        <v>4714.5106048703847</v>
      </c>
      <c r="U155" s="389">
        <f>+T155/U$8</f>
        <v>3.2039896733632708E-2</v>
      </c>
      <c r="V155" s="388">
        <f>+S155/S$169</f>
        <v>4.5880490923395578E-2</v>
      </c>
      <c r="W155" s="300">
        <f t="shared" si="66"/>
        <v>4.1272341863420804E-2</v>
      </c>
      <c r="X155" s="299"/>
      <c r="Y155" s="299"/>
      <c r="Z155" s="299"/>
      <c r="AA155" s="299"/>
      <c r="AB155" s="302"/>
      <c r="AC155" s="299"/>
    </row>
    <row r="156" spans="1:29" ht="12.75">
      <c r="A156" s="298"/>
      <c r="B156" s="384"/>
      <c r="C156" s="384"/>
      <c r="D156" s="384"/>
      <c r="E156" s="384"/>
      <c r="F156" s="384"/>
      <c r="G156" s="384"/>
      <c r="H156" s="384"/>
      <c r="I156" s="384"/>
      <c r="J156" s="384"/>
      <c r="K156" s="384"/>
      <c r="L156" s="384"/>
      <c r="M156" s="384"/>
      <c r="N156" s="384"/>
      <c r="O156" s="389"/>
      <c r="P156" s="384"/>
      <c r="Q156" s="384"/>
      <c r="R156" s="391"/>
      <c r="S156" s="390"/>
      <c r="T156" s="384"/>
      <c r="U156" s="389"/>
      <c r="V156" s="388"/>
      <c r="W156" s="300"/>
      <c r="X156" s="299"/>
      <c r="Y156" s="299"/>
      <c r="Z156" s="299"/>
      <c r="AA156" s="299"/>
      <c r="AB156" s="302"/>
      <c r="AC156" s="299"/>
    </row>
    <row r="157" spans="1:29" ht="12.75">
      <c r="A157" s="298"/>
      <c r="B157" s="195" t="s">
        <v>402</v>
      </c>
      <c r="C157" s="384"/>
      <c r="D157" s="384"/>
      <c r="E157" s="384"/>
      <c r="F157" s="384"/>
      <c r="G157" s="384"/>
      <c r="H157" s="384"/>
      <c r="I157" s="384"/>
      <c r="J157" s="384"/>
      <c r="K157" s="384"/>
      <c r="L157" s="384"/>
      <c r="M157" s="392">
        <f>+M155+M154</f>
        <v>946664.61317472789</v>
      </c>
      <c r="N157" s="392">
        <f>+M157/N$8</f>
        <v>13148.119627426777</v>
      </c>
      <c r="O157" s="391">
        <f t="shared" si="65"/>
        <v>12.941062625420056</v>
      </c>
      <c r="P157" s="392">
        <f>+P155+P154</f>
        <v>802035.29727303353</v>
      </c>
      <c r="Q157" s="392">
        <f>+P157/Q$8</f>
        <v>13148.119627426779</v>
      </c>
      <c r="R157" s="391">
        <f>+Q157/Q$11</f>
        <v>10.839340171003116</v>
      </c>
      <c r="S157" s="387">
        <f>+P157+M157</f>
        <v>1748699.9104477614</v>
      </c>
      <c r="T157" s="392">
        <f t="shared" si="67"/>
        <v>13148.119627426777</v>
      </c>
      <c r="U157" s="391">
        <f>+T157/U$8</f>
        <v>8.9354851523509304E-2</v>
      </c>
      <c r="V157" s="393">
        <f>+S157/S$169</f>
        <v>0.12795435916565479</v>
      </c>
      <c r="W157" s="459">
        <f t="shared" si="66"/>
        <v>0.11510286721249831</v>
      </c>
      <c r="X157" s="299"/>
      <c r="Y157" s="299"/>
      <c r="Z157" s="299"/>
      <c r="AA157" s="299"/>
      <c r="AB157" s="302"/>
      <c r="AC157" s="299"/>
    </row>
    <row r="158" spans="1:29" ht="12.75">
      <c r="A158" s="298"/>
      <c r="B158" s="195"/>
      <c r="C158" s="384"/>
      <c r="D158" s="384"/>
      <c r="E158" s="384"/>
      <c r="F158" s="384"/>
      <c r="G158" s="384"/>
      <c r="H158" s="384"/>
      <c r="I158" s="384"/>
      <c r="J158" s="384"/>
      <c r="K158" s="384"/>
      <c r="L158" s="384"/>
      <c r="M158" s="392"/>
      <c r="N158" s="392"/>
      <c r="O158" s="391"/>
      <c r="P158" s="392"/>
      <c r="Q158" s="392"/>
      <c r="R158" s="391"/>
      <c r="S158" s="387"/>
      <c r="T158" s="392"/>
      <c r="U158" s="391"/>
      <c r="V158" s="393"/>
      <c r="W158" s="300"/>
      <c r="X158" s="299"/>
      <c r="Y158" s="299"/>
      <c r="Z158" s="299"/>
      <c r="AA158" s="299"/>
      <c r="AB158" s="302"/>
      <c r="AC158" s="299"/>
    </row>
    <row r="159" spans="1:29" ht="12.75">
      <c r="A159" s="298"/>
      <c r="B159" s="379" t="s">
        <v>404</v>
      </c>
      <c r="C159" s="380"/>
      <c r="D159" s="380"/>
      <c r="E159" s="380"/>
      <c r="F159" s="380"/>
      <c r="G159" s="380"/>
      <c r="H159" s="380"/>
      <c r="I159" s="380"/>
      <c r="J159" s="380"/>
      <c r="K159" s="380"/>
      <c r="L159" s="381"/>
      <c r="M159" s="380"/>
      <c r="N159" s="380"/>
      <c r="O159" s="381"/>
      <c r="P159" s="380"/>
      <c r="Q159" s="380"/>
      <c r="R159" s="381"/>
      <c r="S159" s="382"/>
      <c r="T159" s="380"/>
      <c r="U159" s="381"/>
      <c r="V159" s="394"/>
      <c r="W159" s="300"/>
      <c r="X159" s="299"/>
      <c r="Y159" s="299"/>
      <c r="Z159" s="299"/>
      <c r="AA159" s="299"/>
      <c r="AB159" s="302"/>
      <c r="AC159" s="299"/>
    </row>
    <row r="160" spans="1:29" ht="12.75">
      <c r="A160" s="298"/>
      <c r="B160" s="383"/>
      <c r="C160" s="380"/>
      <c r="D160" s="380"/>
      <c r="E160" s="380"/>
      <c r="F160" s="380"/>
      <c r="G160" s="380"/>
      <c r="H160" s="380"/>
      <c r="I160" s="380"/>
      <c r="J160" s="380"/>
      <c r="K160" s="380"/>
      <c r="L160" s="381"/>
      <c r="M160" s="380"/>
      <c r="N160" s="380"/>
      <c r="O160" s="381"/>
      <c r="P160" s="380"/>
      <c r="Q160" s="380"/>
      <c r="R160" s="381"/>
      <c r="S160" s="382"/>
      <c r="T160" s="380"/>
      <c r="U160" s="381"/>
      <c r="V160" s="394"/>
      <c r="W160" s="300"/>
      <c r="X160" s="299"/>
      <c r="Y160" s="299"/>
      <c r="Z160" s="299"/>
      <c r="AA160" s="299"/>
      <c r="AB160" s="302"/>
      <c r="AC160" s="299"/>
    </row>
    <row r="161" spans="1:29" ht="12.75">
      <c r="A161" s="298"/>
      <c r="B161" s="384" t="s">
        <v>403</v>
      </c>
      <c r="C161" s="384"/>
      <c r="D161" s="384"/>
      <c r="E161" s="384"/>
      <c r="F161" s="384"/>
      <c r="G161" s="384"/>
      <c r="H161" s="384"/>
      <c r="I161" s="384"/>
      <c r="J161" s="384"/>
      <c r="K161" s="384"/>
      <c r="L161" s="384"/>
      <c r="M161" s="384">
        <f>+M128</f>
        <v>426637.33960469143</v>
      </c>
      <c r="N161" s="384">
        <f>+M161/N$8</f>
        <v>5925.518605620714</v>
      </c>
      <c r="O161" s="389">
        <f t="shared" si="65"/>
        <v>5.8322033519888921</v>
      </c>
      <c r="P161" s="384">
        <f>+P128</f>
        <v>361456.63494286354</v>
      </c>
      <c r="Q161" s="384">
        <f>+P161/Q$8</f>
        <v>5925.518605620714</v>
      </c>
      <c r="R161" s="389">
        <f>+Q161/Q$11</f>
        <v>4.8850112165051227</v>
      </c>
      <c r="S161" s="390">
        <f>+P161+M161</f>
        <v>788093.97454755497</v>
      </c>
      <c r="T161" s="384">
        <f t="shared" si="67"/>
        <v>5925.518605620714</v>
      </c>
      <c r="U161" s="389">
        <f>+T161/U$8</f>
        <v>4.0269928340213493E-2</v>
      </c>
      <c r="V161" s="388">
        <f>+S161/S$169</f>
        <v>5.7665731480323432E-2</v>
      </c>
      <c r="W161" s="300">
        <f t="shared" si="66"/>
        <v>5.1873895321519238E-2</v>
      </c>
      <c r="X161" s="299"/>
      <c r="Y161" s="299"/>
      <c r="Z161" s="299"/>
      <c r="AA161" s="299"/>
      <c r="AB161" s="302"/>
      <c r="AC161" s="299"/>
    </row>
    <row r="162" spans="1:29" ht="12.75">
      <c r="A162" s="298"/>
      <c r="B162" s="384" t="s">
        <v>404</v>
      </c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>
        <f>+M95</f>
        <v>4019181.9610971604</v>
      </c>
      <c r="N162" s="384">
        <f>+M162/N$8</f>
        <v>55821.971681905008</v>
      </c>
      <c r="O162" s="389">
        <f t="shared" si="65"/>
        <v>54.942885513686029</v>
      </c>
      <c r="P162" s="384">
        <f>+P95</f>
        <v>4114104.9230823163</v>
      </c>
      <c r="Q162" s="384">
        <f>+P162/Q$8</f>
        <v>67444.343001349451</v>
      </c>
      <c r="R162" s="389">
        <f>+Q162/Q$11</f>
        <v>55.60127205387424</v>
      </c>
      <c r="S162" s="390">
        <f>+P162+M162</f>
        <v>8133286.8841794766</v>
      </c>
      <c r="T162" s="384">
        <f t="shared" si="67"/>
        <v>61152.532963755461</v>
      </c>
      <c r="U162" s="389">
        <f>+T162/U$8</f>
        <v>0.41559368625339266</v>
      </c>
      <c r="V162" s="388">
        <f>+S162/S$169</f>
        <v>0.59512184163670334</v>
      </c>
      <c r="W162" s="300">
        <f t="shared" si="66"/>
        <v>0.53534893816695839</v>
      </c>
      <c r="X162" s="299"/>
      <c r="Y162" s="299"/>
      <c r="Z162" s="299"/>
      <c r="AA162" s="299"/>
      <c r="AB162" s="302"/>
      <c r="AC162" s="299"/>
    </row>
    <row r="163" spans="1:29" ht="12.75">
      <c r="A163" s="298"/>
      <c r="B163" s="384" t="s">
        <v>406</v>
      </c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>
        <f>+M131</f>
        <v>1052758.0941355545</v>
      </c>
      <c r="N163" s="384">
        <f>+M163/N$8</f>
        <v>14621.640196327146</v>
      </c>
      <c r="O163" s="389">
        <f t="shared" si="65"/>
        <v>14.391378145991284</v>
      </c>
      <c r="P163" s="384">
        <f>+P131</f>
        <v>1047892.2750829003</v>
      </c>
      <c r="Q163" s="384">
        <f>+P163/Q$8</f>
        <v>17178.561886604923</v>
      </c>
      <c r="R163" s="389">
        <f>+Q163/Q$11</f>
        <v>14.162046073046103</v>
      </c>
      <c r="S163" s="390">
        <f>+P163+M163</f>
        <v>2100650.3692184547</v>
      </c>
      <c r="T163" s="384">
        <f t="shared" si="67"/>
        <v>15794.363678334246</v>
      </c>
      <c r="U163" s="389">
        <f>+T163/U$8</f>
        <v>0.10733877249199257</v>
      </c>
      <c r="V163" s="388">
        <f>+S163/S$169</f>
        <v>0.15370697408889294</v>
      </c>
      <c r="W163" s="300">
        <f t="shared" si="66"/>
        <v>0.13826893857741768</v>
      </c>
      <c r="X163" s="299"/>
      <c r="Y163" s="299"/>
      <c r="Z163" s="299"/>
      <c r="AA163" s="299"/>
      <c r="AB163" s="302"/>
      <c r="AC163" s="299"/>
    </row>
    <row r="164" spans="1:29" ht="12.75">
      <c r="A164" s="298"/>
      <c r="B164" s="384"/>
      <c r="C164" s="384"/>
      <c r="D164" s="384"/>
      <c r="E164" s="384"/>
      <c r="F164" s="384"/>
      <c r="G164" s="384"/>
      <c r="H164" s="384"/>
      <c r="I164" s="384"/>
      <c r="J164" s="384"/>
      <c r="K164" s="384"/>
      <c r="L164" s="384"/>
      <c r="M164" s="384"/>
      <c r="N164" s="384"/>
      <c r="O164" s="389"/>
      <c r="P164" s="384"/>
      <c r="Q164" s="384"/>
      <c r="R164" s="389"/>
      <c r="S164" s="390"/>
      <c r="T164" s="384"/>
      <c r="U164" s="389"/>
      <c r="V164" s="388"/>
      <c r="W164" s="300"/>
      <c r="X164" s="299"/>
      <c r="Y164" s="299"/>
      <c r="Z164" s="299"/>
      <c r="AA164" s="299"/>
      <c r="AB164" s="302"/>
      <c r="AC164" s="299"/>
    </row>
    <row r="165" spans="1:29" ht="12.75">
      <c r="A165" s="298"/>
      <c r="B165" s="195" t="s">
        <v>265</v>
      </c>
      <c r="C165" s="384"/>
      <c r="D165" s="384"/>
      <c r="E165" s="384"/>
      <c r="F165" s="384"/>
      <c r="G165" s="384"/>
      <c r="H165" s="384"/>
      <c r="I165" s="384"/>
      <c r="J165" s="384"/>
      <c r="K165" s="384"/>
      <c r="L165" s="384"/>
      <c r="M165" s="392">
        <f>SUM(M157:M163)</f>
        <v>6445242.0080121346</v>
      </c>
      <c r="N165" s="392">
        <f>+M165/N$8</f>
        <v>89517.250111279645</v>
      </c>
      <c r="O165" s="391">
        <f t="shared" si="65"/>
        <v>88.107529637086259</v>
      </c>
      <c r="P165" s="392">
        <f>SUM(P157:P163)</f>
        <v>6325489.1303811138</v>
      </c>
      <c r="Q165" s="392">
        <f>+P165/Q$8</f>
        <v>103696.54312100187</v>
      </c>
      <c r="R165" s="391">
        <f>+Q165/Q$11</f>
        <v>85.487669514428589</v>
      </c>
      <c r="S165" s="387">
        <f>+P165+M165</f>
        <v>12770731.138393249</v>
      </c>
      <c r="T165" s="392">
        <f t="shared" si="67"/>
        <v>96020.534875137208</v>
      </c>
      <c r="U165" s="391">
        <f>+T165/U$8</f>
        <v>0.65255723860910808</v>
      </c>
      <c r="V165" s="393">
        <f>+S165/S$169</f>
        <v>0.93444890637157463</v>
      </c>
      <c r="W165" s="459">
        <f t="shared" si="66"/>
        <v>0.84059463927839373</v>
      </c>
      <c r="X165" s="299"/>
      <c r="Y165" s="299"/>
      <c r="Z165" s="299"/>
      <c r="AA165" s="299"/>
      <c r="AB165" s="302"/>
      <c r="AC165" s="299"/>
    </row>
    <row r="166" spans="1:29" ht="12.75">
      <c r="A166" s="298"/>
      <c r="B166" s="384"/>
      <c r="C166" s="384"/>
      <c r="D166" s="384"/>
      <c r="E166" s="384"/>
      <c r="F166" s="384"/>
      <c r="G166" s="384"/>
      <c r="H166" s="384"/>
      <c r="I166" s="384"/>
      <c r="J166" s="384"/>
      <c r="K166" s="384"/>
      <c r="L166" s="384"/>
      <c r="M166" s="384"/>
      <c r="N166" s="384"/>
      <c r="O166" s="384"/>
      <c r="P166" s="384"/>
      <c r="Q166" s="384"/>
      <c r="R166" s="384"/>
      <c r="S166" s="390"/>
      <c r="T166" s="384"/>
      <c r="U166" s="389"/>
      <c r="V166" s="395"/>
      <c r="W166" s="300"/>
      <c r="X166" s="299"/>
      <c r="Y166" s="299"/>
      <c r="Z166" s="299"/>
      <c r="AA166" s="299"/>
      <c r="AB166" s="302"/>
      <c r="AC166" s="299"/>
    </row>
    <row r="167" spans="1:29" ht="12.75">
      <c r="A167" s="298"/>
      <c r="B167" s="384" t="s">
        <v>405</v>
      </c>
      <c r="C167" s="384"/>
      <c r="D167" s="384"/>
      <c r="E167" s="384"/>
      <c r="F167" s="384"/>
      <c r="G167" s="384"/>
      <c r="H167" s="384"/>
      <c r="I167" s="384"/>
      <c r="J167" s="384"/>
      <c r="K167" s="384"/>
      <c r="L167" s="384"/>
      <c r="M167" s="384">
        <f>+M141</f>
        <v>484976.83937907143</v>
      </c>
      <c r="N167" s="384">
        <f>+M167/N$8</f>
        <v>6735.7894358204367</v>
      </c>
      <c r="O167" s="389">
        <f t="shared" si="65"/>
        <v>6.6297140116342881</v>
      </c>
      <c r="P167" s="384">
        <f>+P141</f>
        <v>410883.15558504662</v>
      </c>
      <c r="Q167" s="384">
        <f>+P167/Q$8</f>
        <v>6735.7894358204367</v>
      </c>
      <c r="R167" s="389">
        <f>+Q167/Q$11</f>
        <v>5.5530003592913744</v>
      </c>
      <c r="S167" s="390">
        <f>+P167+M167</f>
        <v>895859.99496411812</v>
      </c>
      <c r="T167" s="384">
        <f t="shared" si="67"/>
        <v>6735.7894358204367</v>
      </c>
      <c r="U167" s="389">
        <f>+T167/U$8</f>
        <v>4.5776543109316913E-2</v>
      </c>
      <c r="V167" s="388">
        <f>+S167/S$169</f>
        <v>6.5551093628425469E-2</v>
      </c>
      <c r="W167" s="300">
        <f t="shared" si="66"/>
        <v>5.8967266724992869E-2</v>
      </c>
      <c r="X167" s="299"/>
      <c r="Y167" s="299"/>
      <c r="Z167" s="299"/>
      <c r="AA167" s="299"/>
      <c r="AB167" s="302"/>
      <c r="AC167" s="299"/>
    </row>
    <row r="168" spans="1:29" ht="12.75">
      <c r="A168" s="298"/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9"/>
      <c r="P168" s="384"/>
      <c r="Q168" s="384"/>
      <c r="R168" s="389"/>
      <c r="S168" s="390"/>
      <c r="T168" s="384"/>
      <c r="U168" s="389"/>
      <c r="V168" s="395"/>
      <c r="W168" s="300"/>
      <c r="X168" s="299"/>
      <c r="Y168" s="299"/>
      <c r="Z168" s="299"/>
      <c r="AA168" s="299"/>
      <c r="AB168" s="302"/>
      <c r="AC168" s="299"/>
    </row>
    <row r="169" spans="1:29" ht="12.75">
      <c r="A169" s="298"/>
      <c r="B169" s="410" t="s">
        <v>261</v>
      </c>
      <c r="C169" s="411"/>
      <c r="D169" s="411"/>
      <c r="E169" s="411"/>
      <c r="F169" s="411"/>
      <c r="G169" s="411"/>
      <c r="H169" s="411"/>
      <c r="I169" s="411"/>
      <c r="J169" s="411"/>
      <c r="K169" s="411"/>
      <c r="L169" s="411"/>
      <c r="M169" s="407">
        <f>+M167+M165</f>
        <v>6930218.8473912058</v>
      </c>
      <c r="N169" s="407">
        <f>+M169/N$8</f>
        <v>96253.039547100081</v>
      </c>
      <c r="O169" s="408">
        <f t="shared" si="65"/>
        <v>94.73724364872055</v>
      </c>
      <c r="P169" s="407">
        <f>+P167+P165</f>
        <v>6736372.2859661607</v>
      </c>
      <c r="Q169" s="407">
        <f>+P169/Q$8</f>
        <v>110432.33255682231</v>
      </c>
      <c r="R169" s="408">
        <f>+Q169/Q$11</f>
        <v>91.040669873719963</v>
      </c>
      <c r="S169" s="406">
        <f>+P169+M169</f>
        <v>13666591.133357367</v>
      </c>
      <c r="T169" s="407">
        <f t="shared" si="67"/>
        <v>102756.32431095764</v>
      </c>
      <c r="U169" s="408">
        <f>+T169/U$8</f>
        <v>0.69833378171842497</v>
      </c>
      <c r="V169" s="409">
        <f>+S169/S$169</f>
        <v>1</v>
      </c>
      <c r="W169" s="409">
        <f t="shared" si="66"/>
        <v>0.89956190600338659</v>
      </c>
      <c r="X169" s="299"/>
      <c r="Y169" s="299"/>
      <c r="Z169" s="299"/>
      <c r="AA169" s="299"/>
      <c r="AB169" s="302"/>
      <c r="AC169" s="299"/>
    </row>
    <row r="170" spans="1:29" ht="12.75">
      <c r="A170" s="298"/>
      <c r="B170" s="383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96"/>
      <c r="N170" s="396"/>
      <c r="O170" s="397"/>
      <c r="P170" s="396"/>
      <c r="Q170" s="396"/>
      <c r="R170" s="397"/>
      <c r="S170" s="398"/>
      <c r="T170" s="396"/>
      <c r="U170" s="397"/>
      <c r="V170" s="399"/>
      <c r="W170" s="399"/>
      <c r="X170" s="299"/>
      <c r="Y170" s="299"/>
      <c r="Z170" s="299"/>
      <c r="AA170" s="299"/>
      <c r="AB170" s="302"/>
      <c r="AC170" s="299"/>
    </row>
    <row r="171" spans="1:29" ht="12.75">
      <c r="A171" s="298"/>
      <c r="B171" s="410" t="s">
        <v>353</v>
      </c>
      <c r="C171" s="411"/>
      <c r="D171" s="411"/>
      <c r="E171" s="411"/>
      <c r="F171" s="411"/>
      <c r="G171" s="411"/>
      <c r="H171" s="411"/>
      <c r="I171" s="411"/>
      <c r="J171" s="411"/>
      <c r="K171" s="411"/>
      <c r="L171" s="411"/>
      <c r="M171" s="407">
        <f>+Proforma!J44</f>
        <v>7007719.224736467</v>
      </c>
      <c r="N171" s="407">
        <f>+Proforma!K44</f>
        <v>95996.153763513241</v>
      </c>
      <c r="O171" s="408">
        <f>+Proforma!L44</f>
        <v>94.484403310544522</v>
      </c>
      <c r="P171" s="407">
        <f>+Proforma!N44</f>
        <v>8184777.3029076429</v>
      </c>
      <c r="Q171" s="407">
        <f>+Proforma!O44</f>
        <v>134176.6770968466</v>
      </c>
      <c r="R171" s="408">
        <f>+Proforma!P44</f>
        <v>110.61556232221484</v>
      </c>
      <c r="S171" s="406">
        <f>Project_Value</f>
        <v>15192496.527644109</v>
      </c>
      <c r="T171" s="407">
        <f>S171/SM134Units</f>
        <v>114229.29720033165</v>
      </c>
      <c r="U171" s="408">
        <f>+S171/U8</f>
        <v>103.24847278292914</v>
      </c>
      <c r="V171" s="409">
        <f>+S171/S169</f>
        <v>1.1116522312987265</v>
      </c>
      <c r="W171" s="409">
        <f>+S171/TotalValue</f>
        <v>1</v>
      </c>
      <c r="X171" s="299"/>
      <c r="Y171" s="299"/>
      <c r="Z171" s="299"/>
      <c r="AA171" s="299"/>
      <c r="AB171" s="302"/>
      <c r="AC171" s="299"/>
    </row>
    <row r="172" spans="1:29" ht="12.75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  <c r="R172" s="298"/>
      <c r="S172" s="365"/>
      <c r="T172" s="298"/>
      <c r="U172" s="366"/>
      <c r="V172" s="298"/>
      <c r="W172" s="299"/>
      <c r="X172" s="299"/>
      <c r="Y172" s="299"/>
      <c r="Z172" s="299"/>
      <c r="AA172" s="299"/>
      <c r="AB172" s="302"/>
      <c r="AC172" s="299"/>
    </row>
    <row r="173" spans="1:29" ht="12.75">
      <c r="A173" s="298"/>
      <c r="B173" s="367" t="s">
        <v>420</v>
      </c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  <c r="R173" s="298"/>
      <c r="S173" s="365"/>
      <c r="T173" s="298"/>
      <c r="U173" s="366"/>
      <c r="V173" s="298"/>
      <c r="W173" s="299"/>
      <c r="X173" s="299"/>
      <c r="Y173" s="299"/>
      <c r="Z173" s="299"/>
      <c r="AA173" s="299"/>
      <c r="AB173" s="302"/>
      <c r="AC173" s="299"/>
    </row>
    <row r="174" spans="1:29" ht="13.5">
      <c r="A174" s="298"/>
      <c r="B174" s="298" t="s">
        <v>485</v>
      </c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  <c r="R174" s="298"/>
      <c r="S174" s="368">
        <f>0.75*Project_Value</f>
        <v>11394372.395733081</v>
      </c>
      <c r="T174" s="369"/>
      <c r="U174" s="369"/>
      <c r="V174" s="369"/>
      <c r="W174" s="299"/>
      <c r="X174" s="299"/>
      <c r="Y174" s="299"/>
      <c r="Z174" s="299"/>
      <c r="AA174" s="299"/>
      <c r="AB174" s="299"/>
      <c r="AC174" s="299"/>
    </row>
    <row r="175" spans="1:29" ht="12.75">
      <c r="A175" s="298"/>
      <c r="B175" s="462" t="s">
        <v>491</v>
      </c>
      <c r="C175" s="461"/>
      <c r="D175" s="1">
        <f>Const_Profit</f>
        <v>0.22</v>
      </c>
      <c r="E175" s="461"/>
      <c r="F175" s="461"/>
      <c r="G175" s="461"/>
      <c r="H175" s="461"/>
      <c r="I175" s="461"/>
      <c r="J175" s="461"/>
      <c r="K175" s="461"/>
      <c r="L175" s="461"/>
      <c r="M175" s="461"/>
      <c r="N175" s="461"/>
      <c r="O175" s="461"/>
      <c r="P175" s="461"/>
      <c r="Q175" s="461"/>
      <c r="R175" s="461"/>
      <c r="S175" s="368">
        <f>0.8*TotalCost</f>
        <v>10723210.549180895</v>
      </c>
      <c r="T175" s="298"/>
      <c r="U175" s="298"/>
      <c r="V175" s="298"/>
      <c r="W175" s="299"/>
      <c r="X175" s="299"/>
      <c r="Y175" s="299"/>
      <c r="Z175" s="299"/>
      <c r="AA175" s="299"/>
      <c r="AB175" s="299"/>
      <c r="AC175" s="299"/>
    </row>
    <row r="176" spans="1:29" ht="12.75">
      <c r="A176" s="298"/>
      <c r="B176" s="460" t="s">
        <v>486</v>
      </c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  <c r="R176" s="298"/>
      <c r="S176" s="323"/>
      <c r="T176" s="298"/>
      <c r="U176" s="298"/>
      <c r="V176" s="298"/>
      <c r="W176" s="299"/>
      <c r="X176" s="299"/>
      <c r="Y176" s="299"/>
      <c r="Z176" s="299"/>
      <c r="AA176" s="299"/>
      <c r="AB176" s="299"/>
      <c r="AC176" s="299"/>
    </row>
    <row r="177" spans="1:29" ht="12.75">
      <c r="A177" s="298"/>
      <c r="B177" s="473" t="s">
        <v>540</v>
      </c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  <c r="R177" s="298"/>
      <c r="S177" s="368">
        <f>+S169-S174</f>
        <v>2272218.7376242857</v>
      </c>
      <c r="T177" s="298"/>
      <c r="U177" s="298"/>
      <c r="V177" s="298"/>
      <c r="W177" s="299"/>
      <c r="X177" s="299"/>
      <c r="Y177" s="299"/>
      <c r="Z177" s="299"/>
      <c r="AA177" s="299"/>
      <c r="AB177" s="299"/>
      <c r="AC177" s="299"/>
    </row>
    <row r="178" spans="1:29" ht="12.75">
      <c r="A178" s="298"/>
      <c r="B178" s="298" t="s">
        <v>537</v>
      </c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  <c r="R178" s="298"/>
      <c r="S178" s="20">
        <f>-S$97</f>
        <v>-1121670.0000000002</v>
      </c>
      <c r="T178" s="298"/>
      <c r="U178" s="298"/>
      <c r="V178" s="298"/>
      <c r="W178" s="299"/>
      <c r="X178" s="299"/>
      <c r="Y178" s="299"/>
      <c r="Z178" s="299"/>
      <c r="AA178" s="299"/>
      <c r="AB178" s="299"/>
      <c r="AC178" s="299"/>
    </row>
    <row r="179" spans="1:29" ht="12.75">
      <c r="A179" s="298"/>
      <c r="B179" s="20" t="s">
        <v>536</v>
      </c>
      <c r="S179" s="20">
        <f>-S$163</f>
        <v>-2100650.3692184547</v>
      </c>
      <c r="T179" s="298"/>
      <c r="U179" s="298"/>
      <c r="V179" s="298"/>
      <c r="W179" s="299"/>
      <c r="X179" s="299"/>
      <c r="Y179" s="299"/>
      <c r="Z179" s="299"/>
      <c r="AA179" s="299"/>
      <c r="AB179" s="299"/>
      <c r="AC179" s="299"/>
    </row>
    <row r="180" spans="1:29">
      <c r="B180" s="20" t="s">
        <v>538</v>
      </c>
      <c r="S180" s="20">
        <f>SUM(S177:S179)</f>
        <v>-950101.63159416919</v>
      </c>
    </row>
    <row r="181" spans="1:29" ht="12.75" thickBot="1"/>
    <row r="182" spans="1:29" ht="12.75">
      <c r="B182" s="472" t="s">
        <v>539</v>
      </c>
      <c r="C182" s="463"/>
      <c r="D182" s="463"/>
      <c r="E182" s="463"/>
      <c r="F182" s="463"/>
      <c r="G182" s="463"/>
      <c r="H182" s="463"/>
      <c r="I182" s="463"/>
      <c r="J182" s="463"/>
      <c r="K182" s="463"/>
      <c r="L182" s="463"/>
      <c r="M182" s="463"/>
      <c r="N182" s="463"/>
      <c r="O182" s="463"/>
      <c r="P182" s="463"/>
      <c r="Q182" s="463"/>
      <c r="R182" s="463"/>
      <c r="S182" s="464">
        <f>+S169-S175</f>
        <v>2943380.5841764715</v>
      </c>
    </row>
    <row r="183" spans="1:29" ht="12.75">
      <c r="B183" s="465" t="s">
        <v>537</v>
      </c>
      <c r="C183" s="466"/>
      <c r="D183" s="466"/>
      <c r="E183" s="466"/>
      <c r="F183" s="466"/>
      <c r="G183" s="466"/>
      <c r="H183" s="466"/>
      <c r="I183" s="466"/>
      <c r="J183" s="466"/>
      <c r="K183" s="466"/>
      <c r="L183" s="466"/>
      <c r="M183" s="466"/>
      <c r="N183" s="466"/>
      <c r="O183" s="466"/>
      <c r="P183" s="466"/>
      <c r="Q183" s="466"/>
      <c r="R183" s="466"/>
      <c r="S183" s="467">
        <f>-S$97</f>
        <v>-1121670.0000000002</v>
      </c>
    </row>
    <row r="184" spans="1:29">
      <c r="B184" s="468" t="s">
        <v>536</v>
      </c>
      <c r="C184" s="466"/>
      <c r="D184" s="466"/>
      <c r="E184" s="466"/>
      <c r="F184" s="466"/>
      <c r="G184" s="466"/>
      <c r="H184" s="466"/>
      <c r="I184" s="466"/>
      <c r="J184" s="466"/>
      <c r="K184" s="466"/>
      <c r="L184" s="466"/>
      <c r="M184" s="466"/>
      <c r="N184" s="466"/>
      <c r="O184" s="466"/>
      <c r="P184" s="466"/>
      <c r="Q184" s="466"/>
      <c r="R184" s="466"/>
      <c r="S184" s="467">
        <f>-S$163</f>
        <v>-2100650.3692184547</v>
      </c>
    </row>
    <row r="185" spans="1:29" ht="12.75" thickBot="1">
      <c r="B185" s="469" t="s">
        <v>538</v>
      </c>
      <c r="C185" s="470"/>
      <c r="D185" s="470"/>
      <c r="E185" s="470"/>
      <c r="F185" s="470"/>
      <c r="G185" s="470"/>
      <c r="H185" s="470"/>
      <c r="I185" s="470"/>
      <c r="J185" s="470"/>
      <c r="K185" s="470"/>
      <c r="L185" s="470"/>
      <c r="M185" s="470"/>
      <c r="N185" s="470"/>
      <c r="O185" s="470"/>
      <c r="P185" s="470"/>
      <c r="Q185" s="470"/>
      <c r="R185" s="470"/>
      <c r="S185" s="471">
        <f>SUM(S182:S184)</f>
        <v>-278939.78504198347</v>
      </c>
    </row>
  </sheetData>
  <mergeCells count="5">
    <mergeCell ref="J5:L5"/>
    <mergeCell ref="M5:O5"/>
    <mergeCell ref="P5:R5"/>
    <mergeCell ref="T6:U6"/>
    <mergeCell ref="S6:S7"/>
  </mergeCells>
  <printOptions horizontalCentered="1"/>
  <pageMargins left="0.5" right="0.5" top="1.28" bottom="1" header="0.5" footer="0.5"/>
  <pageSetup fitToHeight="4" orientation="landscape" horizontalDpi="300" verticalDpi="300" r:id="rId1"/>
  <headerFooter alignWithMargins="0">
    <oddHeader>&amp;C&amp;"Times New Roman,Bold"&amp;12&amp;USM134:  CONSTRUCTION COST DETAIL</oddHeader>
    <oddFooter>&amp;L&amp;8 &amp;F
 &amp;A&amp;C&amp;8 &amp;R&amp;8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B56"/>
  <sheetViews>
    <sheetView showGridLines="0" workbookViewId="0">
      <pane xSplit="3" ySplit="4" topLeftCell="X5" activePane="bottomRight" state="frozen"/>
      <selection pane="topRight" activeCell="D1" sqref="D1"/>
      <selection pane="bottomLeft" activeCell="A5" sqref="A5"/>
      <selection pane="bottomRight" activeCell="AX5" sqref="AX5"/>
    </sheetView>
  </sheetViews>
  <sheetFormatPr defaultRowHeight="12.75"/>
  <cols>
    <col min="1" max="1" width="15.83203125" style="97" customWidth="1"/>
    <col min="2" max="3" width="9.33203125" style="97"/>
    <col min="4" max="4" width="1" style="97" customWidth="1"/>
    <col min="5" max="8" width="9.33203125" style="97"/>
    <col min="9" max="9" width="1" style="97" customWidth="1"/>
    <col min="10" max="13" width="9.33203125" style="97"/>
    <col min="14" max="14" width="1" style="97" customWidth="1"/>
    <col min="15" max="15" width="9.33203125" style="97"/>
    <col min="16" max="16" width="10" style="97" customWidth="1"/>
    <col min="17" max="18" width="9.33203125" style="97"/>
    <col min="19" max="19" width="1" style="97" customWidth="1"/>
    <col min="20" max="20" width="9.33203125" style="97"/>
    <col min="21" max="21" width="10" style="97" customWidth="1"/>
    <col min="22" max="23" width="9.33203125" style="97"/>
    <col min="24" max="24" width="1" style="97" customWidth="1"/>
    <col min="25" max="25" width="7.6640625" style="97" customWidth="1"/>
    <col min="26" max="26" width="10" style="97" customWidth="1"/>
    <col min="27" max="28" width="9.33203125" style="97"/>
    <col min="29" max="29" width="1" style="97" customWidth="1"/>
    <col min="30" max="30" width="9.33203125" style="97"/>
    <col min="31" max="31" width="10" style="97" customWidth="1"/>
    <col min="32" max="33" width="9.33203125" style="97"/>
    <col min="34" max="34" width="1" style="97" customWidth="1"/>
    <col min="35" max="35" width="9.33203125" style="97"/>
    <col min="36" max="36" width="10" style="97" customWidth="1"/>
    <col min="37" max="38" width="9.33203125" style="97"/>
    <col min="39" max="39" width="1" style="97" customWidth="1"/>
    <col min="40" max="40" width="9.33203125" style="97"/>
    <col min="41" max="41" width="10" style="97" customWidth="1"/>
    <col min="42" max="43" width="9.33203125" style="97"/>
    <col min="44" max="44" width="1" style="97" customWidth="1"/>
    <col min="45" max="45" width="9.33203125" style="97"/>
    <col min="46" max="46" width="10" style="97" customWidth="1"/>
    <col min="47" max="48" width="9.33203125" style="97"/>
    <col min="49" max="49" width="1" style="97" customWidth="1"/>
    <col min="50" max="16384" width="9.33203125" style="97"/>
  </cols>
  <sheetData>
    <row r="1" spans="1:54">
      <c r="E1" s="98" t="s">
        <v>295</v>
      </c>
      <c r="F1" s="98"/>
      <c r="G1" s="98"/>
      <c r="H1" s="98"/>
      <c r="I1" s="98"/>
      <c r="J1" s="98"/>
      <c r="K1" s="98"/>
      <c r="L1" s="98"/>
      <c r="M1" s="98"/>
      <c r="O1" s="98"/>
      <c r="P1" s="98" t="s">
        <v>296</v>
      </c>
      <c r="Q1" s="98"/>
      <c r="R1" s="98"/>
      <c r="S1" s="98"/>
      <c r="T1" s="98"/>
      <c r="U1" s="98"/>
      <c r="V1" s="98"/>
      <c r="W1" s="98"/>
      <c r="Y1" s="98" t="s">
        <v>287</v>
      </c>
      <c r="Z1" s="98"/>
      <c r="AA1" s="98"/>
      <c r="AB1" s="98"/>
      <c r="AC1" s="98"/>
      <c r="AD1" s="98"/>
      <c r="AE1" s="98"/>
      <c r="AF1" s="98"/>
      <c r="AG1" s="98"/>
      <c r="AI1" s="99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</row>
    <row r="2" spans="1:54">
      <c r="E2" s="488" t="s">
        <v>292</v>
      </c>
      <c r="F2" s="488"/>
      <c r="G2" s="488"/>
      <c r="H2" s="488"/>
      <c r="I2" s="100"/>
      <c r="J2" s="488" t="s">
        <v>294</v>
      </c>
      <c r="K2" s="488"/>
      <c r="L2" s="488"/>
      <c r="M2" s="488"/>
      <c r="O2" s="488" t="s">
        <v>293</v>
      </c>
      <c r="P2" s="488"/>
      <c r="Q2" s="488"/>
      <c r="R2" s="488"/>
      <c r="S2" s="100"/>
      <c r="T2" s="488" t="s">
        <v>288</v>
      </c>
      <c r="U2" s="488"/>
      <c r="V2" s="488"/>
      <c r="W2" s="488"/>
      <c r="X2" s="100"/>
      <c r="Y2" s="488" t="s">
        <v>288</v>
      </c>
      <c r="Z2" s="488"/>
      <c r="AA2" s="488"/>
      <c r="AB2" s="488"/>
      <c r="AD2" s="488" t="s">
        <v>289</v>
      </c>
      <c r="AE2" s="488"/>
      <c r="AF2" s="488"/>
      <c r="AG2" s="488"/>
      <c r="AI2" s="488" t="s">
        <v>286</v>
      </c>
      <c r="AJ2" s="488"/>
      <c r="AK2" s="488"/>
      <c r="AL2" s="488"/>
      <c r="AN2" s="488" t="s">
        <v>290</v>
      </c>
      <c r="AO2" s="488"/>
      <c r="AP2" s="488"/>
      <c r="AQ2" s="488"/>
      <c r="AS2" s="488" t="s">
        <v>291</v>
      </c>
      <c r="AT2" s="488"/>
      <c r="AU2" s="488"/>
      <c r="AV2" s="488"/>
    </row>
    <row r="3" spans="1:54">
      <c r="B3" s="97" t="s">
        <v>277</v>
      </c>
      <c r="C3" s="97" t="s">
        <v>278</v>
      </c>
      <c r="E3" s="97" t="s">
        <v>279</v>
      </c>
      <c r="F3" s="97" t="s">
        <v>237</v>
      </c>
      <c r="G3" s="97" t="s">
        <v>280</v>
      </c>
      <c r="H3" s="97" t="s">
        <v>281</v>
      </c>
      <c r="J3" s="97" t="s">
        <v>279</v>
      </c>
      <c r="K3" s="97" t="s">
        <v>237</v>
      </c>
      <c r="L3" s="97" t="s">
        <v>280</v>
      </c>
      <c r="M3" s="97" t="s">
        <v>281</v>
      </c>
      <c r="O3" s="97" t="s">
        <v>279</v>
      </c>
      <c r="P3" s="97" t="s">
        <v>237</v>
      </c>
      <c r="Q3" s="97" t="s">
        <v>280</v>
      </c>
      <c r="R3" s="97" t="s">
        <v>281</v>
      </c>
      <c r="T3" s="97" t="s">
        <v>279</v>
      </c>
      <c r="U3" s="97" t="s">
        <v>237</v>
      </c>
      <c r="V3" s="97" t="s">
        <v>280</v>
      </c>
      <c r="W3" s="97" t="s">
        <v>281</v>
      </c>
      <c r="Y3" s="97" t="s">
        <v>279</v>
      </c>
      <c r="Z3" s="97" t="s">
        <v>237</v>
      </c>
      <c r="AA3" s="97" t="s">
        <v>280</v>
      </c>
      <c r="AB3" s="97" t="s">
        <v>281</v>
      </c>
      <c r="AD3" s="97" t="s">
        <v>279</v>
      </c>
      <c r="AE3" s="97" t="s">
        <v>237</v>
      </c>
      <c r="AF3" s="97" t="s">
        <v>280</v>
      </c>
      <c r="AG3" s="97" t="s">
        <v>281</v>
      </c>
      <c r="AI3" s="97" t="s">
        <v>279</v>
      </c>
      <c r="AJ3" s="97" t="s">
        <v>237</v>
      </c>
      <c r="AK3" s="97" t="s">
        <v>280</v>
      </c>
      <c r="AL3" s="97" t="s">
        <v>281</v>
      </c>
      <c r="AN3" s="97" t="s">
        <v>279</v>
      </c>
      <c r="AO3" s="97" t="s">
        <v>237</v>
      </c>
      <c r="AP3" s="97" t="s">
        <v>280</v>
      </c>
      <c r="AQ3" s="97" t="s">
        <v>281</v>
      </c>
      <c r="AS3" s="97" t="s">
        <v>279</v>
      </c>
      <c r="AT3" s="97" t="s">
        <v>237</v>
      </c>
      <c r="AU3" s="97" t="s">
        <v>280</v>
      </c>
      <c r="AV3" s="97" t="s">
        <v>281</v>
      </c>
    </row>
    <row r="5" spans="1:54" s="105" customFormat="1">
      <c r="A5" s="101" t="s">
        <v>276</v>
      </c>
      <c r="B5" s="102">
        <v>173</v>
      </c>
      <c r="C5" s="102">
        <v>1</v>
      </c>
      <c r="D5" s="102"/>
      <c r="E5" s="102">
        <v>477</v>
      </c>
      <c r="F5" s="103">
        <v>650</v>
      </c>
      <c r="G5" s="104">
        <v>1.36</v>
      </c>
      <c r="H5" s="103">
        <v>650</v>
      </c>
      <c r="I5" s="102"/>
      <c r="J5" s="102"/>
      <c r="K5" s="103"/>
      <c r="L5" s="102"/>
      <c r="M5" s="103"/>
      <c r="N5" s="102"/>
      <c r="O5" s="102"/>
      <c r="P5" s="103"/>
      <c r="Q5" s="102"/>
      <c r="R5" s="103"/>
      <c r="S5" s="102"/>
      <c r="T5" s="102">
        <v>800</v>
      </c>
      <c r="U5" s="103">
        <v>1000</v>
      </c>
      <c r="V5" s="104">
        <v>1.25</v>
      </c>
      <c r="W5" s="103">
        <v>500</v>
      </c>
      <c r="X5" s="102"/>
      <c r="Y5" s="102"/>
      <c r="Z5" s="103"/>
      <c r="AA5" s="102"/>
      <c r="AB5" s="103"/>
      <c r="AC5" s="102"/>
      <c r="AD5" s="102">
        <v>944</v>
      </c>
      <c r="AE5" s="103">
        <v>1374</v>
      </c>
      <c r="AF5" s="104">
        <v>1.46</v>
      </c>
      <c r="AG5" s="103">
        <v>458</v>
      </c>
      <c r="AH5" s="102"/>
      <c r="AI5" s="102">
        <v>1100</v>
      </c>
      <c r="AJ5" s="103">
        <v>1600</v>
      </c>
      <c r="AK5" s="104">
        <v>1.45</v>
      </c>
      <c r="AL5" s="103">
        <v>400</v>
      </c>
      <c r="AM5" s="102"/>
      <c r="AX5" s="102"/>
      <c r="AY5" s="102"/>
      <c r="AZ5" s="102"/>
      <c r="BA5" s="102"/>
      <c r="BB5" s="106"/>
    </row>
    <row r="6" spans="1:54" s="105" customFormat="1">
      <c r="A6" s="107" t="s">
        <v>282</v>
      </c>
      <c r="B6" s="108">
        <v>152</v>
      </c>
      <c r="C6" s="108">
        <v>3</v>
      </c>
      <c r="D6" s="108"/>
      <c r="E6" s="108">
        <v>689</v>
      </c>
      <c r="F6" s="109">
        <v>705</v>
      </c>
      <c r="G6" s="110">
        <v>1.02</v>
      </c>
      <c r="H6" s="109">
        <v>705</v>
      </c>
      <c r="I6" s="108"/>
      <c r="J6" s="108">
        <v>806</v>
      </c>
      <c r="K6" s="109">
        <v>755</v>
      </c>
      <c r="L6" s="110">
        <v>0.94</v>
      </c>
      <c r="M6" s="109">
        <v>755</v>
      </c>
      <c r="N6" s="108"/>
      <c r="O6" s="108">
        <v>988</v>
      </c>
      <c r="P6" s="109">
        <v>910</v>
      </c>
      <c r="Q6" s="110">
        <v>0.92</v>
      </c>
      <c r="R6" s="109">
        <v>455</v>
      </c>
      <c r="S6" s="108"/>
      <c r="T6" s="108">
        <v>1105</v>
      </c>
      <c r="U6" s="109">
        <v>1025</v>
      </c>
      <c r="V6" s="110">
        <v>0.93</v>
      </c>
      <c r="W6" s="109">
        <v>512.5</v>
      </c>
      <c r="X6" s="108"/>
      <c r="Y6" s="108">
        <v>1250</v>
      </c>
      <c r="Z6" s="109">
        <v>1210</v>
      </c>
      <c r="AA6" s="110">
        <v>0.97</v>
      </c>
      <c r="AB6" s="109">
        <v>403.33</v>
      </c>
      <c r="AC6" s="108"/>
      <c r="AD6" s="108">
        <v>1250</v>
      </c>
      <c r="AE6" s="109">
        <v>1210</v>
      </c>
      <c r="AF6" s="110">
        <v>0.97</v>
      </c>
      <c r="AG6" s="109">
        <v>403.33</v>
      </c>
      <c r="AH6" s="108"/>
      <c r="AI6" s="108">
        <v>1350</v>
      </c>
      <c r="AJ6" s="109">
        <v>1624</v>
      </c>
      <c r="AK6" s="110">
        <v>1.2</v>
      </c>
      <c r="AL6" s="109">
        <v>406</v>
      </c>
      <c r="AM6" s="102"/>
      <c r="AN6" s="108"/>
      <c r="AO6" s="109"/>
      <c r="AP6" s="108"/>
      <c r="AQ6" s="109"/>
      <c r="AR6" s="108"/>
      <c r="AS6" s="108"/>
      <c r="AT6" s="109"/>
      <c r="AU6" s="108"/>
      <c r="AV6" s="109"/>
      <c r="AW6" s="108"/>
      <c r="AX6" s="108"/>
      <c r="AY6" s="108"/>
      <c r="AZ6" s="108"/>
      <c r="BA6" s="108"/>
      <c r="BB6" s="111"/>
    </row>
    <row r="7" spans="1:54" s="105" customFormat="1">
      <c r="A7" s="107" t="s">
        <v>283</v>
      </c>
      <c r="B7" s="108">
        <v>258</v>
      </c>
      <c r="C7" s="108">
        <v>3</v>
      </c>
      <c r="D7" s="108"/>
      <c r="E7" s="108">
        <v>501</v>
      </c>
      <c r="F7" s="109">
        <v>600</v>
      </c>
      <c r="G7" s="110">
        <v>1.2</v>
      </c>
      <c r="H7" s="109">
        <v>600</v>
      </c>
      <c r="I7" s="108"/>
      <c r="J7" s="108">
        <v>755</v>
      </c>
      <c r="K7" s="109">
        <v>725</v>
      </c>
      <c r="L7" s="110">
        <v>0.96</v>
      </c>
      <c r="M7" s="109">
        <v>725</v>
      </c>
      <c r="N7" s="108"/>
      <c r="O7" s="108">
        <v>886</v>
      </c>
      <c r="P7" s="109">
        <v>810</v>
      </c>
      <c r="Q7" s="110">
        <v>0.91</v>
      </c>
      <c r="R7" s="109">
        <v>405</v>
      </c>
      <c r="S7" s="108"/>
      <c r="T7" s="108">
        <v>933</v>
      </c>
      <c r="U7" s="109">
        <v>900</v>
      </c>
      <c r="V7" s="110">
        <v>0.96</v>
      </c>
      <c r="W7" s="109">
        <v>450</v>
      </c>
      <c r="X7" s="108"/>
      <c r="Y7" s="108"/>
      <c r="Z7" s="109"/>
      <c r="AA7" s="108"/>
      <c r="AB7" s="109"/>
      <c r="AC7" s="108"/>
      <c r="AD7" s="108"/>
      <c r="AE7" s="109"/>
      <c r="AF7" s="108"/>
      <c r="AG7" s="109"/>
      <c r="AH7" s="108"/>
      <c r="AI7" s="108">
        <v>1556</v>
      </c>
      <c r="AJ7" s="109">
        <v>1880</v>
      </c>
      <c r="AK7" s="110">
        <v>1.21</v>
      </c>
      <c r="AL7" s="109">
        <v>470</v>
      </c>
      <c r="AM7" s="102"/>
      <c r="AN7" s="108"/>
      <c r="AO7" s="109"/>
      <c r="AP7" s="108"/>
      <c r="AQ7" s="109"/>
      <c r="AR7" s="108"/>
      <c r="AS7" s="108"/>
      <c r="AT7" s="109"/>
      <c r="AU7" s="108"/>
      <c r="AV7" s="109"/>
      <c r="AW7" s="108"/>
      <c r="AX7" s="108"/>
      <c r="AY7" s="108"/>
      <c r="AZ7" s="108"/>
      <c r="BA7" s="108"/>
      <c r="BB7" s="111"/>
    </row>
    <row r="8" spans="1:54" s="105" customFormat="1">
      <c r="A8" s="107" t="s">
        <v>284</v>
      </c>
      <c r="B8" s="108">
        <v>192</v>
      </c>
      <c r="C8" s="108">
        <v>3</v>
      </c>
      <c r="D8" s="108"/>
      <c r="E8" s="108"/>
      <c r="F8" s="109"/>
      <c r="G8" s="108"/>
      <c r="H8" s="109"/>
      <c r="I8" s="108"/>
      <c r="J8" s="108"/>
      <c r="K8" s="109"/>
      <c r="L8" s="108"/>
      <c r="M8" s="109"/>
      <c r="N8" s="108"/>
      <c r="O8" s="108"/>
      <c r="P8" s="109"/>
      <c r="Q8" s="108"/>
      <c r="R8" s="109"/>
      <c r="S8" s="108"/>
      <c r="T8" s="108">
        <v>1058</v>
      </c>
      <c r="U8" s="109">
        <v>1064</v>
      </c>
      <c r="V8" s="110">
        <v>1.01</v>
      </c>
      <c r="W8" s="109">
        <v>532</v>
      </c>
      <c r="X8" s="108"/>
      <c r="Y8" s="108"/>
      <c r="Z8" s="109"/>
      <c r="AA8" s="108"/>
      <c r="AB8" s="109"/>
      <c r="AC8" s="108"/>
      <c r="AD8" s="108">
        <v>1000</v>
      </c>
      <c r="AE8" s="109">
        <v>1281</v>
      </c>
      <c r="AF8" s="110">
        <v>1.28</v>
      </c>
      <c r="AG8" s="109">
        <v>427</v>
      </c>
      <c r="AH8" s="108"/>
      <c r="AI8" s="108"/>
      <c r="AJ8" s="109"/>
      <c r="AK8" s="108"/>
      <c r="AL8" s="109"/>
      <c r="AM8" s="108"/>
      <c r="AN8" s="108"/>
      <c r="AO8" s="109"/>
      <c r="AP8" s="108"/>
      <c r="AQ8" s="109"/>
      <c r="AR8" s="108"/>
      <c r="AS8" s="108"/>
      <c r="AT8" s="109"/>
      <c r="AU8" s="108"/>
      <c r="AV8" s="109"/>
      <c r="AW8" s="108"/>
      <c r="AX8" s="108"/>
      <c r="AY8" s="108"/>
      <c r="AZ8" s="108"/>
      <c r="BA8" s="108"/>
      <c r="BB8" s="111"/>
    </row>
    <row r="9" spans="1:54" s="105" customFormat="1">
      <c r="A9" s="107" t="s">
        <v>284</v>
      </c>
      <c r="B9" s="108"/>
      <c r="C9" s="108"/>
      <c r="D9" s="108"/>
      <c r="E9" s="108"/>
      <c r="F9" s="109"/>
      <c r="G9" s="108"/>
      <c r="H9" s="109"/>
      <c r="I9" s="108"/>
      <c r="J9" s="108"/>
      <c r="K9" s="109"/>
      <c r="L9" s="108"/>
      <c r="M9" s="109"/>
      <c r="N9" s="108"/>
      <c r="O9" s="108"/>
      <c r="P9" s="109"/>
      <c r="Q9" s="108"/>
      <c r="R9" s="109"/>
      <c r="S9" s="108"/>
      <c r="T9" s="108">
        <v>1058</v>
      </c>
      <c r="U9" s="109">
        <v>976</v>
      </c>
      <c r="V9" s="110">
        <v>0.92</v>
      </c>
      <c r="W9" s="109">
        <v>488</v>
      </c>
      <c r="X9" s="108"/>
      <c r="Y9" s="108"/>
      <c r="Z9" s="109"/>
      <c r="AA9" s="108"/>
      <c r="AB9" s="109"/>
      <c r="AC9" s="108"/>
      <c r="AD9" s="108"/>
      <c r="AE9" s="109"/>
      <c r="AF9" s="108"/>
      <c r="AG9" s="109"/>
      <c r="AH9" s="108"/>
      <c r="AI9" s="108"/>
      <c r="AJ9" s="109"/>
      <c r="AK9" s="108"/>
      <c r="AL9" s="109"/>
      <c r="AM9" s="108"/>
      <c r="AN9" s="108"/>
      <c r="AO9" s="109"/>
      <c r="AP9" s="108"/>
      <c r="AQ9" s="109"/>
      <c r="AR9" s="108"/>
      <c r="AS9" s="108"/>
      <c r="AT9" s="109"/>
      <c r="AU9" s="108"/>
      <c r="AV9" s="109"/>
      <c r="AW9" s="108"/>
      <c r="AX9" s="108"/>
      <c r="AY9" s="108"/>
      <c r="AZ9" s="108"/>
      <c r="BA9" s="108"/>
      <c r="BB9" s="111"/>
    </row>
    <row r="10" spans="1:54" s="119" customFormat="1">
      <c r="A10" s="112"/>
      <c r="B10" s="113"/>
      <c r="C10" s="113"/>
      <c r="D10" s="113"/>
      <c r="E10" s="113"/>
      <c r="F10" s="114"/>
      <c r="G10" s="113"/>
      <c r="H10" s="114"/>
      <c r="I10" s="113"/>
      <c r="J10" s="113"/>
      <c r="K10" s="114"/>
      <c r="L10" s="113"/>
      <c r="M10" s="114"/>
      <c r="N10" s="113"/>
      <c r="O10" s="113"/>
      <c r="P10" s="114"/>
      <c r="Q10" s="113"/>
      <c r="R10" s="114"/>
      <c r="S10" s="113"/>
      <c r="T10" s="113">
        <v>990.8</v>
      </c>
      <c r="U10" s="114">
        <v>993</v>
      </c>
      <c r="V10" s="115">
        <v>1.01</v>
      </c>
      <c r="W10" s="114">
        <v>496.5</v>
      </c>
      <c r="X10" s="113"/>
      <c r="Y10" s="116">
        <f>AVERAGE(Y5:Y9)</f>
        <v>1250</v>
      </c>
      <c r="Z10" s="116">
        <f>AVERAGE(Z5:Z9)</f>
        <v>1210</v>
      </c>
      <c r="AA10" s="117">
        <f>AVERAGE(AA5:AA9)</f>
        <v>0.97</v>
      </c>
      <c r="AB10" s="116">
        <f>AVERAGE(AB5:AB9)</f>
        <v>403.33</v>
      </c>
      <c r="AC10" s="113"/>
      <c r="AD10" s="116">
        <f>AVERAGE(AD5:AD9)</f>
        <v>1064.6666666666667</v>
      </c>
      <c r="AE10" s="116">
        <f>AVERAGE(AE5:AE9)</f>
        <v>1288.3333333333333</v>
      </c>
      <c r="AF10" s="117">
        <f>AVERAGE(AF5:AF9)</f>
        <v>1.2366666666666666</v>
      </c>
      <c r="AG10" s="116">
        <f>AVERAGE(AG5:AG9)</f>
        <v>429.44333333333333</v>
      </c>
      <c r="AH10" s="113"/>
      <c r="AI10" s="116">
        <f>AVERAGE(AI5:AI9)</f>
        <v>1335.3333333333333</v>
      </c>
      <c r="AJ10" s="116">
        <f>AVERAGE(AJ5:AJ9)</f>
        <v>1701.3333333333333</v>
      </c>
      <c r="AK10" s="117">
        <f>AVERAGE(AK5:AK9)</f>
        <v>1.2866666666666666</v>
      </c>
      <c r="AL10" s="116">
        <f>AVERAGE(AL5:AL9)</f>
        <v>425.33333333333331</v>
      </c>
      <c r="AM10" s="113"/>
      <c r="AN10" s="113"/>
      <c r="AO10" s="114"/>
      <c r="AP10" s="113"/>
      <c r="AQ10" s="114"/>
      <c r="AR10" s="113"/>
      <c r="AS10" s="113"/>
      <c r="AT10" s="114"/>
      <c r="AU10" s="113"/>
      <c r="AV10" s="114"/>
      <c r="AW10" s="113"/>
      <c r="AX10" s="113"/>
      <c r="AY10" s="113"/>
      <c r="AZ10" s="113"/>
      <c r="BA10" s="113"/>
      <c r="BB10" s="118"/>
    </row>
    <row r="11" spans="1:54">
      <c r="F11" s="120"/>
      <c r="G11" s="121"/>
      <c r="H11" s="120"/>
      <c r="K11" s="122"/>
      <c r="M11" s="122"/>
      <c r="P11" s="122"/>
      <c r="Q11" s="121"/>
      <c r="R11" s="120"/>
      <c r="U11" s="122"/>
      <c r="V11" s="121"/>
      <c r="W11" s="120"/>
      <c r="Z11" s="122"/>
      <c r="AB11" s="122"/>
      <c r="AE11" s="122"/>
      <c r="AG11" s="122"/>
      <c r="AJ11" s="122"/>
      <c r="AL11" s="122"/>
      <c r="AO11" s="122"/>
      <c r="AQ11" s="122"/>
      <c r="AT11" s="122"/>
      <c r="AV11" s="122"/>
    </row>
    <row r="12" spans="1:54">
      <c r="A12" s="123" t="s">
        <v>285</v>
      </c>
      <c r="B12" s="124">
        <v>134</v>
      </c>
      <c r="C12" s="124">
        <v>0</v>
      </c>
      <c r="D12" s="124"/>
      <c r="E12" s="124">
        <v>0</v>
      </c>
      <c r="F12" s="125">
        <v>0</v>
      </c>
      <c r="G12" s="126"/>
      <c r="H12" s="125"/>
      <c r="I12" s="124"/>
      <c r="J12" s="124">
        <v>0</v>
      </c>
      <c r="K12" s="127">
        <v>0</v>
      </c>
      <c r="L12" s="124">
        <v>0</v>
      </c>
      <c r="M12" s="127">
        <v>0</v>
      </c>
      <c r="N12" s="124"/>
      <c r="O12" s="124"/>
      <c r="P12" s="127"/>
      <c r="Q12" s="126"/>
      <c r="R12" s="125"/>
      <c r="S12" s="124"/>
      <c r="T12" s="124">
        <v>1107</v>
      </c>
      <c r="U12" s="127">
        <v>1150</v>
      </c>
      <c r="V12" s="126">
        <f>+U12/T12</f>
        <v>1.0388437217705511</v>
      </c>
      <c r="W12" s="125">
        <f>+U12/2</f>
        <v>575</v>
      </c>
      <c r="X12" s="124"/>
      <c r="Y12" s="124"/>
      <c r="Z12" s="127"/>
      <c r="AA12" s="124"/>
      <c r="AB12" s="127"/>
      <c r="AC12" s="124"/>
      <c r="AD12" s="124">
        <f>1298</f>
        <v>1298</v>
      </c>
      <c r="AE12" s="127">
        <f>475*3</f>
        <v>1425</v>
      </c>
      <c r="AF12" s="126">
        <f>+AE12/AD12</f>
        <v>1.0978428351309708</v>
      </c>
      <c r="AG12" s="125">
        <f>+AE12/3</f>
        <v>475</v>
      </c>
      <c r="AH12" s="124"/>
      <c r="AI12" s="124"/>
      <c r="AJ12" s="127"/>
      <c r="AK12" s="124"/>
      <c r="AL12" s="127"/>
      <c r="AM12" s="124"/>
      <c r="AN12" s="124"/>
      <c r="AO12" s="127"/>
      <c r="AP12" s="124"/>
      <c r="AQ12" s="127"/>
      <c r="AR12" s="124"/>
      <c r="AS12" s="124"/>
      <c r="AT12" s="127"/>
      <c r="AU12" s="124"/>
      <c r="AV12" s="128"/>
    </row>
    <row r="13" spans="1:54">
      <c r="A13" s="129"/>
      <c r="B13" s="130"/>
      <c r="C13" s="130"/>
      <c r="D13" s="130"/>
      <c r="E13" s="130"/>
      <c r="F13" s="131"/>
      <c r="G13" s="132"/>
      <c r="H13" s="131"/>
      <c r="I13" s="130"/>
      <c r="J13" s="130"/>
      <c r="K13" s="133"/>
      <c r="L13" s="130"/>
      <c r="M13" s="133"/>
      <c r="N13" s="130"/>
      <c r="O13" s="130"/>
      <c r="P13" s="133"/>
      <c r="Q13" s="132"/>
      <c r="R13" s="131"/>
      <c r="S13" s="130"/>
      <c r="T13" s="130">
        <v>1198</v>
      </c>
      <c r="U13" s="133">
        <v>1200</v>
      </c>
      <c r="V13" s="132">
        <f>+U13/T13</f>
        <v>1.001669449081803</v>
      </c>
      <c r="W13" s="131">
        <f>+U13/2</f>
        <v>600</v>
      </c>
      <c r="X13" s="130"/>
      <c r="Y13" s="130"/>
      <c r="Z13" s="133"/>
      <c r="AA13" s="130"/>
      <c r="AB13" s="133"/>
      <c r="AC13" s="130"/>
      <c r="AD13" s="130"/>
      <c r="AE13" s="133"/>
      <c r="AF13" s="130"/>
      <c r="AG13" s="133"/>
      <c r="AH13" s="130"/>
      <c r="AI13" s="130"/>
      <c r="AJ13" s="133"/>
      <c r="AK13" s="130"/>
      <c r="AL13" s="133"/>
      <c r="AM13" s="130"/>
      <c r="AN13" s="130"/>
      <c r="AO13" s="133"/>
      <c r="AP13" s="130"/>
      <c r="AQ13" s="133"/>
      <c r="AR13" s="130"/>
      <c r="AS13" s="130"/>
      <c r="AT13" s="133"/>
      <c r="AU13" s="130"/>
      <c r="AV13" s="134"/>
    </row>
    <row r="14" spans="1:54">
      <c r="F14" s="120"/>
      <c r="G14" s="121"/>
      <c r="H14" s="120"/>
      <c r="K14" s="122"/>
      <c r="M14" s="122"/>
      <c r="P14" s="122"/>
      <c r="Q14" s="121"/>
      <c r="R14" s="120"/>
      <c r="T14" s="124">
        <f>1107-150</f>
        <v>957</v>
      </c>
      <c r="U14" s="122">
        <f>W14*2</f>
        <v>1200</v>
      </c>
      <c r="V14" s="135">
        <f>+U14/U14</f>
        <v>1</v>
      </c>
      <c r="W14" s="131">
        <v>600</v>
      </c>
      <c r="Z14" s="122"/>
      <c r="AB14" s="122"/>
      <c r="AE14" s="122"/>
      <c r="AG14" s="122"/>
      <c r="AJ14" s="122"/>
      <c r="AL14" s="122"/>
      <c r="AO14" s="122"/>
      <c r="AQ14" s="122"/>
      <c r="AT14" s="122"/>
      <c r="AV14" s="122"/>
    </row>
    <row r="15" spans="1:54">
      <c r="F15" s="120"/>
      <c r="G15" s="121"/>
      <c r="H15" s="120"/>
      <c r="K15" s="122"/>
      <c r="M15" s="122"/>
      <c r="P15" s="122"/>
      <c r="Q15" s="121"/>
      <c r="R15" s="120"/>
      <c r="T15" s="130">
        <v>1198</v>
      </c>
      <c r="U15" s="122">
        <f>V15*T15</f>
        <v>1497.5</v>
      </c>
      <c r="V15" s="97">
        <v>1.25</v>
      </c>
      <c r="W15" s="131">
        <f>+U15/2</f>
        <v>748.75</v>
      </c>
      <c r="Z15" s="122"/>
      <c r="AB15" s="122"/>
      <c r="AE15" s="122"/>
      <c r="AG15" s="122"/>
      <c r="AJ15" s="122"/>
      <c r="AL15" s="122"/>
      <c r="AO15" s="122"/>
      <c r="AQ15" s="122"/>
      <c r="AT15" s="122"/>
      <c r="AV15" s="122"/>
    </row>
    <row r="16" spans="1:54">
      <c r="F16" s="120"/>
      <c r="G16" s="121"/>
      <c r="H16" s="120"/>
      <c r="K16" s="122"/>
      <c r="M16" s="122"/>
      <c r="P16" s="122"/>
      <c r="Q16" s="121"/>
      <c r="R16" s="120"/>
      <c r="U16" s="122"/>
      <c r="W16" s="122"/>
      <c r="Z16" s="122"/>
      <c r="AB16" s="122"/>
      <c r="AE16" s="122"/>
      <c r="AG16" s="122"/>
      <c r="AJ16" s="122"/>
      <c r="AL16" s="122"/>
      <c r="AO16" s="122"/>
      <c r="AQ16" s="122"/>
      <c r="AT16" s="122"/>
      <c r="AV16" s="122"/>
    </row>
    <row r="17" spans="6:48">
      <c r="F17" s="120"/>
      <c r="G17" s="121"/>
      <c r="H17" s="120"/>
      <c r="K17" s="122"/>
      <c r="M17" s="122"/>
      <c r="P17" s="122"/>
      <c r="Q17" s="121"/>
      <c r="R17" s="120"/>
      <c r="U17" s="122"/>
      <c r="W17" s="122"/>
      <c r="Z17" s="122"/>
      <c r="AB17" s="122"/>
      <c r="AE17" s="122"/>
      <c r="AG17" s="122"/>
      <c r="AJ17" s="122"/>
      <c r="AL17" s="122"/>
      <c r="AO17" s="122"/>
      <c r="AQ17" s="122"/>
      <c r="AT17" s="122"/>
      <c r="AV17" s="122"/>
    </row>
    <row r="18" spans="6:48">
      <c r="F18" s="120"/>
      <c r="G18" s="121"/>
      <c r="H18" s="120"/>
      <c r="K18" s="122"/>
      <c r="M18" s="122"/>
      <c r="P18" s="122"/>
      <c r="Q18" s="121"/>
      <c r="R18" s="120"/>
      <c r="U18" s="122"/>
      <c r="W18" s="122"/>
      <c r="Z18" s="122"/>
      <c r="AB18" s="122"/>
      <c r="AE18" s="122"/>
      <c r="AG18" s="122"/>
      <c r="AJ18" s="122"/>
      <c r="AL18" s="122"/>
      <c r="AO18" s="122"/>
      <c r="AQ18" s="122"/>
      <c r="AT18" s="122"/>
      <c r="AV18" s="122"/>
    </row>
    <row r="19" spans="6:48">
      <c r="F19" s="120"/>
      <c r="G19" s="121"/>
      <c r="H19" s="120"/>
      <c r="K19" s="122"/>
      <c r="M19" s="122"/>
      <c r="P19" s="122"/>
      <c r="Q19" s="121"/>
      <c r="R19" s="120"/>
      <c r="U19" s="122"/>
      <c r="W19" s="122"/>
      <c r="Z19" s="122"/>
      <c r="AB19" s="122"/>
      <c r="AE19" s="122"/>
      <c r="AG19" s="122"/>
      <c r="AJ19" s="122"/>
      <c r="AL19" s="122"/>
      <c r="AO19" s="122"/>
      <c r="AQ19" s="122"/>
      <c r="AT19" s="122"/>
      <c r="AV19" s="122"/>
    </row>
    <row r="20" spans="6:48">
      <c r="F20" s="120"/>
      <c r="G20" s="121"/>
      <c r="H20" s="120"/>
      <c r="K20" s="122"/>
      <c r="M20" s="122"/>
      <c r="P20" s="122"/>
      <c r="Q20" s="121"/>
      <c r="R20" s="120"/>
      <c r="U20" s="122"/>
      <c r="W20" s="122"/>
      <c r="Z20" s="122"/>
      <c r="AB20" s="122"/>
      <c r="AE20" s="122"/>
      <c r="AG20" s="122"/>
      <c r="AJ20" s="122"/>
      <c r="AL20" s="122"/>
      <c r="AO20" s="122"/>
      <c r="AQ20" s="122"/>
      <c r="AT20" s="122"/>
      <c r="AV20" s="122"/>
    </row>
    <row r="21" spans="6:48">
      <c r="F21" s="120"/>
      <c r="G21" s="121"/>
      <c r="H21" s="120"/>
      <c r="K21" s="122"/>
      <c r="M21" s="122"/>
      <c r="P21" s="122"/>
      <c r="Q21" s="121"/>
      <c r="R21" s="120"/>
      <c r="U21" s="122"/>
      <c r="W21" s="122"/>
      <c r="Z21" s="122"/>
      <c r="AB21" s="122"/>
      <c r="AE21" s="122"/>
      <c r="AG21" s="122"/>
      <c r="AJ21" s="122"/>
      <c r="AL21" s="122"/>
      <c r="AO21" s="122"/>
      <c r="AQ21" s="122"/>
      <c r="AT21" s="122"/>
      <c r="AV21" s="122"/>
    </row>
    <row r="22" spans="6:48">
      <c r="F22" s="120"/>
      <c r="G22" s="121"/>
      <c r="H22" s="120"/>
      <c r="K22" s="122"/>
      <c r="M22" s="122"/>
      <c r="P22" s="122"/>
      <c r="Q22" s="121"/>
      <c r="R22" s="120"/>
      <c r="U22" s="122"/>
      <c r="W22" s="122"/>
      <c r="Z22" s="122"/>
      <c r="AB22" s="122"/>
      <c r="AE22" s="122"/>
      <c r="AG22" s="122"/>
      <c r="AJ22" s="122"/>
      <c r="AL22" s="122"/>
      <c r="AO22" s="122"/>
      <c r="AQ22" s="122"/>
      <c r="AT22" s="122"/>
      <c r="AV22" s="122"/>
    </row>
    <row r="23" spans="6:48">
      <c r="F23" s="120"/>
      <c r="G23" s="121"/>
      <c r="H23" s="120"/>
      <c r="K23" s="122"/>
      <c r="M23" s="122"/>
      <c r="P23" s="122"/>
      <c r="Q23" s="121"/>
      <c r="R23" s="120"/>
      <c r="U23" s="122"/>
      <c r="W23" s="122"/>
      <c r="Z23" s="122"/>
      <c r="AB23" s="122"/>
      <c r="AE23" s="122"/>
      <c r="AG23" s="122"/>
      <c r="AJ23" s="122"/>
      <c r="AL23" s="122"/>
      <c r="AO23" s="122"/>
      <c r="AQ23" s="122"/>
      <c r="AT23" s="122"/>
      <c r="AV23" s="122"/>
    </row>
    <row r="24" spans="6:48">
      <c r="F24" s="120"/>
      <c r="G24" s="121"/>
      <c r="H24" s="120"/>
      <c r="K24" s="122"/>
      <c r="M24" s="122"/>
      <c r="P24" s="122"/>
      <c r="Q24" s="121"/>
      <c r="R24" s="120"/>
      <c r="U24" s="122"/>
      <c r="W24" s="122"/>
      <c r="Z24" s="122"/>
      <c r="AB24" s="122"/>
      <c r="AE24" s="122"/>
      <c r="AG24" s="122"/>
      <c r="AJ24" s="122"/>
      <c r="AL24" s="122"/>
      <c r="AO24" s="122"/>
      <c r="AQ24" s="122"/>
      <c r="AT24" s="122"/>
      <c r="AV24" s="122"/>
    </row>
    <row r="25" spans="6:48">
      <c r="F25" s="120"/>
      <c r="G25" s="121"/>
      <c r="H25" s="120"/>
      <c r="K25" s="122"/>
      <c r="M25" s="122"/>
      <c r="P25" s="122"/>
      <c r="Q25" s="121"/>
      <c r="R25" s="120"/>
      <c r="U25" s="122"/>
      <c r="W25" s="122"/>
      <c r="Z25" s="122"/>
      <c r="AB25" s="122"/>
      <c r="AE25" s="122"/>
      <c r="AG25" s="122"/>
      <c r="AJ25" s="122"/>
      <c r="AL25" s="122"/>
      <c r="AO25" s="122"/>
      <c r="AQ25" s="122"/>
      <c r="AT25" s="122"/>
      <c r="AV25" s="122"/>
    </row>
    <row r="26" spans="6:48">
      <c r="F26" s="120"/>
      <c r="G26" s="121"/>
      <c r="H26" s="120"/>
      <c r="K26" s="122"/>
      <c r="M26" s="122"/>
      <c r="P26" s="122"/>
      <c r="Q26" s="121"/>
      <c r="R26" s="120"/>
      <c r="U26" s="122"/>
      <c r="W26" s="122"/>
      <c r="Z26" s="122"/>
      <c r="AB26" s="122"/>
      <c r="AE26" s="122"/>
      <c r="AG26" s="122"/>
      <c r="AJ26" s="122"/>
      <c r="AL26" s="122"/>
      <c r="AO26" s="122"/>
      <c r="AQ26" s="122"/>
      <c r="AT26" s="122"/>
      <c r="AV26" s="122"/>
    </row>
    <row r="27" spans="6:48">
      <c r="F27" s="120"/>
      <c r="G27" s="121"/>
      <c r="H27" s="120"/>
      <c r="K27" s="122"/>
      <c r="M27" s="122"/>
      <c r="P27" s="122"/>
      <c r="Q27" s="121"/>
      <c r="R27" s="120"/>
      <c r="U27" s="122"/>
      <c r="W27" s="122"/>
      <c r="Z27" s="122"/>
      <c r="AB27" s="122"/>
      <c r="AE27" s="122"/>
      <c r="AG27" s="122"/>
      <c r="AJ27" s="122"/>
      <c r="AL27" s="122"/>
      <c r="AO27" s="122"/>
      <c r="AQ27" s="122"/>
      <c r="AT27" s="122"/>
      <c r="AV27" s="122"/>
    </row>
    <row r="28" spans="6:48">
      <c r="F28" s="120"/>
      <c r="G28" s="121"/>
      <c r="H28" s="120"/>
      <c r="K28" s="122"/>
      <c r="M28" s="122"/>
      <c r="P28" s="122"/>
      <c r="Q28" s="121"/>
      <c r="R28" s="120"/>
      <c r="U28" s="122"/>
      <c r="W28" s="122"/>
      <c r="Z28" s="122"/>
      <c r="AB28" s="122"/>
      <c r="AE28" s="122"/>
      <c r="AG28" s="122"/>
      <c r="AJ28" s="122"/>
      <c r="AL28" s="122"/>
      <c r="AO28" s="122"/>
      <c r="AQ28" s="122"/>
      <c r="AT28" s="122"/>
      <c r="AV28" s="122"/>
    </row>
    <row r="29" spans="6:48">
      <c r="F29" s="120"/>
      <c r="G29" s="121"/>
      <c r="H29" s="120"/>
      <c r="K29" s="122"/>
      <c r="M29" s="122"/>
      <c r="P29" s="122"/>
      <c r="Q29" s="121"/>
      <c r="R29" s="120"/>
      <c r="U29" s="122"/>
      <c r="W29" s="122"/>
      <c r="Z29" s="122"/>
      <c r="AB29" s="122"/>
      <c r="AE29" s="122"/>
      <c r="AG29" s="122"/>
      <c r="AJ29" s="122"/>
      <c r="AL29" s="122"/>
      <c r="AO29" s="122"/>
      <c r="AQ29" s="122"/>
      <c r="AT29" s="122"/>
      <c r="AV29" s="122"/>
    </row>
    <row r="30" spans="6:48">
      <c r="F30" s="120"/>
      <c r="G30" s="121"/>
      <c r="H30" s="120"/>
      <c r="K30" s="122"/>
      <c r="M30" s="122"/>
      <c r="P30" s="122"/>
      <c r="Q30" s="121"/>
      <c r="R30" s="120"/>
      <c r="U30" s="122"/>
      <c r="W30" s="122"/>
      <c r="Z30" s="122"/>
      <c r="AB30" s="122"/>
      <c r="AE30" s="122"/>
      <c r="AG30" s="122"/>
      <c r="AJ30" s="122"/>
      <c r="AL30" s="122"/>
      <c r="AO30" s="122"/>
      <c r="AQ30" s="122"/>
      <c r="AT30" s="122"/>
      <c r="AV30" s="122"/>
    </row>
    <row r="31" spans="6:48">
      <c r="F31" s="120"/>
      <c r="G31" s="121"/>
      <c r="H31" s="120"/>
      <c r="K31" s="122"/>
      <c r="M31" s="122"/>
      <c r="P31" s="122"/>
      <c r="Q31" s="121"/>
      <c r="R31" s="120"/>
      <c r="U31" s="122"/>
      <c r="W31" s="122"/>
      <c r="Z31" s="122"/>
      <c r="AB31" s="122"/>
      <c r="AE31" s="122"/>
      <c r="AG31" s="122"/>
      <c r="AJ31" s="122"/>
      <c r="AL31" s="122"/>
      <c r="AO31" s="122"/>
      <c r="AQ31" s="122"/>
      <c r="AT31" s="122"/>
      <c r="AV31" s="122"/>
    </row>
    <row r="32" spans="6:48">
      <c r="F32" s="120"/>
      <c r="G32" s="121"/>
      <c r="H32" s="120"/>
      <c r="K32" s="122"/>
      <c r="M32" s="122"/>
      <c r="P32" s="122"/>
      <c r="Q32" s="121"/>
      <c r="R32" s="120"/>
      <c r="U32" s="122"/>
      <c r="W32" s="122"/>
      <c r="Z32" s="122"/>
      <c r="AB32" s="122"/>
      <c r="AE32" s="122"/>
      <c r="AG32" s="122"/>
      <c r="AJ32" s="122"/>
      <c r="AL32" s="122"/>
      <c r="AO32" s="122"/>
      <c r="AQ32" s="122"/>
      <c r="AT32" s="122"/>
      <c r="AV32" s="122"/>
    </row>
    <row r="33" spans="6:48">
      <c r="F33" s="120"/>
      <c r="G33" s="121"/>
      <c r="H33" s="120"/>
      <c r="K33" s="122"/>
      <c r="M33" s="122"/>
      <c r="P33" s="122"/>
      <c r="Q33" s="121"/>
      <c r="R33" s="120"/>
      <c r="U33" s="122"/>
      <c r="W33" s="122"/>
      <c r="Z33" s="122"/>
      <c r="AB33" s="122"/>
      <c r="AE33" s="122"/>
      <c r="AG33" s="122"/>
      <c r="AJ33" s="122"/>
      <c r="AL33" s="122"/>
      <c r="AO33" s="122"/>
      <c r="AQ33" s="122"/>
      <c r="AT33" s="122"/>
      <c r="AV33" s="122"/>
    </row>
    <row r="34" spans="6:48">
      <c r="F34" s="120"/>
      <c r="G34" s="121"/>
      <c r="H34" s="120"/>
      <c r="K34" s="122"/>
      <c r="M34" s="122"/>
      <c r="P34" s="122"/>
      <c r="Q34" s="121"/>
      <c r="R34" s="120"/>
      <c r="U34" s="122"/>
      <c r="W34" s="122"/>
      <c r="Z34" s="122"/>
      <c r="AB34" s="122"/>
      <c r="AE34" s="122"/>
      <c r="AG34" s="122"/>
      <c r="AJ34" s="122"/>
      <c r="AL34" s="122"/>
      <c r="AO34" s="122"/>
      <c r="AQ34" s="122"/>
      <c r="AT34" s="122"/>
      <c r="AV34" s="122"/>
    </row>
    <row r="35" spans="6:48">
      <c r="F35" s="120"/>
      <c r="G35" s="121"/>
      <c r="H35" s="120"/>
      <c r="K35" s="122"/>
      <c r="M35" s="122"/>
      <c r="P35" s="122"/>
      <c r="Q35" s="121"/>
      <c r="R35" s="120"/>
      <c r="U35" s="122"/>
      <c r="W35" s="122"/>
      <c r="Z35" s="122"/>
      <c r="AB35" s="122"/>
      <c r="AE35" s="122"/>
      <c r="AG35" s="122"/>
      <c r="AJ35" s="122"/>
      <c r="AL35" s="122"/>
      <c r="AO35" s="122"/>
      <c r="AQ35" s="122"/>
      <c r="AT35" s="122"/>
      <c r="AV35" s="122"/>
    </row>
    <row r="36" spans="6:48">
      <c r="F36" s="122"/>
      <c r="H36" s="122"/>
      <c r="K36" s="122"/>
      <c r="M36" s="122"/>
      <c r="P36" s="122"/>
      <c r="Q36" s="121"/>
      <c r="R36" s="120"/>
      <c r="U36" s="122"/>
      <c r="W36" s="122"/>
      <c r="Z36" s="122"/>
      <c r="AB36" s="122"/>
      <c r="AE36" s="122"/>
      <c r="AG36" s="122"/>
      <c r="AJ36" s="122"/>
      <c r="AL36" s="122"/>
      <c r="AO36" s="122"/>
      <c r="AQ36" s="122"/>
      <c r="AT36" s="122"/>
      <c r="AV36" s="122"/>
    </row>
    <row r="37" spans="6:48">
      <c r="F37" s="122"/>
      <c r="H37" s="122"/>
      <c r="K37" s="122"/>
      <c r="M37" s="122"/>
      <c r="P37" s="122"/>
      <c r="Q37" s="121"/>
      <c r="R37" s="120"/>
      <c r="U37" s="122"/>
      <c r="W37" s="122"/>
      <c r="Z37" s="122"/>
      <c r="AB37" s="122"/>
      <c r="AE37" s="122"/>
      <c r="AG37" s="122"/>
      <c r="AJ37" s="122"/>
      <c r="AL37" s="122"/>
      <c r="AO37" s="122"/>
      <c r="AQ37" s="122"/>
      <c r="AT37" s="122"/>
      <c r="AV37" s="122"/>
    </row>
    <row r="38" spans="6:48">
      <c r="F38" s="122"/>
      <c r="H38" s="122"/>
      <c r="K38" s="122"/>
      <c r="M38" s="122"/>
      <c r="P38" s="122"/>
      <c r="R38" s="122"/>
      <c r="U38" s="122"/>
      <c r="W38" s="122"/>
      <c r="Z38" s="122"/>
      <c r="AB38" s="122"/>
      <c r="AE38" s="122"/>
      <c r="AG38" s="122"/>
      <c r="AJ38" s="122"/>
      <c r="AL38" s="122"/>
      <c r="AO38" s="122"/>
      <c r="AQ38" s="122"/>
      <c r="AT38" s="122"/>
      <c r="AV38" s="122"/>
    </row>
    <row r="39" spans="6:48">
      <c r="F39" s="122"/>
      <c r="H39" s="122"/>
      <c r="K39" s="122"/>
      <c r="M39" s="122"/>
      <c r="P39" s="122"/>
      <c r="R39" s="122"/>
      <c r="U39" s="122"/>
      <c r="W39" s="122"/>
      <c r="Z39" s="122"/>
      <c r="AB39" s="122"/>
      <c r="AE39" s="122"/>
      <c r="AG39" s="122"/>
      <c r="AJ39" s="122"/>
      <c r="AL39" s="122"/>
      <c r="AO39" s="122"/>
      <c r="AQ39" s="122"/>
      <c r="AT39" s="122"/>
      <c r="AV39" s="122"/>
    </row>
    <row r="40" spans="6:48">
      <c r="F40" s="122"/>
      <c r="H40" s="122"/>
      <c r="K40" s="122"/>
      <c r="M40" s="122"/>
      <c r="P40" s="122"/>
      <c r="R40" s="122"/>
      <c r="U40" s="122"/>
      <c r="W40" s="122"/>
      <c r="Z40" s="122"/>
      <c r="AB40" s="122"/>
      <c r="AE40" s="122"/>
      <c r="AG40" s="122"/>
      <c r="AJ40" s="122"/>
      <c r="AL40" s="122"/>
      <c r="AO40" s="122"/>
      <c r="AQ40" s="122"/>
      <c r="AT40" s="122"/>
      <c r="AV40" s="122"/>
    </row>
    <row r="41" spans="6:48">
      <c r="F41" s="122"/>
      <c r="H41" s="122"/>
      <c r="K41" s="122"/>
      <c r="M41" s="122"/>
      <c r="P41" s="122"/>
      <c r="R41" s="122"/>
      <c r="U41" s="122"/>
      <c r="W41" s="122"/>
      <c r="Z41" s="122"/>
      <c r="AB41" s="122"/>
      <c r="AE41" s="122"/>
      <c r="AG41" s="122"/>
      <c r="AJ41" s="122"/>
      <c r="AL41" s="122"/>
      <c r="AO41" s="122"/>
      <c r="AQ41" s="122"/>
      <c r="AT41" s="122"/>
      <c r="AV41" s="122"/>
    </row>
    <row r="42" spans="6:48">
      <c r="F42" s="122"/>
      <c r="H42" s="122"/>
      <c r="K42" s="122"/>
      <c r="M42" s="122"/>
      <c r="P42" s="122"/>
      <c r="R42" s="122"/>
      <c r="U42" s="122"/>
      <c r="W42" s="122"/>
      <c r="Z42" s="122"/>
      <c r="AB42" s="122"/>
      <c r="AE42" s="122"/>
      <c r="AG42" s="122"/>
      <c r="AJ42" s="122"/>
      <c r="AL42" s="122"/>
      <c r="AO42" s="122"/>
      <c r="AQ42" s="122"/>
      <c r="AT42" s="122"/>
      <c r="AV42" s="122"/>
    </row>
    <row r="43" spans="6:48">
      <c r="F43" s="122"/>
      <c r="H43" s="122"/>
      <c r="K43" s="122"/>
      <c r="M43" s="122"/>
      <c r="P43" s="122"/>
      <c r="R43" s="122"/>
      <c r="U43" s="122"/>
      <c r="W43" s="122"/>
      <c r="Z43" s="122"/>
      <c r="AB43" s="122"/>
      <c r="AE43" s="122"/>
      <c r="AG43" s="122"/>
      <c r="AJ43" s="122"/>
      <c r="AL43" s="122"/>
      <c r="AO43" s="122"/>
      <c r="AQ43" s="122"/>
      <c r="AT43" s="122"/>
      <c r="AV43" s="122"/>
    </row>
    <row r="44" spans="6:48">
      <c r="F44" s="122"/>
      <c r="H44" s="122"/>
      <c r="K44" s="122"/>
      <c r="M44" s="122"/>
      <c r="P44" s="122"/>
      <c r="R44" s="122"/>
      <c r="U44" s="122"/>
      <c r="W44" s="122"/>
      <c r="Z44" s="122"/>
      <c r="AB44" s="122"/>
      <c r="AE44" s="122"/>
      <c r="AG44" s="122"/>
      <c r="AJ44" s="122"/>
      <c r="AL44" s="122"/>
      <c r="AO44" s="122"/>
      <c r="AQ44" s="122"/>
      <c r="AT44" s="122"/>
      <c r="AV44" s="122"/>
    </row>
    <row r="45" spans="6:48">
      <c r="F45" s="122"/>
      <c r="H45" s="122"/>
      <c r="K45" s="122"/>
      <c r="M45" s="122"/>
      <c r="P45" s="122"/>
      <c r="R45" s="122"/>
      <c r="U45" s="122"/>
      <c r="W45" s="122"/>
      <c r="Z45" s="122"/>
      <c r="AB45" s="122"/>
      <c r="AE45" s="122"/>
      <c r="AG45" s="122"/>
      <c r="AJ45" s="122"/>
      <c r="AL45" s="122"/>
      <c r="AO45" s="122"/>
      <c r="AQ45" s="122"/>
      <c r="AT45" s="122"/>
      <c r="AV45" s="122"/>
    </row>
    <row r="46" spans="6:48">
      <c r="F46" s="122"/>
      <c r="H46" s="122"/>
      <c r="K46" s="122"/>
      <c r="M46" s="122"/>
      <c r="P46" s="122"/>
      <c r="R46" s="122"/>
      <c r="U46" s="122"/>
      <c r="W46" s="122"/>
      <c r="Z46" s="122"/>
      <c r="AB46" s="122"/>
      <c r="AE46" s="122"/>
      <c r="AG46" s="122"/>
      <c r="AJ46" s="122"/>
      <c r="AL46" s="122"/>
      <c r="AO46" s="122"/>
      <c r="AQ46" s="122"/>
      <c r="AT46" s="122"/>
      <c r="AV46" s="122"/>
    </row>
    <row r="47" spans="6:48">
      <c r="F47" s="122"/>
      <c r="H47" s="122"/>
      <c r="K47" s="122"/>
      <c r="M47" s="122"/>
      <c r="P47" s="122"/>
      <c r="R47" s="122"/>
      <c r="U47" s="122"/>
      <c r="W47" s="122"/>
      <c r="Z47" s="122"/>
      <c r="AB47" s="122"/>
      <c r="AE47" s="122"/>
      <c r="AG47" s="122"/>
      <c r="AJ47" s="122"/>
      <c r="AL47" s="122"/>
      <c r="AO47" s="122"/>
      <c r="AQ47" s="122"/>
      <c r="AT47" s="122"/>
      <c r="AV47" s="122"/>
    </row>
    <row r="48" spans="6:48">
      <c r="F48" s="122"/>
      <c r="H48" s="122"/>
      <c r="K48" s="122"/>
      <c r="M48" s="122"/>
      <c r="P48" s="122"/>
      <c r="R48" s="122"/>
      <c r="U48" s="122"/>
      <c r="W48" s="122"/>
      <c r="Z48" s="122"/>
      <c r="AB48" s="122"/>
      <c r="AE48" s="122"/>
      <c r="AG48" s="122"/>
      <c r="AJ48" s="122"/>
      <c r="AL48" s="122"/>
      <c r="AO48" s="122"/>
      <c r="AQ48" s="122"/>
      <c r="AT48" s="122"/>
      <c r="AV48" s="122"/>
    </row>
    <row r="49" spans="6:48">
      <c r="F49" s="122"/>
      <c r="H49" s="122"/>
      <c r="K49" s="122"/>
      <c r="M49" s="122"/>
      <c r="P49" s="122"/>
      <c r="R49" s="122"/>
      <c r="U49" s="122"/>
      <c r="W49" s="122"/>
      <c r="Z49" s="122"/>
      <c r="AB49" s="122"/>
      <c r="AE49" s="122"/>
      <c r="AG49" s="122"/>
      <c r="AJ49" s="122"/>
      <c r="AL49" s="122"/>
      <c r="AO49" s="122"/>
      <c r="AQ49" s="122"/>
      <c r="AT49" s="122"/>
      <c r="AV49" s="122"/>
    </row>
    <row r="50" spans="6:48">
      <c r="F50" s="122"/>
      <c r="H50" s="122"/>
      <c r="K50" s="122"/>
      <c r="M50" s="122"/>
      <c r="P50" s="122"/>
      <c r="R50" s="122"/>
      <c r="U50" s="122"/>
      <c r="W50" s="122"/>
      <c r="Z50" s="122"/>
      <c r="AB50" s="122"/>
      <c r="AE50" s="122"/>
      <c r="AG50" s="122"/>
      <c r="AJ50" s="122"/>
      <c r="AL50" s="122"/>
      <c r="AO50" s="122"/>
      <c r="AQ50" s="122"/>
      <c r="AT50" s="122"/>
      <c r="AV50" s="122"/>
    </row>
    <row r="51" spans="6:48">
      <c r="F51" s="122"/>
      <c r="H51" s="122"/>
      <c r="K51" s="122"/>
      <c r="M51" s="122"/>
      <c r="P51" s="122"/>
      <c r="R51" s="122"/>
      <c r="U51" s="122"/>
      <c r="W51" s="122"/>
      <c r="Z51" s="122"/>
      <c r="AB51" s="122"/>
      <c r="AE51" s="122"/>
      <c r="AG51" s="122"/>
      <c r="AJ51" s="122"/>
      <c r="AL51" s="122"/>
      <c r="AO51" s="122"/>
      <c r="AQ51" s="122"/>
      <c r="AT51" s="122"/>
      <c r="AV51" s="122"/>
    </row>
    <row r="52" spans="6:48">
      <c r="F52" s="122"/>
      <c r="H52" s="122"/>
      <c r="K52" s="122"/>
      <c r="M52" s="122"/>
      <c r="P52" s="122"/>
      <c r="R52" s="122"/>
      <c r="U52" s="122"/>
      <c r="W52" s="122"/>
      <c r="Z52" s="122"/>
      <c r="AB52" s="122"/>
      <c r="AE52" s="122"/>
      <c r="AG52" s="122"/>
      <c r="AJ52" s="122"/>
      <c r="AL52" s="122"/>
      <c r="AO52" s="122"/>
      <c r="AQ52" s="122"/>
      <c r="AT52" s="122"/>
      <c r="AV52" s="122"/>
    </row>
    <row r="53" spans="6:48">
      <c r="F53" s="122"/>
      <c r="H53" s="122"/>
      <c r="K53" s="122"/>
      <c r="M53" s="122"/>
      <c r="P53" s="122"/>
      <c r="R53" s="122"/>
      <c r="U53" s="122"/>
      <c r="W53" s="122"/>
      <c r="Z53" s="122"/>
      <c r="AB53" s="122"/>
      <c r="AE53" s="122"/>
      <c r="AG53" s="122"/>
      <c r="AJ53" s="122"/>
      <c r="AL53" s="122"/>
      <c r="AO53" s="122"/>
      <c r="AQ53" s="122"/>
      <c r="AT53" s="122"/>
      <c r="AV53" s="122"/>
    </row>
    <row r="54" spans="6:48">
      <c r="F54" s="122"/>
      <c r="H54" s="122"/>
      <c r="K54" s="122"/>
      <c r="M54" s="122"/>
      <c r="P54" s="122"/>
      <c r="R54" s="122"/>
      <c r="U54" s="122"/>
      <c r="W54" s="122"/>
      <c r="Z54" s="122"/>
      <c r="AB54" s="122"/>
      <c r="AE54" s="122"/>
      <c r="AG54" s="122"/>
      <c r="AJ54" s="122"/>
      <c r="AL54" s="122"/>
      <c r="AO54" s="122"/>
      <c r="AQ54" s="122"/>
      <c r="AT54" s="122"/>
      <c r="AV54" s="122"/>
    </row>
    <row r="55" spans="6:48">
      <c r="F55" s="122"/>
      <c r="H55" s="122"/>
      <c r="K55" s="122"/>
      <c r="M55" s="122"/>
      <c r="P55" s="122"/>
      <c r="R55" s="122"/>
      <c r="U55" s="122"/>
      <c r="W55" s="122"/>
      <c r="Z55" s="122"/>
      <c r="AB55" s="122"/>
      <c r="AE55" s="122"/>
      <c r="AG55" s="122"/>
      <c r="AJ55" s="122"/>
      <c r="AL55" s="122"/>
      <c r="AO55" s="122"/>
      <c r="AQ55" s="122"/>
      <c r="AT55" s="122"/>
      <c r="AV55" s="122"/>
    </row>
    <row r="56" spans="6:48">
      <c r="F56" s="122"/>
      <c r="H56" s="122"/>
      <c r="K56" s="122"/>
      <c r="M56" s="122"/>
      <c r="P56" s="122"/>
      <c r="R56" s="122"/>
      <c r="U56" s="122"/>
      <c r="W56" s="122"/>
      <c r="Z56" s="122"/>
      <c r="AB56" s="122"/>
      <c r="AE56" s="122"/>
      <c r="AG56" s="122"/>
      <c r="AJ56" s="122"/>
      <c r="AL56" s="122"/>
      <c r="AO56" s="122"/>
      <c r="AQ56" s="122"/>
      <c r="AT56" s="122"/>
      <c r="AV56" s="122"/>
    </row>
  </sheetData>
  <mergeCells count="9">
    <mergeCell ref="Y2:AB2"/>
    <mergeCell ref="O2:R2"/>
    <mergeCell ref="E2:H2"/>
    <mergeCell ref="J2:M2"/>
    <mergeCell ref="T2:W2"/>
    <mergeCell ref="AS2:AV2"/>
    <mergeCell ref="AN2:AQ2"/>
    <mergeCell ref="AI2:AL2"/>
    <mergeCell ref="AD2:AG2"/>
  </mergeCells>
  <pageMargins left="0.25" right="0.25" top="1" bottom="1" header="0.5" footer="0.5"/>
  <pageSetup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L75"/>
  <sheetViews>
    <sheetView workbookViewId="0">
      <pane xSplit="1" ySplit="2" topLeftCell="BH3" activePane="bottomRight" state="frozen"/>
      <selection pane="topRight" activeCell="B1" sqref="B1"/>
      <selection pane="bottomLeft" activeCell="A3" sqref="A3"/>
      <selection pane="bottomRight" activeCell="BX3" sqref="BX3"/>
    </sheetView>
  </sheetViews>
  <sheetFormatPr defaultRowHeight="12.75"/>
  <cols>
    <col min="1" max="1" width="33" customWidth="1"/>
    <col min="2" max="2" width="11.1640625" customWidth="1"/>
    <col min="3" max="4" width="11.6640625" customWidth="1"/>
    <col min="5" max="6" width="10.6640625" customWidth="1"/>
    <col min="7" max="9" width="11.6640625" customWidth="1"/>
    <col min="10" max="10" width="10.5" customWidth="1"/>
    <col min="11" max="14" width="11.5" customWidth="1"/>
    <col min="15" max="15" width="11" customWidth="1"/>
    <col min="16" max="18" width="12" customWidth="1"/>
    <col min="19" max="20" width="10.6640625" customWidth="1"/>
    <col min="21" max="23" width="11.6640625" customWidth="1"/>
    <col min="24" max="24" width="11" customWidth="1"/>
    <col min="25" max="27" width="12" customWidth="1"/>
  </cols>
  <sheetData>
    <row r="1" spans="1:142" ht="51.75" customHeight="1">
      <c r="B1" s="152" t="s">
        <v>408</v>
      </c>
      <c r="C1" s="154">
        <f>+D1-7</f>
        <v>36878</v>
      </c>
      <c r="D1" s="154">
        <f>+E1-7</f>
        <v>36885</v>
      </c>
      <c r="E1" s="154">
        <v>36892</v>
      </c>
      <c r="F1" s="154">
        <f>+E1+7</f>
        <v>36899</v>
      </c>
      <c r="G1" s="154">
        <f t="shared" ref="G1:BR1" si="0">+F1+7</f>
        <v>36906</v>
      </c>
      <c r="H1" s="154">
        <f t="shared" si="0"/>
        <v>36913</v>
      </c>
      <c r="I1" s="154">
        <f t="shared" si="0"/>
        <v>36920</v>
      </c>
      <c r="J1" s="154">
        <f t="shared" si="0"/>
        <v>36927</v>
      </c>
      <c r="K1" s="154">
        <f t="shared" si="0"/>
        <v>36934</v>
      </c>
      <c r="L1" s="154">
        <f t="shared" si="0"/>
        <v>36941</v>
      </c>
      <c r="M1" s="154">
        <f>+L1+7</f>
        <v>36948</v>
      </c>
      <c r="N1" s="154">
        <f t="shared" si="0"/>
        <v>36955</v>
      </c>
      <c r="O1" s="154">
        <f t="shared" si="0"/>
        <v>36962</v>
      </c>
      <c r="P1" s="154">
        <f t="shared" si="0"/>
        <v>36969</v>
      </c>
      <c r="Q1" s="154">
        <f t="shared" si="0"/>
        <v>36976</v>
      </c>
      <c r="R1" s="154">
        <f t="shared" si="0"/>
        <v>36983</v>
      </c>
      <c r="S1" s="154">
        <f t="shared" si="0"/>
        <v>36990</v>
      </c>
      <c r="T1" s="154">
        <f t="shared" si="0"/>
        <v>36997</v>
      </c>
      <c r="U1" s="154">
        <f t="shared" si="0"/>
        <v>37004</v>
      </c>
      <c r="V1" s="154">
        <f t="shared" si="0"/>
        <v>37011</v>
      </c>
      <c r="W1" s="154">
        <f t="shared" si="0"/>
        <v>37018</v>
      </c>
      <c r="X1" s="154">
        <f t="shared" si="0"/>
        <v>37025</v>
      </c>
      <c r="Y1" s="154">
        <f t="shared" si="0"/>
        <v>37032</v>
      </c>
      <c r="Z1" s="154">
        <f t="shared" si="0"/>
        <v>37039</v>
      </c>
      <c r="AA1" s="154">
        <f t="shared" si="0"/>
        <v>37046</v>
      </c>
      <c r="AB1" s="154">
        <f t="shared" si="0"/>
        <v>37053</v>
      </c>
      <c r="AC1" s="154">
        <f t="shared" si="0"/>
        <v>37060</v>
      </c>
      <c r="AD1" s="154">
        <f t="shared" si="0"/>
        <v>37067</v>
      </c>
      <c r="AE1" s="154">
        <f t="shared" si="0"/>
        <v>37074</v>
      </c>
      <c r="AF1" s="154">
        <f t="shared" si="0"/>
        <v>37081</v>
      </c>
      <c r="AG1" s="154">
        <f t="shared" si="0"/>
        <v>37088</v>
      </c>
      <c r="AH1" s="154">
        <f t="shared" si="0"/>
        <v>37095</v>
      </c>
      <c r="AI1" s="154">
        <f t="shared" si="0"/>
        <v>37102</v>
      </c>
      <c r="AJ1" s="154">
        <f t="shared" si="0"/>
        <v>37109</v>
      </c>
      <c r="AK1" s="154">
        <f t="shared" si="0"/>
        <v>37116</v>
      </c>
      <c r="AL1" s="154">
        <f t="shared" si="0"/>
        <v>37123</v>
      </c>
      <c r="AM1" s="154">
        <f t="shared" si="0"/>
        <v>37130</v>
      </c>
      <c r="AN1" s="154">
        <f t="shared" si="0"/>
        <v>37137</v>
      </c>
      <c r="AO1" s="154">
        <f t="shared" si="0"/>
        <v>37144</v>
      </c>
      <c r="AP1" s="154">
        <f t="shared" si="0"/>
        <v>37151</v>
      </c>
      <c r="AQ1" s="154">
        <f t="shared" si="0"/>
        <v>37158</v>
      </c>
      <c r="AR1" s="428">
        <f t="shared" si="0"/>
        <v>37165</v>
      </c>
      <c r="AS1" s="154">
        <f t="shared" si="0"/>
        <v>37172</v>
      </c>
      <c r="AT1" s="154">
        <f t="shared" si="0"/>
        <v>37179</v>
      </c>
      <c r="AU1" s="154">
        <f t="shared" si="0"/>
        <v>37186</v>
      </c>
      <c r="AV1" s="154">
        <f t="shared" si="0"/>
        <v>37193</v>
      </c>
      <c r="AW1" s="154">
        <f t="shared" si="0"/>
        <v>37200</v>
      </c>
      <c r="AX1" s="154">
        <f t="shared" si="0"/>
        <v>37207</v>
      </c>
      <c r="AY1" s="154">
        <f t="shared" si="0"/>
        <v>37214</v>
      </c>
      <c r="AZ1" s="154">
        <f t="shared" si="0"/>
        <v>37221</v>
      </c>
      <c r="BA1" s="154">
        <f t="shared" si="0"/>
        <v>37228</v>
      </c>
      <c r="BB1" s="154">
        <f t="shared" si="0"/>
        <v>37235</v>
      </c>
      <c r="BC1" s="154">
        <f t="shared" si="0"/>
        <v>37242</v>
      </c>
      <c r="BD1" s="154">
        <f t="shared" si="0"/>
        <v>37249</v>
      </c>
      <c r="BE1" s="154">
        <f t="shared" si="0"/>
        <v>37256</v>
      </c>
      <c r="BF1" s="154">
        <f t="shared" si="0"/>
        <v>37263</v>
      </c>
      <c r="BG1" s="154">
        <f t="shared" si="0"/>
        <v>37270</v>
      </c>
      <c r="BH1" s="154">
        <f t="shared" si="0"/>
        <v>37277</v>
      </c>
      <c r="BI1" s="154">
        <f t="shared" si="0"/>
        <v>37284</v>
      </c>
      <c r="BJ1" s="154">
        <f t="shared" si="0"/>
        <v>37291</v>
      </c>
      <c r="BK1" s="154">
        <f t="shared" si="0"/>
        <v>37298</v>
      </c>
      <c r="BL1" s="428">
        <f t="shared" si="0"/>
        <v>37305</v>
      </c>
      <c r="BM1" s="154">
        <f t="shared" si="0"/>
        <v>37312</v>
      </c>
      <c r="BN1" s="154">
        <f t="shared" si="0"/>
        <v>37319</v>
      </c>
      <c r="BO1" s="154">
        <f t="shared" si="0"/>
        <v>37326</v>
      </c>
      <c r="BP1" s="154">
        <f t="shared" si="0"/>
        <v>37333</v>
      </c>
      <c r="BQ1" s="154">
        <f t="shared" si="0"/>
        <v>37340</v>
      </c>
      <c r="BR1" s="154">
        <f t="shared" si="0"/>
        <v>37347</v>
      </c>
      <c r="BS1" s="154">
        <f t="shared" ref="BS1:CU1" si="1">+BR1+7</f>
        <v>37354</v>
      </c>
      <c r="BT1" s="154">
        <f t="shared" si="1"/>
        <v>37361</v>
      </c>
      <c r="BU1" s="154">
        <f t="shared" si="1"/>
        <v>37368</v>
      </c>
      <c r="BV1" s="154">
        <f t="shared" si="1"/>
        <v>37375</v>
      </c>
      <c r="BW1" s="154">
        <f t="shared" si="1"/>
        <v>37382</v>
      </c>
      <c r="BX1" s="430">
        <f t="shared" si="1"/>
        <v>37389</v>
      </c>
      <c r="BY1" s="154">
        <f t="shared" si="1"/>
        <v>37396</v>
      </c>
      <c r="BZ1" s="154">
        <f t="shared" si="1"/>
        <v>37403</v>
      </c>
      <c r="CA1" s="154">
        <f t="shared" si="1"/>
        <v>37410</v>
      </c>
      <c r="CB1" s="154">
        <f t="shared" si="1"/>
        <v>37417</v>
      </c>
      <c r="CC1" s="154">
        <f t="shared" si="1"/>
        <v>37424</v>
      </c>
      <c r="CD1" s="154">
        <f t="shared" si="1"/>
        <v>37431</v>
      </c>
      <c r="CE1" s="154">
        <f t="shared" si="1"/>
        <v>37438</v>
      </c>
      <c r="CF1" s="154">
        <f t="shared" si="1"/>
        <v>37445</v>
      </c>
      <c r="CG1" s="154">
        <f t="shared" si="1"/>
        <v>37452</v>
      </c>
      <c r="CH1" s="154">
        <f t="shared" si="1"/>
        <v>37459</v>
      </c>
      <c r="CI1" s="154">
        <f t="shared" si="1"/>
        <v>37466</v>
      </c>
      <c r="CJ1" s="154">
        <f t="shared" si="1"/>
        <v>37473</v>
      </c>
      <c r="CK1" s="154">
        <f t="shared" si="1"/>
        <v>37480</v>
      </c>
      <c r="CL1" s="154">
        <f t="shared" si="1"/>
        <v>37487</v>
      </c>
      <c r="CM1" s="432">
        <f t="shared" si="1"/>
        <v>37494</v>
      </c>
      <c r="CN1" s="154">
        <f t="shared" si="1"/>
        <v>37501</v>
      </c>
      <c r="CO1" s="154">
        <f t="shared" si="1"/>
        <v>37508</v>
      </c>
      <c r="CP1" s="154">
        <f t="shared" si="1"/>
        <v>37515</v>
      </c>
      <c r="CQ1" s="154">
        <f t="shared" si="1"/>
        <v>37522</v>
      </c>
      <c r="CR1" s="154">
        <f t="shared" si="1"/>
        <v>37529</v>
      </c>
      <c r="CS1" s="154">
        <f t="shared" si="1"/>
        <v>37536</v>
      </c>
      <c r="CT1" s="154">
        <f t="shared" si="1"/>
        <v>37543</v>
      </c>
      <c r="CU1" s="154">
        <f t="shared" si="1"/>
        <v>37550</v>
      </c>
    </row>
    <row r="2" spans="1:142">
      <c r="A2" t="s">
        <v>409</v>
      </c>
      <c r="G2">
        <v>0</v>
      </c>
      <c r="H2" s="155">
        <f>+G2+0.25</f>
        <v>0.25</v>
      </c>
      <c r="I2" s="155">
        <f>+H2+0.25</f>
        <v>0.5</v>
      </c>
      <c r="J2" s="155">
        <f t="shared" ref="J2:BW2" si="2">+I2+0.25</f>
        <v>0.75</v>
      </c>
      <c r="K2" s="155">
        <f t="shared" si="2"/>
        <v>1</v>
      </c>
      <c r="L2" s="155">
        <f t="shared" si="2"/>
        <v>1.25</v>
      </c>
      <c r="M2" s="155">
        <f>+L2+0.25</f>
        <v>1.5</v>
      </c>
      <c r="N2" s="155">
        <f t="shared" si="2"/>
        <v>1.75</v>
      </c>
      <c r="O2" s="155">
        <f t="shared" si="2"/>
        <v>2</v>
      </c>
      <c r="P2" s="155">
        <f t="shared" si="2"/>
        <v>2.25</v>
      </c>
      <c r="Q2" s="155">
        <f t="shared" si="2"/>
        <v>2.5</v>
      </c>
      <c r="R2" s="155">
        <f t="shared" si="2"/>
        <v>2.75</v>
      </c>
      <c r="S2" s="155">
        <f t="shared" si="2"/>
        <v>3</v>
      </c>
      <c r="T2" s="155">
        <f t="shared" si="2"/>
        <v>3.25</v>
      </c>
      <c r="U2" s="155">
        <f t="shared" si="2"/>
        <v>3.5</v>
      </c>
      <c r="V2" s="155">
        <f t="shared" si="2"/>
        <v>3.75</v>
      </c>
      <c r="W2" s="155">
        <f t="shared" si="2"/>
        <v>4</v>
      </c>
      <c r="X2" s="155">
        <f t="shared" si="2"/>
        <v>4.25</v>
      </c>
      <c r="Y2" s="155">
        <f t="shared" si="2"/>
        <v>4.5</v>
      </c>
      <c r="Z2" s="155">
        <f t="shared" si="2"/>
        <v>4.75</v>
      </c>
      <c r="AA2" s="155">
        <f t="shared" si="2"/>
        <v>5</v>
      </c>
      <c r="AB2" s="155">
        <f t="shared" si="2"/>
        <v>5.25</v>
      </c>
      <c r="AC2" s="155">
        <f t="shared" si="2"/>
        <v>5.5</v>
      </c>
      <c r="AD2" s="155">
        <f t="shared" si="2"/>
        <v>5.75</v>
      </c>
      <c r="AE2" s="155">
        <f t="shared" si="2"/>
        <v>6</v>
      </c>
      <c r="AF2" s="155">
        <f t="shared" si="2"/>
        <v>6.25</v>
      </c>
      <c r="AG2" s="155">
        <f t="shared" si="2"/>
        <v>6.5</v>
      </c>
      <c r="AH2" s="155">
        <f t="shared" si="2"/>
        <v>6.75</v>
      </c>
      <c r="AI2" s="155">
        <f t="shared" si="2"/>
        <v>7</v>
      </c>
      <c r="AJ2" s="155">
        <f t="shared" si="2"/>
        <v>7.25</v>
      </c>
      <c r="AK2" s="155">
        <f t="shared" si="2"/>
        <v>7.5</v>
      </c>
      <c r="AL2" s="155">
        <f t="shared" si="2"/>
        <v>7.75</v>
      </c>
      <c r="AM2" s="155">
        <f t="shared" si="2"/>
        <v>8</v>
      </c>
      <c r="AN2" s="155">
        <f t="shared" si="2"/>
        <v>8.25</v>
      </c>
      <c r="AO2" s="155">
        <f t="shared" si="2"/>
        <v>8.5</v>
      </c>
      <c r="AP2" s="155">
        <f t="shared" si="2"/>
        <v>8.75</v>
      </c>
      <c r="AQ2" s="155">
        <f t="shared" si="2"/>
        <v>9</v>
      </c>
      <c r="AR2" s="155">
        <f t="shared" si="2"/>
        <v>9.25</v>
      </c>
      <c r="AS2" s="155">
        <f t="shared" si="2"/>
        <v>9.5</v>
      </c>
      <c r="AT2" s="155">
        <f t="shared" si="2"/>
        <v>9.75</v>
      </c>
      <c r="AU2" s="155">
        <f t="shared" si="2"/>
        <v>10</v>
      </c>
      <c r="AV2" s="155">
        <f t="shared" si="2"/>
        <v>10.25</v>
      </c>
      <c r="AW2" s="155">
        <f t="shared" si="2"/>
        <v>10.5</v>
      </c>
      <c r="AX2" s="155">
        <f t="shared" si="2"/>
        <v>10.75</v>
      </c>
      <c r="AY2" s="155">
        <f t="shared" si="2"/>
        <v>11</v>
      </c>
      <c r="AZ2" s="155">
        <f t="shared" si="2"/>
        <v>11.25</v>
      </c>
      <c r="BA2" s="155">
        <f t="shared" si="2"/>
        <v>11.5</v>
      </c>
      <c r="BB2" s="155">
        <f t="shared" si="2"/>
        <v>11.75</v>
      </c>
      <c r="BC2" s="155">
        <f t="shared" si="2"/>
        <v>12</v>
      </c>
      <c r="BD2" s="155">
        <f t="shared" si="2"/>
        <v>12.25</v>
      </c>
      <c r="BE2" s="155">
        <f t="shared" si="2"/>
        <v>12.5</v>
      </c>
      <c r="BF2" s="155">
        <f t="shared" si="2"/>
        <v>12.75</v>
      </c>
      <c r="BG2" s="155">
        <f t="shared" si="2"/>
        <v>13</v>
      </c>
      <c r="BH2" s="155">
        <f t="shared" si="2"/>
        <v>13.25</v>
      </c>
      <c r="BI2" s="155">
        <f t="shared" si="2"/>
        <v>13.5</v>
      </c>
      <c r="BJ2" s="155">
        <f t="shared" si="2"/>
        <v>13.75</v>
      </c>
      <c r="BK2" s="155">
        <f t="shared" si="2"/>
        <v>14</v>
      </c>
      <c r="BL2" s="155">
        <f t="shared" si="2"/>
        <v>14.25</v>
      </c>
      <c r="BM2" s="155">
        <f t="shared" si="2"/>
        <v>14.5</v>
      </c>
      <c r="BN2" s="155">
        <f t="shared" si="2"/>
        <v>14.75</v>
      </c>
      <c r="BO2" s="155">
        <f t="shared" si="2"/>
        <v>15</v>
      </c>
      <c r="BP2" s="155">
        <f t="shared" si="2"/>
        <v>15.25</v>
      </c>
      <c r="BQ2" s="155">
        <f t="shared" si="2"/>
        <v>15.5</v>
      </c>
      <c r="BR2" s="155">
        <f t="shared" si="2"/>
        <v>15.75</v>
      </c>
      <c r="BS2" s="155">
        <f t="shared" si="2"/>
        <v>16</v>
      </c>
      <c r="BT2" s="155">
        <f t="shared" si="2"/>
        <v>16.25</v>
      </c>
      <c r="BU2" s="155">
        <f t="shared" si="2"/>
        <v>16.5</v>
      </c>
      <c r="BV2" s="155">
        <f>+BU2+0.25</f>
        <v>16.75</v>
      </c>
      <c r="BW2" s="155">
        <f t="shared" si="2"/>
        <v>17</v>
      </c>
      <c r="BX2" s="155">
        <f t="shared" ref="BX2:CM2" si="3">+BW2+0.25</f>
        <v>17.25</v>
      </c>
      <c r="BY2" s="155">
        <f t="shared" si="3"/>
        <v>17.5</v>
      </c>
      <c r="BZ2" s="155">
        <f t="shared" si="3"/>
        <v>17.75</v>
      </c>
      <c r="CA2" s="155">
        <f t="shared" si="3"/>
        <v>18</v>
      </c>
      <c r="CB2" s="155">
        <f t="shared" si="3"/>
        <v>18.25</v>
      </c>
      <c r="CC2" s="155">
        <f t="shared" si="3"/>
        <v>18.5</v>
      </c>
      <c r="CD2" s="155">
        <f t="shared" si="3"/>
        <v>18.75</v>
      </c>
      <c r="CE2" s="155">
        <f t="shared" si="3"/>
        <v>19</v>
      </c>
      <c r="CF2" s="155">
        <f t="shared" si="3"/>
        <v>19.25</v>
      </c>
      <c r="CG2" s="155">
        <f t="shared" si="3"/>
        <v>19.5</v>
      </c>
      <c r="CH2" s="155">
        <f t="shared" si="3"/>
        <v>19.75</v>
      </c>
      <c r="CI2" s="155">
        <f t="shared" si="3"/>
        <v>20</v>
      </c>
      <c r="CJ2" s="155">
        <f t="shared" si="3"/>
        <v>20.25</v>
      </c>
      <c r="CK2" s="155">
        <f t="shared" si="3"/>
        <v>20.5</v>
      </c>
      <c r="CL2" s="155">
        <f t="shared" si="3"/>
        <v>20.75</v>
      </c>
      <c r="CM2" s="155">
        <f t="shared" si="3"/>
        <v>21</v>
      </c>
      <c r="CN2" s="155"/>
      <c r="CO2" s="155"/>
      <c r="CP2" s="155"/>
      <c r="CQ2" s="155"/>
      <c r="CR2" s="155"/>
      <c r="CS2" s="155"/>
      <c r="CT2" s="155"/>
      <c r="CU2" s="155"/>
      <c r="CV2" s="155"/>
      <c r="CW2" s="155"/>
      <c r="CX2" s="155"/>
      <c r="CY2" s="155"/>
      <c r="CZ2" s="155"/>
      <c r="DA2" s="155"/>
      <c r="DB2" s="155"/>
      <c r="DC2" s="155"/>
      <c r="DD2" s="155"/>
      <c r="DE2" s="155"/>
      <c r="DF2" s="155"/>
      <c r="DG2" s="155"/>
      <c r="DH2" s="155"/>
      <c r="DI2" s="155"/>
      <c r="DJ2" s="155"/>
      <c r="DK2" s="155"/>
      <c r="DL2" s="155"/>
      <c r="DM2" s="155"/>
      <c r="DN2" s="155"/>
      <c r="DO2" s="155"/>
      <c r="DP2" s="155"/>
      <c r="DQ2" s="155"/>
      <c r="DR2" s="155"/>
      <c r="DS2" s="155"/>
      <c r="DT2" s="155"/>
      <c r="DU2" s="155"/>
      <c r="DV2" s="155"/>
      <c r="DW2" s="155"/>
      <c r="DX2" s="155"/>
      <c r="DY2" s="155"/>
      <c r="DZ2" s="155"/>
      <c r="EA2" s="155"/>
      <c r="EB2" s="155"/>
      <c r="EC2" s="155"/>
      <c r="ED2" s="155"/>
      <c r="EE2" s="155"/>
      <c r="EF2" s="155"/>
      <c r="EG2" s="155"/>
      <c r="EH2" s="155"/>
      <c r="EI2" s="155"/>
      <c r="EJ2" s="155"/>
      <c r="EK2" s="155"/>
      <c r="EL2" s="155"/>
    </row>
    <row r="3" spans="1:142">
      <c r="BG3" s="433" t="s">
        <v>516</v>
      </c>
    </row>
    <row r="4" spans="1:142">
      <c r="A4" t="s">
        <v>411</v>
      </c>
      <c r="C4" t="s">
        <v>199</v>
      </c>
    </row>
    <row r="5" spans="1:142">
      <c r="A5" t="s">
        <v>412</v>
      </c>
      <c r="C5" t="s">
        <v>199</v>
      </c>
    </row>
    <row r="6" spans="1:142">
      <c r="A6" t="s">
        <v>413</v>
      </c>
      <c r="C6" t="s">
        <v>199</v>
      </c>
    </row>
    <row r="7" spans="1:142">
      <c r="A7" t="s">
        <v>374</v>
      </c>
      <c r="F7" t="s">
        <v>199</v>
      </c>
    </row>
    <row r="8" spans="1:142">
      <c r="A8" t="s">
        <v>505</v>
      </c>
      <c r="B8">
        <v>10</v>
      </c>
      <c r="D8" t="s">
        <v>199</v>
      </c>
      <c r="E8" t="s">
        <v>199</v>
      </c>
      <c r="F8" t="s">
        <v>199</v>
      </c>
      <c r="H8" t="s">
        <v>199</v>
      </c>
      <c r="I8" t="s">
        <v>199</v>
      </c>
      <c r="J8" t="s">
        <v>199</v>
      </c>
    </row>
    <row r="9" spans="1:142">
      <c r="A9" t="s">
        <v>507</v>
      </c>
      <c r="F9" s="419"/>
      <c r="G9" s="419"/>
    </row>
    <row r="10" spans="1:142">
      <c r="A10" t="s">
        <v>414</v>
      </c>
      <c r="B10">
        <v>2</v>
      </c>
      <c r="F10" t="s">
        <v>199</v>
      </c>
      <c r="H10" s="156" t="s">
        <v>199</v>
      </c>
    </row>
    <row r="11" spans="1:142">
      <c r="A11" t="s">
        <v>415</v>
      </c>
      <c r="B11">
        <v>22</v>
      </c>
      <c r="I11" s="156" t="s">
        <v>199</v>
      </c>
      <c r="J11" s="156" t="s">
        <v>199</v>
      </c>
      <c r="K11" s="156" t="s">
        <v>199</v>
      </c>
      <c r="L11" s="156" t="s">
        <v>199</v>
      </c>
      <c r="M11" s="156"/>
    </row>
    <row r="12" spans="1:142">
      <c r="A12" t="s">
        <v>375</v>
      </c>
      <c r="K12" s="417" t="s">
        <v>199</v>
      </c>
      <c r="L12" s="417" t="s">
        <v>199</v>
      </c>
      <c r="M12" s="417"/>
      <c r="N12" s="417" t="s">
        <v>199</v>
      </c>
      <c r="O12" s="417" t="s">
        <v>199</v>
      </c>
    </row>
    <row r="13" spans="1:142">
      <c r="A13" t="s">
        <v>506</v>
      </c>
      <c r="I13" s="418"/>
      <c r="J13" s="418"/>
      <c r="K13" s="420"/>
      <c r="L13" s="418"/>
      <c r="M13" s="418"/>
      <c r="N13" s="420"/>
    </row>
    <row r="14" spans="1:142">
      <c r="A14" t="s">
        <v>508</v>
      </c>
      <c r="K14" s="420"/>
      <c r="N14" s="420"/>
    </row>
    <row r="15" spans="1:142">
      <c r="A15" t="s">
        <v>509</v>
      </c>
      <c r="K15" s="420"/>
      <c r="N15" s="420"/>
    </row>
    <row r="16" spans="1:142">
      <c r="A16" t="s">
        <v>376</v>
      </c>
      <c r="O16" s="157" t="s">
        <v>199</v>
      </c>
      <c r="P16" s="156" t="s">
        <v>199</v>
      </c>
      <c r="Q16" s="156" t="s">
        <v>199</v>
      </c>
      <c r="R16" s="156" t="s">
        <v>199</v>
      </c>
      <c r="S16" s="157" t="s">
        <v>199</v>
      </c>
    </row>
    <row r="17" spans="1:31">
      <c r="A17" t="s">
        <v>377</v>
      </c>
      <c r="R17" s="421"/>
      <c r="S17" s="421"/>
    </row>
    <row r="19" spans="1:31">
      <c r="A19" t="s">
        <v>510</v>
      </c>
      <c r="N19" s="422"/>
    </row>
    <row r="20" spans="1:31">
      <c r="A20" t="s">
        <v>511</v>
      </c>
      <c r="O20" s="150"/>
      <c r="P20" s="150"/>
      <c r="Q20" s="150"/>
      <c r="R20" s="423"/>
      <c r="S20" s="150"/>
      <c r="T20" s="150"/>
      <c r="U20" s="150"/>
    </row>
    <row r="21" spans="1:31">
      <c r="A21" t="s">
        <v>513</v>
      </c>
      <c r="R21" s="423"/>
    </row>
    <row r="22" spans="1:31">
      <c r="A22" t="s">
        <v>512</v>
      </c>
      <c r="Q22" s="424"/>
      <c r="R22" s="424"/>
      <c r="S22" s="424"/>
      <c r="T22" s="424"/>
      <c r="U22" s="424"/>
      <c r="V22" s="424"/>
      <c r="W22" s="424"/>
      <c r="X22" s="424"/>
    </row>
    <row r="23" spans="1:31">
      <c r="A23" t="s">
        <v>513</v>
      </c>
      <c r="T23" s="425"/>
      <c r="X23" s="425"/>
    </row>
    <row r="24" spans="1:31">
      <c r="T24" s="425"/>
      <c r="X24" s="425"/>
    </row>
    <row r="25" spans="1:31">
      <c r="A25" s="27" t="s">
        <v>239</v>
      </c>
    </row>
    <row r="26" spans="1:31">
      <c r="A26" s="20" t="s">
        <v>324</v>
      </c>
      <c r="B26" s="20"/>
      <c r="C26" s="20"/>
      <c r="S26" s="158" t="s">
        <v>199</v>
      </c>
      <c r="T26" s="159"/>
      <c r="U26" s="159"/>
      <c r="V26" s="159"/>
    </row>
    <row r="27" spans="1:31">
      <c r="A27" s="20" t="s">
        <v>322</v>
      </c>
      <c r="B27" s="20"/>
      <c r="C27" s="20"/>
      <c r="V27" s="159"/>
    </row>
    <row r="28" spans="1:31">
      <c r="A28" s="20" t="s">
        <v>326</v>
      </c>
      <c r="B28" s="20"/>
      <c r="C28" s="20"/>
      <c r="W28" s="427"/>
      <c r="X28" s="151"/>
      <c r="Y28" s="151"/>
      <c r="Z28" s="151"/>
      <c r="AA28" s="151"/>
      <c r="AB28" s="151"/>
      <c r="AC28" s="151"/>
      <c r="AD28" s="151"/>
      <c r="AE28" s="151"/>
    </row>
    <row r="29" spans="1:31">
      <c r="A29" s="20" t="s">
        <v>335</v>
      </c>
      <c r="B29" s="20"/>
      <c r="C29" s="20"/>
      <c r="W29" s="427"/>
      <c r="X29" s="151"/>
      <c r="Y29" s="151"/>
      <c r="Z29" s="151"/>
      <c r="AA29" s="151"/>
      <c r="AB29" s="151"/>
      <c r="AC29" s="151"/>
      <c r="AD29" s="151"/>
      <c r="AE29" s="151"/>
    </row>
    <row r="30" spans="1:31">
      <c r="A30" s="20" t="s">
        <v>333</v>
      </c>
      <c r="B30" s="20"/>
      <c r="C30" s="20"/>
      <c r="W30" s="427"/>
      <c r="X30" s="151"/>
      <c r="Y30" s="151"/>
      <c r="Z30" s="151"/>
      <c r="AA30" s="151"/>
      <c r="AB30" s="151"/>
      <c r="AC30" s="151"/>
      <c r="AD30" s="151"/>
      <c r="AE30" s="151"/>
    </row>
    <row r="31" spans="1:31">
      <c r="A31" s="20" t="s">
        <v>334</v>
      </c>
      <c r="B31" s="20"/>
      <c r="C31" s="20"/>
      <c r="W31" s="427"/>
      <c r="X31" s="151"/>
      <c r="Y31" s="151"/>
      <c r="Z31" s="151"/>
      <c r="AA31" s="151"/>
      <c r="AB31" s="151"/>
      <c r="AC31" s="151"/>
      <c r="AD31" s="151"/>
      <c r="AE31" s="151"/>
    </row>
    <row r="32" spans="1:31">
      <c r="A32" s="20" t="s">
        <v>327</v>
      </c>
      <c r="B32" s="20"/>
      <c r="C32" s="20"/>
      <c r="W32" s="427"/>
      <c r="X32" s="151"/>
      <c r="Y32" s="151"/>
      <c r="Z32" s="151"/>
      <c r="AA32" s="151"/>
      <c r="AB32" s="151"/>
      <c r="AC32" s="151"/>
      <c r="AD32" s="151"/>
      <c r="AE32" s="151"/>
    </row>
    <row r="33" spans="1:32">
      <c r="A33" s="20" t="s">
        <v>328</v>
      </c>
      <c r="B33" s="20"/>
      <c r="C33" s="20"/>
      <c r="W33" s="427"/>
      <c r="X33" s="151"/>
      <c r="Y33" s="151"/>
      <c r="Z33" s="151"/>
      <c r="AA33" s="151"/>
      <c r="AB33" s="151"/>
      <c r="AC33" s="151"/>
      <c r="AD33" s="151"/>
      <c r="AE33" s="151"/>
    </row>
    <row r="34" spans="1:32">
      <c r="A34" s="20" t="s">
        <v>329</v>
      </c>
      <c r="B34" s="20"/>
      <c r="C34" s="20"/>
      <c r="W34" s="427"/>
      <c r="X34" s="151"/>
      <c r="Y34" s="151"/>
      <c r="Z34" s="151"/>
      <c r="AA34" s="151"/>
      <c r="AB34" s="151"/>
      <c r="AC34" s="151"/>
      <c r="AD34" s="151"/>
      <c r="AE34" s="151"/>
    </row>
    <row r="35" spans="1:32">
      <c r="A35" s="20" t="s">
        <v>332</v>
      </c>
      <c r="B35" s="20"/>
      <c r="C35" s="20"/>
      <c r="W35" s="427"/>
      <c r="X35" s="151"/>
      <c r="Y35" s="151"/>
      <c r="Z35" s="151"/>
      <c r="AA35" s="151"/>
      <c r="AB35" s="151"/>
      <c r="AC35" s="151"/>
      <c r="AD35" s="151"/>
      <c r="AE35" s="151"/>
    </row>
    <row r="36" spans="1:32">
      <c r="A36" s="20" t="s">
        <v>330</v>
      </c>
      <c r="B36" s="20"/>
      <c r="C36" s="20"/>
      <c r="Y36" s="146"/>
      <c r="Z36" s="146"/>
      <c r="AA36" s="146"/>
      <c r="AB36" s="146"/>
      <c r="AC36" s="146"/>
      <c r="AD36" s="146"/>
      <c r="AE36" s="146"/>
    </row>
    <row r="37" spans="1:32">
      <c r="A37" s="20" t="s">
        <v>356</v>
      </c>
      <c r="B37" s="20"/>
      <c r="C37" s="20"/>
      <c r="AD37" s="146"/>
      <c r="AE37" s="146"/>
      <c r="AF37" s="146"/>
    </row>
    <row r="38" spans="1:32">
      <c r="A38" s="20" t="s">
        <v>323</v>
      </c>
      <c r="B38" s="20"/>
      <c r="C38" s="20"/>
    </row>
    <row r="39" spans="1:32">
      <c r="A39" s="20" t="s">
        <v>325</v>
      </c>
      <c r="B39" s="20"/>
      <c r="C39" s="20"/>
    </row>
    <row r="40" spans="1:32">
      <c r="A40" s="20" t="s">
        <v>251</v>
      </c>
      <c r="B40" s="20"/>
      <c r="C40" s="20"/>
    </row>
    <row r="41" spans="1:32">
      <c r="A41" s="20"/>
      <c r="B41" s="20"/>
      <c r="C41" s="20"/>
    </row>
    <row r="42" spans="1:32">
      <c r="A42" s="27" t="s">
        <v>346</v>
      </c>
      <c r="B42" s="20"/>
      <c r="C42" s="20"/>
    </row>
    <row r="43" spans="1:32">
      <c r="A43" s="20" t="s">
        <v>410</v>
      </c>
    </row>
    <row r="44" spans="1:32">
      <c r="A44" s="20" t="s">
        <v>244</v>
      </c>
    </row>
    <row r="45" spans="1:32">
      <c r="A45" s="20" t="s">
        <v>318</v>
      </c>
    </row>
    <row r="46" spans="1:32">
      <c r="A46" s="20" t="s">
        <v>235</v>
      </c>
    </row>
    <row r="47" spans="1:32">
      <c r="A47" s="143" t="s">
        <v>514</v>
      </c>
    </row>
    <row r="48" spans="1:32">
      <c r="A48" s="20" t="s">
        <v>358</v>
      </c>
    </row>
    <row r="49" spans="1:65">
      <c r="A49" s="20" t="s">
        <v>515</v>
      </c>
    </row>
    <row r="50" spans="1:65">
      <c r="A50" s="20" t="s">
        <v>298</v>
      </c>
    </row>
    <row r="51" spans="1:65">
      <c r="A51" s="20" t="s">
        <v>242</v>
      </c>
    </row>
    <row r="53" spans="1:65">
      <c r="A53" s="153" t="s">
        <v>383</v>
      </c>
    </row>
    <row r="54" spans="1:65">
      <c r="A54" t="s">
        <v>387</v>
      </c>
      <c r="B54">
        <f>6*22</f>
        <v>132</v>
      </c>
      <c r="C54" t="s">
        <v>408</v>
      </c>
      <c r="V54" s="145">
        <v>3</v>
      </c>
      <c r="W54" s="145">
        <v>5</v>
      </c>
      <c r="X54" s="145">
        <v>5</v>
      </c>
      <c r="Y54" s="145">
        <v>5</v>
      </c>
      <c r="Z54" s="145">
        <v>5</v>
      </c>
      <c r="AA54" s="145">
        <v>5</v>
      </c>
      <c r="AB54" s="145">
        <v>5</v>
      </c>
      <c r="AC54" s="145">
        <v>5</v>
      </c>
      <c r="AD54" s="145">
        <v>5</v>
      </c>
      <c r="AE54" s="145">
        <v>5</v>
      </c>
      <c r="AF54" s="145">
        <v>5</v>
      </c>
      <c r="AG54" s="145">
        <v>5</v>
      </c>
      <c r="AH54" s="145">
        <v>5</v>
      </c>
      <c r="AI54" s="145">
        <v>5</v>
      </c>
      <c r="AJ54" s="145">
        <v>5</v>
      </c>
      <c r="AK54" s="145">
        <v>5</v>
      </c>
      <c r="AL54" s="145">
        <v>5</v>
      </c>
      <c r="AM54" s="145">
        <v>5</v>
      </c>
      <c r="AN54" s="145">
        <v>5</v>
      </c>
      <c r="AO54" s="145">
        <v>5</v>
      </c>
      <c r="AP54" s="145">
        <v>5</v>
      </c>
      <c r="AQ54" s="145">
        <v>5</v>
      </c>
      <c r="AR54" s="145">
        <v>5</v>
      </c>
      <c r="AS54" s="145">
        <v>5</v>
      </c>
      <c r="AT54" s="145">
        <v>5</v>
      </c>
      <c r="AU54" s="145">
        <v>5</v>
      </c>
      <c r="AV54" s="145">
        <v>4</v>
      </c>
      <c r="AW54" s="145"/>
      <c r="AX54" s="145"/>
    </row>
    <row r="55" spans="1:65">
      <c r="A55" t="s">
        <v>388</v>
      </c>
      <c r="B55">
        <f>5*22</f>
        <v>110</v>
      </c>
      <c r="C55" t="s">
        <v>408</v>
      </c>
      <c r="Z55" s="145">
        <v>5</v>
      </c>
      <c r="AA55" s="145">
        <v>5</v>
      </c>
      <c r="AB55" s="145">
        <v>5</v>
      </c>
      <c r="AC55" s="145">
        <v>5</v>
      </c>
      <c r="AD55" s="145">
        <v>5</v>
      </c>
      <c r="AE55" s="145">
        <v>5</v>
      </c>
      <c r="AF55" s="145">
        <v>5</v>
      </c>
      <c r="AG55" s="145">
        <v>5</v>
      </c>
      <c r="AH55" s="145">
        <v>5</v>
      </c>
      <c r="AI55" s="145">
        <v>5</v>
      </c>
      <c r="AJ55" s="145">
        <v>5</v>
      </c>
      <c r="AK55" s="145">
        <v>5</v>
      </c>
      <c r="AL55" s="145">
        <v>5</v>
      </c>
      <c r="AM55" s="145">
        <v>5</v>
      </c>
      <c r="AN55" s="145">
        <v>5</v>
      </c>
      <c r="AO55" s="145">
        <v>5</v>
      </c>
      <c r="AP55" s="145">
        <v>5</v>
      </c>
      <c r="AQ55" s="145">
        <v>5</v>
      </c>
      <c r="AR55" s="145">
        <v>5</v>
      </c>
      <c r="AS55" s="145">
        <v>5</v>
      </c>
      <c r="AT55" s="145">
        <v>5</v>
      </c>
      <c r="AU55" s="145">
        <v>5</v>
      </c>
      <c r="AV55" s="145"/>
      <c r="AW55" s="145"/>
      <c r="AX55" s="145"/>
      <c r="AY55" s="145"/>
    </row>
    <row r="56" spans="1:65">
      <c r="A56" t="s">
        <v>389</v>
      </c>
      <c r="B56">
        <f t="shared" ref="B56:B61" si="4">5*22</f>
        <v>110</v>
      </c>
      <c r="C56" t="s">
        <v>408</v>
      </c>
      <c r="AB56" s="145"/>
      <c r="AC56" s="145">
        <v>5</v>
      </c>
      <c r="AD56" s="145">
        <v>5</v>
      </c>
      <c r="AE56" s="145">
        <v>5</v>
      </c>
      <c r="AF56" s="145">
        <v>5</v>
      </c>
      <c r="AG56" s="145">
        <v>5</v>
      </c>
      <c r="AH56" s="145">
        <v>5</v>
      </c>
      <c r="AI56" s="145">
        <v>5</v>
      </c>
      <c r="AJ56" s="145">
        <v>5</v>
      </c>
      <c r="AK56" s="145">
        <v>5</v>
      </c>
      <c r="AL56" s="145">
        <v>5</v>
      </c>
      <c r="AM56" s="145">
        <v>5</v>
      </c>
      <c r="AN56" s="145">
        <v>5</v>
      </c>
      <c r="AO56" s="145">
        <v>5</v>
      </c>
      <c r="AP56" s="145">
        <v>5</v>
      </c>
      <c r="AQ56" s="145">
        <v>5</v>
      </c>
      <c r="AR56" s="145">
        <v>5</v>
      </c>
      <c r="AS56" s="145">
        <v>5</v>
      </c>
      <c r="AT56" s="145">
        <v>5</v>
      </c>
      <c r="AU56" s="145">
        <v>5</v>
      </c>
      <c r="AV56" s="145">
        <v>5</v>
      </c>
      <c r="AW56" s="145">
        <v>5</v>
      </c>
      <c r="AX56" s="145">
        <v>5</v>
      </c>
    </row>
    <row r="57" spans="1:65">
      <c r="A57" t="s">
        <v>390</v>
      </c>
      <c r="B57">
        <f t="shared" si="4"/>
        <v>110</v>
      </c>
      <c r="C57" t="s">
        <v>408</v>
      </c>
      <c r="AF57" s="145">
        <v>5</v>
      </c>
      <c r="AG57" s="145">
        <v>5</v>
      </c>
      <c r="AH57" s="145">
        <v>5</v>
      </c>
      <c r="AI57" s="145">
        <v>5</v>
      </c>
      <c r="AJ57" s="145">
        <v>5</v>
      </c>
      <c r="AK57" s="145">
        <v>5</v>
      </c>
      <c r="AL57" s="145">
        <v>5</v>
      </c>
      <c r="AM57" s="145">
        <v>5</v>
      </c>
      <c r="AN57" s="145">
        <v>5</v>
      </c>
      <c r="AO57" s="145">
        <v>5</v>
      </c>
      <c r="AP57" s="145">
        <v>5</v>
      </c>
      <c r="AQ57" s="145">
        <v>5</v>
      </c>
      <c r="AR57" s="145">
        <v>5</v>
      </c>
      <c r="AS57" s="145">
        <v>5</v>
      </c>
      <c r="AT57" s="145">
        <v>5</v>
      </c>
      <c r="AU57" s="145">
        <v>5</v>
      </c>
      <c r="AV57" s="145">
        <v>5</v>
      </c>
      <c r="AW57" s="145">
        <v>5</v>
      </c>
      <c r="AX57" s="145">
        <v>5</v>
      </c>
      <c r="AY57" s="145">
        <v>5</v>
      </c>
      <c r="AZ57" s="145">
        <v>5</v>
      </c>
      <c r="BA57" s="145">
        <v>5</v>
      </c>
    </row>
    <row r="58" spans="1:65">
      <c r="A58" t="s">
        <v>391</v>
      </c>
      <c r="B58">
        <f t="shared" si="4"/>
        <v>110</v>
      </c>
      <c r="C58" t="s">
        <v>408</v>
      </c>
      <c r="AH58" s="145"/>
      <c r="AI58" s="145">
        <v>5</v>
      </c>
      <c r="AJ58" s="145">
        <v>5</v>
      </c>
      <c r="AK58" s="145">
        <v>5</v>
      </c>
      <c r="AL58" s="145">
        <v>5</v>
      </c>
      <c r="AM58" s="145">
        <v>5</v>
      </c>
      <c r="AN58" s="145">
        <v>5</v>
      </c>
      <c r="AO58" s="145">
        <v>5</v>
      </c>
      <c r="AP58" s="145">
        <v>5</v>
      </c>
      <c r="AQ58" s="145">
        <v>5</v>
      </c>
      <c r="AR58" s="145">
        <v>5</v>
      </c>
      <c r="AS58" s="145">
        <v>5</v>
      </c>
      <c r="AT58" s="145">
        <v>5</v>
      </c>
      <c r="AU58" s="145">
        <v>5</v>
      </c>
      <c r="AV58" s="145">
        <v>5</v>
      </c>
      <c r="AW58" s="145">
        <v>5</v>
      </c>
      <c r="AX58" s="145">
        <v>5</v>
      </c>
      <c r="AY58" s="145">
        <v>5</v>
      </c>
      <c r="AZ58" s="145">
        <v>5</v>
      </c>
      <c r="BA58" s="145">
        <v>5</v>
      </c>
      <c r="BB58" s="145">
        <v>5</v>
      </c>
      <c r="BC58" s="145">
        <v>5</v>
      </c>
      <c r="BD58" s="145">
        <v>5</v>
      </c>
    </row>
    <row r="59" spans="1:65">
      <c r="A59" t="s">
        <v>392</v>
      </c>
      <c r="B59">
        <f t="shared" si="4"/>
        <v>110</v>
      </c>
      <c r="C59" t="s">
        <v>408</v>
      </c>
      <c r="AK59" s="145"/>
      <c r="AL59" s="145">
        <v>5</v>
      </c>
      <c r="AM59" s="145">
        <v>5</v>
      </c>
      <c r="AN59" s="145">
        <v>5</v>
      </c>
      <c r="AO59" s="145">
        <v>5</v>
      </c>
      <c r="AP59" s="145">
        <v>5</v>
      </c>
      <c r="AQ59" s="145">
        <v>5</v>
      </c>
      <c r="AR59" s="145">
        <v>5</v>
      </c>
      <c r="AS59" s="145">
        <v>5</v>
      </c>
      <c r="AT59" s="145">
        <v>5</v>
      </c>
      <c r="AU59" s="145">
        <v>5</v>
      </c>
      <c r="AV59" s="145">
        <v>5</v>
      </c>
      <c r="AW59" s="145">
        <v>5</v>
      </c>
      <c r="AX59" s="145">
        <v>5</v>
      </c>
      <c r="AY59" s="145">
        <v>5</v>
      </c>
      <c r="AZ59" s="145">
        <v>5</v>
      </c>
      <c r="BA59" s="145">
        <v>5</v>
      </c>
      <c r="BB59" s="145">
        <v>5</v>
      </c>
      <c r="BC59" s="145">
        <v>5</v>
      </c>
      <c r="BD59" s="145">
        <v>5</v>
      </c>
      <c r="BE59" s="145">
        <v>5</v>
      </c>
      <c r="BF59" s="145">
        <v>5</v>
      </c>
      <c r="BG59" s="145">
        <v>5</v>
      </c>
    </row>
    <row r="60" spans="1:65">
      <c r="A60" t="s">
        <v>393</v>
      </c>
      <c r="B60">
        <f t="shared" si="4"/>
        <v>110</v>
      </c>
      <c r="C60" t="s">
        <v>408</v>
      </c>
      <c r="AM60" s="145"/>
      <c r="AN60" s="145"/>
      <c r="AO60" s="145">
        <v>5</v>
      </c>
      <c r="AP60" s="145">
        <v>5</v>
      </c>
      <c r="AQ60" s="145">
        <v>5</v>
      </c>
      <c r="AR60" s="145">
        <v>5</v>
      </c>
      <c r="AS60" s="145">
        <v>5</v>
      </c>
      <c r="AT60" s="145">
        <v>5</v>
      </c>
      <c r="AU60" s="145">
        <v>5</v>
      </c>
      <c r="AV60" s="145">
        <v>5</v>
      </c>
      <c r="AW60" s="145">
        <v>5</v>
      </c>
      <c r="AX60" s="145">
        <v>5</v>
      </c>
      <c r="AY60" s="145">
        <v>5</v>
      </c>
      <c r="AZ60" s="145">
        <v>5</v>
      </c>
      <c r="BA60" s="145">
        <v>5</v>
      </c>
      <c r="BB60" s="145">
        <v>5</v>
      </c>
      <c r="BC60" s="145">
        <v>5</v>
      </c>
      <c r="BD60" s="145">
        <v>5</v>
      </c>
      <c r="BE60" s="145">
        <v>5</v>
      </c>
      <c r="BF60" s="145">
        <v>5</v>
      </c>
      <c r="BG60" s="145">
        <v>5</v>
      </c>
      <c r="BH60" s="145">
        <v>5</v>
      </c>
      <c r="BI60" s="145">
        <v>5</v>
      </c>
      <c r="BJ60" s="145">
        <v>5</v>
      </c>
    </row>
    <row r="61" spans="1:65">
      <c r="A61" t="s">
        <v>394</v>
      </c>
      <c r="B61">
        <f t="shared" si="4"/>
        <v>110</v>
      </c>
      <c r="C61" t="s">
        <v>408</v>
      </c>
      <c r="AQ61" s="145"/>
      <c r="AR61" s="145">
        <v>5</v>
      </c>
      <c r="AS61" s="145">
        <v>5</v>
      </c>
      <c r="AT61" s="145">
        <v>5</v>
      </c>
      <c r="AU61" s="145">
        <v>5</v>
      </c>
      <c r="AV61" s="145">
        <v>5</v>
      </c>
      <c r="AW61" s="145">
        <v>5</v>
      </c>
      <c r="AX61" s="145">
        <v>5</v>
      </c>
      <c r="AY61" s="145">
        <v>5</v>
      </c>
      <c r="AZ61" s="145">
        <v>5</v>
      </c>
      <c r="BA61" s="145">
        <v>5</v>
      </c>
      <c r="BB61" s="145">
        <v>5</v>
      </c>
      <c r="BC61" s="145">
        <v>5</v>
      </c>
      <c r="BD61" s="145">
        <v>5</v>
      </c>
      <c r="BE61" s="145">
        <v>5</v>
      </c>
      <c r="BF61" s="145">
        <v>5</v>
      </c>
      <c r="BG61" s="145">
        <v>5</v>
      </c>
      <c r="BH61" s="145">
        <v>5</v>
      </c>
      <c r="BI61" s="145">
        <v>5</v>
      </c>
      <c r="BJ61" s="145">
        <v>5</v>
      </c>
      <c r="BK61" s="145">
        <v>5</v>
      </c>
      <c r="BL61" s="145">
        <v>5</v>
      </c>
      <c r="BM61" s="145">
        <v>5</v>
      </c>
    </row>
    <row r="63" spans="1:65">
      <c r="A63" s="94" t="s">
        <v>395</v>
      </c>
    </row>
    <row r="64" spans="1:65">
      <c r="A64" t="s">
        <v>384</v>
      </c>
      <c r="B64">
        <v>17</v>
      </c>
      <c r="C64" t="s">
        <v>399</v>
      </c>
      <c r="AA64" s="144"/>
      <c r="AC64" s="147">
        <v>17</v>
      </c>
      <c r="AS64" s="159"/>
      <c r="AT64" s="429"/>
      <c r="AU64" s="429"/>
      <c r="AV64" s="429"/>
      <c r="AW64" s="429"/>
      <c r="AX64" s="429"/>
      <c r="AY64" s="429"/>
      <c r="AZ64" s="429"/>
      <c r="BA64" s="429"/>
      <c r="BB64" s="429"/>
      <c r="BC64" s="429"/>
      <c r="BD64" s="429"/>
      <c r="BE64" s="429"/>
      <c r="BF64" s="429"/>
      <c r="BG64" s="429"/>
      <c r="BH64" s="429"/>
      <c r="BI64" s="431"/>
    </row>
    <row r="65" spans="1:79">
      <c r="A65" t="s">
        <v>378</v>
      </c>
      <c r="B65">
        <v>17</v>
      </c>
      <c r="C65" t="s">
        <v>399</v>
      </c>
      <c r="AA65" s="144"/>
      <c r="AC65" s="147">
        <v>17</v>
      </c>
      <c r="AS65" s="159"/>
      <c r="AT65" s="429"/>
      <c r="AU65" s="429"/>
      <c r="AV65" s="429"/>
      <c r="AW65" s="429"/>
      <c r="AX65" s="429"/>
      <c r="AY65" s="429"/>
      <c r="AZ65" s="429"/>
      <c r="BA65" s="429"/>
      <c r="BB65" s="429"/>
      <c r="BC65" s="429"/>
      <c r="BD65" s="429"/>
      <c r="BE65" s="429"/>
      <c r="BF65" s="429"/>
      <c r="BG65" s="429"/>
      <c r="BH65" s="429"/>
      <c r="BI65" s="431"/>
    </row>
    <row r="66" spans="1:79">
      <c r="A66" t="s">
        <v>379</v>
      </c>
      <c r="B66">
        <v>17</v>
      </c>
      <c r="C66" t="s">
        <v>399</v>
      </c>
      <c r="AB66" s="144"/>
      <c r="AG66" s="146">
        <v>17</v>
      </c>
      <c r="AH66" s="146"/>
      <c r="AU66" s="159"/>
      <c r="AV66" s="429"/>
      <c r="AW66" s="429"/>
      <c r="AX66" s="429"/>
      <c r="AY66" s="429"/>
      <c r="AZ66" s="429"/>
      <c r="BA66" s="429"/>
      <c r="BB66" s="429"/>
      <c r="BC66" s="429"/>
      <c r="BD66" s="429"/>
      <c r="BE66" s="429"/>
      <c r="BF66" s="429"/>
      <c r="BG66" s="429"/>
      <c r="BH66" s="429"/>
      <c r="BI66" s="429"/>
      <c r="BJ66" s="431"/>
    </row>
    <row r="67" spans="1:79">
      <c r="A67" t="s">
        <v>380</v>
      </c>
      <c r="B67">
        <v>17</v>
      </c>
      <c r="C67" t="s">
        <v>399</v>
      </c>
      <c r="AB67" s="144"/>
      <c r="AG67" s="146">
        <v>17</v>
      </c>
      <c r="AH67" s="146"/>
      <c r="AX67" s="159"/>
      <c r="AY67" s="429"/>
      <c r="AZ67" s="429"/>
      <c r="BA67" s="429"/>
      <c r="BB67" s="429"/>
      <c r="BC67" s="429"/>
      <c r="BD67" s="429"/>
      <c r="BE67" s="429"/>
      <c r="BF67" s="429"/>
      <c r="BG67" s="429"/>
      <c r="BH67" s="429"/>
      <c r="BI67" s="429"/>
      <c r="BJ67" s="429"/>
      <c r="BK67" s="429"/>
      <c r="BL67" s="429"/>
      <c r="BM67" s="431"/>
    </row>
    <row r="68" spans="1:79">
      <c r="A68" t="s">
        <v>381</v>
      </c>
      <c r="B68">
        <v>17</v>
      </c>
      <c r="C68" t="s">
        <v>399</v>
      </c>
      <c r="AC68" s="144"/>
      <c r="AG68" s="146">
        <v>17</v>
      </c>
      <c r="AH68" s="146"/>
      <c r="BA68" s="159"/>
      <c r="BB68" s="429"/>
      <c r="BC68" s="429"/>
      <c r="BD68" s="429"/>
      <c r="BE68" s="429"/>
      <c r="BF68" s="429"/>
      <c r="BG68" s="429"/>
      <c r="BH68" s="429"/>
      <c r="BI68" s="429"/>
      <c r="BJ68" s="429"/>
      <c r="BK68" s="429"/>
      <c r="BL68" s="429"/>
      <c r="BM68" s="429"/>
      <c r="BN68" s="429"/>
      <c r="BO68" s="429"/>
      <c r="BP68" s="431"/>
    </row>
    <row r="69" spans="1:79">
      <c r="A69" t="s">
        <v>382</v>
      </c>
      <c r="B69">
        <v>16</v>
      </c>
      <c r="C69" t="s">
        <v>399</v>
      </c>
      <c r="AD69" s="144"/>
      <c r="AG69" s="146">
        <v>17</v>
      </c>
      <c r="AH69" s="146"/>
      <c r="BD69" s="159"/>
      <c r="BE69" s="429"/>
      <c r="BF69" s="429"/>
      <c r="BG69" s="429"/>
      <c r="BH69" s="429"/>
      <c r="BI69" s="429"/>
      <c r="BJ69" s="429"/>
      <c r="BK69" s="429"/>
      <c r="BL69" s="429"/>
      <c r="BM69" s="429"/>
      <c r="BN69" s="429"/>
      <c r="BO69" s="429"/>
      <c r="BP69" s="429"/>
      <c r="BQ69" s="429"/>
      <c r="BR69" s="429"/>
      <c r="BS69" s="431"/>
    </row>
    <row r="70" spans="1:79">
      <c r="A70" t="s">
        <v>385</v>
      </c>
      <c r="B70">
        <v>16</v>
      </c>
      <c r="C70" t="s">
        <v>399</v>
      </c>
      <c r="AE70" s="144"/>
      <c r="AG70" s="146">
        <v>17</v>
      </c>
      <c r="AH70" s="146"/>
      <c r="BG70" s="159"/>
      <c r="BH70" s="429"/>
      <c r="BI70" s="429"/>
      <c r="BJ70" s="429"/>
      <c r="BK70" s="429"/>
      <c r="BL70" s="429"/>
      <c r="BM70" s="429"/>
      <c r="BN70" s="429"/>
      <c r="BO70" s="429"/>
      <c r="BP70" s="429"/>
      <c r="BQ70" s="429"/>
      <c r="BR70" s="429"/>
      <c r="BS70" s="429"/>
      <c r="BT70" s="429"/>
      <c r="BU70" s="429"/>
      <c r="BV70" s="431"/>
    </row>
    <row r="71" spans="1:79">
      <c r="A71" t="s">
        <v>386</v>
      </c>
      <c r="B71">
        <v>16</v>
      </c>
      <c r="C71" t="s">
        <v>399</v>
      </c>
      <c r="AE71" s="144"/>
      <c r="AG71" s="146">
        <v>17</v>
      </c>
      <c r="AH71" s="146"/>
      <c r="BJ71" s="159"/>
      <c r="BK71" s="429"/>
      <c r="BL71" s="429"/>
      <c r="BM71" s="429"/>
      <c r="BN71" s="429"/>
      <c r="BO71" s="429"/>
      <c r="BP71" s="429"/>
      <c r="BQ71" s="429"/>
      <c r="BR71" s="429"/>
      <c r="BS71" s="429"/>
      <c r="BT71" s="429"/>
      <c r="BU71" s="429"/>
      <c r="BV71" s="429"/>
      <c r="BW71" s="429"/>
      <c r="BX71" s="429"/>
      <c r="BY71" s="431"/>
      <c r="BZ71" s="431"/>
      <c r="CA71" s="431"/>
    </row>
    <row r="72" spans="1:79">
      <c r="B72">
        <f>SUM(B64:B71)</f>
        <v>133</v>
      </c>
      <c r="C72" t="s">
        <v>399</v>
      </c>
    </row>
    <row r="73" spans="1:79">
      <c r="A73" t="s">
        <v>396</v>
      </c>
      <c r="AT73" s="148"/>
    </row>
    <row r="74" spans="1:79">
      <c r="A74" t="s">
        <v>398</v>
      </c>
      <c r="AR74" s="149"/>
      <c r="AS74" s="149"/>
    </row>
    <row r="75" spans="1:79">
      <c r="A75" t="s">
        <v>397</v>
      </c>
      <c r="AT75" s="150"/>
    </row>
  </sheetData>
  <printOptions horizontalCentered="1" gridLines="1"/>
  <pageMargins left="0.25" right="0.25" top="1" bottom="1" header="0.5" footer="0.5"/>
  <pageSetup scale="47" fitToWidth="4" pageOrder="overThenDown" orientation="landscape" horizontalDpi="4294967292" verticalDpi="300" r:id="rId1"/>
  <headerFooter alignWithMargins="0">
    <oddFooter>&amp;L&amp;8 &amp;F
 &amp;A&amp;C&amp;8 &amp;R&amp;8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O164"/>
  <sheetViews>
    <sheetView topLeftCell="L1" workbookViewId="0">
      <pane xSplit="4650" ySplit="1110" topLeftCell="M1" activePane="bottomRight"/>
      <selection activeCell="L2" sqref="L2"/>
      <selection pane="topRight" activeCell="Q8" sqref="Q8"/>
      <selection pane="bottomLeft" activeCell="A37" sqref="A37"/>
      <selection pane="bottomRight" activeCell="Z9" sqref="Z9"/>
    </sheetView>
  </sheetViews>
  <sheetFormatPr defaultColWidth="7.6640625" defaultRowHeight="12"/>
  <cols>
    <col min="1" max="1" width="8.6640625" style="52" customWidth="1"/>
    <col min="2" max="2" width="25" style="36" customWidth="1"/>
    <col min="3" max="3" width="6" style="36" hidden="1" customWidth="1"/>
    <col min="4" max="4" width="5.6640625" style="36" hidden="1" customWidth="1"/>
    <col min="5" max="11" width="7.6640625" style="36" hidden="1" customWidth="1"/>
    <col min="12" max="12" width="11.6640625" style="36" customWidth="1"/>
    <col min="13" max="14" width="10" style="36" customWidth="1"/>
    <col min="15" max="15" width="1.1640625" style="36" customWidth="1"/>
    <col min="16" max="16" width="12" style="36" customWidth="1"/>
    <col min="17" max="17" width="11" style="36" customWidth="1"/>
    <col min="18" max="18" width="12.6640625" style="36" customWidth="1"/>
    <col min="19" max="19" width="1.1640625" style="36" customWidth="1"/>
    <col min="20" max="20" width="13.6640625" style="36" customWidth="1"/>
    <col min="21" max="22" width="11.6640625" style="36" customWidth="1"/>
    <col min="23" max="23" width="1.1640625" style="36" customWidth="1"/>
    <col min="24" max="26" width="11.6640625" style="36" customWidth="1"/>
    <col min="27" max="27" width="1.1640625" style="36" customWidth="1"/>
    <col min="28" max="28" width="12" style="36" customWidth="1"/>
    <col min="29" max="29" width="8.6640625" style="36" customWidth="1"/>
    <col min="30" max="30" width="7.6640625" style="36" customWidth="1"/>
    <col min="31" max="31" width="1.1640625" style="36" customWidth="1"/>
    <col min="32" max="32" width="11.6640625" style="36" customWidth="1"/>
    <col min="33" max="33" width="3.6640625" style="36" customWidth="1"/>
    <col min="34" max="34" width="24" style="36" customWidth="1"/>
    <col min="35" max="35" width="7.83203125" style="36" customWidth="1"/>
    <col min="36" max="36" width="13.83203125" style="36" customWidth="1"/>
    <col min="37" max="38" width="9.6640625" style="36" customWidth="1"/>
    <col min="39" max="39" width="7.6640625" style="36" customWidth="1"/>
    <col min="40" max="40" width="11.6640625" style="36" customWidth="1"/>
    <col min="41" max="41" width="19" style="36" customWidth="1"/>
    <col min="42" max="42" width="16.5" style="36" customWidth="1"/>
    <col min="43" max="43" width="20" style="36" customWidth="1"/>
    <col min="44" max="16384" width="7.6640625" style="36"/>
  </cols>
  <sheetData>
    <row r="1" spans="1:38">
      <c r="A1" s="51"/>
      <c r="B1" s="20" t="s">
        <v>220</v>
      </c>
      <c r="C1" s="20"/>
      <c r="D1" s="20"/>
      <c r="E1" s="20"/>
      <c r="F1" s="20"/>
      <c r="G1" s="20"/>
      <c r="H1" s="20"/>
      <c r="I1" s="20"/>
      <c r="J1" s="20"/>
      <c r="K1" s="20"/>
      <c r="P1" s="32">
        <v>1.125</v>
      </c>
    </row>
    <row r="2" spans="1:38">
      <c r="B2" s="36" t="s">
        <v>1</v>
      </c>
      <c r="L2" s="35">
        <v>14</v>
      </c>
      <c r="P2" s="36" t="s">
        <v>202</v>
      </c>
      <c r="Q2" s="36">
        <v>133</v>
      </c>
    </row>
    <row r="3" spans="1:38" ht="12.75" thickBot="1">
      <c r="A3" s="52" t="s">
        <v>175</v>
      </c>
      <c r="B3" s="36" t="s">
        <v>181</v>
      </c>
      <c r="L3" s="36" t="s">
        <v>177</v>
      </c>
    </row>
    <row r="4" spans="1:38" s="8" customFormat="1" ht="12.75" thickBot="1">
      <c r="A4" s="52"/>
      <c r="B4" s="53" t="s">
        <v>221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</row>
    <row r="5" spans="1:38" s="8" customFormat="1">
      <c r="A5" s="17"/>
      <c r="E5" s="56" t="s">
        <v>182</v>
      </c>
      <c r="F5" s="56" t="s">
        <v>187</v>
      </c>
      <c r="G5" s="56" t="s">
        <v>68</v>
      </c>
      <c r="H5" s="56" t="s">
        <v>183</v>
      </c>
      <c r="I5" s="56" t="s">
        <v>184</v>
      </c>
      <c r="J5" s="56" t="s">
        <v>185</v>
      </c>
      <c r="K5" s="56" t="s">
        <v>186</v>
      </c>
      <c r="P5" s="489" t="s">
        <v>204</v>
      </c>
      <c r="Q5" s="489"/>
      <c r="R5" s="489"/>
      <c r="T5" s="489" t="s">
        <v>222</v>
      </c>
      <c r="U5" s="489"/>
      <c r="V5" s="489"/>
      <c r="W5" s="29"/>
      <c r="X5" s="489" t="s">
        <v>223</v>
      </c>
      <c r="Y5" s="489"/>
      <c r="Z5" s="489"/>
      <c r="AA5" s="29"/>
      <c r="AB5" s="489" t="s">
        <v>2</v>
      </c>
      <c r="AC5" s="489"/>
      <c r="AD5" s="489"/>
      <c r="AE5" s="29"/>
      <c r="AF5" s="29"/>
    </row>
    <row r="6" spans="1:38" s="8" customFormat="1" ht="22.9" customHeight="1">
      <c r="A6" s="17"/>
      <c r="B6" s="23" t="s">
        <v>75</v>
      </c>
      <c r="C6" s="57" t="s">
        <v>66</v>
      </c>
      <c r="D6" s="58" t="s">
        <v>176</v>
      </c>
      <c r="E6" s="56" t="s">
        <v>180</v>
      </c>
      <c r="F6" s="56" t="s">
        <v>188</v>
      </c>
      <c r="G6" s="56" t="s">
        <v>189</v>
      </c>
      <c r="H6" s="56" t="s">
        <v>190</v>
      </c>
      <c r="I6" s="56" t="s">
        <v>191</v>
      </c>
      <c r="J6" s="56" t="s">
        <v>192</v>
      </c>
      <c r="K6" s="56" t="s">
        <v>193</v>
      </c>
      <c r="L6" s="5" t="s">
        <v>74</v>
      </c>
      <c r="M6" s="5" t="s">
        <v>73</v>
      </c>
      <c r="N6" s="5" t="s">
        <v>0</v>
      </c>
      <c r="O6" s="5"/>
      <c r="P6" s="5" t="s">
        <v>74</v>
      </c>
      <c r="Q6" s="5" t="s">
        <v>73</v>
      </c>
      <c r="R6" s="5" t="s">
        <v>0</v>
      </c>
      <c r="T6" s="5" t="s">
        <v>74</v>
      </c>
      <c r="U6" s="5" t="s">
        <v>73</v>
      </c>
      <c r="V6" s="5" t="s">
        <v>0</v>
      </c>
      <c r="W6" s="5"/>
      <c r="X6" s="5" t="s">
        <v>74</v>
      </c>
      <c r="Y6" s="5" t="s">
        <v>73</v>
      </c>
      <c r="Z6" s="5" t="s">
        <v>0</v>
      </c>
      <c r="AA6" s="5"/>
      <c r="AB6" s="5" t="s">
        <v>74</v>
      </c>
      <c r="AC6" s="5" t="s">
        <v>73</v>
      </c>
      <c r="AD6" s="5" t="s">
        <v>0</v>
      </c>
      <c r="AE6" s="5"/>
      <c r="AF6" s="59"/>
      <c r="AH6" s="4" t="s">
        <v>75</v>
      </c>
      <c r="AI6" s="5" t="s">
        <v>178</v>
      </c>
      <c r="AJ6" s="5" t="s">
        <v>179</v>
      </c>
      <c r="AK6" s="5" t="s">
        <v>73</v>
      </c>
      <c r="AL6" s="5" t="s">
        <v>211</v>
      </c>
    </row>
    <row r="7" spans="1:38" s="8" customFormat="1" ht="22.9" customHeight="1">
      <c r="A7" s="17"/>
      <c r="B7" s="23" t="s">
        <v>201</v>
      </c>
      <c r="C7" s="57"/>
      <c r="D7" s="58"/>
      <c r="E7" s="56"/>
      <c r="F7" s="56"/>
      <c r="G7" s="56"/>
      <c r="H7" s="56"/>
      <c r="I7" s="56"/>
      <c r="J7" s="56"/>
      <c r="K7" s="56"/>
      <c r="L7" s="6">
        <f>TRUnits</f>
        <v>14</v>
      </c>
      <c r="M7" s="5"/>
      <c r="N7" s="5"/>
      <c r="O7" s="5"/>
      <c r="P7" s="6">
        <v>1</v>
      </c>
      <c r="Q7" s="5"/>
      <c r="R7" s="5"/>
      <c r="T7" s="6">
        <v>72</v>
      </c>
      <c r="U7" s="5"/>
      <c r="V7" s="5"/>
      <c r="W7" s="5"/>
      <c r="X7" s="6">
        <v>61</v>
      </c>
      <c r="Y7" s="5"/>
      <c r="Z7" s="5"/>
      <c r="AA7" s="5"/>
      <c r="AB7" s="6">
        <f>ROUND(X7+T7,0)</f>
        <v>133</v>
      </c>
      <c r="AC7" s="5"/>
      <c r="AD7" s="5"/>
      <c r="AE7" s="5"/>
      <c r="AF7" s="59"/>
      <c r="AH7" s="4"/>
      <c r="AI7" s="5"/>
      <c r="AJ7" s="5"/>
      <c r="AK7" s="6">
        <f>+AB7</f>
        <v>133</v>
      </c>
      <c r="AL7" s="7">
        <f>AB7*AC8</f>
        <v>159467</v>
      </c>
    </row>
    <row r="8" spans="1:38" s="8" customFormat="1" ht="22.9" customHeight="1">
      <c r="A8" s="17"/>
      <c r="B8" s="23" t="s">
        <v>203</v>
      </c>
      <c r="C8" s="57"/>
      <c r="D8" s="58"/>
      <c r="E8" s="56"/>
      <c r="F8" s="56"/>
      <c r="G8" s="56"/>
      <c r="H8" s="56"/>
      <c r="I8" s="56"/>
      <c r="J8" s="56"/>
      <c r="K8" s="56"/>
      <c r="L8" s="6"/>
      <c r="M8" s="5"/>
      <c r="N8" s="5"/>
      <c r="O8" s="5"/>
      <c r="P8" s="6"/>
      <c r="Q8" s="6">
        <v>1198</v>
      </c>
      <c r="R8" s="6">
        <f>+Q8+280+67</f>
        <v>1545</v>
      </c>
      <c r="T8" s="6"/>
      <c r="U8" s="6">
        <v>1107</v>
      </c>
      <c r="V8" s="6">
        <f>+U8</f>
        <v>1107</v>
      </c>
      <c r="W8" s="5"/>
      <c r="X8" s="6"/>
      <c r="Y8" s="6">
        <v>1287</v>
      </c>
      <c r="Z8" s="6">
        <f>+Y8+295+13</f>
        <v>1595</v>
      </c>
      <c r="AA8" s="5"/>
      <c r="AB8" s="5"/>
      <c r="AC8" s="6">
        <f>ROUND((Y8*$X7+U8*$T7+Q8*$P7)/$AB$7,0)</f>
        <v>1199</v>
      </c>
      <c r="AD8" s="6">
        <f>ROUND((Z8*$X7+V8*$T7+R8*$P7)/$AB$7,0)</f>
        <v>1342</v>
      </c>
      <c r="AE8" s="5"/>
      <c r="AF8" s="59"/>
      <c r="AH8" s="4"/>
      <c r="AI8" s="5"/>
      <c r="AJ8" s="5"/>
      <c r="AK8" s="5"/>
      <c r="AL8" s="5"/>
    </row>
    <row r="9" spans="1:38" s="8" customFormat="1">
      <c r="A9" s="17" t="s">
        <v>149</v>
      </c>
      <c r="B9" s="8" t="s">
        <v>3</v>
      </c>
      <c r="C9" s="60"/>
      <c r="D9" s="9">
        <f>L9/$L$88</f>
        <v>2.3716402841308496E-2</v>
      </c>
      <c r="E9" s="61" t="s">
        <v>194</v>
      </c>
      <c r="F9" s="61" t="s">
        <v>194</v>
      </c>
      <c r="G9" s="61" t="s">
        <v>194</v>
      </c>
      <c r="H9" s="61" t="s">
        <v>194</v>
      </c>
      <c r="I9" s="61" t="s">
        <v>194</v>
      </c>
      <c r="J9" s="61" t="s">
        <v>194</v>
      </c>
      <c r="K9" s="61" t="s">
        <v>194</v>
      </c>
      <c r="L9" s="19">
        <f t="shared" ref="L9:L51" si="0">M9*TRUnits</f>
        <v>16673.3</v>
      </c>
      <c r="M9" s="19">
        <f>2381.9/2</f>
        <v>1190.95</v>
      </c>
      <c r="N9" s="12">
        <f>M9/1376</f>
        <v>0.86551598837209309</v>
      </c>
      <c r="O9" s="12"/>
      <c r="P9" s="62">
        <f>Q9*P$7</f>
        <v>1166.4991733284885</v>
      </c>
      <c r="Q9" s="62">
        <f>Q$8*$N9*CMF</f>
        <v>1166.4991733284885</v>
      </c>
      <c r="R9" s="11">
        <f>+Q9/Q$8</f>
        <v>0.9737054869186047</v>
      </c>
      <c r="S9" s="19"/>
      <c r="T9" s="62">
        <f>U9*T$7</f>
        <v>77608.222129360467</v>
      </c>
      <c r="U9" s="62">
        <f>U$8*$N9*CMF</f>
        <v>1077.8919740188953</v>
      </c>
      <c r="V9" s="11">
        <f>+U9/U$8</f>
        <v>0.97370548691860459</v>
      </c>
      <c r="W9" s="19"/>
      <c r="X9" s="62">
        <f>Y9*X$7</f>
        <v>76442.696661518901</v>
      </c>
      <c r="Y9" s="62">
        <f>Y$8*$N9*CMF</f>
        <v>1253.1589616642443</v>
      </c>
      <c r="Z9" s="11">
        <f>+Y9/Y$8</f>
        <v>0.9737054869186047</v>
      </c>
      <c r="AA9" s="19"/>
      <c r="AB9" s="62">
        <f>+X9+T9</f>
        <v>154050.91879087937</v>
      </c>
      <c r="AC9" s="62">
        <f>AB9/AB$7</f>
        <v>1158.2775848938297</v>
      </c>
      <c r="AD9" s="11">
        <f>+AC9/AC$8</f>
        <v>0.96603635103738927</v>
      </c>
      <c r="AE9" s="19"/>
      <c r="AF9" s="63"/>
      <c r="AG9" s="64" t="s">
        <v>76</v>
      </c>
      <c r="AH9" s="8" t="s">
        <v>80</v>
      </c>
      <c r="AI9" s="9">
        <f t="shared" ref="AI9:AI23" si="1">AJ9/$AJ$48</f>
        <v>1.1703451186934373E-2</v>
      </c>
      <c r="AJ9" s="10">
        <f>+AB9</f>
        <v>154050.91879087937</v>
      </c>
      <c r="AK9" s="10">
        <f t="shared" ref="AK9:AK48" si="2">+AJ9/AK$7</f>
        <v>1158.2775848938297</v>
      </c>
      <c r="AL9" s="11">
        <f>+AJ9/AL$7</f>
        <v>0.96603635103738938</v>
      </c>
    </row>
    <row r="10" spans="1:38" s="8" customFormat="1">
      <c r="A10" s="17" t="s">
        <v>206</v>
      </c>
      <c r="B10" s="8" t="s">
        <v>205</v>
      </c>
      <c r="C10" s="60"/>
      <c r="D10" s="9"/>
      <c r="E10" s="61"/>
      <c r="F10" s="61"/>
      <c r="G10" s="61"/>
      <c r="H10" s="61"/>
      <c r="I10" s="61"/>
      <c r="J10" s="61"/>
      <c r="K10" s="61"/>
      <c r="L10" s="19"/>
      <c r="M10" s="19"/>
      <c r="N10" s="12"/>
      <c r="O10" s="12"/>
      <c r="P10" s="137">
        <f>Q10*P$7</f>
        <v>969.26305970149247</v>
      </c>
      <c r="Q10" s="137">
        <f>((68000+9450+28000+8000+2000)/134)*CMF</f>
        <v>969.26305970149247</v>
      </c>
      <c r="R10" s="141">
        <f>+Q10/Q$8</f>
        <v>0.80906766252211393</v>
      </c>
      <c r="S10" s="19"/>
      <c r="T10" s="137">
        <f>U10*T$7</f>
        <v>69786.940298507456</v>
      </c>
      <c r="U10" s="137">
        <f>((68000+9450+28000+8000+2000)/134)*CMF</f>
        <v>969.26305970149247</v>
      </c>
      <c r="V10" s="141">
        <f>+U10/U$8</f>
        <v>0.87557638636087842</v>
      </c>
      <c r="W10" s="19"/>
      <c r="X10" s="137">
        <f>Y10*X$7</f>
        <v>59125.046641791043</v>
      </c>
      <c r="Y10" s="137">
        <f>((68000+9450+28000+8000+2000)/134)*CMF</f>
        <v>969.26305970149247</v>
      </c>
      <c r="Z10" s="141">
        <f>+Y10/Y$8</f>
        <v>0.75311815050621012</v>
      </c>
      <c r="AA10" s="19"/>
      <c r="AB10" s="137">
        <f>+X10+T10</f>
        <v>128911.98694029849</v>
      </c>
      <c r="AC10" s="136">
        <f>+AB10/AB$7</f>
        <v>969.26305970149247</v>
      </c>
      <c r="AD10" s="141">
        <f>+AC10/AC$8</f>
        <v>0.80839287714886776</v>
      </c>
      <c r="AE10" s="19"/>
      <c r="AF10" s="63"/>
      <c r="AG10" s="64" t="s">
        <v>77</v>
      </c>
      <c r="AH10" s="8" t="s">
        <v>212</v>
      </c>
      <c r="AI10" s="9">
        <f t="shared" si="1"/>
        <v>9.7936134260552601E-3</v>
      </c>
      <c r="AJ10" s="10">
        <f>+AB10</f>
        <v>128911.98694029849</v>
      </c>
      <c r="AK10" s="10">
        <f t="shared" si="2"/>
        <v>969.26305970149247</v>
      </c>
      <c r="AL10" s="12">
        <f>+AJ10/AL$7</f>
        <v>0.80839287714886776</v>
      </c>
    </row>
    <row r="11" spans="1:38" s="8" customFormat="1">
      <c r="A11" s="17" t="s">
        <v>151</v>
      </c>
      <c r="B11" s="8" t="s">
        <v>146</v>
      </c>
      <c r="C11" s="60"/>
      <c r="D11" s="9">
        <f>L11/$L$88</f>
        <v>2.6186716265435722E-3</v>
      </c>
      <c r="E11" s="61" t="s">
        <v>194</v>
      </c>
      <c r="F11" s="61" t="s">
        <v>194</v>
      </c>
      <c r="G11" s="61" t="s">
        <v>194</v>
      </c>
      <c r="H11" s="61" t="s">
        <v>194</v>
      </c>
      <c r="I11" s="61" t="s">
        <v>194</v>
      </c>
      <c r="J11" s="61" t="s">
        <v>194</v>
      </c>
      <c r="K11" s="61" t="s">
        <v>194</v>
      </c>
      <c r="L11" s="19">
        <f t="shared" si="0"/>
        <v>1841</v>
      </c>
      <c r="M11" s="19">
        <f>263/2</f>
        <v>131.5</v>
      </c>
      <c r="N11" s="12">
        <f t="shared" ref="N11:N77" si="3">M11/1376</f>
        <v>9.5566860465116282E-2</v>
      </c>
      <c r="O11" s="12"/>
      <c r="P11" s="137">
        <f>Q11*P$7</f>
        <v>128.80023619186048</v>
      </c>
      <c r="Q11" s="137">
        <f>Q$8*$N11*CMF</f>
        <v>128.80023619186048</v>
      </c>
      <c r="R11" s="141">
        <f t="shared" ref="R11:R77" si="4">+Q11/Q$8</f>
        <v>0.10751271802325582</v>
      </c>
      <c r="S11" s="19"/>
      <c r="T11" s="137">
        <f>U11*T$7</f>
        <v>8569.193677325582</v>
      </c>
      <c r="U11" s="137">
        <f>U$8*$N11*CMF</f>
        <v>119.01657885174419</v>
      </c>
      <c r="V11" s="141">
        <f t="shared" ref="V11:V77" si="5">+U11/U$8</f>
        <v>0.10751271802325581</v>
      </c>
      <c r="W11" s="19"/>
      <c r="X11" s="137">
        <f>Y11*X$7</f>
        <v>8440.5009538517443</v>
      </c>
      <c r="Y11" s="137">
        <f>Y$8*$N11*CMF</f>
        <v>138.36886809593022</v>
      </c>
      <c r="Z11" s="141">
        <f t="shared" ref="Z11:Z77" si="6">+Y11/Y$8</f>
        <v>0.10751271802325581</v>
      </c>
      <c r="AA11" s="19"/>
      <c r="AB11" s="137">
        <f>+X11+T11</f>
        <v>17009.694631177328</v>
      </c>
      <c r="AC11" s="136">
        <f>+AB11/AB$7</f>
        <v>127.89244083591976</v>
      </c>
      <c r="AD11" s="141">
        <f>+AC11/AC$8</f>
        <v>0.10666592229851522</v>
      </c>
      <c r="AE11" s="19"/>
      <c r="AF11" s="63"/>
      <c r="AG11" s="64" t="s">
        <v>78</v>
      </c>
      <c r="AH11" s="8" t="s">
        <v>81</v>
      </c>
      <c r="AI11" s="9">
        <f t="shared" si="1"/>
        <v>0</v>
      </c>
      <c r="AJ11" s="10">
        <v>0</v>
      </c>
      <c r="AK11" s="10">
        <f t="shared" si="2"/>
        <v>0</v>
      </c>
      <c r="AL11" s="12">
        <f t="shared" ref="AL11:AL48" si="7">+AJ11/AL$7</f>
        <v>0</v>
      </c>
    </row>
    <row r="12" spans="1:38" s="8" customFormat="1">
      <c r="A12" s="17" t="s">
        <v>150</v>
      </c>
      <c r="B12" s="8" t="s">
        <v>147</v>
      </c>
      <c r="C12" s="60"/>
      <c r="D12" s="9">
        <f>L12/$L$88</f>
        <v>1.7424621089168256E-3</v>
      </c>
      <c r="E12" s="61"/>
      <c r="F12" s="61"/>
      <c r="G12" s="61"/>
      <c r="H12" s="61"/>
      <c r="I12" s="61"/>
      <c r="J12" s="61"/>
      <c r="K12" s="61"/>
      <c r="L12" s="19">
        <f t="shared" si="0"/>
        <v>1225</v>
      </c>
      <c r="M12" s="19">
        <f>175/2</f>
        <v>87.5</v>
      </c>
      <c r="N12" s="12">
        <f t="shared" si="3"/>
        <v>6.3590116279069769E-2</v>
      </c>
      <c r="O12" s="12"/>
      <c r="P12" s="137">
        <f>Q12*P$7</f>
        <v>98.4375</v>
      </c>
      <c r="Q12" s="137">
        <f>+$M12*CMF</f>
        <v>98.4375</v>
      </c>
      <c r="R12" s="141">
        <f t="shared" si="4"/>
        <v>8.2168196994991657E-2</v>
      </c>
      <c r="S12" s="19"/>
      <c r="T12" s="137">
        <f>U12*T$7</f>
        <v>7087.5</v>
      </c>
      <c r="U12" s="137">
        <f>+$M12*CMF</f>
        <v>98.4375</v>
      </c>
      <c r="V12" s="141">
        <f t="shared" si="5"/>
        <v>8.8922764227642281E-2</v>
      </c>
      <c r="W12" s="19"/>
      <c r="X12" s="137">
        <f>Y12*X$7</f>
        <v>6004.6875</v>
      </c>
      <c r="Y12" s="137">
        <f>+$M12*CMF</f>
        <v>98.4375</v>
      </c>
      <c r="Z12" s="141">
        <f t="shared" si="6"/>
        <v>7.6486013986013984E-2</v>
      </c>
      <c r="AA12" s="19"/>
      <c r="AB12" s="137">
        <f>+X12+T12</f>
        <v>13092.1875</v>
      </c>
      <c r="AC12" s="136">
        <f>+AB12/AB$7</f>
        <v>98.4375</v>
      </c>
      <c r="AD12" s="141">
        <f>+AC12/AC$8</f>
        <v>8.2099666388657219E-2</v>
      </c>
      <c r="AE12" s="19"/>
      <c r="AF12" s="63"/>
      <c r="AG12" s="64" t="s">
        <v>79</v>
      </c>
      <c r="AH12" s="8" t="s">
        <v>82</v>
      </c>
      <c r="AI12" s="9">
        <f t="shared" si="1"/>
        <v>1.5789864282454096E-2</v>
      </c>
      <c r="AJ12" s="10">
        <f>AB12+AB13</f>
        <v>207839.81250000003</v>
      </c>
      <c r="AK12" s="10">
        <f t="shared" si="2"/>
        <v>1562.7053571428573</v>
      </c>
      <c r="AL12" s="12">
        <f t="shared" si="7"/>
        <v>1.3033405814369119</v>
      </c>
    </row>
    <row r="13" spans="1:38" s="8" customFormat="1">
      <c r="A13" s="17" t="s">
        <v>150</v>
      </c>
      <c r="B13" s="8" t="s">
        <v>148</v>
      </c>
      <c r="C13" s="60"/>
      <c r="D13" s="9">
        <f>L13/$L$88</f>
        <v>2.5919301672393792E-2</v>
      </c>
      <c r="E13" s="61" t="s">
        <v>194</v>
      </c>
      <c r="F13" s="61" t="s">
        <v>194</v>
      </c>
      <c r="G13" s="61" t="s">
        <v>194</v>
      </c>
      <c r="H13" s="61" t="s">
        <v>194</v>
      </c>
      <c r="I13" s="61" t="s">
        <v>194</v>
      </c>
      <c r="J13" s="61" t="s">
        <v>194</v>
      </c>
      <c r="K13" s="61" t="s">
        <v>194</v>
      </c>
      <c r="L13" s="19">
        <f t="shared" si="0"/>
        <v>18222</v>
      </c>
      <c r="M13" s="19">
        <f>(6797+11425)/14</f>
        <v>1301.5714285714287</v>
      </c>
      <c r="N13" s="12">
        <f t="shared" si="3"/>
        <v>0.94590946843853829</v>
      </c>
      <c r="O13" s="12"/>
      <c r="P13" s="137">
        <f>Q13*P$7</f>
        <v>1464.2678571428573</v>
      </c>
      <c r="Q13" s="137">
        <f>+$M13*CMF</f>
        <v>1464.2678571428573</v>
      </c>
      <c r="R13" s="141">
        <f t="shared" si="4"/>
        <v>1.2222603148103985</v>
      </c>
      <c r="S13" s="19"/>
      <c r="T13" s="137">
        <f>U13*T$7</f>
        <v>105427.28571428572</v>
      </c>
      <c r="U13" s="137">
        <f>+$M13*CMF</f>
        <v>1464.2678571428573</v>
      </c>
      <c r="V13" s="141">
        <f t="shared" si="5"/>
        <v>1.3227351916376309</v>
      </c>
      <c r="W13" s="19"/>
      <c r="X13" s="137">
        <f>Y13*X$7</f>
        <v>89320.339285714304</v>
      </c>
      <c r="Y13" s="137">
        <f>+$M13*CMF</f>
        <v>1464.2678571428573</v>
      </c>
      <c r="Z13" s="141">
        <f t="shared" si="6"/>
        <v>1.1377372627372628</v>
      </c>
      <c r="AA13" s="19"/>
      <c r="AB13" s="137">
        <f>+X13+T13</f>
        <v>194747.62500000003</v>
      </c>
      <c r="AC13" s="136">
        <f>+AB13/AB$7</f>
        <v>1464.2678571428573</v>
      </c>
      <c r="AD13" s="141">
        <f>+AC13/AC$8</f>
        <v>1.2212409150482546</v>
      </c>
      <c r="AE13" s="19"/>
      <c r="AF13" s="63"/>
      <c r="AG13" s="64" t="s">
        <v>91</v>
      </c>
      <c r="AH13" s="8" t="s">
        <v>83</v>
      </c>
      <c r="AI13" s="9">
        <f t="shared" si="1"/>
        <v>9.6905450820738218E-2</v>
      </c>
      <c r="AJ13" s="10">
        <f>+AB15</f>
        <v>1275553.125</v>
      </c>
      <c r="AK13" s="10">
        <f t="shared" si="2"/>
        <v>9590.625</v>
      </c>
      <c r="AL13" s="12">
        <f t="shared" si="7"/>
        <v>7.9988532110091741</v>
      </c>
    </row>
    <row r="14" spans="1:38" s="8" customFormat="1">
      <c r="A14" s="17"/>
      <c r="B14" s="23" t="s">
        <v>5</v>
      </c>
      <c r="C14" s="60"/>
      <c r="E14" s="61"/>
      <c r="F14" s="61"/>
      <c r="G14" s="61"/>
      <c r="H14" s="61"/>
      <c r="I14" s="61"/>
      <c r="J14" s="61"/>
      <c r="K14" s="61"/>
      <c r="L14" s="19"/>
      <c r="M14" s="19"/>
      <c r="N14" s="12"/>
      <c r="O14" s="12"/>
      <c r="P14" s="137"/>
      <c r="Q14" s="137"/>
      <c r="R14" s="141"/>
      <c r="S14" s="19"/>
      <c r="T14" s="137"/>
      <c r="U14" s="137"/>
      <c r="V14" s="141"/>
      <c r="W14" s="19"/>
      <c r="X14" s="137"/>
      <c r="Y14" s="137"/>
      <c r="Z14" s="141"/>
      <c r="AA14" s="19"/>
      <c r="AB14" s="137"/>
      <c r="AC14" s="136"/>
      <c r="AD14" s="141"/>
      <c r="AE14" s="19"/>
      <c r="AF14" s="63"/>
      <c r="AG14" s="64" t="s">
        <v>92</v>
      </c>
      <c r="AH14" s="8" t="s">
        <v>84</v>
      </c>
      <c r="AI14" s="9">
        <f t="shared" si="1"/>
        <v>4.9532481997976364E-2</v>
      </c>
      <c r="AJ14" s="10">
        <f>+AB19+AB20</f>
        <v>651989.25</v>
      </c>
      <c r="AK14" s="10">
        <f t="shared" si="2"/>
        <v>4902.1748120300754</v>
      </c>
      <c r="AL14" s="12">
        <f t="shared" si="7"/>
        <v>4.0885528040284198</v>
      </c>
    </row>
    <row r="15" spans="1:38" s="8" customFormat="1">
      <c r="A15" s="17" t="s">
        <v>161</v>
      </c>
      <c r="B15" s="8" t="s">
        <v>6</v>
      </c>
      <c r="C15" s="60"/>
      <c r="D15" s="9">
        <f>L15/$L$88</f>
        <v>2.887508637633597E-3</v>
      </c>
      <c r="E15" s="61" t="s">
        <v>194</v>
      </c>
      <c r="F15" s="61" t="s">
        <v>194</v>
      </c>
      <c r="G15" s="61" t="s">
        <v>194</v>
      </c>
      <c r="H15" s="61" t="s">
        <v>194</v>
      </c>
      <c r="I15" s="61" t="s">
        <v>194</v>
      </c>
      <c r="J15" s="61" t="s">
        <v>194</v>
      </c>
      <c r="K15" s="61" t="s">
        <v>194</v>
      </c>
      <c r="L15" s="19">
        <f t="shared" si="0"/>
        <v>2030</v>
      </c>
      <c r="M15" s="19">
        <f>290/2</f>
        <v>145</v>
      </c>
      <c r="N15" s="12">
        <f t="shared" si="3"/>
        <v>0.10537790697674419</v>
      </c>
      <c r="O15" s="12"/>
      <c r="P15" s="137">
        <f>Q15*P$7</f>
        <v>9559.6875</v>
      </c>
      <c r="Q15" s="137">
        <f>5.5*R8*CMF</f>
        <v>9559.6875</v>
      </c>
      <c r="R15" s="141">
        <f t="shared" si="4"/>
        <v>7.9797057595993319</v>
      </c>
      <c r="S15" s="19"/>
      <c r="T15" s="137">
        <f>U15*T$7</f>
        <v>690525</v>
      </c>
      <c r="U15" s="137">
        <f>5.5*1550*CMF</f>
        <v>9590.625</v>
      </c>
      <c r="V15" s="141">
        <f t="shared" si="5"/>
        <v>8.6636178861788622</v>
      </c>
      <c r="W15" s="19"/>
      <c r="X15" s="137">
        <f>Y15*X$7</f>
        <v>585028.125</v>
      </c>
      <c r="Y15" s="137">
        <f>5.5*1550*CMF</f>
        <v>9590.625</v>
      </c>
      <c r="Z15" s="141">
        <f t="shared" si="6"/>
        <v>7.4519230769230766</v>
      </c>
      <c r="AA15" s="19"/>
      <c r="AB15" s="137">
        <f t="shared" ref="AB15:AB78" si="8">+X15+T15</f>
        <v>1275553.125</v>
      </c>
      <c r="AC15" s="136">
        <f>+AB15/AB$7</f>
        <v>9590.625</v>
      </c>
      <c r="AD15" s="141">
        <f>+AC15/AC$8</f>
        <v>7.9988532110091741</v>
      </c>
      <c r="AE15" s="19"/>
      <c r="AF15" s="63"/>
      <c r="AG15" s="64" t="s">
        <v>93</v>
      </c>
      <c r="AH15" s="8" t="s">
        <v>89</v>
      </c>
      <c r="AI15" s="9">
        <f t="shared" si="1"/>
        <v>0.16274097863681983</v>
      </c>
      <c r="AJ15" s="10">
        <f>SUM(AB23:AB25)+SUM(AB28:AB32)+AB35</f>
        <v>2142137.1254931479</v>
      </c>
      <c r="AK15" s="10">
        <f t="shared" si="2"/>
        <v>16106.294176640209</v>
      </c>
      <c r="AL15" s="12">
        <f t="shared" si="7"/>
        <v>13.433106068924278</v>
      </c>
    </row>
    <row r="16" spans="1:38" s="8" customFormat="1">
      <c r="A16" s="17" t="s">
        <v>161</v>
      </c>
      <c r="B16" s="8" t="s">
        <v>7</v>
      </c>
      <c r="C16" s="60"/>
      <c r="D16" s="9">
        <f>L16/$L$88</f>
        <v>2.5937793107019033E-2</v>
      </c>
      <c r="E16" s="61" t="s">
        <v>194</v>
      </c>
      <c r="F16" s="61" t="s">
        <v>194</v>
      </c>
      <c r="G16" s="61" t="s">
        <v>194</v>
      </c>
      <c r="H16" s="61" t="s">
        <v>194</v>
      </c>
      <c r="I16" s="61" t="s">
        <v>194</v>
      </c>
      <c r="J16" s="61" t="s">
        <v>194</v>
      </c>
      <c r="K16" s="61" t="s">
        <v>194</v>
      </c>
      <c r="L16" s="19">
        <f t="shared" si="0"/>
        <v>18235</v>
      </c>
      <c r="M16" s="19">
        <f>2605/2</f>
        <v>1302.5</v>
      </c>
      <c r="N16" s="12">
        <f t="shared" si="3"/>
        <v>0.94658430232558144</v>
      </c>
      <c r="O16" s="12"/>
      <c r="P16" s="137"/>
      <c r="Q16" s="137"/>
      <c r="R16" s="141">
        <f t="shared" si="4"/>
        <v>0</v>
      </c>
      <c r="S16" s="19"/>
      <c r="T16" s="137"/>
      <c r="U16" s="137"/>
      <c r="V16" s="141">
        <f t="shared" si="5"/>
        <v>0</v>
      </c>
      <c r="W16" s="19"/>
      <c r="X16" s="137"/>
      <c r="Y16" s="137"/>
      <c r="Z16" s="141">
        <f t="shared" si="6"/>
        <v>0</v>
      </c>
      <c r="AA16" s="19"/>
      <c r="AB16" s="137">
        <f t="shared" si="8"/>
        <v>0</v>
      </c>
      <c r="AC16" s="136">
        <f>+AB16/AB$7</f>
        <v>0</v>
      </c>
      <c r="AD16" s="141">
        <f>+AC16/AC$8</f>
        <v>0</v>
      </c>
      <c r="AE16" s="19"/>
      <c r="AF16" s="63"/>
      <c r="AG16" s="64" t="s">
        <v>94</v>
      </c>
      <c r="AH16" s="8" t="s">
        <v>88</v>
      </c>
      <c r="AI16" s="9">
        <f t="shared" si="1"/>
        <v>8.0781934188819213E-3</v>
      </c>
      <c r="AJ16" s="10">
        <f>AB40+AB41</f>
        <v>106332.14924999999</v>
      </c>
      <c r="AK16" s="10">
        <f t="shared" si="2"/>
        <v>799.48984398496236</v>
      </c>
      <c r="AL16" s="12">
        <f t="shared" si="7"/>
        <v>0.6667972009882922</v>
      </c>
    </row>
    <row r="17" spans="1:38" s="8" customFormat="1">
      <c r="A17" s="17" t="s">
        <v>161</v>
      </c>
      <c r="B17" s="8" t="s">
        <v>8</v>
      </c>
      <c r="C17" s="60"/>
      <c r="D17" s="9">
        <f>L17/$L$88</f>
        <v>7.4955741462433501E-2</v>
      </c>
      <c r="E17" s="61" t="s">
        <v>194</v>
      </c>
      <c r="F17" s="61" t="s">
        <v>194</v>
      </c>
      <c r="G17" s="61" t="s">
        <v>194</v>
      </c>
      <c r="H17" s="61" t="s">
        <v>194</v>
      </c>
      <c r="I17" s="61" t="s">
        <v>194</v>
      </c>
      <c r="J17" s="61" t="s">
        <v>194</v>
      </c>
      <c r="K17" s="61" t="s">
        <v>194</v>
      </c>
      <c r="L17" s="19">
        <f t="shared" si="0"/>
        <v>52696</v>
      </c>
      <c r="M17" s="19">
        <f>7528/2</f>
        <v>3764</v>
      </c>
      <c r="N17" s="12">
        <f t="shared" si="3"/>
        <v>2.73546511627907</v>
      </c>
      <c r="O17" s="12"/>
      <c r="P17" s="137"/>
      <c r="Q17" s="137"/>
      <c r="R17" s="141">
        <f t="shared" si="4"/>
        <v>0</v>
      </c>
      <c r="S17" s="19"/>
      <c r="T17" s="137"/>
      <c r="U17" s="137"/>
      <c r="V17" s="141">
        <f t="shared" si="5"/>
        <v>0</v>
      </c>
      <c r="W17" s="19"/>
      <c r="X17" s="137"/>
      <c r="Y17" s="137"/>
      <c r="Z17" s="141">
        <f t="shared" si="6"/>
        <v>0</v>
      </c>
      <c r="AA17" s="19"/>
      <c r="AB17" s="137">
        <f t="shared" si="8"/>
        <v>0</v>
      </c>
      <c r="AC17" s="136">
        <f>+AB17/AB$7</f>
        <v>0</v>
      </c>
      <c r="AD17" s="141">
        <f>+AC17/AC$8</f>
        <v>0</v>
      </c>
      <c r="AE17" s="19"/>
      <c r="AF17" s="63"/>
      <c r="AG17" s="64" t="s">
        <v>95</v>
      </c>
      <c r="AH17" s="8" t="s">
        <v>90</v>
      </c>
      <c r="AI17" s="9">
        <f t="shared" si="1"/>
        <v>1.6676398391391435E-2</v>
      </c>
      <c r="AJ17" s="10">
        <f>AB26+AB33</f>
        <v>219509.13908066862</v>
      </c>
      <c r="AK17" s="10">
        <f t="shared" si="2"/>
        <v>1650.4446547418693</v>
      </c>
      <c r="AL17" s="12">
        <f t="shared" si="7"/>
        <v>1.3765176436546034</v>
      </c>
    </row>
    <row r="18" spans="1:38" s="8" customFormat="1">
      <c r="A18" s="17"/>
      <c r="B18" s="23" t="s">
        <v>9</v>
      </c>
      <c r="C18" s="60"/>
      <c r="E18" s="61"/>
      <c r="F18" s="61"/>
      <c r="G18" s="61"/>
      <c r="H18" s="61"/>
      <c r="I18" s="61"/>
      <c r="J18" s="61"/>
      <c r="K18" s="61"/>
      <c r="L18" s="19">
        <f t="shared" si="0"/>
        <v>0</v>
      </c>
      <c r="M18" s="19"/>
      <c r="N18" s="12">
        <f t="shared" si="3"/>
        <v>0</v>
      </c>
      <c r="O18" s="12"/>
      <c r="P18" s="137"/>
      <c r="Q18" s="137"/>
      <c r="R18" s="141"/>
      <c r="S18" s="19"/>
      <c r="T18" s="137"/>
      <c r="U18" s="137"/>
      <c r="V18" s="141"/>
      <c r="W18" s="19"/>
      <c r="X18" s="137"/>
      <c r="Y18" s="137"/>
      <c r="Z18" s="141"/>
      <c r="AA18" s="19"/>
      <c r="AB18" s="137"/>
      <c r="AC18" s="136"/>
      <c r="AD18" s="141"/>
      <c r="AE18" s="19"/>
      <c r="AF18" s="63"/>
      <c r="AG18" s="64" t="s">
        <v>96</v>
      </c>
      <c r="AH18" s="8" t="s">
        <v>85</v>
      </c>
      <c r="AI18" s="9">
        <f t="shared" si="1"/>
        <v>6.8160515978690477E-3</v>
      </c>
      <c r="AJ18" s="10">
        <f>+AB34</f>
        <v>89718.75</v>
      </c>
      <c r="AK18" s="10">
        <f t="shared" si="2"/>
        <v>674.57706766917295</v>
      </c>
      <c r="AL18" s="12">
        <f t="shared" si="7"/>
        <v>0.56261640339380559</v>
      </c>
    </row>
    <row r="19" spans="1:38" s="8" customFormat="1">
      <c r="A19" s="17" t="s">
        <v>162</v>
      </c>
      <c r="B19" s="8" t="s">
        <v>10</v>
      </c>
      <c r="C19" s="60">
        <v>0.33300000000000002</v>
      </c>
      <c r="D19" s="9">
        <f>L19/$L$88</f>
        <v>4.5433454874214144E-2</v>
      </c>
      <c r="E19" s="61" t="s">
        <v>194</v>
      </c>
      <c r="F19" s="61" t="s">
        <v>194</v>
      </c>
      <c r="G19" s="61" t="s">
        <v>194</v>
      </c>
      <c r="H19" s="61" t="s">
        <v>194</v>
      </c>
      <c r="I19" s="61" t="s">
        <v>194</v>
      </c>
      <c r="J19" s="61" t="s">
        <v>194</v>
      </c>
      <c r="K19" s="61" t="s">
        <v>194</v>
      </c>
      <c r="L19" s="19">
        <f t="shared" si="0"/>
        <v>31941</v>
      </c>
      <c r="M19" s="19">
        <f>4563/2</f>
        <v>2281.5</v>
      </c>
      <c r="N19" s="12">
        <f t="shared" si="3"/>
        <v>1.6580668604651163</v>
      </c>
      <c r="O19" s="12"/>
      <c r="P19" s="137">
        <f t="shared" ref="P19:P79" si="9">Q19*P$7</f>
        <v>2283.1875</v>
      </c>
      <c r="Q19" s="137">
        <f>(13500+300-1500)/2*0.33*CMF</f>
        <v>2283.1875</v>
      </c>
      <c r="R19" s="141">
        <f t="shared" si="4"/>
        <v>1.9058326377295491</v>
      </c>
      <c r="S19" s="19"/>
      <c r="T19" s="137">
        <f t="shared" ref="T19:T79" si="10">U19*T$7</f>
        <v>169735.5</v>
      </c>
      <c r="U19" s="137">
        <f>(13500+300-1100)/2*0.33*CMF</f>
        <v>2357.4375</v>
      </c>
      <c r="V19" s="141">
        <f t="shared" si="5"/>
        <v>2.1295731707317072</v>
      </c>
      <c r="W19" s="19"/>
      <c r="X19" s="137">
        <f t="shared" ref="X19:X79" si="11">Y19*X$7</f>
        <v>156259.125</v>
      </c>
      <c r="Y19" s="137">
        <f>(13500+300)/2*0.33*CMF</f>
        <v>2561.625</v>
      </c>
      <c r="Z19" s="141">
        <f t="shared" si="6"/>
        <v>1.9903846153846154</v>
      </c>
      <c r="AA19" s="19"/>
      <c r="AB19" s="137">
        <f t="shared" si="8"/>
        <v>325994.625</v>
      </c>
      <c r="AC19" s="136">
        <f>+AB19/AB$7</f>
        <v>2451.0874060150377</v>
      </c>
      <c r="AD19" s="141">
        <f>+AC19/AC$8</f>
        <v>2.0442764020142099</v>
      </c>
      <c r="AE19" s="19"/>
      <c r="AF19" s="63"/>
      <c r="AG19" s="64" t="s">
        <v>97</v>
      </c>
      <c r="AH19" s="8" t="s">
        <v>86</v>
      </c>
      <c r="AI19" s="9">
        <f t="shared" si="1"/>
        <v>1.1178198686038749E-2</v>
      </c>
      <c r="AJ19" s="10">
        <f>+AB62</f>
        <v>147137.09234193314</v>
      </c>
      <c r="AK19" s="10">
        <f t="shared" si="2"/>
        <v>1106.2939273829559</v>
      </c>
      <c r="AL19" s="12">
        <f t="shared" si="7"/>
        <v>0.92268050657460876</v>
      </c>
    </row>
    <row r="20" spans="1:38" s="8" customFormat="1" ht="12.75" thickBot="1">
      <c r="A20" s="17" t="s">
        <v>163</v>
      </c>
      <c r="B20" s="8" t="s">
        <v>11</v>
      </c>
      <c r="C20" s="60">
        <v>0.33300000000000002</v>
      </c>
      <c r="D20" s="9">
        <f>L20/$L$88</f>
        <v>4.5433454874214144E-2</v>
      </c>
      <c r="E20" s="61" t="s">
        <v>194</v>
      </c>
      <c r="F20" s="61" t="s">
        <v>194</v>
      </c>
      <c r="G20" s="61" t="s">
        <v>194</v>
      </c>
      <c r="H20" s="61" t="s">
        <v>194</v>
      </c>
      <c r="I20" s="61" t="s">
        <v>194</v>
      </c>
      <c r="J20" s="61" t="s">
        <v>194</v>
      </c>
      <c r="K20" s="61" t="s">
        <v>194</v>
      </c>
      <c r="L20" s="19">
        <f t="shared" si="0"/>
        <v>31941</v>
      </c>
      <c r="M20" s="19">
        <f>4563/2</f>
        <v>2281.5</v>
      </c>
      <c r="N20" s="12">
        <f t="shared" si="3"/>
        <v>1.6580668604651163</v>
      </c>
      <c r="O20" s="12"/>
      <c r="P20" s="137">
        <f t="shared" si="9"/>
        <v>2283.1875</v>
      </c>
      <c r="Q20" s="137">
        <f>(13500+300-1500)/2*0.33*CMF</f>
        <v>2283.1875</v>
      </c>
      <c r="R20" s="141">
        <f t="shared" si="4"/>
        <v>1.9058326377295491</v>
      </c>
      <c r="S20" s="19"/>
      <c r="T20" s="137">
        <f t="shared" si="10"/>
        <v>169735.5</v>
      </c>
      <c r="U20" s="137">
        <f>(13500+300-1100)/2*0.33*CMF</f>
        <v>2357.4375</v>
      </c>
      <c r="V20" s="141">
        <f t="shared" si="5"/>
        <v>2.1295731707317072</v>
      </c>
      <c r="W20" s="19"/>
      <c r="X20" s="137">
        <f t="shared" si="11"/>
        <v>156259.125</v>
      </c>
      <c r="Y20" s="137">
        <f>(13500+300)/2*0.33*CMF</f>
        <v>2561.625</v>
      </c>
      <c r="Z20" s="141">
        <f t="shared" si="6"/>
        <v>1.9903846153846154</v>
      </c>
      <c r="AA20" s="19"/>
      <c r="AB20" s="137">
        <f t="shared" si="8"/>
        <v>325994.625</v>
      </c>
      <c r="AC20" s="136">
        <f>+AB20/AB$7</f>
        <v>2451.0874060150377</v>
      </c>
      <c r="AD20" s="141">
        <f>+AC20/AC$8</f>
        <v>2.0442764020142099</v>
      </c>
      <c r="AE20" s="19"/>
      <c r="AF20" s="63"/>
      <c r="AG20" s="64" t="s">
        <v>98</v>
      </c>
      <c r="AH20" s="13" t="s">
        <v>87</v>
      </c>
      <c r="AI20" s="9">
        <f t="shared" si="1"/>
        <v>1.7678646452233198E-2</v>
      </c>
      <c r="AJ20" s="10">
        <f>AB43+AB44</f>
        <v>232701.59250000003</v>
      </c>
      <c r="AK20" s="10">
        <f t="shared" si="2"/>
        <v>1749.6360338345867</v>
      </c>
      <c r="AL20" s="12">
        <f t="shared" si="7"/>
        <v>1.4592460665843092</v>
      </c>
    </row>
    <row r="21" spans="1:38" s="8" customFormat="1" ht="12.75" thickBot="1">
      <c r="A21" s="17" t="s">
        <v>163</v>
      </c>
      <c r="B21" s="8" t="s">
        <v>12</v>
      </c>
      <c r="C21" s="60">
        <v>0.33300000000000002</v>
      </c>
      <c r="D21" s="9">
        <f>L21/$L$88</f>
        <v>4.5433454874214144E-2</v>
      </c>
      <c r="E21" s="61" t="s">
        <v>194</v>
      </c>
      <c r="F21" s="61" t="s">
        <v>194</v>
      </c>
      <c r="G21" s="65"/>
      <c r="H21" s="61" t="s">
        <v>194</v>
      </c>
      <c r="I21" s="61" t="s">
        <v>194</v>
      </c>
      <c r="J21" s="65"/>
      <c r="K21" s="66" t="s">
        <v>194</v>
      </c>
      <c r="L21" s="19">
        <f t="shared" si="0"/>
        <v>31941</v>
      </c>
      <c r="M21" s="19">
        <f>4563/2</f>
        <v>2281.5</v>
      </c>
      <c r="N21" s="12">
        <f t="shared" si="3"/>
        <v>1.6580668604651163</v>
      </c>
      <c r="O21" s="12"/>
      <c r="P21" s="137">
        <f t="shared" si="9"/>
        <v>2283.1875</v>
      </c>
      <c r="Q21" s="137">
        <f>(13500+300-1500)/2*0.33*CMF</f>
        <v>2283.1875</v>
      </c>
      <c r="R21" s="141">
        <f t="shared" si="4"/>
        <v>1.9058326377295491</v>
      </c>
      <c r="S21" s="19"/>
      <c r="T21" s="137">
        <f t="shared" si="10"/>
        <v>169735.5</v>
      </c>
      <c r="U21" s="137">
        <f>(13500+300-1100)/2*0.33*CMF</f>
        <v>2357.4375</v>
      </c>
      <c r="V21" s="141">
        <f t="shared" si="5"/>
        <v>2.1295731707317072</v>
      </c>
      <c r="W21" s="19"/>
      <c r="X21" s="137">
        <f t="shared" si="11"/>
        <v>156259.125</v>
      </c>
      <c r="Y21" s="137">
        <f>(13500+300)/2*0.33*CMF</f>
        <v>2561.625</v>
      </c>
      <c r="Z21" s="141">
        <f t="shared" si="6"/>
        <v>1.9903846153846154</v>
      </c>
      <c r="AA21" s="19"/>
      <c r="AB21" s="137">
        <f t="shared" si="8"/>
        <v>325994.625</v>
      </c>
      <c r="AC21" s="136">
        <f>+AB21/AB$7</f>
        <v>2451.0874060150377</v>
      </c>
      <c r="AD21" s="141">
        <f>+AC21/AC$8</f>
        <v>2.0442764020142099</v>
      </c>
      <c r="AE21" s="19"/>
      <c r="AF21" s="63"/>
      <c r="AG21" s="64" t="s">
        <v>99</v>
      </c>
      <c r="AH21" s="8" t="s">
        <v>127</v>
      </c>
      <c r="AI21" s="9">
        <f t="shared" si="1"/>
        <v>1.3521935289660938E-2</v>
      </c>
      <c r="AJ21" s="10">
        <f>AB50</f>
        <v>177987.375</v>
      </c>
      <c r="AK21" s="10">
        <f t="shared" si="2"/>
        <v>1338.250939849624</v>
      </c>
      <c r="AL21" s="12">
        <f t="shared" si="7"/>
        <v>1.1161392325684938</v>
      </c>
    </row>
    <row r="22" spans="1:38" s="8" customFormat="1">
      <c r="A22" s="17"/>
      <c r="B22" s="23" t="s">
        <v>13</v>
      </c>
      <c r="C22" s="60"/>
      <c r="E22" s="61"/>
      <c r="F22" s="61"/>
      <c r="G22" s="61"/>
      <c r="H22" s="61"/>
      <c r="I22" s="61"/>
      <c r="J22" s="61"/>
      <c r="K22" s="61"/>
      <c r="L22" s="19"/>
      <c r="M22" s="19"/>
      <c r="N22" s="12">
        <f t="shared" si="3"/>
        <v>0</v>
      </c>
      <c r="O22" s="12"/>
      <c r="P22" s="137"/>
      <c r="Q22" s="137"/>
      <c r="R22" s="141"/>
      <c r="S22" s="19"/>
      <c r="T22" s="137"/>
      <c r="U22" s="137"/>
      <c r="V22" s="141"/>
      <c r="W22" s="19"/>
      <c r="X22" s="137"/>
      <c r="Y22" s="137"/>
      <c r="Z22" s="141"/>
      <c r="AA22" s="19"/>
      <c r="AB22" s="137"/>
      <c r="AC22" s="136"/>
      <c r="AD22" s="141"/>
      <c r="AE22" s="19"/>
      <c r="AF22" s="63"/>
      <c r="AG22" s="64" t="s">
        <v>100</v>
      </c>
      <c r="AH22" s="8" t="s">
        <v>128</v>
      </c>
      <c r="AI22" s="9">
        <f t="shared" si="1"/>
        <v>1.3521935289660938E-2</v>
      </c>
      <c r="AJ22" s="10">
        <f>AB51</f>
        <v>177987.375</v>
      </c>
      <c r="AK22" s="10">
        <f t="shared" si="2"/>
        <v>1338.250939849624</v>
      </c>
      <c r="AL22" s="12">
        <f t="shared" si="7"/>
        <v>1.1161392325684938</v>
      </c>
    </row>
    <row r="23" spans="1:38" s="8" customFormat="1">
      <c r="A23" s="17" t="s">
        <v>164</v>
      </c>
      <c r="B23" s="8" t="s">
        <v>14</v>
      </c>
      <c r="C23" s="60">
        <v>0.15</v>
      </c>
      <c r="D23" s="9">
        <f>L23/$L$88</f>
        <v>1.4487327819851322E-2</v>
      </c>
      <c r="E23" s="61" t="s">
        <v>194</v>
      </c>
      <c r="F23" s="61" t="s">
        <v>194</v>
      </c>
      <c r="G23" s="61" t="s">
        <v>194</v>
      </c>
      <c r="H23" s="61" t="s">
        <v>194</v>
      </c>
      <c r="I23" s="61" t="s">
        <v>194</v>
      </c>
      <c r="J23" s="61" t="s">
        <v>194</v>
      </c>
      <c r="K23" s="61" t="s">
        <v>194</v>
      </c>
      <c r="L23" s="19">
        <f t="shared" si="0"/>
        <v>10185</v>
      </c>
      <c r="M23" s="19">
        <f>1455/2</f>
        <v>727.5</v>
      </c>
      <c r="N23" s="12">
        <f t="shared" si="3"/>
        <v>0.52870639534883723</v>
      </c>
      <c r="O23" s="12"/>
      <c r="P23" s="137">
        <f t="shared" si="9"/>
        <v>712.56404433139528</v>
      </c>
      <c r="Q23" s="137">
        <f>Q$8*$N23*CMF</f>
        <v>712.56404433139528</v>
      </c>
      <c r="R23" s="141">
        <f t="shared" si="4"/>
        <v>0.59479469476744184</v>
      </c>
      <c r="S23" s="19"/>
      <c r="T23" s="137">
        <f t="shared" si="10"/>
        <v>47407.516351744191</v>
      </c>
      <c r="U23" s="137">
        <f>U$8*$N23*CMF</f>
        <v>658.4377271075582</v>
      </c>
      <c r="V23" s="141">
        <f t="shared" si="5"/>
        <v>0.59479469476744196</v>
      </c>
      <c r="W23" s="19"/>
      <c r="X23" s="137">
        <f t="shared" si="11"/>
        <v>46695.547102107557</v>
      </c>
      <c r="Y23" s="137">
        <f>Y$8*$N23*CMF</f>
        <v>765.50077216569764</v>
      </c>
      <c r="Z23" s="141">
        <f t="shared" si="6"/>
        <v>0.59479469476744184</v>
      </c>
      <c r="AA23" s="19"/>
      <c r="AB23" s="137">
        <f t="shared" si="8"/>
        <v>94103.063453851748</v>
      </c>
      <c r="AC23" s="136">
        <f>+AB23/AB$7</f>
        <v>707.54183048008838</v>
      </c>
      <c r="AD23" s="141">
        <f>+AC23/AC$8</f>
        <v>0.59010995035870595</v>
      </c>
      <c r="AE23" s="19"/>
      <c r="AF23" s="63"/>
      <c r="AG23" s="64" t="s">
        <v>101</v>
      </c>
      <c r="AH23" s="8" t="s">
        <v>129</v>
      </c>
      <c r="AI23" s="9">
        <f t="shared" si="1"/>
        <v>1.1493644996211796E-2</v>
      </c>
      <c r="AJ23" s="16">
        <f>AB52</f>
        <v>151289.26874999999</v>
      </c>
      <c r="AK23" s="10">
        <f t="shared" si="2"/>
        <v>1137.5132988721803</v>
      </c>
      <c r="AL23" s="12">
        <f t="shared" si="7"/>
        <v>0.94871834768321961</v>
      </c>
    </row>
    <row r="24" spans="1:38" s="8" customFormat="1">
      <c r="A24" s="17" t="s">
        <v>164</v>
      </c>
      <c r="B24" s="8" t="s">
        <v>15</v>
      </c>
      <c r="C24" s="60">
        <v>0.25</v>
      </c>
      <c r="D24" s="9">
        <f>L24/$L$88</f>
        <v>2.4145546366418868E-2</v>
      </c>
      <c r="E24" s="61" t="s">
        <v>194</v>
      </c>
      <c r="F24" s="61" t="s">
        <v>194</v>
      </c>
      <c r="G24" s="61" t="s">
        <v>194</v>
      </c>
      <c r="H24" s="61" t="s">
        <v>194</v>
      </c>
      <c r="I24" s="61" t="s">
        <v>194</v>
      </c>
      <c r="J24" s="61" t="s">
        <v>194</v>
      </c>
      <c r="K24" s="61" t="s">
        <v>194</v>
      </c>
      <c r="L24" s="19">
        <f t="shared" si="0"/>
        <v>16975</v>
      </c>
      <c r="M24" s="19">
        <f>2425/2</f>
        <v>1212.5</v>
      </c>
      <c r="N24" s="12">
        <f t="shared" si="3"/>
        <v>0.88117732558139539</v>
      </c>
      <c r="O24" s="12"/>
      <c r="P24" s="137">
        <f t="shared" si="9"/>
        <v>1187.6067405523256</v>
      </c>
      <c r="Q24" s="137">
        <f t="shared" ref="Q24:Q33" si="12">Q$8*$N24*CMF</f>
        <v>1187.6067405523256</v>
      </c>
      <c r="R24" s="141">
        <f t="shared" si="4"/>
        <v>0.99132449127906985</v>
      </c>
      <c r="S24" s="19"/>
      <c r="T24" s="137">
        <f t="shared" si="10"/>
        <v>79012.527252906992</v>
      </c>
      <c r="U24" s="137">
        <f t="shared" ref="U24:U33" si="13">U$8*$N24*CMF</f>
        <v>1097.3962118459303</v>
      </c>
      <c r="V24" s="141">
        <f t="shared" si="5"/>
        <v>0.99132449127906985</v>
      </c>
      <c r="W24" s="19"/>
      <c r="X24" s="137">
        <f t="shared" si="11"/>
        <v>77825.911836845931</v>
      </c>
      <c r="Y24" s="137">
        <f t="shared" ref="Y24:Y33" si="14">Y$8*$N24*CMF</f>
        <v>1275.8346202761629</v>
      </c>
      <c r="Z24" s="141">
        <f t="shared" si="6"/>
        <v>0.99132449127906985</v>
      </c>
      <c r="AA24" s="19"/>
      <c r="AB24" s="137">
        <f t="shared" si="8"/>
        <v>156838.43908975291</v>
      </c>
      <c r="AC24" s="136">
        <f>+AB24/AB$7</f>
        <v>1179.2363841334804</v>
      </c>
      <c r="AD24" s="141">
        <f>+AC24/AC$8</f>
        <v>0.98351658393117636</v>
      </c>
      <c r="AE24" s="19"/>
      <c r="AF24" s="63"/>
      <c r="AG24" s="64" t="s">
        <v>102</v>
      </c>
      <c r="AH24" s="8" t="s">
        <v>130</v>
      </c>
      <c r="AI24" s="8" t="s">
        <v>141</v>
      </c>
      <c r="AJ24" s="10"/>
      <c r="AK24" s="10">
        <f t="shared" si="2"/>
        <v>0</v>
      </c>
      <c r="AL24" s="12">
        <f t="shared" si="7"/>
        <v>0</v>
      </c>
    </row>
    <row r="25" spans="1:38" s="8" customFormat="1">
      <c r="A25" s="17" t="s">
        <v>164</v>
      </c>
      <c r="B25" s="8" t="s">
        <v>16</v>
      </c>
      <c r="C25" s="60">
        <v>0.25</v>
      </c>
      <c r="D25" s="9">
        <f>L25/$L$88</f>
        <v>2.4145546366418868E-2</v>
      </c>
      <c r="E25" s="61" t="s">
        <v>194</v>
      </c>
      <c r="F25" s="61" t="s">
        <v>194</v>
      </c>
      <c r="G25" s="61" t="s">
        <v>194</v>
      </c>
      <c r="H25" s="61" t="s">
        <v>194</v>
      </c>
      <c r="I25" s="61" t="s">
        <v>194</v>
      </c>
      <c r="J25" s="61" t="s">
        <v>194</v>
      </c>
      <c r="K25" s="61" t="s">
        <v>194</v>
      </c>
      <c r="L25" s="19">
        <f t="shared" si="0"/>
        <v>16975</v>
      </c>
      <c r="M25" s="19">
        <f>2425/2</f>
        <v>1212.5</v>
      </c>
      <c r="N25" s="12">
        <f t="shared" si="3"/>
        <v>0.88117732558139539</v>
      </c>
      <c r="O25" s="12"/>
      <c r="P25" s="137">
        <f t="shared" si="9"/>
        <v>1187.6067405523256</v>
      </c>
      <c r="Q25" s="137">
        <f t="shared" si="12"/>
        <v>1187.6067405523256</v>
      </c>
      <c r="R25" s="141">
        <f t="shared" si="4"/>
        <v>0.99132449127906985</v>
      </c>
      <c r="S25" s="19"/>
      <c r="T25" s="137">
        <f t="shared" si="10"/>
        <v>79012.527252906992</v>
      </c>
      <c r="U25" s="137">
        <f t="shared" si="13"/>
        <v>1097.3962118459303</v>
      </c>
      <c r="V25" s="141">
        <f t="shared" si="5"/>
        <v>0.99132449127906985</v>
      </c>
      <c r="W25" s="19"/>
      <c r="X25" s="137">
        <f t="shared" si="11"/>
        <v>77825.911836845931</v>
      </c>
      <c r="Y25" s="137">
        <f t="shared" si="14"/>
        <v>1275.8346202761629</v>
      </c>
      <c r="Z25" s="141">
        <f t="shared" si="6"/>
        <v>0.99132449127906985</v>
      </c>
      <c r="AA25" s="19"/>
      <c r="AB25" s="137">
        <f t="shared" si="8"/>
        <v>156838.43908975291</v>
      </c>
      <c r="AC25" s="136">
        <f>+AB25/AB$7</f>
        <v>1179.2363841334804</v>
      </c>
      <c r="AD25" s="141">
        <f>+AC25/AC$8</f>
        <v>0.98351658393117636</v>
      </c>
      <c r="AE25" s="19"/>
      <c r="AF25" s="63"/>
      <c r="AG25" s="64" t="s">
        <v>103</v>
      </c>
      <c r="AH25" s="8" t="s">
        <v>131</v>
      </c>
      <c r="AI25" s="9">
        <f t="shared" ref="AI25:AI47" si="15">AJ25/$AJ$48</f>
        <v>2.4766240998988182E-2</v>
      </c>
      <c r="AJ25" s="10">
        <f>+AB21</f>
        <v>325994.625</v>
      </c>
      <c r="AK25" s="10">
        <f t="shared" si="2"/>
        <v>2451.0874060150377</v>
      </c>
      <c r="AL25" s="12">
        <f t="shared" si="7"/>
        <v>2.0442764020142099</v>
      </c>
    </row>
    <row r="26" spans="1:38" s="8" customFormat="1">
      <c r="A26" s="17" t="s">
        <v>165</v>
      </c>
      <c r="B26" s="8" t="s">
        <v>17</v>
      </c>
      <c r="C26" s="60">
        <v>0.35</v>
      </c>
      <c r="D26" s="9">
        <f>L26/$L$88</f>
        <v>3.379380798664975E-2</v>
      </c>
      <c r="E26" s="61" t="s">
        <v>194</v>
      </c>
      <c r="F26" s="61" t="s">
        <v>194</v>
      </c>
      <c r="G26" s="61" t="s">
        <v>194</v>
      </c>
      <c r="H26" s="61" t="s">
        <v>194</v>
      </c>
      <c r="I26" s="61" t="s">
        <v>194</v>
      </c>
      <c r="J26" s="61" t="s">
        <v>194</v>
      </c>
      <c r="K26" s="61" t="s">
        <v>194</v>
      </c>
      <c r="L26" s="19">
        <f t="shared" si="0"/>
        <v>23758</v>
      </c>
      <c r="M26" s="19">
        <f>3394/2</f>
        <v>1697</v>
      </c>
      <c r="N26" s="12">
        <f t="shared" si="3"/>
        <v>1.2332848837209303</v>
      </c>
      <c r="O26" s="12"/>
      <c r="P26" s="137">
        <f t="shared" si="9"/>
        <v>1662.1597020348836</v>
      </c>
      <c r="Q26" s="137">
        <f t="shared" si="12"/>
        <v>1662.1597020348836</v>
      </c>
      <c r="R26" s="141">
        <f t="shared" si="4"/>
        <v>1.3874454941860463</v>
      </c>
      <c r="S26" s="19"/>
      <c r="T26" s="137">
        <f t="shared" si="10"/>
        <v>110584.95566860467</v>
      </c>
      <c r="U26" s="137">
        <f t="shared" si="13"/>
        <v>1535.9021620639537</v>
      </c>
      <c r="V26" s="141">
        <f t="shared" si="5"/>
        <v>1.3874454941860468</v>
      </c>
      <c r="W26" s="19"/>
      <c r="X26" s="137">
        <f t="shared" si="11"/>
        <v>108924.18341206397</v>
      </c>
      <c r="Y26" s="137">
        <f t="shared" si="14"/>
        <v>1785.642351017442</v>
      </c>
      <c r="Z26" s="141">
        <f t="shared" si="6"/>
        <v>1.3874454941860466</v>
      </c>
      <c r="AA26" s="19"/>
      <c r="AB26" s="137">
        <f t="shared" si="8"/>
        <v>219509.13908066862</v>
      </c>
      <c r="AC26" s="136">
        <f>+AB26/AB$7</f>
        <v>1650.4446547418693</v>
      </c>
      <c r="AD26" s="141">
        <f>+AC26/AC$8</f>
        <v>1.3765176436546032</v>
      </c>
      <c r="AE26" s="19"/>
      <c r="AF26" s="63"/>
      <c r="AG26" s="64" t="s">
        <v>104</v>
      </c>
      <c r="AH26" s="8" t="s">
        <v>140</v>
      </c>
      <c r="AI26" s="9">
        <f t="shared" si="15"/>
        <v>4.6889734268099137E-3</v>
      </c>
      <c r="AJ26" s="8">
        <f>+AB37+AB38</f>
        <v>61720.3125</v>
      </c>
      <c r="AK26" s="10">
        <f t="shared" si="2"/>
        <v>464.0625</v>
      </c>
      <c r="AL26" s="12">
        <f t="shared" si="7"/>
        <v>0.38704128440366975</v>
      </c>
    </row>
    <row r="27" spans="1:38" s="8" customFormat="1">
      <c r="A27" s="17"/>
      <c r="B27" s="23" t="s">
        <v>18</v>
      </c>
      <c r="C27" s="60"/>
      <c r="E27" s="67"/>
      <c r="F27" s="67"/>
      <c r="G27" s="67"/>
      <c r="H27" s="67"/>
      <c r="I27" s="67"/>
      <c r="J27" s="67"/>
      <c r="K27" s="67"/>
      <c r="L27" s="19"/>
      <c r="M27" s="19"/>
      <c r="N27" s="12"/>
      <c r="O27" s="12"/>
      <c r="P27" s="137"/>
      <c r="Q27" s="137"/>
      <c r="R27" s="141"/>
      <c r="S27" s="19"/>
      <c r="T27" s="137"/>
      <c r="U27" s="137"/>
      <c r="V27" s="141"/>
      <c r="W27" s="19"/>
      <c r="X27" s="137"/>
      <c r="Y27" s="137"/>
      <c r="Z27" s="141"/>
      <c r="AA27" s="19"/>
      <c r="AB27" s="137"/>
      <c r="AC27" s="136"/>
      <c r="AD27" s="141"/>
      <c r="AE27" s="19"/>
      <c r="AF27" s="63"/>
      <c r="AG27" s="64" t="s">
        <v>105</v>
      </c>
      <c r="AH27" s="8" t="s">
        <v>132</v>
      </c>
      <c r="AI27" s="9">
        <f t="shared" si="15"/>
        <v>0</v>
      </c>
      <c r="AJ27" s="10">
        <v>0</v>
      </c>
      <c r="AK27" s="10">
        <f t="shared" si="2"/>
        <v>0</v>
      </c>
      <c r="AL27" s="12">
        <f t="shared" si="7"/>
        <v>0</v>
      </c>
    </row>
    <row r="28" spans="1:38" s="8" customFormat="1">
      <c r="A28" s="17" t="s">
        <v>164</v>
      </c>
      <c r="B28" s="8" t="s">
        <v>67</v>
      </c>
      <c r="C28" s="60"/>
      <c r="D28" s="9">
        <f t="shared" ref="D28:D35" si="16">L28/$L$88</f>
        <v>6.4909202788735923E-2</v>
      </c>
      <c r="E28" s="61" t="s">
        <v>194</v>
      </c>
      <c r="F28" s="61" t="s">
        <v>194</v>
      </c>
      <c r="G28" s="61" t="s">
        <v>194</v>
      </c>
      <c r="H28" s="61" t="s">
        <v>194</v>
      </c>
      <c r="I28" s="61" t="s">
        <v>194</v>
      </c>
      <c r="J28" s="61" t="s">
        <v>194</v>
      </c>
      <c r="K28" s="61" t="s">
        <v>194</v>
      </c>
      <c r="L28" s="19">
        <f t="shared" si="0"/>
        <v>45633</v>
      </c>
      <c r="M28" s="68">
        <f>(2975+(24808/7))/2</f>
        <v>3259.5</v>
      </c>
      <c r="N28" s="12">
        <f t="shared" si="3"/>
        <v>2.3688226744186047</v>
      </c>
      <c r="O28" s="12"/>
      <c r="P28" s="137">
        <f t="shared" si="9"/>
        <v>3192.5807594476746</v>
      </c>
      <c r="Q28" s="137">
        <f t="shared" si="12"/>
        <v>3192.5807594476746</v>
      </c>
      <c r="R28" s="141">
        <f t="shared" si="4"/>
        <v>2.6649255087209305</v>
      </c>
      <c r="S28" s="19"/>
      <c r="T28" s="137">
        <f t="shared" si="10"/>
        <v>212405.22274709304</v>
      </c>
      <c r="U28" s="137">
        <f t="shared" si="13"/>
        <v>2950.0725381540701</v>
      </c>
      <c r="V28" s="141">
        <f t="shared" si="5"/>
        <v>2.6649255087209305</v>
      </c>
      <c r="W28" s="19"/>
      <c r="X28" s="137">
        <f t="shared" si="11"/>
        <v>209215.30691315408</v>
      </c>
      <c r="Y28" s="137">
        <f t="shared" si="14"/>
        <v>3429.7591297238373</v>
      </c>
      <c r="Z28" s="141">
        <f t="shared" si="6"/>
        <v>2.6649255087209305</v>
      </c>
      <c r="AA28" s="19"/>
      <c r="AB28" s="137">
        <f t="shared" si="8"/>
        <v>421620.52966024715</v>
      </c>
      <c r="AC28" s="136">
        <f t="shared" ref="AC28:AC35" si="17">+AB28/AB$7</f>
        <v>3170.0791703777982</v>
      </c>
      <c r="AD28" s="141">
        <f t="shared" ref="AD28:AD35" si="18">+AC28/AC$8</f>
        <v>2.6439359219164289</v>
      </c>
      <c r="AE28" s="19"/>
      <c r="AF28" s="63"/>
      <c r="AG28" s="64" t="s">
        <v>106</v>
      </c>
      <c r="AH28" s="8" t="s">
        <v>133</v>
      </c>
      <c r="AI28" s="9">
        <f t="shared" si="15"/>
        <v>4.8589541453291071E-2</v>
      </c>
      <c r="AJ28" s="10">
        <f>+AB54+AB55</f>
        <v>639577.4532612646</v>
      </c>
      <c r="AK28" s="10">
        <f t="shared" si="2"/>
        <v>4808.853032039583</v>
      </c>
      <c r="AL28" s="12">
        <f t="shared" si="7"/>
        <v>4.0107197931939815</v>
      </c>
    </row>
    <row r="29" spans="1:38" s="8" customFormat="1">
      <c r="A29" s="17" t="s">
        <v>164</v>
      </c>
      <c r="B29" s="8" t="s">
        <v>200</v>
      </c>
      <c r="C29" s="60"/>
      <c r="D29" s="9">
        <f t="shared" si="16"/>
        <v>5.8226682798783881E-2</v>
      </c>
      <c r="E29" s="61" t="s">
        <v>194</v>
      </c>
      <c r="F29" s="61" t="s">
        <v>194</v>
      </c>
      <c r="G29" s="61" t="s">
        <v>194</v>
      </c>
      <c r="H29" s="61" t="s">
        <v>194</v>
      </c>
      <c r="I29" s="61" t="s">
        <v>194</v>
      </c>
      <c r="J29" s="61" t="s">
        <v>194</v>
      </c>
      <c r="K29" s="61" t="s">
        <v>194</v>
      </c>
      <c r="L29" s="19">
        <f t="shared" si="0"/>
        <v>40935</v>
      </c>
      <c r="M29" s="68">
        <f>(2465+(23680/7))/2</f>
        <v>2923.9285714285716</v>
      </c>
      <c r="N29" s="12">
        <f t="shared" si="3"/>
        <v>2.1249480897009967</v>
      </c>
      <c r="O29" s="12"/>
      <c r="P29" s="137">
        <f t="shared" si="9"/>
        <v>2863.8987878945181</v>
      </c>
      <c r="Q29" s="137">
        <f t="shared" si="12"/>
        <v>2863.8987878945181</v>
      </c>
      <c r="R29" s="141">
        <f t="shared" si="4"/>
        <v>2.3905666009136213</v>
      </c>
      <c r="S29" s="19"/>
      <c r="T29" s="137">
        <f t="shared" si="10"/>
        <v>190537.72035921927</v>
      </c>
      <c r="U29" s="137">
        <f t="shared" si="13"/>
        <v>2646.3572272113788</v>
      </c>
      <c r="V29" s="141">
        <f t="shared" si="5"/>
        <v>2.3905666009136213</v>
      </c>
      <c r="W29" s="19"/>
      <c r="X29" s="137">
        <f t="shared" si="11"/>
        <v>187676.21213792567</v>
      </c>
      <c r="Y29" s="137">
        <f t="shared" si="14"/>
        <v>3076.6592153758306</v>
      </c>
      <c r="Z29" s="141">
        <f t="shared" si="6"/>
        <v>2.3905666009136213</v>
      </c>
      <c r="AA29" s="19"/>
      <c r="AB29" s="137">
        <f t="shared" si="8"/>
        <v>378213.93249714491</v>
      </c>
      <c r="AC29" s="136">
        <f t="shared" si="17"/>
        <v>2843.7137781740221</v>
      </c>
      <c r="AD29" s="141">
        <f t="shared" si="18"/>
        <v>2.3717379300867574</v>
      </c>
      <c r="AE29" s="19"/>
      <c r="AF29" s="63"/>
      <c r="AG29" s="64" t="s">
        <v>107</v>
      </c>
      <c r="AH29" s="8" t="s">
        <v>145</v>
      </c>
      <c r="AI29" s="9">
        <f t="shared" si="15"/>
        <v>2.515381414901954E-2</v>
      </c>
      <c r="AJ29" s="10">
        <f>+AB56+SUM(AB58:AB60)+AB72</f>
        <v>331096.19708393893</v>
      </c>
      <c r="AK29" s="10">
        <f t="shared" si="2"/>
        <v>2489.4450908566837</v>
      </c>
      <c r="AL29" s="12">
        <f t="shared" si="7"/>
        <v>2.0762677988796359</v>
      </c>
    </row>
    <row r="30" spans="1:38" s="8" customFormat="1">
      <c r="A30" s="17" t="s">
        <v>164</v>
      </c>
      <c r="B30" s="8" t="s">
        <v>19</v>
      </c>
      <c r="C30" s="60"/>
      <c r="D30" s="9">
        <f t="shared" si="16"/>
        <v>0.13193923088718204</v>
      </c>
      <c r="E30" s="61" t="s">
        <v>194</v>
      </c>
      <c r="F30" s="61" t="s">
        <v>194</v>
      </c>
      <c r="G30" s="61" t="s">
        <v>194</v>
      </c>
      <c r="H30" s="61" t="s">
        <v>194</v>
      </c>
      <c r="I30" s="61" t="s">
        <v>194</v>
      </c>
      <c r="J30" s="61" t="s">
        <v>194</v>
      </c>
      <c r="K30" s="61" t="s">
        <v>194</v>
      </c>
      <c r="L30" s="19">
        <f t="shared" si="0"/>
        <v>92757</v>
      </c>
      <c r="M30" s="68">
        <f>13251/2</f>
        <v>6625.5</v>
      </c>
      <c r="N30" s="12">
        <f t="shared" si="3"/>
        <v>4.8150436046511631</v>
      </c>
      <c r="O30" s="12"/>
      <c r="P30" s="137">
        <f t="shared" si="9"/>
        <v>6489.4750181686049</v>
      </c>
      <c r="Q30" s="137">
        <f t="shared" si="12"/>
        <v>6489.4750181686049</v>
      </c>
      <c r="R30" s="141">
        <f t="shared" si="4"/>
        <v>5.4169240552325588</v>
      </c>
      <c r="S30" s="19"/>
      <c r="T30" s="137">
        <f t="shared" si="10"/>
        <v>431750.51489825587</v>
      </c>
      <c r="U30" s="137">
        <f t="shared" si="13"/>
        <v>5996.5349291424427</v>
      </c>
      <c r="V30" s="141">
        <f t="shared" si="5"/>
        <v>5.4169240552325588</v>
      </c>
      <c r="W30" s="19"/>
      <c r="X30" s="137">
        <f t="shared" si="11"/>
        <v>425266.45680414245</v>
      </c>
      <c r="Y30" s="137">
        <f t="shared" si="14"/>
        <v>6971.5812590843025</v>
      </c>
      <c r="Z30" s="141">
        <f t="shared" si="6"/>
        <v>5.4169240552325579</v>
      </c>
      <c r="AA30" s="19"/>
      <c r="AB30" s="137">
        <f t="shared" si="8"/>
        <v>857016.97170239827</v>
      </c>
      <c r="AC30" s="136">
        <f t="shared" si="17"/>
        <v>6443.7366293413406</v>
      </c>
      <c r="AD30" s="141">
        <f t="shared" si="18"/>
        <v>5.3742590736791831</v>
      </c>
      <c r="AE30" s="19"/>
      <c r="AF30" s="63"/>
      <c r="AG30" s="64" t="s">
        <v>108</v>
      </c>
      <c r="AH30" s="8" t="s">
        <v>134</v>
      </c>
      <c r="AI30" s="9">
        <f t="shared" si="15"/>
        <v>1.9324254122610553E-2</v>
      </c>
      <c r="AJ30" s="10">
        <f>AB66+AB67</f>
        <v>254362.5</v>
      </c>
      <c r="AK30" s="10">
        <f t="shared" si="2"/>
        <v>1912.5</v>
      </c>
      <c r="AL30" s="12">
        <f t="shared" si="7"/>
        <v>1.5950792326939116</v>
      </c>
    </row>
    <row r="31" spans="1:38" s="8" customFormat="1">
      <c r="A31" s="17" t="s">
        <v>164</v>
      </c>
      <c r="B31" s="8" t="s">
        <v>20</v>
      </c>
      <c r="C31" s="60"/>
      <c r="D31" s="9">
        <f t="shared" si="16"/>
        <v>0</v>
      </c>
      <c r="E31" s="61" t="s">
        <v>194</v>
      </c>
      <c r="F31" s="61" t="s">
        <v>194</v>
      </c>
      <c r="G31" s="61" t="s">
        <v>194</v>
      </c>
      <c r="H31" s="61" t="s">
        <v>194</v>
      </c>
      <c r="I31" s="61" t="s">
        <v>194</v>
      </c>
      <c r="J31" s="61" t="s">
        <v>194</v>
      </c>
      <c r="K31" s="61" t="s">
        <v>194</v>
      </c>
      <c r="L31" s="19">
        <f t="shared" si="0"/>
        <v>0</v>
      </c>
      <c r="M31" s="19"/>
      <c r="N31" s="12">
        <f t="shared" si="3"/>
        <v>0</v>
      </c>
      <c r="O31" s="12"/>
      <c r="P31" s="137">
        <f t="shared" si="9"/>
        <v>0</v>
      </c>
      <c r="Q31" s="137">
        <f t="shared" si="12"/>
        <v>0</v>
      </c>
      <c r="R31" s="141">
        <f t="shared" si="4"/>
        <v>0</v>
      </c>
      <c r="S31" s="19"/>
      <c r="T31" s="137">
        <f t="shared" si="10"/>
        <v>0</v>
      </c>
      <c r="U31" s="137">
        <f t="shared" si="13"/>
        <v>0</v>
      </c>
      <c r="V31" s="141">
        <f t="shared" si="5"/>
        <v>0</v>
      </c>
      <c r="W31" s="19"/>
      <c r="X31" s="137">
        <f t="shared" si="11"/>
        <v>0</v>
      </c>
      <c r="Y31" s="137">
        <f t="shared" si="14"/>
        <v>0</v>
      </c>
      <c r="Z31" s="141">
        <f t="shared" si="6"/>
        <v>0</v>
      </c>
      <c r="AA31" s="19"/>
      <c r="AB31" s="137">
        <f t="shared" si="8"/>
        <v>0</v>
      </c>
      <c r="AC31" s="136">
        <f t="shared" si="17"/>
        <v>0</v>
      </c>
      <c r="AD31" s="141">
        <f t="shared" si="18"/>
        <v>0</v>
      </c>
      <c r="AE31" s="19"/>
      <c r="AF31" s="63"/>
      <c r="AG31" s="64" t="s">
        <v>109</v>
      </c>
      <c r="AH31" s="8" t="s">
        <v>135</v>
      </c>
      <c r="AI31" s="9">
        <f t="shared" si="15"/>
        <v>0</v>
      </c>
      <c r="AJ31" s="10">
        <v>0</v>
      </c>
      <c r="AK31" s="10">
        <f t="shared" si="2"/>
        <v>0</v>
      </c>
      <c r="AL31" s="12">
        <f t="shared" si="7"/>
        <v>0</v>
      </c>
    </row>
    <row r="32" spans="1:38" s="8" customFormat="1">
      <c r="A32" s="17" t="s">
        <v>164</v>
      </c>
      <c r="B32" s="8" t="s">
        <v>21</v>
      </c>
      <c r="C32" s="60"/>
      <c r="D32" s="9">
        <f t="shared" si="16"/>
        <v>0</v>
      </c>
      <c r="E32" s="61" t="s">
        <v>194</v>
      </c>
      <c r="F32" s="61" t="s">
        <v>194</v>
      </c>
      <c r="G32" s="61" t="s">
        <v>194</v>
      </c>
      <c r="H32" s="61" t="s">
        <v>194</v>
      </c>
      <c r="I32" s="61" t="s">
        <v>194</v>
      </c>
      <c r="J32" s="61" t="s">
        <v>194</v>
      </c>
      <c r="K32" s="61" t="s">
        <v>194</v>
      </c>
      <c r="L32" s="19">
        <f t="shared" si="0"/>
        <v>0</v>
      </c>
      <c r="M32" s="19"/>
      <c r="N32" s="12">
        <f t="shared" si="3"/>
        <v>0</v>
      </c>
      <c r="O32" s="12"/>
      <c r="P32" s="137">
        <f t="shared" si="9"/>
        <v>0</v>
      </c>
      <c r="Q32" s="137">
        <f t="shared" si="12"/>
        <v>0</v>
      </c>
      <c r="R32" s="141">
        <f t="shared" si="4"/>
        <v>0</v>
      </c>
      <c r="S32" s="19"/>
      <c r="T32" s="137">
        <f t="shared" si="10"/>
        <v>0</v>
      </c>
      <c r="U32" s="137">
        <f t="shared" si="13"/>
        <v>0</v>
      </c>
      <c r="V32" s="141">
        <f t="shared" si="5"/>
        <v>0</v>
      </c>
      <c r="W32" s="19"/>
      <c r="X32" s="137">
        <f t="shared" si="11"/>
        <v>0</v>
      </c>
      <c r="Y32" s="137">
        <f t="shared" si="14"/>
        <v>0</v>
      </c>
      <c r="Z32" s="141">
        <f t="shared" si="6"/>
        <v>0</v>
      </c>
      <c r="AA32" s="19"/>
      <c r="AB32" s="137">
        <f t="shared" si="8"/>
        <v>0</v>
      </c>
      <c r="AC32" s="136">
        <f t="shared" si="17"/>
        <v>0</v>
      </c>
      <c r="AD32" s="141">
        <f t="shared" si="18"/>
        <v>0</v>
      </c>
      <c r="AE32" s="19"/>
      <c r="AF32" s="63"/>
      <c r="AG32" s="64" t="s">
        <v>110</v>
      </c>
      <c r="AH32" s="8" t="s">
        <v>136</v>
      </c>
      <c r="AI32" s="9">
        <f t="shared" si="15"/>
        <v>1.1178198686038749E-2</v>
      </c>
      <c r="AJ32" s="10">
        <f>AB63+AB64</f>
        <v>147137.09234193314</v>
      </c>
      <c r="AK32" s="10">
        <f t="shared" si="2"/>
        <v>1106.2939273829559</v>
      </c>
      <c r="AL32" s="12">
        <f t="shared" si="7"/>
        <v>0.92268050657460876</v>
      </c>
    </row>
    <row r="33" spans="1:38" s="8" customFormat="1">
      <c r="A33" s="17" t="s">
        <v>165</v>
      </c>
      <c r="B33" s="8" t="s">
        <v>22</v>
      </c>
      <c r="C33" s="60"/>
      <c r="D33" s="9">
        <f t="shared" si="16"/>
        <v>0</v>
      </c>
      <c r="E33" s="61" t="s">
        <v>194</v>
      </c>
      <c r="F33" s="61" t="s">
        <v>194</v>
      </c>
      <c r="G33" s="61" t="s">
        <v>194</v>
      </c>
      <c r="H33" s="61" t="s">
        <v>194</v>
      </c>
      <c r="I33" s="61" t="s">
        <v>194</v>
      </c>
      <c r="J33" s="61" t="s">
        <v>194</v>
      </c>
      <c r="K33" s="61" t="s">
        <v>194</v>
      </c>
      <c r="L33" s="19">
        <f t="shared" si="0"/>
        <v>0</v>
      </c>
      <c r="N33" s="12">
        <f t="shared" si="3"/>
        <v>0</v>
      </c>
      <c r="O33" s="12"/>
      <c r="P33" s="137">
        <f t="shared" si="9"/>
        <v>0</v>
      </c>
      <c r="Q33" s="137">
        <f t="shared" si="12"/>
        <v>0</v>
      </c>
      <c r="R33" s="141">
        <f t="shared" si="4"/>
        <v>0</v>
      </c>
      <c r="S33" s="19"/>
      <c r="T33" s="137">
        <f t="shared" si="10"/>
        <v>0</v>
      </c>
      <c r="U33" s="137">
        <f t="shared" si="13"/>
        <v>0</v>
      </c>
      <c r="V33" s="141">
        <f t="shared" si="5"/>
        <v>0</v>
      </c>
      <c r="W33" s="19"/>
      <c r="X33" s="137">
        <f t="shared" si="11"/>
        <v>0</v>
      </c>
      <c r="Y33" s="137">
        <f t="shared" si="14"/>
        <v>0</v>
      </c>
      <c r="Z33" s="141">
        <f t="shared" si="6"/>
        <v>0</v>
      </c>
      <c r="AA33" s="19"/>
      <c r="AB33" s="137">
        <f t="shared" si="8"/>
        <v>0</v>
      </c>
      <c r="AC33" s="136">
        <f t="shared" si="17"/>
        <v>0</v>
      </c>
      <c r="AD33" s="141">
        <f t="shared" si="18"/>
        <v>0</v>
      </c>
      <c r="AE33" s="19"/>
      <c r="AF33" s="63"/>
      <c r="AG33" s="64" t="s">
        <v>111</v>
      </c>
      <c r="AH33" s="8" t="s">
        <v>137</v>
      </c>
      <c r="AI33" s="9">
        <f t="shared" si="15"/>
        <v>0</v>
      </c>
      <c r="AJ33" s="10">
        <v>0</v>
      </c>
      <c r="AK33" s="10">
        <f t="shared" si="2"/>
        <v>0</v>
      </c>
      <c r="AL33" s="12">
        <f t="shared" si="7"/>
        <v>0</v>
      </c>
    </row>
    <row r="34" spans="1:38" s="8" customFormat="1">
      <c r="A34" s="17" t="s">
        <v>166</v>
      </c>
      <c r="B34" s="8" t="s">
        <v>23</v>
      </c>
      <c r="C34" s="60"/>
      <c r="D34" s="9">
        <f t="shared" si="16"/>
        <v>8.9014921449808125E-3</v>
      </c>
      <c r="E34" s="61" t="s">
        <v>194</v>
      </c>
      <c r="F34" s="61" t="s">
        <v>194</v>
      </c>
      <c r="G34" s="61" t="s">
        <v>194</v>
      </c>
      <c r="H34" s="61" t="s">
        <v>194</v>
      </c>
      <c r="I34" s="61" t="s">
        <v>194</v>
      </c>
      <c r="J34" s="61" t="s">
        <v>194</v>
      </c>
      <c r="K34" s="61" t="s">
        <v>194</v>
      </c>
      <c r="L34" s="19">
        <f t="shared" si="0"/>
        <v>6258</v>
      </c>
      <c r="M34" s="19">
        <f>894/2</f>
        <v>447</v>
      </c>
      <c r="N34" s="12">
        <f t="shared" si="3"/>
        <v>0.32485465116279072</v>
      </c>
      <c r="O34" s="12"/>
      <c r="P34" s="137">
        <f t="shared" si="9"/>
        <v>348.75</v>
      </c>
      <c r="Q34" s="137">
        <f>(120+80+70+40)*CMF</f>
        <v>348.75</v>
      </c>
      <c r="R34" s="141">
        <f t="shared" si="4"/>
        <v>0.291110183639399</v>
      </c>
      <c r="S34" s="19"/>
      <c r="T34" s="137">
        <f t="shared" si="10"/>
        <v>43740</v>
      </c>
      <c r="U34" s="137">
        <f>(120+3*70+2*65+2*40)*CMF</f>
        <v>607.5</v>
      </c>
      <c r="V34" s="141">
        <f t="shared" si="5"/>
        <v>0.54878048780487809</v>
      </c>
      <c r="W34" s="19"/>
      <c r="X34" s="137">
        <f t="shared" si="11"/>
        <v>45978.75</v>
      </c>
      <c r="Y34" s="137">
        <f>(120+4*80+70+4*40)*CMF</f>
        <v>753.75</v>
      </c>
      <c r="Z34" s="141">
        <f t="shared" si="6"/>
        <v>0.58566433566433562</v>
      </c>
      <c r="AA34" s="19"/>
      <c r="AB34" s="137">
        <f t="shared" si="8"/>
        <v>89718.75</v>
      </c>
      <c r="AC34" s="136">
        <f t="shared" si="17"/>
        <v>674.57706766917295</v>
      </c>
      <c r="AD34" s="141">
        <f t="shared" si="18"/>
        <v>0.56261640339380559</v>
      </c>
      <c r="AE34" s="19"/>
      <c r="AF34" s="63"/>
      <c r="AG34" s="64" t="s">
        <v>112</v>
      </c>
      <c r="AH34" s="8" t="s">
        <v>49</v>
      </c>
      <c r="AI34" s="9">
        <f t="shared" si="15"/>
        <v>1.0230487476676176E-2</v>
      </c>
      <c r="AJ34" s="10">
        <f>+AB70</f>
        <v>134662.5</v>
      </c>
      <c r="AK34" s="10">
        <f t="shared" si="2"/>
        <v>1012.5</v>
      </c>
      <c r="AL34" s="12">
        <f t="shared" si="7"/>
        <v>0.84445371142618852</v>
      </c>
    </row>
    <row r="35" spans="1:38" s="8" customFormat="1">
      <c r="A35" s="17" t="s">
        <v>164</v>
      </c>
      <c r="B35" s="8" t="s">
        <v>24</v>
      </c>
      <c r="C35" s="60"/>
      <c r="D35" s="9">
        <f t="shared" si="16"/>
        <v>5.9741558020005451E-3</v>
      </c>
      <c r="E35" s="61" t="s">
        <v>194</v>
      </c>
      <c r="F35" s="61" t="s">
        <v>194</v>
      </c>
      <c r="G35" s="61" t="s">
        <v>194</v>
      </c>
      <c r="H35" s="61" t="s">
        <v>194</v>
      </c>
      <c r="I35" s="61" t="s">
        <v>194</v>
      </c>
      <c r="J35" s="61" t="s">
        <v>194</v>
      </c>
      <c r="K35" s="61" t="s">
        <v>194</v>
      </c>
      <c r="L35" s="19">
        <f t="shared" si="0"/>
        <v>4200</v>
      </c>
      <c r="M35" s="69">
        <f>600/2</f>
        <v>300</v>
      </c>
      <c r="N35" s="12">
        <f t="shared" si="3"/>
        <v>0.21802325581395349</v>
      </c>
      <c r="O35" s="12"/>
      <c r="P35" s="137">
        <f t="shared" si="9"/>
        <v>582.75</v>
      </c>
      <c r="Q35" s="137">
        <f>((75+46+13)*2+180+70)*CMF</f>
        <v>582.75</v>
      </c>
      <c r="R35" s="141">
        <f t="shared" si="4"/>
        <v>0.48643572621035058</v>
      </c>
      <c r="S35" s="19"/>
      <c r="T35" s="137">
        <f t="shared" si="10"/>
        <v>41958</v>
      </c>
      <c r="U35" s="137">
        <f>((75+46+13)*2+180+70)*CMF</f>
        <v>582.75</v>
      </c>
      <c r="V35" s="141">
        <f t="shared" si="5"/>
        <v>0.52642276422764223</v>
      </c>
      <c r="W35" s="19"/>
      <c r="X35" s="137">
        <f t="shared" si="11"/>
        <v>35547.75</v>
      </c>
      <c r="Y35" s="137">
        <f>((75+46+13)*2+180+70)*CMF</f>
        <v>582.75</v>
      </c>
      <c r="Z35" s="141">
        <f t="shared" si="6"/>
        <v>0.45279720279720281</v>
      </c>
      <c r="AA35" s="19"/>
      <c r="AB35" s="137">
        <f t="shared" si="8"/>
        <v>77505.75</v>
      </c>
      <c r="AC35" s="136">
        <f t="shared" si="17"/>
        <v>582.75</v>
      </c>
      <c r="AD35" s="141">
        <f t="shared" si="18"/>
        <v>0.48603002502085069</v>
      </c>
      <c r="AE35" s="19"/>
      <c r="AF35" s="63"/>
      <c r="AG35" s="64" t="s">
        <v>113</v>
      </c>
      <c r="AH35" s="8" t="s">
        <v>138</v>
      </c>
      <c r="AI35" s="9">
        <f t="shared" si="15"/>
        <v>1.6496761053386343E-2</v>
      </c>
      <c r="AJ35" s="10">
        <f>+AB71</f>
        <v>217144.59749999997</v>
      </c>
      <c r="AK35" s="10">
        <f t="shared" si="2"/>
        <v>1632.6661466165413</v>
      </c>
      <c r="AL35" s="12">
        <f t="shared" si="7"/>
        <v>1.3616898637335624</v>
      </c>
    </row>
    <row r="36" spans="1:38" s="8" customFormat="1">
      <c r="A36" s="17"/>
      <c r="B36" s="23" t="s">
        <v>218</v>
      </c>
      <c r="C36" s="60"/>
      <c r="D36" s="9"/>
      <c r="E36" s="61"/>
      <c r="F36" s="61"/>
      <c r="G36" s="61"/>
      <c r="H36" s="61"/>
      <c r="I36" s="61"/>
      <c r="J36" s="61"/>
      <c r="K36" s="61"/>
      <c r="L36" s="19"/>
      <c r="M36" s="19"/>
      <c r="N36" s="12"/>
      <c r="O36" s="12"/>
      <c r="P36" s="137"/>
      <c r="Q36" s="137"/>
      <c r="R36" s="141"/>
      <c r="S36" s="19"/>
      <c r="T36" s="137"/>
      <c r="U36" s="137"/>
      <c r="V36" s="141"/>
      <c r="W36" s="19"/>
      <c r="X36" s="137"/>
      <c r="Y36" s="137"/>
      <c r="Z36" s="141"/>
      <c r="AA36" s="19"/>
      <c r="AB36" s="137"/>
      <c r="AC36" s="136"/>
      <c r="AD36" s="141"/>
      <c r="AE36" s="19"/>
      <c r="AF36" s="63"/>
      <c r="AG36" s="64" t="s">
        <v>114</v>
      </c>
      <c r="AH36" s="8" t="s">
        <v>139</v>
      </c>
      <c r="AI36" s="9">
        <f t="shared" si="15"/>
        <v>3.8364328037535657E-3</v>
      </c>
      <c r="AJ36" s="10">
        <f>SUM(AB73:AB76)</f>
        <v>50498.4375</v>
      </c>
      <c r="AK36" s="10">
        <f t="shared" si="2"/>
        <v>379.6875</v>
      </c>
      <c r="AL36" s="12">
        <f t="shared" si="7"/>
        <v>0.31667014178482067</v>
      </c>
    </row>
    <row r="37" spans="1:38" s="8" customFormat="1">
      <c r="A37" s="17" t="s">
        <v>219</v>
      </c>
      <c r="B37" s="8" t="s">
        <v>26</v>
      </c>
      <c r="C37" s="60"/>
      <c r="D37" s="9"/>
      <c r="E37" s="61"/>
      <c r="F37" s="61"/>
      <c r="G37" s="61"/>
      <c r="H37" s="61"/>
      <c r="I37" s="61"/>
      <c r="J37" s="61"/>
      <c r="K37" s="61"/>
      <c r="L37" s="19">
        <v>0</v>
      </c>
      <c r="M37" s="19">
        <v>0</v>
      </c>
      <c r="N37" s="12"/>
      <c r="O37" s="12"/>
      <c r="P37" s="137">
        <f t="shared" si="9"/>
        <v>168.75</v>
      </c>
      <c r="Q37" s="137">
        <f>(28-3)*3*2*CMF</f>
        <v>168.75</v>
      </c>
      <c r="R37" s="141">
        <f t="shared" si="4"/>
        <v>0.14085976627712854</v>
      </c>
      <c r="S37" s="19"/>
      <c r="T37" s="137">
        <f t="shared" si="10"/>
        <v>12150</v>
      </c>
      <c r="U37" s="137">
        <f>(28-3)*3*2*CMF</f>
        <v>168.75</v>
      </c>
      <c r="V37" s="141">
        <f t="shared" si="5"/>
        <v>0.1524390243902439</v>
      </c>
      <c r="W37" s="19"/>
      <c r="X37" s="137">
        <f t="shared" si="11"/>
        <v>10293.75</v>
      </c>
      <c r="Y37" s="137">
        <f>(28-3)*3*2*CMF</f>
        <v>168.75</v>
      </c>
      <c r="Z37" s="141">
        <f t="shared" si="6"/>
        <v>0.13111888111888112</v>
      </c>
      <c r="AA37" s="19"/>
      <c r="AB37" s="137">
        <f t="shared" si="8"/>
        <v>22443.75</v>
      </c>
      <c r="AC37" s="136">
        <f>+AB37/AB$7</f>
        <v>168.75</v>
      </c>
      <c r="AD37" s="141">
        <f>+AC37/AC$8</f>
        <v>0.14074228523769808</v>
      </c>
      <c r="AE37" s="19"/>
      <c r="AF37" s="63"/>
      <c r="AG37" s="64" t="s">
        <v>115</v>
      </c>
      <c r="AH37" s="8" t="s">
        <v>47</v>
      </c>
      <c r="AI37" s="9">
        <f t="shared" si="15"/>
        <v>6.9707418565838324E-3</v>
      </c>
      <c r="AJ37" s="10">
        <f>+AB68</f>
        <v>91754.916606104642</v>
      </c>
      <c r="AK37" s="10">
        <f t="shared" si="2"/>
        <v>689.88659102334316</v>
      </c>
      <c r="AL37" s="12">
        <f t="shared" si="7"/>
        <v>0.57538498000278826</v>
      </c>
    </row>
    <row r="38" spans="1:38" s="8" customFormat="1">
      <c r="A38" s="17" t="s">
        <v>219</v>
      </c>
      <c r="B38" s="8" t="s">
        <v>27</v>
      </c>
      <c r="C38" s="60"/>
      <c r="D38" s="9"/>
      <c r="E38" s="61"/>
      <c r="F38" s="61"/>
      <c r="G38" s="61"/>
      <c r="H38" s="61"/>
      <c r="I38" s="61"/>
      <c r="J38" s="61"/>
      <c r="K38" s="61"/>
      <c r="L38" s="19">
        <v>0</v>
      </c>
      <c r="M38" s="19">
        <v>0</v>
      </c>
      <c r="N38" s="12"/>
      <c r="O38" s="12"/>
      <c r="P38" s="137">
        <f t="shared" si="9"/>
        <v>295.3125</v>
      </c>
      <c r="Q38" s="137">
        <f>(28-3)*3*3.5*CMF</f>
        <v>295.3125</v>
      </c>
      <c r="R38" s="141">
        <f t="shared" si="4"/>
        <v>0.24650459098497496</v>
      </c>
      <c r="S38" s="19"/>
      <c r="T38" s="137">
        <f t="shared" si="10"/>
        <v>21262.5</v>
      </c>
      <c r="U38" s="137">
        <f>(28-3)*3*3.5*CMF</f>
        <v>295.3125</v>
      </c>
      <c r="V38" s="141">
        <f t="shared" si="5"/>
        <v>0.26676829268292684</v>
      </c>
      <c r="W38" s="19"/>
      <c r="X38" s="137">
        <f t="shared" si="11"/>
        <v>18014.0625</v>
      </c>
      <c r="Y38" s="137">
        <f>(28-3)*3*3.5*CMF</f>
        <v>295.3125</v>
      </c>
      <c r="Z38" s="141">
        <f t="shared" si="6"/>
        <v>0.22945804195804195</v>
      </c>
      <c r="AA38" s="19"/>
      <c r="AB38" s="137">
        <f t="shared" si="8"/>
        <v>39276.5625</v>
      </c>
      <c r="AC38" s="136">
        <f>+AB38/AB$7</f>
        <v>295.3125</v>
      </c>
      <c r="AD38" s="141">
        <f>+AC38/AC$8</f>
        <v>0.24629899916597164</v>
      </c>
      <c r="AE38" s="19"/>
      <c r="AF38" s="63"/>
      <c r="AG38" s="64" t="s">
        <v>116</v>
      </c>
      <c r="AH38" s="8" t="s">
        <v>144</v>
      </c>
      <c r="AI38" s="9">
        <f t="shared" si="15"/>
        <v>1.0024929035321508E-2</v>
      </c>
      <c r="AJ38" s="10">
        <f>SUM(AB77:AB79)</f>
        <v>131956.76250000001</v>
      </c>
      <c r="AK38" s="10">
        <f t="shared" si="2"/>
        <v>992.15610902255651</v>
      </c>
      <c r="AL38" s="12">
        <f t="shared" si="7"/>
        <v>0.82748632946001377</v>
      </c>
    </row>
    <row r="39" spans="1:38" s="8" customFormat="1">
      <c r="A39" s="17"/>
      <c r="B39" s="23" t="s">
        <v>25</v>
      </c>
      <c r="C39" s="60"/>
      <c r="D39" s="9"/>
      <c r="E39" s="61"/>
      <c r="F39" s="61"/>
      <c r="G39" s="61"/>
      <c r="H39" s="61"/>
      <c r="I39" s="61"/>
      <c r="J39" s="61"/>
      <c r="K39" s="61"/>
      <c r="L39" s="19"/>
      <c r="M39" s="19"/>
      <c r="N39" s="12"/>
      <c r="O39" s="12"/>
      <c r="P39" s="137"/>
      <c r="Q39" s="137"/>
      <c r="R39" s="141"/>
      <c r="S39" s="19"/>
      <c r="T39" s="137"/>
      <c r="U39" s="137"/>
      <c r="V39" s="141"/>
      <c r="W39" s="19"/>
      <c r="X39" s="137"/>
      <c r="Y39" s="137"/>
      <c r="Z39" s="141"/>
      <c r="AA39" s="19"/>
      <c r="AB39" s="137"/>
      <c r="AC39" s="136"/>
      <c r="AD39" s="141"/>
      <c r="AE39" s="19"/>
      <c r="AF39" s="63"/>
      <c r="AG39" s="64" t="s">
        <v>117</v>
      </c>
      <c r="AH39" s="8" t="s">
        <v>142</v>
      </c>
      <c r="AI39" s="9">
        <f t="shared" si="15"/>
        <v>1.8338581420220268E-2</v>
      </c>
      <c r="AJ39" s="16">
        <f>SUM(AB81:AB85)</f>
        <v>241388.22574491281</v>
      </c>
      <c r="AK39" s="10">
        <f t="shared" si="2"/>
        <v>1814.9490657512242</v>
      </c>
      <c r="AL39" s="12">
        <f t="shared" si="7"/>
        <v>1.5137189872820884</v>
      </c>
    </row>
    <row r="40" spans="1:38" s="8" customFormat="1" ht="14.45" customHeight="1">
      <c r="A40" s="17" t="s">
        <v>167</v>
      </c>
      <c r="B40" s="8" t="s">
        <v>26</v>
      </c>
      <c r="C40" s="60"/>
      <c r="D40" s="9">
        <f>L40/$L$88</f>
        <v>7.4676947525006811E-3</v>
      </c>
      <c r="E40" s="61" t="s">
        <v>194</v>
      </c>
      <c r="F40" s="61" t="s">
        <v>194</v>
      </c>
      <c r="G40" s="61" t="s">
        <v>194</v>
      </c>
      <c r="H40" s="61" t="s">
        <v>194</v>
      </c>
      <c r="I40" s="61" t="s">
        <v>194</v>
      </c>
      <c r="J40" s="61" t="s">
        <v>194</v>
      </c>
      <c r="K40" s="61" t="s">
        <v>194</v>
      </c>
      <c r="L40" s="19">
        <f t="shared" si="0"/>
        <v>5250</v>
      </c>
      <c r="M40" s="19">
        <f>750/2</f>
        <v>375</v>
      </c>
      <c r="N40" s="12">
        <f t="shared" si="3"/>
        <v>0.27252906976744184</v>
      </c>
      <c r="O40" s="12"/>
      <c r="P40" s="137">
        <f t="shared" si="9"/>
        <v>490.15125</v>
      </c>
      <c r="Q40" s="137">
        <f>((R$8*1.2)/100*23.5)*CMF</f>
        <v>490.15125</v>
      </c>
      <c r="R40" s="141">
        <f t="shared" si="4"/>
        <v>0.40914127712854759</v>
      </c>
      <c r="S40" s="19"/>
      <c r="T40" s="137">
        <f t="shared" si="10"/>
        <v>25286.093999999997</v>
      </c>
      <c r="U40" s="137">
        <f>((V$8*1.2)/100*23.5)*CMF</f>
        <v>351.19574999999998</v>
      </c>
      <c r="V40" s="141">
        <f t="shared" si="5"/>
        <v>0.31724999999999998</v>
      </c>
      <c r="W40" s="19"/>
      <c r="X40" s="137">
        <f t="shared" si="11"/>
        <v>30866.838750000003</v>
      </c>
      <c r="Y40" s="137">
        <f>((Z$8*1.2)/100*23.5)*CMF</f>
        <v>506.01375000000002</v>
      </c>
      <c r="Z40" s="141">
        <f t="shared" si="6"/>
        <v>0.39317307692307696</v>
      </c>
      <c r="AA40" s="19"/>
      <c r="AB40" s="137">
        <f t="shared" si="8"/>
        <v>56152.93275</v>
      </c>
      <c r="AC40" s="136">
        <f>+AB40/AB$7</f>
        <v>422.20250187969924</v>
      </c>
      <c r="AD40" s="141">
        <f>+AC40/AC$8</f>
        <v>0.35212885894887341</v>
      </c>
      <c r="AE40" s="19"/>
      <c r="AF40" s="63"/>
      <c r="AG40" s="64" t="s">
        <v>118</v>
      </c>
      <c r="AH40" s="8" t="s">
        <v>126</v>
      </c>
      <c r="AI40" s="9">
        <f t="shared" si="15"/>
        <v>0</v>
      </c>
      <c r="AJ40" s="16"/>
      <c r="AK40" s="10">
        <f t="shared" si="2"/>
        <v>0</v>
      </c>
      <c r="AL40" s="12">
        <f t="shared" si="7"/>
        <v>0</v>
      </c>
    </row>
    <row r="41" spans="1:38" s="8" customFormat="1">
      <c r="A41" s="17" t="s">
        <v>167</v>
      </c>
      <c r="B41" s="8" t="s">
        <v>27</v>
      </c>
      <c r="C41" s="60"/>
      <c r="D41" s="9">
        <f>L41/$L$88</f>
        <v>7.069417699033978E-3</v>
      </c>
      <c r="E41" s="61" t="s">
        <v>194</v>
      </c>
      <c r="F41" s="61" t="s">
        <v>194</v>
      </c>
      <c r="G41" s="61" t="s">
        <v>194</v>
      </c>
      <c r="H41" s="61" t="s">
        <v>194</v>
      </c>
      <c r="I41" s="61" t="s">
        <v>194</v>
      </c>
      <c r="J41" s="61" t="s">
        <v>194</v>
      </c>
      <c r="K41" s="61" t="s">
        <v>194</v>
      </c>
      <c r="L41" s="19">
        <f t="shared" si="0"/>
        <v>4970</v>
      </c>
      <c r="M41" s="19">
        <f>710/2</f>
        <v>355</v>
      </c>
      <c r="N41" s="12">
        <f t="shared" si="3"/>
        <v>0.25799418604651164</v>
      </c>
      <c r="O41" s="12"/>
      <c r="P41" s="137">
        <f t="shared" si="9"/>
        <v>438.00749999999999</v>
      </c>
      <c r="Q41" s="137">
        <f>((R$8*1.2)/100*21)*CMF</f>
        <v>438.00749999999999</v>
      </c>
      <c r="R41" s="141">
        <f t="shared" si="4"/>
        <v>0.36561560934891485</v>
      </c>
      <c r="S41" s="19"/>
      <c r="T41" s="137">
        <f t="shared" si="10"/>
        <v>22596.083999999999</v>
      </c>
      <c r="U41" s="137">
        <f>((V$8*1.2)/100*21)*CMF</f>
        <v>313.83449999999999</v>
      </c>
      <c r="V41" s="141">
        <f t="shared" si="5"/>
        <v>0.28349999999999997</v>
      </c>
      <c r="W41" s="19"/>
      <c r="X41" s="137">
        <f t="shared" si="11"/>
        <v>27583.1325</v>
      </c>
      <c r="Y41" s="137">
        <f>((Z$8*1.2)/100*21)*CMF</f>
        <v>452.1825</v>
      </c>
      <c r="Z41" s="141">
        <f t="shared" si="6"/>
        <v>0.35134615384615386</v>
      </c>
      <c r="AA41" s="19"/>
      <c r="AB41" s="137">
        <f t="shared" si="8"/>
        <v>50179.216499999995</v>
      </c>
      <c r="AC41" s="136">
        <f>+AB41/AB$7</f>
        <v>377.28734210526312</v>
      </c>
      <c r="AD41" s="141">
        <f>+AC41/AC$8</f>
        <v>0.31466834203941879</v>
      </c>
      <c r="AE41" s="19"/>
      <c r="AF41" s="63"/>
      <c r="AG41" s="64" t="s">
        <v>119</v>
      </c>
      <c r="AH41" s="8" t="s">
        <v>125</v>
      </c>
      <c r="AI41" s="9">
        <f t="shared" si="15"/>
        <v>2.8044223306512815E-2</v>
      </c>
      <c r="AJ41" s="16">
        <f>(SUM(AJ9:AJ40)+SUM(AJ42:AJ45))*1.0125*0.7*0.095/12*6</f>
        <v>369142.25540308724</v>
      </c>
      <c r="AK41" s="10">
        <f t="shared" si="2"/>
        <v>2775.5056797224606</v>
      </c>
      <c r="AL41" s="12">
        <f t="shared" si="7"/>
        <v>2.3148504418035531</v>
      </c>
    </row>
    <row r="42" spans="1:38" s="8" customFormat="1">
      <c r="A42" s="17"/>
      <c r="B42" s="23" t="s">
        <v>28</v>
      </c>
      <c r="C42" s="60"/>
      <c r="E42" s="61"/>
      <c r="F42" s="61"/>
      <c r="G42" s="61"/>
      <c r="H42" s="61"/>
      <c r="I42" s="61"/>
      <c r="J42" s="61"/>
      <c r="K42" s="61"/>
      <c r="L42" s="19"/>
      <c r="M42" s="19"/>
      <c r="N42" s="12"/>
      <c r="O42" s="12"/>
      <c r="P42" s="137"/>
      <c r="Q42" s="137"/>
      <c r="R42" s="141"/>
      <c r="S42" s="19"/>
      <c r="T42" s="137"/>
      <c r="U42" s="137"/>
      <c r="V42" s="141"/>
      <c r="W42" s="19"/>
      <c r="X42" s="137"/>
      <c r="Y42" s="137"/>
      <c r="Z42" s="141"/>
      <c r="AA42" s="19"/>
      <c r="AB42" s="137"/>
      <c r="AC42" s="136" t="s">
        <v>71</v>
      </c>
      <c r="AD42" s="141"/>
      <c r="AE42" s="19"/>
      <c r="AF42" s="63"/>
      <c r="AG42" s="64" t="s">
        <v>120</v>
      </c>
      <c r="AH42" s="8" t="s">
        <v>124</v>
      </c>
      <c r="AI42" s="9">
        <f t="shared" si="15"/>
        <v>0.14390258953825832</v>
      </c>
      <c r="AJ42" s="16">
        <f>(2.5*43560+75000)*10.3</f>
        <v>1894170.0000000002</v>
      </c>
      <c r="AK42" s="10">
        <f t="shared" si="2"/>
        <v>14241.879699248122</v>
      </c>
      <c r="AL42" s="12">
        <f t="shared" si="7"/>
        <v>11.878131525644806</v>
      </c>
    </row>
    <row r="43" spans="1:38" s="8" customFormat="1">
      <c r="A43" s="17" t="s">
        <v>168</v>
      </c>
      <c r="B43" s="8" t="s">
        <v>29</v>
      </c>
      <c r="C43" s="60">
        <v>0.1</v>
      </c>
      <c r="D43" s="9">
        <f>L43/$L$88</f>
        <v>2.9870779010002725E-3</v>
      </c>
      <c r="E43" s="61" t="s">
        <v>194</v>
      </c>
      <c r="F43" s="61" t="s">
        <v>194</v>
      </c>
      <c r="G43" s="61" t="s">
        <v>194</v>
      </c>
      <c r="H43" s="61" t="s">
        <v>194</v>
      </c>
      <c r="I43" s="61" t="s">
        <v>194</v>
      </c>
      <c r="J43" s="61" t="s">
        <v>194</v>
      </c>
      <c r="K43" s="61" t="s">
        <v>194</v>
      </c>
      <c r="L43" s="19">
        <f t="shared" si="0"/>
        <v>2100</v>
      </c>
      <c r="M43" s="19">
        <f>300/2</f>
        <v>150</v>
      </c>
      <c r="N43" s="12">
        <f t="shared" si="3"/>
        <v>0.10901162790697674</v>
      </c>
      <c r="O43" s="12"/>
      <c r="P43" s="137">
        <f t="shared" si="9"/>
        <v>63.439849624060152</v>
      </c>
      <c r="Q43" s="137">
        <f>7500/SM134Units*CMF</f>
        <v>63.439849624060152</v>
      </c>
      <c r="R43" s="141">
        <f t="shared" si="4"/>
        <v>5.2954799352303968E-2</v>
      </c>
      <c r="S43" s="19"/>
      <c r="T43" s="137">
        <f t="shared" si="10"/>
        <v>4567.6691729323311</v>
      </c>
      <c r="U43" s="137">
        <f>7500/SM134Units*CMF</f>
        <v>63.439849624060152</v>
      </c>
      <c r="V43" s="141">
        <f t="shared" si="5"/>
        <v>5.7307903906106732E-2</v>
      </c>
      <c r="W43" s="19"/>
      <c r="X43" s="137">
        <f t="shared" si="11"/>
        <v>3869.8308270676694</v>
      </c>
      <c r="Y43" s="137">
        <f>7500/SM134Units*CMF</f>
        <v>63.439849624060152</v>
      </c>
      <c r="Z43" s="141">
        <f t="shared" si="6"/>
        <v>4.9292812450707185E-2</v>
      </c>
      <c r="AA43" s="19"/>
      <c r="AB43" s="137">
        <f t="shared" si="8"/>
        <v>8437.5</v>
      </c>
      <c r="AC43" s="136">
        <f>+AB43/AB$7</f>
        <v>63.439849624060152</v>
      </c>
      <c r="AD43" s="141">
        <f>+AC43/AC$8</f>
        <v>5.2910633548006798E-2</v>
      </c>
      <c r="AE43" s="19"/>
      <c r="AF43" s="63"/>
      <c r="AG43" s="64" t="s">
        <v>121</v>
      </c>
      <c r="AH43" s="8" t="s">
        <v>123</v>
      </c>
      <c r="AI43" s="9">
        <f t="shared" si="15"/>
        <v>1.2659457210463331E-2</v>
      </c>
      <c r="AJ43" s="16">
        <f>AB11+AB86</f>
        <v>166634.69463117732</v>
      </c>
      <c r="AK43" s="10">
        <f t="shared" si="2"/>
        <v>1252.8924408359196</v>
      </c>
      <c r="AL43" s="12">
        <f t="shared" si="7"/>
        <v>1.0449478238831691</v>
      </c>
    </row>
    <row r="44" spans="1:38" s="8" customFormat="1" ht="12.75" thickBot="1">
      <c r="A44" s="17" t="s">
        <v>168</v>
      </c>
      <c r="B44" s="8" t="s">
        <v>10</v>
      </c>
      <c r="C44" s="60">
        <v>0.5</v>
      </c>
      <c r="D44" s="9">
        <f>L44/$L$88</f>
        <v>3.0975997833372827E-2</v>
      </c>
      <c r="E44" s="61" t="s">
        <v>194</v>
      </c>
      <c r="F44" s="61" t="s">
        <v>194</v>
      </c>
      <c r="G44" s="61" t="s">
        <v>194</v>
      </c>
      <c r="H44" s="61" t="s">
        <v>194</v>
      </c>
      <c r="I44" s="61" t="s">
        <v>194</v>
      </c>
      <c r="J44" s="61" t="s">
        <v>194</v>
      </c>
      <c r="K44" s="61" t="s">
        <v>194</v>
      </c>
      <c r="L44" s="19">
        <f t="shared" si="0"/>
        <v>21777</v>
      </c>
      <c r="M44" s="19">
        <f>3111/2</f>
        <v>1555.5</v>
      </c>
      <c r="N44" s="12">
        <f t="shared" si="3"/>
        <v>1.1304505813953489</v>
      </c>
      <c r="O44" s="12"/>
      <c r="P44" s="137">
        <f t="shared" si="9"/>
        <v>1698.1650000000002</v>
      </c>
      <c r="Q44" s="137">
        <f>2.1*CMF*60%*Q$8</f>
        <v>1698.1650000000002</v>
      </c>
      <c r="R44" s="141">
        <f t="shared" si="4"/>
        <v>1.4175000000000002</v>
      </c>
      <c r="S44" s="19"/>
      <c r="T44" s="137">
        <f t="shared" si="10"/>
        <v>112980.42000000001</v>
      </c>
      <c r="U44" s="137">
        <f>2.1*CMF*60%*U$8</f>
        <v>1569.1725000000001</v>
      </c>
      <c r="V44" s="141">
        <f t="shared" si="5"/>
        <v>1.4175000000000002</v>
      </c>
      <c r="W44" s="19"/>
      <c r="X44" s="137">
        <f t="shared" si="11"/>
        <v>111283.67250000002</v>
      </c>
      <c r="Y44" s="137">
        <f>2.1*CMF*60%*Y$8</f>
        <v>1824.3225000000002</v>
      </c>
      <c r="Z44" s="141">
        <f t="shared" si="6"/>
        <v>1.4175000000000002</v>
      </c>
      <c r="AA44" s="19"/>
      <c r="AB44" s="137">
        <f t="shared" si="8"/>
        <v>224264.09250000003</v>
      </c>
      <c r="AC44" s="136">
        <f>+AB44/AB$7</f>
        <v>1686.1961842105266</v>
      </c>
      <c r="AD44" s="141">
        <f>+AC44/AC$8</f>
        <v>1.4063354330363025</v>
      </c>
      <c r="AE44" s="19"/>
      <c r="AF44" s="63"/>
      <c r="AG44" s="64" t="s">
        <v>122</v>
      </c>
      <c r="AH44" s="8" t="s">
        <v>143</v>
      </c>
      <c r="AI44" s="9">
        <f t="shared" si="15"/>
        <v>1.7552835459286223E-2</v>
      </c>
      <c r="AJ44" s="16">
        <f>AB45+AB47+AB48+AB69</f>
        <v>231045.55969840119</v>
      </c>
      <c r="AK44" s="10">
        <f t="shared" si="2"/>
        <v>1737.1846593864752</v>
      </c>
      <c r="AL44" s="12">
        <f t="shared" si="7"/>
        <v>1.4488612672114054</v>
      </c>
    </row>
    <row r="45" spans="1:38" s="8" customFormat="1" ht="12.75" thickBot="1">
      <c r="A45" s="17" t="s">
        <v>158</v>
      </c>
      <c r="B45" s="24" t="s">
        <v>30</v>
      </c>
      <c r="C45" s="60">
        <v>0.4</v>
      </c>
      <c r="D45" s="9">
        <f>L45/$L$88</f>
        <v>2.4782789651965596E-2</v>
      </c>
      <c r="E45" s="61" t="s">
        <v>194</v>
      </c>
      <c r="F45" s="61" t="s">
        <v>194</v>
      </c>
      <c r="G45" s="65"/>
      <c r="H45" s="61" t="s">
        <v>194</v>
      </c>
      <c r="I45" s="61" t="s">
        <v>194</v>
      </c>
      <c r="J45" s="65"/>
      <c r="K45" s="66" t="s">
        <v>194</v>
      </c>
      <c r="L45" s="19">
        <f t="shared" si="0"/>
        <v>17423</v>
      </c>
      <c r="M45" s="19">
        <f>2489/2</f>
        <v>1244.5</v>
      </c>
      <c r="N45" s="12">
        <f t="shared" si="3"/>
        <v>0.90443313953488369</v>
      </c>
      <c r="O45" s="12"/>
      <c r="P45" s="137">
        <f t="shared" si="9"/>
        <v>1132.1100000000001</v>
      </c>
      <c r="Q45" s="137">
        <f>2.1*CMF*40%*Q$8</f>
        <v>1132.1100000000001</v>
      </c>
      <c r="R45" s="141">
        <f t="shared" si="4"/>
        <v>0.94500000000000006</v>
      </c>
      <c r="S45" s="19"/>
      <c r="T45" s="137">
        <f t="shared" si="10"/>
        <v>75320.280000000013</v>
      </c>
      <c r="U45" s="137">
        <f>2.1*CMF*40%*U$8</f>
        <v>1046.1150000000002</v>
      </c>
      <c r="V45" s="141">
        <f t="shared" si="5"/>
        <v>0.94500000000000017</v>
      </c>
      <c r="W45" s="19"/>
      <c r="X45" s="137">
        <f t="shared" si="11"/>
        <v>74189.115000000005</v>
      </c>
      <c r="Y45" s="137">
        <f>2.1*CMF*40%*Y$8</f>
        <v>1216.2150000000001</v>
      </c>
      <c r="Z45" s="141">
        <f t="shared" si="6"/>
        <v>0.94500000000000006</v>
      </c>
      <c r="AA45" s="19"/>
      <c r="AB45" s="137">
        <f t="shared" si="8"/>
        <v>149509.39500000002</v>
      </c>
      <c r="AC45" s="136">
        <f>+AB45/AB$7</f>
        <v>1124.1307894736844</v>
      </c>
      <c r="AD45" s="141">
        <f>+AC45/AC$8</f>
        <v>0.93755695535753503</v>
      </c>
      <c r="AE45" s="19"/>
      <c r="AF45" s="63"/>
      <c r="AG45" s="64" t="s">
        <v>210</v>
      </c>
      <c r="AH45" s="8" t="s">
        <v>70</v>
      </c>
      <c r="AI45" s="9">
        <f t="shared" si="15"/>
        <v>1.3877822924187919E-2</v>
      </c>
      <c r="AJ45" s="17">
        <f>+AB87</f>
        <v>182671.875</v>
      </c>
      <c r="AK45" s="10">
        <f t="shared" si="2"/>
        <v>1373.4727443609022</v>
      </c>
      <c r="AL45" s="12">
        <f t="shared" si="7"/>
        <v>1.1455152163143472</v>
      </c>
    </row>
    <row r="46" spans="1:38">
      <c r="A46" s="17"/>
      <c r="B46" s="23" t="s">
        <v>31</v>
      </c>
      <c r="C46" s="60"/>
      <c r="D46" s="8"/>
      <c r="E46" s="61"/>
      <c r="F46" s="61"/>
      <c r="G46" s="61"/>
      <c r="H46" s="61"/>
      <c r="I46" s="61"/>
      <c r="J46" s="61"/>
      <c r="K46" s="61"/>
      <c r="L46" s="19"/>
      <c r="M46" s="8"/>
      <c r="N46" s="12"/>
      <c r="O46" s="12"/>
      <c r="P46" s="137"/>
      <c r="Q46" s="138"/>
      <c r="R46" s="142"/>
      <c r="S46" s="34"/>
      <c r="T46" s="140"/>
      <c r="U46" s="140"/>
      <c r="V46" s="142"/>
      <c r="W46" s="34"/>
      <c r="X46" s="140"/>
      <c r="Y46" s="140"/>
      <c r="Z46" s="142"/>
      <c r="AA46" s="34"/>
      <c r="AB46" s="137"/>
      <c r="AC46" s="139" t="s">
        <v>71</v>
      </c>
      <c r="AD46" s="142"/>
      <c r="AE46" s="34"/>
      <c r="AF46" s="70"/>
      <c r="AG46" s="71" t="s">
        <v>121</v>
      </c>
      <c r="AH46" s="36" t="s">
        <v>216</v>
      </c>
      <c r="AI46" s="72">
        <f t="shared" si="15"/>
        <v>3.092633315063564E-2</v>
      </c>
      <c r="AJ46" s="52">
        <f>(SUM(AJ$43:AJ45)+SUM(AJ$9:AJ$40))*0.1-500000</f>
        <v>407079.07100146625</v>
      </c>
      <c r="AK46" s="73">
        <f t="shared" si="2"/>
        <v>3060.7448947478665</v>
      </c>
      <c r="AL46" s="33">
        <f>+AJ46/AL$7</f>
        <v>2.5527480356529328</v>
      </c>
    </row>
    <row r="47" spans="1:38">
      <c r="A47" s="52" t="s">
        <v>158</v>
      </c>
      <c r="B47" s="36" t="s">
        <v>10</v>
      </c>
      <c r="C47" s="74">
        <v>0.75</v>
      </c>
      <c r="D47" s="72">
        <f t="shared" ref="D47:D52" si="19">L47/$L$88</f>
        <v>0</v>
      </c>
      <c r="E47" s="75" t="s">
        <v>194</v>
      </c>
      <c r="F47" s="75" t="s">
        <v>194</v>
      </c>
      <c r="G47" s="75" t="s">
        <v>194</v>
      </c>
      <c r="H47" s="75" t="s">
        <v>194</v>
      </c>
      <c r="I47" s="75" t="s">
        <v>194</v>
      </c>
      <c r="J47" s="75" t="s">
        <v>194</v>
      </c>
      <c r="K47" s="75" t="s">
        <v>194</v>
      </c>
      <c r="L47" s="34">
        <f t="shared" si="0"/>
        <v>0</v>
      </c>
      <c r="M47" s="34">
        <v>0</v>
      </c>
      <c r="N47" s="33">
        <f t="shared" si="3"/>
        <v>0</v>
      </c>
      <c r="O47" s="33"/>
      <c r="P47" s="140">
        <f t="shared" si="9"/>
        <v>0</v>
      </c>
      <c r="Q47" s="140">
        <f>0*CMF</f>
        <v>0</v>
      </c>
      <c r="R47" s="142">
        <f t="shared" si="4"/>
        <v>0</v>
      </c>
      <c r="S47" s="34"/>
      <c r="T47" s="140">
        <f t="shared" si="10"/>
        <v>0</v>
      </c>
      <c r="U47" s="140">
        <f>0*CMF</f>
        <v>0</v>
      </c>
      <c r="V47" s="142">
        <f t="shared" si="5"/>
        <v>0</v>
      </c>
      <c r="W47" s="34"/>
      <c r="X47" s="140">
        <f t="shared" si="11"/>
        <v>0</v>
      </c>
      <c r="Y47" s="140">
        <f>0*CMF</f>
        <v>0</v>
      </c>
      <c r="Z47" s="142">
        <f t="shared" si="6"/>
        <v>0</v>
      </c>
      <c r="AA47" s="34"/>
      <c r="AB47" s="137">
        <f t="shared" si="8"/>
        <v>0</v>
      </c>
      <c r="AC47" s="139">
        <f>+AB47/AB$7</f>
        <v>0</v>
      </c>
      <c r="AD47" s="142">
        <f>+AC47/AC$8</f>
        <v>0</v>
      </c>
      <c r="AE47" s="34"/>
      <c r="AF47" s="70"/>
      <c r="AG47" s="71" t="s">
        <v>122</v>
      </c>
      <c r="AH47" s="36" t="s">
        <v>215</v>
      </c>
      <c r="AI47" s="72">
        <f t="shared" si="15"/>
        <v>0.10800693745502987</v>
      </c>
      <c r="AJ47" s="52">
        <f>(SUM(AJ$43:AJ46)+SUM(AJ$9:AJ$40))*0.15</f>
        <v>1421680.4671524193</v>
      </c>
      <c r="AK47" s="73">
        <f t="shared" si="2"/>
        <v>10689.326820694881</v>
      </c>
      <c r="AL47" s="33">
        <f>+AJ47/AL$7</f>
        <v>8.9152016853168323</v>
      </c>
    </row>
    <row r="48" spans="1:38" s="8" customFormat="1" ht="12.75" thickBot="1">
      <c r="A48" s="52" t="s">
        <v>158</v>
      </c>
      <c r="B48" s="36" t="s">
        <v>30</v>
      </c>
      <c r="C48" s="74">
        <v>0.25</v>
      </c>
      <c r="D48" s="72">
        <f t="shared" si="19"/>
        <v>3.9827705346670303E-3</v>
      </c>
      <c r="E48" s="75" t="s">
        <v>194</v>
      </c>
      <c r="F48" s="75" t="s">
        <v>194</v>
      </c>
      <c r="G48" s="75" t="s">
        <v>194</v>
      </c>
      <c r="H48" s="75" t="s">
        <v>194</v>
      </c>
      <c r="I48" s="75" t="s">
        <v>194</v>
      </c>
      <c r="J48" s="75" t="s">
        <v>194</v>
      </c>
      <c r="K48" s="75" t="s">
        <v>194</v>
      </c>
      <c r="L48" s="34">
        <f t="shared" si="0"/>
        <v>2800</v>
      </c>
      <c r="M48" s="34">
        <f>400/2</f>
        <v>200</v>
      </c>
      <c r="N48" s="33">
        <f t="shared" si="3"/>
        <v>0.14534883720930233</v>
      </c>
      <c r="O48" s="33"/>
      <c r="P48" s="140">
        <f t="shared" si="9"/>
        <v>225</v>
      </c>
      <c r="Q48" s="140">
        <f>$M48*CMF</f>
        <v>225</v>
      </c>
      <c r="R48" s="142">
        <f t="shared" si="4"/>
        <v>0.18781302170283806</v>
      </c>
      <c r="S48" s="34"/>
      <c r="T48" s="140">
        <f t="shared" si="10"/>
        <v>16200</v>
      </c>
      <c r="U48" s="140">
        <f>$M48*CMF</f>
        <v>225</v>
      </c>
      <c r="V48" s="142">
        <f t="shared" si="5"/>
        <v>0.2032520325203252</v>
      </c>
      <c r="W48" s="34"/>
      <c r="X48" s="140">
        <f t="shared" si="11"/>
        <v>13725</v>
      </c>
      <c r="Y48" s="140">
        <f>$M48*CMF</f>
        <v>225</v>
      </c>
      <c r="Z48" s="142">
        <f t="shared" si="6"/>
        <v>0.17482517482517482</v>
      </c>
      <c r="AA48" s="34"/>
      <c r="AB48" s="137">
        <f t="shared" si="8"/>
        <v>29925</v>
      </c>
      <c r="AC48" s="139">
        <f>+AB48/AB$7</f>
        <v>225</v>
      </c>
      <c r="AD48" s="142">
        <f>+AC48/AC$8</f>
        <v>0.18765638031693077</v>
      </c>
      <c r="AE48" s="34"/>
      <c r="AF48" s="70"/>
      <c r="AG48" s="71"/>
      <c r="AH48" s="14" t="s">
        <v>74</v>
      </c>
      <c r="AI48" s="15">
        <f>SUM(AI9:AI47)</f>
        <v>1</v>
      </c>
      <c r="AJ48" s="3">
        <f>SUM(AJ9:AJ47)</f>
        <v>13162862.503571633</v>
      </c>
      <c r="AK48" s="3">
        <f t="shared" si="2"/>
        <v>98968.891004297999</v>
      </c>
      <c r="AL48" s="2">
        <f t="shared" si="7"/>
        <v>82.542861554877391</v>
      </c>
    </row>
    <row r="49" spans="1:40" s="8" customFormat="1" ht="12.75" thickTop="1">
      <c r="A49" s="17"/>
      <c r="B49" s="23" t="s">
        <v>32</v>
      </c>
      <c r="C49" s="60"/>
      <c r="D49" s="9"/>
      <c r="E49" s="61"/>
      <c r="F49" s="61"/>
      <c r="G49" s="61"/>
      <c r="H49" s="61"/>
      <c r="I49" s="61"/>
      <c r="J49" s="61"/>
      <c r="K49" s="61"/>
      <c r="L49" s="19">
        <f t="shared" si="0"/>
        <v>0</v>
      </c>
      <c r="M49" s="19"/>
      <c r="N49" s="12"/>
      <c r="O49" s="12"/>
      <c r="P49" s="137"/>
      <c r="Q49" s="137"/>
      <c r="R49" s="141"/>
      <c r="S49" s="19"/>
      <c r="T49" s="137"/>
      <c r="U49" s="137"/>
      <c r="V49" s="141"/>
      <c r="W49" s="19"/>
      <c r="X49" s="137"/>
      <c r="Y49" s="137"/>
      <c r="Z49" s="141"/>
      <c r="AA49" s="19"/>
      <c r="AB49" s="137"/>
      <c r="AC49" s="136" t="s">
        <v>71</v>
      </c>
      <c r="AD49" s="141"/>
      <c r="AE49" s="19"/>
      <c r="AF49" s="63"/>
      <c r="AG49" s="64"/>
      <c r="AH49" s="27" t="s">
        <v>207</v>
      </c>
    </row>
    <row r="50" spans="1:40" s="8" customFormat="1" ht="12.75" thickBot="1">
      <c r="A50" s="17" t="s">
        <v>169</v>
      </c>
      <c r="B50" s="8" t="s">
        <v>10</v>
      </c>
      <c r="C50" s="60">
        <v>0.6</v>
      </c>
      <c r="D50" s="9">
        <f t="shared" si="19"/>
        <v>2.389662320800218E-2</v>
      </c>
      <c r="E50" s="61" t="s">
        <v>194</v>
      </c>
      <c r="F50" s="61" t="s">
        <v>194</v>
      </c>
      <c r="G50" s="61" t="s">
        <v>194</v>
      </c>
      <c r="H50" s="61" t="s">
        <v>194</v>
      </c>
      <c r="I50" s="61" t="s">
        <v>194</v>
      </c>
      <c r="J50" s="61" t="s">
        <v>194</v>
      </c>
      <c r="K50" s="61" t="s">
        <v>194</v>
      </c>
      <c r="L50" s="19">
        <f t="shared" si="0"/>
        <v>16800</v>
      </c>
      <c r="M50" s="19">
        <f>2400/2</f>
        <v>1200</v>
      </c>
      <c r="N50" s="12">
        <f t="shared" si="3"/>
        <v>0.87209302325581395</v>
      </c>
      <c r="O50" s="12"/>
      <c r="P50" s="137">
        <f t="shared" si="9"/>
        <v>1347.75</v>
      </c>
      <c r="Q50" s="137">
        <f>1*Q$8*CMF</f>
        <v>1347.75</v>
      </c>
      <c r="R50" s="141">
        <f t="shared" si="4"/>
        <v>1.125</v>
      </c>
      <c r="S50" s="19"/>
      <c r="T50" s="137">
        <f t="shared" si="10"/>
        <v>89667</v>
      </c>
      <c r="U50" s="137">
        <f>1*U$8*CMF</f>
        <v>1245.375</v>
      </c>
      <c r="V50" s="141">
        <f t="shared" si="5"/>
        <v>1.125</v>
      </c>
      <c r="W50" s="19"/>
      <c r="X50" s="137">
        <f t="shared" si="11"/>
        <v>88320.375</v>
      </c>
      <c r="Y50" s="137">
        <f>1*Y$8*CMF</f>
        <v>1447.875</v>
      </c>
      <c r="Z50" s="141">
        <f t="shared" si="6"/>
        <v>1.125</v>
      </c>
      <c r="AA50" s="19"/>
      <c r="AB50" s="137">
        <f t="shared" si="8"/>
        <v>177987.375</v>
      </c>
      <c r="AC50" s="136">
        <f>+AB50/AB$7</f>
        <v>1338.250939849624</v>
      </c>
      <c r="AD50" s="141">
        <f>+AC50/AC$8</f>
        <v>1.1161392325684938</v>
      </c>
      <c r="AE50" s="19"/>
      <c r="AF50" s="63"/>
      <c r="AG50" s="64"/>
      <c r="AH50" s="8" t="s">
        <v>208</v>
      </c>
      <c r="AI50" s="9">
        <f>AJ50/$AJ$48</f>
        <v>-0.14390258953825832</v>
      </c>
      <c r="AJ50" s="8">
        <f>-AJ42</f>
        <v>-1894170.0000000002</v>
      </c>
      <c r="AK50" s="19">
        <f t="shared" ref="AK50:AL53" si="20">AJ50/AK$7</f>
        <v>-14241.879699248122</v>
      </c>
      <c r="AL50" s="18">
        <f t="shared" si="20"/>
        <v>-8.9309259591314333E-2</v>
      </c>
    </row>
    <row r="51" spans="1:40" s="8" customFormat="1" ht="12.75" thickBot="1">
      <c r="A51" s="17" t="s">
        <v>170</v>
      </c>
      <c r="B51" s="8" t="s">
        <v>33</v>
      </c>
      <c r="C51" s="60">
        <v>0.4</v>
      </c>
      <c r="D51" s="9">
        <f t="shared" si="19"/>
        <v>1.5931082138668121E-2</v>
      </c>
      <c r="E51" s="61" t="s">
        <v>194</v>
      </c>
      <c r="F51" s="61" t="s">
        <v>194</v>
      </c>
      <c r="G51" s="65"/>
      <c r="H51" s="61" t="s">
        <v>194</v>
      </c>
      <c r="I51" s="61" t="s">
        <v>194</v>
      </c>
      <c r="J51" s="66" t="s">
        <v>194</v>
      </c>
      <c r="K51" s="61" t="s">
        <v>194</v>
      </c>
      <c r="L51" s="19">
        <f t="shared" si="0"/>
        <v>11200</v>
      </c>
      <c r="M51" s="19">
        <f>1600/2</f>
        <v>800</v>
      </c>
      <c r="N51" s="12">
        <f t="shared" si="3"/>
        <v>0.58139534883720934</v>
      </c>
      <c r="O51" s="12"/>
      <c r="P51" s="137">
        <f t="shared" si="9"/>
        <v>1347.75</v>
      </c>
      <c r="Q51" s="137">
        <f>1*Q$8*CMF</f>
        <v>1347.75</v>
      </c>
      <c r="R51" s="141">
        <f t="shared" si="4"/>
        <v>1.125</v>
      </c>
      <c r="S51" s="19"/>
      <c r="T51" s="137">
        <f t="shared" si="10"/>
        <v>89667</v>
      </c>
      <c r="U51" s="137">
        <f>1*U$8*CMF</f>
        <v>1245.375</v>
      </c>
      <c r="V51" s="141">
        <f t="shared" si="5"/>
        <v>1.125</v>
      </c>
      <c r="W51" s="19"/>
      <c r="X51" s="137">
        <f t="shared" si="11"/>
        <v>88320.375</v>
      </c>
      <c r="Y51" s="137">
        <f>1*Y$8*CMF</f>
        <v>1447.875</v>
      </c>
      <c r="Z51" s="141">
        <f t="shared" si="6"/>
        <v>1.125</v>
      </c>
      <c r="AA51" s="19"/>
      <c r="AB51" s="137">
        <f t="shared" si="8"/>
        <v>177987.375</v>
      </c>
      <c r="AC51" s="136">
        <f>+AB51/AB$7</f>
        <v>1338.250939849624</v>
      </c>
      <c r="AD51" s="141">
        <f>+AC51/AC$8</f>
        <v>1.1161392325684938</v>
      </c>
      <c r="AE51" s="19"/>
      <c r="AF51" s="63"/>
      <c r="AG51" s="64"/>
      <c r="AH51" s="8" t="s">
        <v>209</v>
      </c>
      <c r="AI51" s="9">
        <f>AJ51/$AJ$48</f>
        <v>-2.8044223306512815E-2</v>
      </c>
      <c r="AJ51" s="8">
        <f>-AJ41</f>
        <v>-369142.25540308724</v>
      </c>
      <c r="AK51" s="19">
        <f t="shared" si="20"/>
        <v>-2775.5056797224606</v>
      </c>
      <c r="AL51" s="18">
        <f t="shared" si="20"/>
        <v>-1.7404890539876341E-2</v>
      </c>
    </row>
    <row r="52" spans="1:40" s="8" customFormat="1">
      <c r="A52" s="17" t="s">
        <v>171</v>
      </c>
      <c r="B52" s="23" t="s">
        <v>34</v>
      </c>
      <c r="C52" s="60"/>
      <c r="D52" s="9">
        <f t="shared" si="19"/>
        <v>9.5905114474782085E-3</v>
      </c>
      <c r="E52" s="61" t="s">
        <v>194</v>
      </c>
      <c r="F52" s="61" t="s">
        <v>194</v>
      </c>
      <c r="G52" s="61" t="s">
        <v>194</v>
      </c>
      <c r="H52" s="61" t="s">
        <v>194</v>
      </c>
      <c r="I52" s="61" t="s">
        <v>194</v>
      </c>
      <c r="J52" s="61" t="s">
        <v>194</v>
      </c>
      <c r="K52" s="61" t="s">
        <v>194</v>
      </c>
      <c r="L52" s="19">
        <f>M52*TRUnits</f>
        <v>6742.4</v>
      </c>
      <c r="M52" s="19">
        <f>(1376*0.7)/2</f>
        <v>481.59999999999997</v>
      </c>
      <c r="N52" s="12">
        <f t="shared" si="3"/>
        <v>0.35</v>
      </c>
      <c r="O52" s="12"/>
      <c r="P52" s="137">
        <f t="shared" si="9"/>
        <v>1145.5874999999999</v>
      </c>
      <c r="Q52" s="137">
        <f>Q$8*0.85*CMF</f>
        <v>1145.5874999999999</v>
      </c>
      <c r="R52" s="141">
        <f t="shared" si="4"/>
        <v>0.95624999999999993</v>
      </c>
      <c r="S52" s="19"/>
      <c r="T52" s="137">
        <f t="shared" si="10"/>
        <v>76216.95</v>
      </c>
      <c r="U52" s="137">
        <f>U$8*0.85*CMF</f>
        <v>1058.5687499999999</v>
      </c>
      <c r="V52" s="141">
        <f t="shared" si="5"/>
        <v>0.95624999999999993</v>
      </c>
      <c r="W52" s="19"/>
      <c r="X52" s="137">
        <f t="shared" si="11"/>
        <v>75072.318750000006</v>
      </c>
      <c r="Y52" s="137">
        <f>Y$8*0.85*CMF</f>
        <v>1230.6937500000001</v>
      </c>
      <c r="Z52" s="141">
        <f t="shared" si="6"/>
        <v>0.95625000000000016</v>
      </c>
      <c r="AA52" s="19"/>
      <c r="AB52" s="137">
        <f t="shared" si="8"/>
        <v>151289.26874999999</v>
      </c>
      <c r="AC52" s="136">
        <f>+AB52/AB$7</f>
        <v>1137.5132988721803</v>
      </c>
      <c r="AD52" s="141">
        <f>+AC52/AC$8</f>
        <v>0.94871834768321961</v>
      </c>
      <c r="AE52" s="19"/>
      <c r="AF52" s="63"/>
      <c r="AG52" s="64"/>
      <c r="AH52" s="8" t="s">
        <v>216</v>
      </c>
      <c r="AI52" s="9">
        <f>AJ52/$AJ$48</f>
        <v>-3.092633315063564E-2</v>
      </c>
      <c r="AJ52" s="8">
        <f>-AJ46</f>
        <v>-407079.07100146625</v>
      </c>
      <c r="AK52" s="19">
        <f t="shared" si="20"/>
        <v>-3060.7448947478665</v>
      </c>
      <c r="AL52" s="18">
        <f t="shared" si="20"/>
        <v>-1.9193594253029571E-2</v>
      </c>
    </row>
    <row r="53" spans="1:40" s="8" customFormat="1">
      <c r="A53" s="17" t="s">
        <v>172</v>
      </c>
      <c r="B53" s="23" t="s">
        <v>35</v>
      </c>
      <c r="C53" s="60"/>
      <c r="E53" s="61"/>
      <c r="F53" s="61"/>
      <c r="G53" s="61"/>
      <c r="H53" s="61"/>
      <c r="I53" s="61"/>
      <c r="K53" s="61"/>
      <c r="L53" s="19"/>
      <c r="M53" s="19"/>
      <c r="N53" s="12"/>
      <c r="O53" s="12"/>
      <c r="P53" s="137"/>
      <c r="Q53" s="137"/>
      <c r="R53" s="141"/>
      <c r="S53" s="19"/>
      <c r="T53" s="137"/>
      <c r="U53" s="137"/>
      <c r="V53" s="141"/>
      <c r="W53" s="19"/>
      <c r="X53" s="137"/>
      <c r="Y53" s="137"/>
      <c r="Z53" s="141"/>
      <c r="AA53" s="19"/>
      <c r="AB53" s="137"/>
      <c r="AC53" s="136" t="s">
        <v>71</v>
      </c>
      <c r="AD53" s="141"/>
      <c r="AE53" s="19"/>
      <c r="AF53" s="63"/>
      <c r="AG53" s="64"/>
      <c r="AH53" s="8" t="s">
        <v>217</v>
      </c>
      <c r="AI53" s="9">
        <f>AJ53/$AJ$48</f>
        <v>-0.10800693745502987</v>
      </c>
      <c r="AJ53" s="8">
        <f>-AJ47</f>
        <v>-1421680.4671524193</v>
      </c>
      <c r="AK53" s="19">
        <f t="shared" si="20"/>
        <v>-10689.326820694881</v>
      </c>
      <c r="AL53" s="18">
        <f t="shared" si="20"/>
        <v>-6.7031591618923553E-2</v>
      </c>
    </row>
    <row r="54" spans="1:40" s="8" customFormat="1" ht="12.75" thickBot="1">
      <c r="A54" s="17" t="s">
        <v>172</v>
      </c>
      <c r="B54" s="8" t="s">
        <v>36</v>
      </c>
      <c r="C54" s="60"/>
      <c r="D54" s="9">
        <f>L54/$L$88</f>
        <v>2.9069246439900987E-2</v>
      </c>
      <c r="E54" s="61" t="s">
        <v>194</v>
      </c>
      <c r="F54" s="61" t="s">
        <v>194</v>
      </c>
      <c r="G54" s="61" t="s">
        <v>194</v>
      </c>
      <c r="H54" s="61" t="s">
        <v>194</v>
      </c>
      <c r="I54" s="61" t="s">
        <v>194</v>
      </c>
      <c r="J54" s="61" t="s">
        <v>194</v>
      </c>
      <c r="K54" s="61" t="s">
        <v>194</v>
      </c>
      <c r="L54" s="19">
        <f t="shared" ref="L54:L76" si="21">7*M54</f>
        <v>20436.5</v>
      </c>
      <c r="M54" s="19">
        <f>(2739+(21700/7))/2</f>
        <v>2919.5</v>
      </c>
      <c r="N54" s="12">
        <f t="shared" si="3"/>
        <v>2.1217296511627906</v>
      </c>
      <c r="O54" s="12"/>
      <c r="P54" s="137">
        <f t="shared" si="9"/>
        <v>2859.5611373546508</v>
      </c>
      <c r="Q54" s="137">
        <f>Q$8*$N54*CMF</f>
        <v>2859.5611373546508</v>
      </c>
      <c r="R54" s="141">
        <f t="shared" si="4"/>
        <v>2.386945857558139</v>
      </c>
      <c r="S54" s="19"/>
      <c r="T54" s="137">
        <f t="shared" si="10"/>
        <v>190249.13263081393</v>
      </c>
      <c r="U54" s="137">
        <f>U$8*$N54*CMF</f>
        <v>2642.3490643168602</v>
      </c>
      <c r="V54" s="141">
        <f t="shared" si="5"/>
        <v>2.3869458575581395</v>
      </c>
      <c r="W54" s="19"/>
      <c r="X54" s="137">
        <f t="shared" si="11"/>
        <v>187391.95843931686</v>
      </c>
      <c r="Y54" s="137">
        <f>Y$8*$N54*CMF</f>
        <v>3071.9993186773254</v>
      </c>
      <c r="Z54" s="141">
        <f t="shared" si="6"/>
        <v>2.3869458575581395</v>
      </c>
      <c r="AA54" s="19"/>
      <c r="AB54" s="137">
        <f t="shared" si="8"/>
        <v>377641.09107013082</v>
      </c>
      <c r="AC54" s="136">
        <f>+AB54/AB$7</f>
        <v>2839.4066997754198</v>
      </c>
      <c r="AD54" s="141">
        <f>+AC54/AC$8</f>
        <v>2.3681457045666554</v>
      </c>
      <c r="AE54" s="19"/>
      <c r="AF54" s="63"/>
      <c r="AG54" s="64"/>
      <c r="AH54" s="14" t="s">
        <v>214</v>
      </c>
      <c r="AI54" s="15">
        <f>AJ54/$AJ$48</f>
        <v>0.6891199165495635</v>
      </c>
      <c r="AJ54" s="3">
        <f>SUM(AJ48:AJ53)</f>
        <v>9070790.7100146618</v>
      </c>
      <c r="AK54" s="3">
        <f>+AJ54/AK$7</f>
        <v>68201.433909884669</v>
      </c>
      <c r="AL54" s="2">
        <f>+AJ54/AL$7</f>
        <v>56.881929866459281</v>
      </c>
    </row>
    <row r="55" spans="1:40" s="8" customFormat="1" ht="13.5" thickTop="1" thickBot="1">
      <c r="A55" s="17" t="s">
        <v>172</v>
      </c>
      <c r="B55" s="8" t="s">
        <v>72</v>
      </c>
      <c r="C55" s="60"/>
      <c r="D55" s="9">
        <f>L55/$L$88</f>
        <v>2.0162775831751838E-2</v>
      </c>
      <c r="E55" s="61" t="s">
        <v>194</v>
      </c>
      <c r="F55" s="61" t="s">
        <v>194</v>
      </c>
      <c r="G55" s="66" t="s">
        <v>194</v>
      </c>
      <c r="H55" s="61" t="s">
        <v>194</v>
      </c>
      <c r="I55" s="61" t="s">
        <v>194</v>
      </c>
      <c r="J55" s="66" t="s">
        <v>194</v>
      </c>
      <c r="K55" s="66" t="s">
        <v>194</v>
      </c>
      <c r="L55" s="19">
        <f t="shared" si="21"/>
        <v>14175</v>
      </c>
      <c r="M55" s="19">
        <f>4050/2</f>
        <v>2025</v>
      </c>
      <c r="N55" s="12">
        <f t="shared" si="3"/>
        <v>1.4716569767441861</v>
      </c>
      <c r="O55" s="12"/>
      <c r="P55" s="137">
        <f t="shared" si="9"/>
        <v>1983.4256904069766</v>
      </c>
      <c r="Q55" s="137">
        <f>Q$8*$N55*CMF</f>
        <v>1983.4256904069766</v>
      </c>
      <c r="R55" s="141">
        <f t="shared" si="4"/>
        <v>1.6556140988372092</v>
      </c>
      <c r="S55" s="19"/>
      <c r="T55" s="137">
        <f t="shared" si="10"/>
        <v>131959.06613372092</v>
      </c>
      <c r="U55" s="137">
        <f>U$8*$N55*CMF</f>
        <v>1832.7648074127906</v>
      </c>
      <c r="V55" s="141">
        <f t="shared" si="5"/>
        <v>1.6556140988372092</v>
      </c>
      <c r="W55" s="19"/>
      <c r="X55" s="137">
        <f t="shared" si="11"/>
        <v>129977.29605741281</v>
      </c>
      <c r="Y55" s="137">
        <f>Y$8*$N55*CMF</f>
        <v>2130.7753452034885</v>
      </c>
      <c r="Z55" s="141">
        <f t="shared" si="6"/>
        <v>1.6556140988372094</v>
      </c>
      <c r="AA55" s="19"/>
      <c r="AB55" s="137">
        <f t="shared" si="8"/>
        <v>261936.36219113372</v>
      </c>
      <c r="AC55" s="136">
        <f>+AB55/AB$7</f>
        <v>1969.4463322641634</v>
      </c>
      <c r="AD55" s="141">
        <f>+AC55/AC$8</f>
        <v>1.6425740886273257</v>
      </c>
      <c r="AE55" s="19"/>
      <c r="AF55" s="63"/>
      <c r="AG55" s="64"/>
    </row>
    <row r="56" spans="1:40" s="8" customFormat="1" ht="12.75" thickBot="1">
      <c r="A56" s="17" t="s">
        <v>159</v>
      </c>
      <c r="B56" s="25" t="s">
        <v>37</v>
      </c>
      <c r="C56" s="60"/>
      <c r="D56" s="9">
        <f>L56/$L$88</f>
        <v>3.634278112883665E-3</v>
      </c>
      <c r="E56" s="61" t="s">
        <v>194</v>
      </c>
      <c r="F56" s="61" t="s">
        <v>194</v>
      </c>
      <c r="G56" s="65"/>
      <c r="H56" s="61" t="s">
        <v>194</v>
      </c>
      <c r="I56" s="61" t="s">
        <v>194</v>
      </c>
      <c r="J56" s="66" t="s">
        <v>194</v>
      </c>
      <c r="K56" s="66" t="s">
        <v>194</v>
      </c>
      <c r="L56" s="19">
        <f t="shared" si="21"/>
        <v>2555</v>
      </c>
      <c r="M56" s="19">
        <f>730/2</f>
        <v>365</v>
      </c>
      <c r="N56" s="12">
        <f t="shared" si="3"/>
        <v>0.26526162790697677</v>
      </c>
      <c r="O56" s="12"/>
      <c r="P56" s="137">
        <f t="shared" si="9"/>
        <v>225</v>
      </c>
      <c r="Q56" s="137">
        <f>200*CMF</f>
        <v>225</v>
      </c>
      <c r="R56" s="141">
        <f t="shared" si="4"/>
        <v>0.18781302170283806</v>
      </c>
      <c r="S56" s="19"/>
      <c r="T56" s="137">
        <f t="shared" si="10"/>
        <v>0</v>
      </c>
      <c r="U56" s="137">
        <v>0</v>
      </c>
      <c r="V56" s="141">
        <f t="shared" si="5"/>
        <v>0</v>
      </c>
      <c r="W56" s="19"/>
      <c r="X56" s="137">
        <f t="shared" si="11"/>
        <v>13725</v>
      </c>
      <c r="Y56" s="137">
        <f>200*CMF</f>
        <v>225</v>
      </c>
      <c r="Z56" s="141">
        <f t="shared" si="6"/>
        <v>0.17482517482517482</v>
      </c>
      <c r="AA56" s="19"/>
      <c r="AB56" s="137">
        <f t="shared" si="8"/>
        <v>13725</v>
      </c>
      <c r="AC56" s="136">
        <f>+AB56/AB$7</f>
        <v>103.19548872180451</v>
      </c>
      <c r="AD56" s="141">
        <f>+AC56/AC$8</f>
        <v>8.6067963904757724E-2</v>
      </c>
      <c r="AE56" s="19"/>
      <c r="AF56" s="63"/>
      <c r="AG56" s="64"/>
      <c r="AJ56" s="8">
        <f>0.75*AJ48</f>
        <v>9872146.8776787259</v>
      </c>
    </row>
    <row r="57" spans="1:40" s="8" customFormat="1" ht="12.75" thickBot="1">
      <c r="A57" s="17" t="s">
        <v>159</v>
      </c>
      <c r="B57" s="23" t="s">
        <v>38</v>
      </c>
      <c r="C57" s="60"/>
      <c r="D57" s="9"/>
      <c r="E57" s="61"/>
      <c r="F57" s="61"/>
      <c r="G57" s="61"/>
      <c r="H57" s="61"/>
      <c r="I57" s="61"/>
      <c r="J57" s="61"/>
      <c r="K57" s="61"/>
      <c r="L57" s="19"/>
      <c r="M57" s="76"/>
      <c r="N57" s="12"/>
      <c r="O57" s="12"/>
      <c r="P57" s="137"/>
      <c r="Q57" s="137"/>
      <c r="R57" s="141"/>
      <c r="S57" s="19"/>
      <c r="T57" s="137"/>
      <c r="U57" s="137"/>
      <c r="V57" s="141"/>
      <c r="W57" s="19"/>
      <c r="X57" s="137"/>
      <c r="Y57" s="137"/>
      <c r="Z57" s="141"/>
      <c r="AA57" s="19"/>
      <c r="AB57" s="137"/>
      <c r="AC57" s="136" t="s">
        <v>71</v>
      </c>
      <c r="AD57" s="141"/>
      <c r="AE57" s="19"/>
      <c r="AF57" s="63"/>
      <c r="AG57" s="64"/>
      <c r="AJ57" s="8">
        <f>+AJ48-AJ56</f>
        <v>3290715.6258929074</v>
      </c>
    </row>
    <row r="58" spans="1:40" s="8" customFormat="1" ht="12.75" thickBot="1">
      <c r="A58" s="17" t="s">
        <v>159</v>
      </c>
      <c r="B58" s="8" t="s">
        <v>39</v>
      </c>
      <c r="C58" s="60"/>
      <c r="D58" s="9">
        <f t="shared" ref="D58:D64" si="22">L58/$L$88</f>
        <v>7.3432331732923364E-3</v>
      </c>
      <c r="E58" s="61" t="s">
        <v>194</v>
      </c>
      <c r="F58" s="61" t="s">
        <v>194</v>
      </c>
      <c r="G58" s="65"/>
      <c r="H58" s="61" t="s">
        <v>194</v>
      </c>
      <c r="I58" s="61" t="s">
        <v>194</v>
      </c>
      <c r="J58" s="66" t="s">
        <v>194</v>
      </c>
      <c r="K58" s="66" t="s">
        <v>194</v>
      </c>
      <c r="L58" s="19">
        <f t="shared" si="21"/>
        <v>5162.5</v>
      </c>
      <c r="M58" s="19">
        <f>1475/2</f>
        <v>737.5</v>
      </c>
      <c r="N58" s="12">
        <f t="shared" si="3"/>
        <v>0.53597383720930236</v>
      </c>
      <c r="O58" s="12"/>
      <c r="P58" s="137">
        <f t="shared" si="9"/>
        <v>1012.5</v>
      </c>
      <c r="Q58" s="137">
        <f>12*75*CMF</f>
        <v>1012.5</v>
      </c>
      <c r="R58" s="141">
        <f t="shared" si="4"/>
        <v>0.84515859766277124</v>
      </c>
      <c r="S58" s="19"/>
      <c r="T58" s="137">
        <f t="shared" si="10"/>
        <v>72900</v>
      </c>
      <c r="U58" s="137">
        <f>12*75*CMF</f>
        <v>1012.5</v>
      </c>
      <c r="V58" s="141">
        <f t="shared" si="5"/>
        <v>0.91463414634146345</v>
      </c>
      <c r="W58" s="19"/>
      <c r="X58" s="137">
        <f t="shared" si="11"/>
        <v>61762.5</v>
      </c>
      <c r="Y58" s="137">
        <f>12*75*CMF</f>
        <v>1012.5</v>
      </c>
      <c r="Z58" s="141">
        <f t="shared" si="6"/>
        <v>0.78671328671328666</v>
      </c>
      <c r="AA58" s="19"/>
      <c r="AB58" s="137">
        <f t="shared" si="8"/>
        <v>134662.5</v>
      </c>
      <c r="AC58" s="136">
        <f>+AB58/AB$7</f>
        <v>1012.5</v>
      </c>
      <c r="AD58" s="141">
        <f>+AC58/AC$8</f>
        <v>0.84445371142618852</v>
      </c>
      <c r="AE58" s="19"/>
      <c r="AF58" s="63"/>
      <c r="AG58" s="64"/>
      <c r="AI58" s="9"/>
      <c r="AJ58" s="10">
        <f>AJ57-AJ47-AJ46</f>
        <v>1461956.087739022</v>
      </c>
    </row>
    <row r="59" spans="1:40" s="8" customFormat="1" ht="12.75" thickBot="1">
      <c r="A59" s="17" t="s">
        <v>159</v>
      </c>
      <c r="B59" s="8" t="s">
        <v>40</v>
      </c>
      <c r="C59" s="60"/>
      <c r="D59" s="9">
        <f t="shared" si="22"/>
        <v>6.2977559079422409E-3</v>
      </c>
      <c r="E59" s="61" t="s">
        <v>194</v>
      </c>
      <c r="F59" s="61" t="s">
        <v>194</v>
      </c>
      <c r="G59" s="65"/>
      <c r="H59" s="61" t="s">
        <v>194</v>
      </c>
      <c r="I59" s="61" t="s">
        <v>194</v>
      </c>
      <c r="J59" s="66" t="s">
        <v>194</v>
      </c>
      <c r="K59" s="66" t="s">
        <v>194</v>
      </c>
      <c r="L59" s="19">
        <f t="shared" si="21"/>
        <v>4427.5</v>
      </c>
      <c r="M59" s="19">
        <f>1265/2</f>
        <v>632.5</v>
      </c>
      <c r="N59" s="12">
        <f t="shared" si="3"/>
        <v>0.45966569767441862</v>
      </c>
      <c r="O59" s="12"/>
      <c r="P59" s="137">
        <f t="shared" si="9"/>
        <v>619.51444404069764</v>
      </c>
      <c r="Q59" s="137">
        <f>Q$8*$N59*CMF</f>
        <v>619.51444404069764</v>
      </c>
      <c r="R59" s="141">
        <f t="shared" si="4"/>
        <v>0.51712390988372092</v>
      </c>
      <c r="S59" s="19"/>
      <c r="T59" s="137">
        <f t="shared" si="10"/>
        <v>41216.844113372092</v>
      </c>
      <c r="U59" s="137">
        <f t="shared" ref="U59:U72" si="23">U$8*$N59*CMF</f>
        <v>572.4561682412791</v>
      </c>
      <c r="V59" s="141">
        <f t="shared" si="5"/>
        <v>0.51712390988372092</v>
      </c>
      <c r="W59" s="19"/>
      <c r="X59" s="137">
        <f t="shared" si="11"/>
        <v>40597.846793241282</v>
      </c>
      <c r="Y59" s="137">
        <f t="shared" ref="Y59:Y72" si="24">Y$8*$N59*CMF</f>
        <v>665.53847202034888</v>
      </c>
      <c r="Z59" s="141">
        <f t="shared" si="6"/>
        <v>0.51712390988372092</v>
      </c>
      <c r="AA59" s="19"/>
      <c r="AB59" s="137">
        <f t="shared" si="8"/>
        <v>81814.690906613367</v>
      </c>
      <c r="AC59" s="136">
        <f>+AB59/AB$7</f>
        <v>615.14805192942379</v>
      </c>
      <c r="AD59" s="141">
        <f>+AC59/AC$8</f>
        <v>0.5130509190403868</v>
      </c>
      <c r="AE59" s="19"/>
      <c r="AF59" s="63"/>
      <c r="AG59" s="64"/>
      <c r="AI59" s="9"/>
      <c r="AJ59" s="10"/>
    </row>
    <row r="60" spans="1:40" s="8" customFormat="1" ht="12.75" thickBot="1">
      <c r="A60" s="17" t="s">
        <v>159</v>
      </c>
      <c r="B60" s="8" t="s">
        <v>27</v>
      </c>
      <c r="C60" s="60"/>
      <c r="D60" s="9">
        <f t="shared" si="22"/>
        <v>6.2081435709122335E-3</v>
      </c>
      <c r="E60" s="61" t="s">
        <v>194</v>
      </c>
      <c r="F60" s="61" t="s">
        <v>194</v>
      </c>
      <c r="G60" s="65"/>
      <c r="H60" s="61" t="s">
        <v>194</v>
      </c>
      <c r="I60" s="61" t="s">
        <v>194</v>
      </c>
      <c r="J60" s="66" t="s">
        <v>194</v>
      </c>
      <c r="K60" s="66" t="s">
        <v>194</v>
      </c>
      <c r="L60" s="19">
        <f t="shared" si="21"/>
        <v>4364.5</v>
      </c>
      <c r="M60" s="19">
        <f>1247/2</f>
        <v>623.5</v>
      </c>
      <c r="N60" s="12">
        <f t="shared" si="3"/>
        <v>0.453125</v>
      </c>
      <c r="O60" s="12"/>
      <c r="P60" s="137">
        <f t="shared" si="9"/>
        <v>610.69921875</v>
      </c>
      <c r="Q60" s="137">
        <f>Q$8*$N60*CMF</f>
        <v>610.69921875</v>
      </c>
      <c r="R60" s="141">
        <f t="shared" si="4"/>
        <v>0.509765625</v>
      </c>
      <c r="S60" s="19"/>
      <c r="T60" s="137">
        <f t="shared" si="10"/>
        <v>40630.359375</v>
      </c>
      <c r="U60" s="137">
        <f t="shared" si="23"/>
        <v>564.310546875</v>
      </c>
      <c r="V60" s="141">
        <f t="shared" si="5"/>
        <v>0.509765625</v>
      </c>
      <c r="W60" s="19"/>
      <c r="X60" s="137">
        <f t="shared" si="11"/>
        <v>40020.169921875</v>
      </c>
      <c r="Y60" s="137">
        <f t="shared" si="24"/>
        <v>656.068359375</v>
      </c>
      <c r="Z60" s="141">
        <f t="shared" si="6"/>
        <v>0.509765625</v>
      </c>
      <c r="AA60" s="19"/>
      <c r="AB60" s="137">
        <f t="shared" si="8"/>
        <v>80650.529296875</v>
      </c>
      <c r="AC60" s="136">
        <f>+AB60/AB$7</f>
        <v>606.39495711936092</v>
      </c>
      <c r="AD60" s="141">
        <f>+AC60/AC$8</f>
        <v>0.50575058975759879</v>
      </c>
      <c r="AE60" s="19"/>
      <c r="AF60" s="63"/>
      <c r="AG60" s="64"/>
      <c r="AI60" s="9"/>
      <c r="AJ60" s="19">
        <f>X7</f>
        <v>61</v>
      </c>
      <c r="AK60" s="8">
        <f>475*3</f>
        <v>1425</v>
      </c>
      <c r="AL60" s="8">
        <f>AK60*AJ60</f>
        <v>86925</v>
      </c>
      <c r="AN60" s="11">
        <f>AK60/AC$8</f>
        <v>1.188490408673895</v>
      </c>
    </row>
    <row r="61" spans="1:40" s="8" customFormat="1">
      <c r="A61" s="17"/>
      <c r="B61" s="23" t="s">
        <v>41</v>
      </c>
      <c r="C61" s="60"/>
      <c r="D61" s="9">
        <f t="shared" si="22"/>
        <v>0</v>
      </c>
      <c r="E61" s="61"/>
      <c r="F61" s="61"/>
      <c r="G61" s="61"/>
      <c r="H61" s="61"/>
      <c r="I61" s="61"/>
      <c r="J61" s="61"/>
      <c r="K61" s="61"/>
      <c r="L61" s="19"/>
      <c r="M61" s="19"/>
      <c r="N61" s="12"/>
      <c r="O61" s="12"/>
      <c r="P61" s="137"/>
      <c r="Q61" s="137"/>
      <c r="R61" s="141"/>
      <c r="S61" s="19"/>
      <c r="T61" s="137"/>
      <c r="U61" s="137"/>
      <c r="V61" s="141"/>
      <c r="W61" s="19"/>
      <c r="X61" s="137"/>
      <c r="Y61" s="137"/>
      <c r="Z61" s="141"/>
      <c r="AA61" s="19"/>
      <c r="AB61" s="137"/>
      <c r="AC61" s="136" t="s">
        <v>71</v>
      </c>
      <c r="AD61" s="141"/>
      <c r="AE61" s="19"/>
      <c r="AF61" s="63"/>
      <c r="AG61" s="64"/>
      <c r="AI61" s="9"/>
      <c r="AJ61" s="19">
        <f>T7</f>
        <v>72</v>
      </c>
      <c r="AK61" s="8">
        <v>1200</v>
      </c>
      <c r="AL61" s="8">
        <f>AK61*AJ61</f>
        <v>86400</v>
      </c>
      <c r="AN61" s="11">
        <f>AK61/U$8</f>
        <v>1.084010840108401</v>
      </c>
    </row>
    <row r="62" spans="1:40" s="8" customFormat="1" ht="12.75" thickBot="1">
      <c r="A62" s="17" t="s">
        <v>173</v>
      </c>
      <c r="B62" s="8" t="s">
        <v>42</v>
      </c>
      <c r="C62" s="60"/>
      <c r="D62" s="9">
        <f t="shared" si="22"/>
        <v>1.1326003707959366E-2</v>
      </c>
      <c r="E62" s="61" t="s">
        <v>194</v>
      </c>
      <c r="F62" s="61" t="s">
        <v>194</v>
      </c>
      <c r="G62" s="61" t="s">
        <v>194</v>
      </c>
      <c r="H62" s="61" t="s">
        <v>194</v>
      </c>
      <c r="I62" s="61" t="s">
        <v>194</v>
      </c>
      <c r="J62" s="61" t="s">
        <v>194</v>
      </c>
      <c r="K62" s="61" t="s">
        <v>194</v>
      </c>
      <c r="L62" s="19">
        <f t="shared" si="21"/>
        <v>7962.5</v>
      </c>
      <c r="M62" s="19">
        <f>2275/2</f>
        <v>1137.5</v>
      </c>
      <c r="N62" s="12">
        <f t="shared" si="3"/>
        <v>0.82667151162790697</v>
      </c>
      <c r="O62" s="12"/>
      <c r="P62" s="137">
        <f t="shared" si="9"/>
        <v>1003.7671875000001</v>
      </c>
      <c r="Q62" s="137">
        <f>1.75*R$8*0.33*CMF</f>
        <v>1003.7671875000001</v>
      </c>
      <c r="R62" s="141">
        <f t="shared" si="4"/>
        <v>0.83786910475792997</v>
      </c>
      <c r="S62" s="19"/>
      <c r="T62" s="137">
        <f t="shared" si="10"/>
        <v>74125.154433139542</v>
      </c>
      <c r="U62" s="137">
        <f t="shared" si="23"/>
        <v>1029.5160337936047</v>
      </c>
      <c r="V62" s="141">
        <f t="shared" si="5"/>
        <v>0.93000545058139539</v>
      </c>
      <c r="W62" s="19"/>
      <c r="X62" s="137">
        <f t="shared" si="11"/>
        <v>73011.937908793596</v>
      </c>
      <c r="Y62" s="137">
        <f t="shared" si="24"/>
        <v>1196.9170148982557</v>
      </c>
      <c r="Z62" s="141">
        <f t="shared" si="6"/>
        <v>0.93000545058139528</v>
      </c>
      <c r="AA62" s="19"/>
      <c r="AB62" s="137">
        <f t="shared" si="8"/>
        <v>147137.09234193314</v>
      </c>
      <c r="AC62" s="136">
        <f>+AB62/AB$7</f>
        <v>1106.2939273829559</v>
      </c>
      <c r="AD62" s="141">
        <f>+AC62/AC$8</f>
        <v>0.92268050657460876</v>
      </c>
      <c r="AE62" s="19"/>
      <c r="AF62" s="63"/>
      <c r="AG62" s="64"/>
      <c r="AI62" s="9"/>
      <c r="AJ62" s="8">
        <f>P7</f>
        <v>1</v>
      </c>
      <c r="AK62" s="19">
        <v>1250</v>
      </c>
      <c r="AL62" s="8">
        <f>AK62*AJ62</f>
        <v>1250</v>
      </c>
      <c r="AM62" s="8">
        <f>SUM(AL60:AL62)</f>
        <v>174575</v>
      </c>
      <c r="AN62" s="11">
        <f>AK62/Q$8</f>
        <v>1.0434056761268782</v>
      </c>
    </row>
    <row r="63" spans="1:40" s="8" customFormat="1" ht="12.75" thickBot="1">
      <c r="A63" s="17" t="s">
        <v>174</v>
      </c>
      <c r="B63" s="8" t="s">
        <v>43</v>
      </c>
      <c r="C63" s="60"/>
      <c r="D63" s="9">
        <f t="shared" si="22"/>
        <v>9.0608029663674927E-3</v>
      </c>
      <c r="E63" s="61" t="s">
        <v>194</v>
      </c>
      <c r="F63" s="61" t="s">
        <v>194</v>
      </c>
      <c r="G63" s="65"/>
      <c r="H63" s="61" t="s">
        <v>194</v>
      </c>
      <c r="I63" s="61" t="s">
        <v>194</v>
      </c>
      <c r="J63" s="66" t="s">
        <v>194</v>
      </c>
      <c r="K63" s="66" t="s">
        <v>194</v>
      </c>
      <c r="L63" s="19">
        <f t="shared" si="21"/>
        <v>6370</v>
      </c>
      <c r="M63" s="19">
        <f>1820/2</f>
        <v>910</v>
      </c>
      <c r="N63" s="12">
        <f t="shared" si="3"/>
        <v>0.66133720930232553</v>
      </c>
      <c r="O63" s="12"/>
      <c r="P63" s="137">
        <f t="shared" si="9"/>
        <v>2037.9515625000001</v>
      </c>
      <c r="Q63" s="137">
        <f>1.75*R$8*0.67*CMF</f>
        <v>2037.9515625000001</v>
      </c>
      <c r="R63" s="141">
        <f t="shared" si="4"/>
        <v>1.7011281823873123</v>
      </c>
      <c r="S63" s="19"/>
      <c r="T63" s="137">
        <f t="shared" si="10"/>
        <v>59300.123546511626</v>
      </c>
      <c r="U63" s="137">
        <f t="shared" si="23"/>
        <v>823.61282703488371</v>
      </c>
      <c r="V63" s="141">
        <f t="shared" si="5"/>
        <v>0.74400436046511631</v>
      </c>
      <c r="W63" s="19"/>
      <c r="X63" s="137">
        <f t="shared" si="11"/>
        <v>58409.550327034871</v>
      </c>
      <c r="Y63" s="137">
        <f t="shared" si="24"/>
        <v>957.53361191860449</v>
      </c>
      <c r="Z63" s="141">
        <f t="shared" si="6"/>
        <v>0.7440043604651162</v>
      </c>
      <c r="AA63" s="19"/>
      <c r="AB63" s="137">
        <f t="shared" si="8"/>
        <v>117709.6738735465</v>
      </c>
      <c r="AC63" s="136">
        <f>+AB63/AB$7</f>
        <v>885.03514190636474</v>
      </c>
      <c r="AD63" s="141">
        <f>+AC63/AC$8</f>
        <v>0.73814440525968705</v>
      </c>
      <c r="AE63" s="19"/>
      <c r="AF63" s="63"/>
      <c r="AG63" s="64"/>
      <c r="AI63" s="9"/>
      <c r="AJ63" s="8">
        <f>2900000/28</f>
        <v>103571.42857142857</v>
      </c>
      <c r="AK63" s="11">
        <f>AJ63/1343</f>
        <v>77.119455377087533</v>
      </c>
      <c r="AL63" s="19"/>
    </row>
    <row r="64" spans="1:40" s="8" customFormat="1" ht="12.75" thickBot="1">
      <c r="A64" s="17" t="s">
        <v>174</v>
      </c>
      <c r="B64" s="8" t="s">
        <v>44</v>
      </c>
      <c r="C64" s="60"/>
      <c r="D64" s="9">
        <f t="shared" si="22"/>
        <v>2.2652007415918732E-3</v>
      </c>
      <c r="E64" s="61" t="s">
        <v>194</v>
      </c>
      <c r="F64" s="61" t="s">
        <v>194</v>
      </c>
      <c r="G64" s="65"/>
      <c r="H64" s="61" t="s">
        <v>194</v>
      </c>
      <c r="I64" s="61" t="s">
        <v>194</v>
      </c>
      <c r="J64" s="66" t="s">
        <v>194</v>
      </c>
      <c r="K64" s="66" t="s">
        <v>194</v>
      </c>
      <c r="L64" s="19">
        <f t="shared" si="21"/>
        <v>1592.5</v>
      </c>
      <c r="M64" s="19">
        <f>455/2</f>
        <v>227.5</v>
      </c>
      <c r="N64" s="12">
        <f t="shared" si="3"/>
        <v>0.16533430232558138</v>
      </c>
      <c r="O64" s="12"/>
      <c r="P64" s="137">
        <f t="shared" si="9"/>
        <v>222.8293059593023</v>
      </c>
      <c r="Q64" s="137">
        <f>Q$8*$N64*CMF</f>
        <v>222.8293059593023</v>
      </c>
      <c r="R64" s="141">
        <f t="shared" si="4"/>
        <v>0.18600109011627905</v>
      </c>
      <c r="S64" s="19"/>
      <c r="T64" s="137">
        <f t="shared" si="10"/>
        <v>14825.030886627907</v>
      </c>
      <c r="U64" s="137">
        <f t="shared" si="23"/>
        <v>205.90320675872093</v>
      </c>
      <c r="V64" s="141">
        <f t="shared" si="5"/>
        <v>0.18600109011627908</v>
      </c>
      <c r="W64" s="19"/>
      <c r="X64" s="137">
        <f t="shared" si="11"/>
        <v>14602.387581758718</v>
      </c>
      <c r="Y64" s="137">
        <f t="shared" si="24"/>
        <v>239.38340297965112</v>
      </c>
      <c r="Z64" s="141">
        <f t="shared" si="6"/>
        <v>0.18600109011627905</v>
      </c>
      <c r="AA64" s="19"/>
      <c r="AB64" s="137">
        <f t="shared" si="8"/>
        <v>29427.418468386626</v>
      </c>
      <c r="AC64" s="136">
        <f>+AB64/AB$7</f>
        <v>221.25878547659119</v>
      </c>
      <c r="AD64" s="141">
        <f>+AC64/AC$8</f>
        <v>0.18453610131492176</v>
      </c>
      <c r="AE64" s="19"/>
      <c r="AF64" s="63"/>
      <c r="AG64" s="64"/>
      <c r="AJ64" s="8">
        <f>2700000/28</f>
        <v>96428.571428571435</v>
      </c>
      <c r="AK64" s="11">
        <f>AJ64/1343</f>
        <v>71.800872247633237</v>
      </c>
    </row>
    <row r="65" spans="1:41" s="8" customFormat="1">
      <c r="A65" s="17"/>
      <c r="B65" s="23" t="s">
        <v>45</v>
      </c>
      <c r="C65" s="60"/>
      <c r="D65" s="9"/>
      <c r="E65" s="61"/>
      <c r="F65" s="61"/>
      <c r="G65" s="61"/>
      <c r="H65" s="61"/>
      <c r="I65" s="61"/>
      <c r="J65" s="61"/>
      <c r="K65" s="61"/>
      <c r="L65" s="19"/>
      <c r="M65" s="19"/>
      <c r="N65" s="12">
        <f t="shared" si="3"/>
        <v>0</v>
      </c>
      <c r="O65" s="12"/>
      <c r="P65" s="137"/>
      <c r="Q65" s="137"/>
      <c r="R65" s="141"/>
      <c r="S65" s="19"/>
      <c r="T65" s="137"/>
      <c r="U65" s="137"/>
      <c r="V65" s="141"/>
      <c r="W65" s="19"/>
      <c r="X65" s="137"/>
      <c r="Y65" s="137"/>
      <c r="Z65" s="141"/>
      <c r="AA65" s="19"/>
      <c r="AB65" s="137"/>
      <c r="AC65" s="136" t="s">
        <v>71</v>
      </c>
      <c r="AD65" s="141"/>
      <c r="AE65" s="19"/>
      <c r="AF65" s="63"/>
      <c r="AG65" s="64"/>
    </row>
    <row r="66" spans="1:41" s="8" customFormat="1" ht="12.75" thickBot="1">
      <c r="A66" s="17" t="s">
        <v>160</v>
      </c>
      <c r="B66" s="8" t="s">
        <v>46</v>
      </c>
      <c r="C66" s="60"/>
      <c r="D66" s="9">
        <f t="shared" ref="D66:D79" si="25">L66/$L$88</f>
        <v>9.4391661671608604E-3</v>
      </c>
      <c r="E66" s="61" t="s">
        <v>194</v>
      </c>
      <c r="F66" s="61" t="s">
        <v>194</v>
      </c>
      <c r="G66" s="61" t="s">
        <v>194</v>
      </c>
      <c r="H66" s="61" t="s">
        <v>194</v>
      </c>
      <c r="I66" s="61" t="s">
        <v>194</v>
      </c>
      <c r="J66" s="61" t="s">
        <v>194</v>
      </c>
      <c r="K66" s="61" t="s">
        <v>194</v>
      </c>
      <c r="L66" s="19">
        <f t="shared" si="21"/>
        <v>6636</v>
      </c>
      <c r="M66" s="19">
        <f>1896/2</f>
        <v>948</v>
      </c>
      <c r="N66" s="12">
        <f t="shared" si="3"/>
        <v>0.68895348837209303</v>
      </c>
      <c r="O66" s="12"/>
      <c r="P66" s="137">
        <f t="shared" si="9"/>
        <v>1237.5</v>
      </c>
      <c r="Q66" s="137">
        <f>1100*CMF</f>
        <v>1237.5</v>
      </c>
      <c r="R66" s="141">
        <f t="shared" si="4"/>
        <v>1.0329716193656093</v>
      </c>
      <c r="S66" s="19"/>
      <c r="T66" s="137">
        <f t="shared" si="10"/>
        <v>89100</v>
      </c>
      <c r="U66" s="137">
        <f>1100*CMF</f>
        <v>1237.5</v>
      </c>
      <c r="V66" s="141">
        <f t="shared" si="5"/>
        <v>1.1178861788617886</v>
      </c>
      <c r="W66" s="19"/>
      <c r="X66" s="137">
        <f t="shared" si="11"/>
        <v>75487.5</v>
      </c>
      <c r="Y66" s="137">
        <f>1100*CMF</f>
        <v>1237.5</v>
      </c>
      <c r="Z66" s="141">
        <f t="shared" si="6"/>
        <v>0.96153846153846156</v>
      </c>
      <c r="AA66" s="19"/>
      <c r="AB66" s="137">
        <f t="shared" si="8"/>
        <v>164587.5</v>
      </c>
      <c r="AC66" s="136">
        <f t="shared" ref="AC66:AC79" si="26">+AB66/AB$7</f>
        <v>1237.5</v>
      </c>
      <c r="AD66" s="141">
        <f t="shared" ref="AD66:AD77" si="27">+AC66/AC$8</f>
        <v>1.0321100917431192</v>
      </c>
      <c r="AE66" s="19"/>
      <c r="AF66" s="63"/>
      <c r="AG66" s="64"/>
      <c r="AJ66" s="77">
        <f>0.0725/12</f>
        <v>6.0416666666666665E-3</v>
      </c>
    </row>
    <row r="67" spans="1:41" s="8" customFormat="1" ht="12.75" thickBot="1">
      <c r="A67" s="17" t="s">
        <v>160</v>
      </c>
      <c r="B67" s="17" t="s">
        <v>65</v>
      </c>
      <c r="C67" s="60"/>
      <c r="D67" s="9">
        <f t="shared" si="25"/>
        <v>5.8845434649705368E-3</v>
      </c>
      <c r="E67" s="61" t="s">
        <v>194</v>
      </c>
      <c r="F67" s="61" t="s">
        <v>194</v>
      </c>
      <c r="G67" s="65"/>
      <c r="H67" s="61" t="s">
        <v>194</v>
      </c>
      <c r="I67" s="61" t="s">
        <v>194</v>
      </c>
      <c r="J67" s="65"/>
      <c r="K67" s="78" t="s">
        <v>199</v>
      </c>
      <c r="L67" s="19">
        <f t="shared" si="21"/>
        <v>4137</v>
      </c>
      <c r="M67" s="19">
        <f>1182/2</f>
        <v>591</v>
      </c>
      <c r="N67" s="12">
        <f t="shared" si="3"/>
        <v>0.42950581395348836</v>
      </c>
      <c r="O67" s="12"/>
      <c r="P67" s="137">
        <f t="shared" si="9"/>
        <v>675</v>
      </c>
      <c r="Q67" s="137">
        <f>600*CMF</f>
        <v>675</v>
      </c>
      <c r="R67" s="141">
        <f t="shared" si="4"/>
        <v>0.56343906510851416</v>
      </c>
      <c r="S67" s="19"/>
      <c r="T67" s="137">
        <f t="shared" si="10"/>
        <v>48600</v>
      </c>
      <c r="U67" s="137">
        <f>600*CMF</f>
        <v>675</v>
      </c>
      <c r="V67" s="141">
        <f t="shared" si="5"/>
        <v>0.6097560975609756</v>
      </c>
      <c r="W67" s="19"/>
      <c r="X67" s="137">
        <f t="shared" si="11"/>
        <v>41175</v>
      </c>
      <c r="Y67" s="137">
        <f>600*CMF</f>
        <v>675</v>
      </c>
      <c r="Z67" s="141">
        <f t="shared" si="6"/>
        <v>0.52447552447552448</v>
      </c>
      <c r="AA67" s="19"/>
      <c r="AB67" s="137">
        <f t="shared" si="8"/>
        <v>89775</v>
      </c>
      <c r="AC67" s="136">
        <f t="shared" si="26"/>
        <v>675</v>
      </c>
      <c r="AD67" s="141">
        <f t="shared" si="27"/>
        <v>0.56296914095079231</v>
      </c>
      <c r="AE67" s="19"/>
      <c r="AF67" s="63"/>
      <c r="AG67" s="64"/>
      <c r="AJ67" s="8">
        <v>360</v>
      </c>
    </row>
    <row r="68" spans="1:41" s="8" customFormat="1" ht="12.75" thickBot="1">
      <c r="A68" s="17" t="s">
        <v>153</v>
      </c>
      <c r="B68" s="17" t="s">
        <v>230</v>
      </c>
      <c r="C68" s="60"/>
      <c r="D68" s="9">
        <f t="shared" si="25"/>
        <v>4.7594107889271011E-3</v>
      </c>
      <c r="E68" s="61" t="s">
        <v>194</v>
      </c>
      <c r="F68" s="61" t="s">
        <v>194</v>
      </c>
      <c r="G68" s="65"/>
      <c r="H68" s="61" t="s">
        <v>194</v>
      </c>
      <c r="I68" s="61" t="s">
        <v>194</v>
      </c>
      <c r="J68" s="65"/>
      <c r="K68" s="66" t="s">
        <v>194</v>
      </c>
      <c r="L68" s="19">
        <f t="shared" si="21"/>
        <v>3346</v>
      </c>
      <c r="M68" s="19">
        <f>956/2</f>
        <v>478</v>
      </c>
      <c r="N68" s="12">
        <f t="shared" si="3"/>
        <v>0.34738372093023256</v>
      </c>
      <c r="O68" s="12"/>
      <c r="P68" s="137">
        <f t="shared" si="9"/>
        <v>693.18640988372101</v>
      </c>
      <c r="Q68" s="137">
        <f>(Q$8*$N68+200)*CMF</f>
        <v>693.18640988372101</v>
      </c>
      <c r="R68" s="141">
        <f t="shared" si="4"/>
        <v>0.57861970774934979</v>
      </c>
      <c r="S68" s="19"/>
      <c r="T68" s="137">
        <f t="shared" si="10"/>
        <v>47348.85610465116</v>
      </c>
      <c r="U68" s="137">
        <f>(U$8*$N68+200)*CMF</f>
        <v>657.62300145348831</v>
      </c>
      <c r="V68" s="141">
        <f t="shared" si="5"/>
        <v>0.59405871856683679</v>
      </c>
      <c r="W68" s="19"/>
      <c r="X68" s="137">
        <f t="shared" si="11"/>
        <v>44406.060501453489</v>
      </c>
      <c r="Y68" s="137">
        <f>(Y$8*$N68+200)*CMF</f>
        <v>727.96820494186045</v>
      </c>
      <c r="Z68" s="141">
        <f t="shared" si="6"/>
        <v>0.56563186087168649</v>
      </c>
      <c r="AA68" s="19"/>
      <c r="AB68" s="137">
        <f t="shared" si="8"/>
        <v>91754.916606104642</v>
      </c>
      <c r="AC68" s="136">
        <f t="shared" si="26"/>
        <v>689.88659102334316</v>
      </c>
      <c r="AD68" s="141">
        <f t="shared" si="27"/>
        <v>0.57538498000278826</v>
      </c>
      <c r="AE68" s="19"/>
      <c r="AF68" s="63"/>
      <c r="AG68" s="64"/>
      <c r="AI68" s="9"/>
      <c r="AJ68" s="19">
        <f>PMT(AJ66,AJ67,AJ48)</f>
        <v>-89793.925775776268</v>
      </c>
      <c r="AK68" s="19"/>
    </row>
    <row r="69" spans="1:41" s="8" customFormat="1" ht="12.75" thickBot="1">
      <c r="A69" s="17" t="s">
        <v>158</v>
      </c>
      <c r="B69" s="17" t="s">
        <v>48</v>
      </c>
      <c r="C69" s="60"/>
      <c r="D69" s="9">
        <f t="shared" si="25"/>
        <v>3.9728136083303622E-3</v>
      </c>
      <c r="E69" s="61" t="s">
        <v>194</v>
      </c>
      <c r="F69" s="61" t="s">
        <v>194</v>
      </c>
      <c r="G69" s="65"/>
      <c r="H69" s="61" t="s">
        <v>194</v>
      </c>
      <c r="I69" s="61" t="s">
        <v>194</v>
      </c>
      <c r="J69" s="66" t="s">
        <v>194</v>
      </c>
      <c r="K69" s="66" t="s">
        <v>194</v>
      </c>
      <c r="L69" s="19">
        <f t="shared" si="21"/>
        <v>2793</v>
      </c>
      <c r="M69" s="19">
        <f>798/2</f>
        <v>399</v>
      </c>
      <c r="N69" s="12">
        <f t="shared" si="3"/>
        <v>0.28997093023255816</v>
      </c>
      <c r="O69" s="12"/>
      <c r="P69" s="137">
        <f t="shared" si="9"/>
        <v>390.80832122093022</v>
      </c>
      <c r="Q69" s="137">
        <f>Q$8*$N69*CMF</f>
        <v>390.80832122093022</v>
      </c>
      <c r="R69" s="141">
        <f t="shared" si="4"/>
        <v>0.3262172965116279</v>
      </c>
      <c r="S69" s="19"/>
      <c r="T69" s="137">
        <f t="shared" si="10"/>
        <v>26000.82340116279</v>
      </c>
      <c r="U69" s="137">
        <f t="shared" si="23"/>
        <v>361.12254723837208</v>
      </c>
      <c r="V69" s="141">
        <f t="shared" si="5"/>
        <v>0.3262172965116279</v>
      </c>
      <c r="W69" s="19"/>
      <c r="X69" s="137">
        <f t="shared" si="11"/>
        <v>25610.341297238374</v>
      </c>
      <c r="Y69" s="137">
        <f t="shared" si="24"/>
        <v>419.84166061046517</v>
      </c>
      <c r="Z69" s="141">
        <f t="shared" si="6"/>
        <v>0.32621729651162795</v>
      </c>
      <c r="AA69" s="19"/>
      <c r="AB69" s="137">
        <f t="shared" si="8"/>
        <v>51611.16469840116</v>
      </c>
      <c r="AC69" s="136">
        <f t="shared" si="26"/>
        <v>388.05386991279067</v>
      </c>
      <c r="AD69" s="141">
        <f t="shared" si="27"/>
        <v>0.32364793153693966</v>
      </c>
      <c r="AE69" s="19"/>
      <c r="AF69" s="63"/>
      <c r="AG69" s="64"/>
      <c r="AI69" s="9" t="s">
        <v>237</v>
      </c>
      <c r="AJ69" s="19">
        <f>+AM62</f>
        <v>174575</v>
      </c>
      <c r="AK69" s="19"/>
      <c r="AL69" s="19">
        <f>2700000*0.105</f>
        <v>283500</v>
      </c>
    </row>
    <row r="70" spans="1:41" s="8" customFormat="1" ht="12.75" thickBot="1">
      <c r="A70" s="17" t="s">
        <v>156</v>
      </c>
      <c r="B70" s="17" t="s">
        <v>49</v>
      </c>
      <c r="C70" s="60"/>
      <c r="D70" s="9">
        <f t="shared" si="25"/>
        <v>1.0385074169144281E-2</v>
      </c>
      <c r="E70" s="61" t="s">
        <v>194</v>
      </c>
      <c r="F70" s="61" t="s">
        <v>194</v>
      </c>
      <c r="G70" s="65"/>
      <c r="H70" s="61" t="s">
        <v>194</v>
      </c>
      <c r="I70" s="61" t="s">
        <v>194</v>
      </c>
      <c r="J70" s="66" t="s">
        <v>194</v>
      </c>
      <c r="K70" s="66" t="s">
        <v>194</v>
      </c>
      <c r="L70" s="19">
        <f t="shared" si="21"/>
        <v>7301</v>
      </c>
      <c r="M70" s="19">
        <f>2086/2</f>
        <v>1043</v>
      </c>
      <c r="N70" s="12">
        <f t="shared" si="3"/>
        <v>0.75799418604651159</v>
      </c>
      <c r="O70" s="12"/>
      <c r="P70" s="137">
        <f t="shared" si="9"/>
        <v>1012.5</v>
      </c>
      <c r="Q70" s="137">
        <f>(250+300+250+100)*CMF</f>
        <v>1012.5</v>
      </c>
      <c r="R70" s="141">
        <f t="shared" si="4"/>
        <v>0.84515859766277124</v>
      </c>
      <c r="S70" s="19"/>
      <c r="T70" s="137">
        <f t="shared" si="10"/>
        <v>72900</v>
      </c>
      <c r="U70" s="137">
        <f>(250+300+250+100)*CMF</f>
        <v>1012.5</v>
      </c>
      <c r="V70" s="141">
        <f t="shared" si="5"/>
        <v>0.91463414634146345</v>
      </c>
      <c r="W70" s="19"/>
      <c r="X70" s="137">
        <f t="shared" si="11"/>
        <v>61762.5</v>
      </c>
      <c r="Y70" s="137">
        <f>(250+300+250+100)*CMF</f>
        <v>1012.5</v>
      </c>
      <c r="Z70" s="141">
        <f t="shared" si="6"/>
        <v>0.78671328671328666</v>
      </c>
      <c r="AA70" s="19"/>
      <c r="AB70" s="137">
        <f t="shared" si="8"/>
        <v>134662.5</v>
      </c>
      <c r="AC70" s="136">
        <f t="shared" si="26"/>
        <v>1012.5</v>
      </c>
      <c r="AD70" s="141">
        <f t="shared" si="27"/>
        <v>0.84445371142618852</v>
      </c>
      <c r="AE70" s="19"/>
      <c r="AF70" s="63"/>
      <c r="AG70" s="64"/>
      <c r="AH70" s="4"/>
      <c r="AJ70" s="19">
        <f>0.9*AJ69</f>
        <v>157117.5</v>
      </c>
      <c r="AK70" s="19"/>
      <c r="AL70" s="19">
        <f>AL69/12</f>
        <v>23625</v>
      </c>
    </row>
    <row r="71" spans="1:41" s="8" customFormat="1" ht="12.75" thickBot="1">
      <c r="A71" s="17" t="s">
        <v>157</v>
      </c>
      <c r="B71" s="17" t="s">
        <v>63</v>
      </c>
      <c r="C71" s="60"/>
      <c r="D71" s="9">
        <f t="shared" si="25"/>
        <v>1.5931082138668121E-2</v>
      </c>
      <c r="E71" s="61" t="s">
        <v>194</v>
      </c>
      <c r="F71" s="61" t="s">
        <v>194</v>
      </c>
      <c r="G71" s="65"/>
      <c r="H71" s="61" t="s">
        <v>194</v>
      </c>
      <c r="I71" s="61" t="s">
        <v>194</v>
      </c>
      <c r="J71" s="65"/>
      <c r="K71" s="66" t="s">
        <v>194</v>
      </c>
      <c r="L71" s="19">
        <f t="shared" si="21"/>
        <v>11200</v>
      </c>
      <c r="M71" s="19">
        <f>3200/2</f>
        <v>1600</v>
      </c>
      <c r="N71" s="12">
        <f t="shared" si="3"/>
        <v>1.1627906976744187</v>
      </c>
      <c r="O71" s="12"/>
      <c r="P71" s="137">
        <f t="shared" si="9"/>
        <v>1644.2549999999999</v>
      </c>
      <c r="Q71" s="137">
        <f>1.22*Q$8*CMF</f>
        <v>1644.2549999999999</v>
      </c>
      <c r="R71" s="141">
        <f t="shared" si="4"/>
        <v>1.3724999999999998</v>
      </c>
      <c r="S71" s="19"/>
      <c r="T71" s="137">
        <f t="shared" si="10"/>
        <v>109393.74</v>
      </c>
      <c r="U71" s="137">
        <f>1.22*U$8*CMF</f>
        <v>1519.3575000000001</v>
      </c>
      <c r="V71" s="141">
        <f t="shared" si="5"/>
        <v>1.3725000000000001</v>
      </c>
      <c r="W71" s="19"/>
      <c r="X71" s="137">
        <f t="shared" si="11"/>
        <v>107750.85749999998</v>
      </c>
      <c r="Y71" s="137">
        <f>1.22*Y$8*CMF</f>
        <v>1766.4074999999998</v>
      </c>
      <c r="Z71" s="141">
        <f t="shared" si="6"/>
        <v>1.3724999999999998</v>
      </c>
      <c r="AA71" s="19"/>
      <c r="AB71" s="137">
        <f t="shared" si="8"/>
        <v>217144.59749999997</v>
      </c>
      <c r="AC71" s="136">
        <f t="shared" si="26"/>
        <v>1632.6661466165413</v>
      </c>
      <c r="AD71" s="141">
        <f t="shared" si="27"/>
        <v>1.3616898637335624</v>
      </c>
      <c r="AE71" s="19"/>
      <c r="AF71" s="63"/>
      <c r="AG71" s="64"/>
      <c r="AI71" s="9"/>
      <c r="AJ71" s="79">
        <f>((110000/28/1343)*1187*134)/12</f>
        <v>38773.313122717438</v>
      </c>
      <c r="AK71" s="19"/>
      <c r="AL71" s="19"/>
    </row>
    <row r="72" spans="1:41" s="8" customFormat="1" ht="12.75" thickBot="1">
      <c r="A72" s="17" t="s">
        <v>159</v>
      </c>
      <c r="B72" s="17" t="s">
        <v>64</v>
      </c>
      <c r="C72" s="60"/>
      <c r="D72" s="9">
        <f t="shared" si="25"/>
        <v>1.5582589716884754E-3</v>
      </c>
      <c r="E72" s="61" t="s">
        <v>194</v>
      </c>
      <c r="F72" s="61" t="s">
        <v>194</v>
      </c>
      <c r="G72" s="78" t="s">
        <v>199</v>
      </c>
      <c r="H72" s="61" t="s">
        <v>194</v>
      </c>
      <c r="I72" s="61" t="s">
        <v>194</v>
      </c>
      <c r="J72" s="65"/>
      <c r="K72" s="78" t="s">
        <v>199</v>
      </c>
      <c r="L72" s="19">
        <f t="shared" si="21"/>
        <v>1095.5</v>
      </c>
      <c r="M72" s="19">
        <f>313/2</f>
        <v>156.5</v>
      </c>
      <c r="N72" s="12">
        <f t="shared" si="3"/>
        <v>0.11373546511627906</v>
      </c>
      <c r="O72" s="12"/>
      <c r="P72" s="137">
        <f t="shared" si="9"/>
        <v>153.28697311046511</v>
      </c>
      <c r="Q72" s="137">
        <f>Q$8*$N72*CMF</f>
        <v>153.28697311046511</v>
      </c>
      <c r="R72" s="141">
        <f t="shared" si="4"/>
        <v>0.12795239825581395</v>
      </c>
      <c r="S72" s="19"/>
      <c r="T72" s="137">
        <f t="shared" si="10"/>
        <v>10198.317950581395</v>
      </c>
      <c r="U72" s="137">
        <f t="shared" si="23"/>
        <v>141.64330486918604</v>
      </c>
      <c r="V72" s="141">
        <f t="shared" si="5"/>
        <v>0.12795239825581395</v>
      </c>
      <c r="W72" s="19"/>
      <c r="X72" s="137">
        <f t="shared" si="11"/>
        <v>10045.158929869185</v>
      </c>
      <c r="Y72" s="137">
        <f t="shared" si="24"/>
        <v>164.67473655523256</v>
      </c>
      <c r="Z72" s="141">
        <f t="shared" si="6"/>
        <v>0.12795239825581395</v>
      </c>
      <c r="AA72" s="19"/>
      <c r="AB72" s="137">
        <f t="shared" si="8"/>
        <v>20243.47688045058</v>
      </c>
      <c r="AC72" s="136">
        <f t="shared" si="26"/>
        <v>152.20659308609459</v>
      </c>
      <c r="AD72" s="141">
        <f t="shared" si="27"/>
        <v>0.1269446147507044</v>
      </c>
      <c r="AE72" s="19"/>
      <c r="AF72" s="63"/>
      <c r="AG72" s="64"/>
      <c r="AI72" s="9"/>
      <c r="AJ72" s="19">
        <f>+AJ70-AJ71</f>
        <v>118344.18687728257</v>
      </c>
      <c r="AK72" s="19"/>
      <c r="AL72" s="19"/>
    </row>
    <row r="73" spans="1:41" s="8" customFormat="1">
      <c r="A73" s="17" t="s">
        <v>154</v>
      </c>
      <c r="B73" s="25" t="s">
        <v>50</v>
      </c>
      <c r="C73" s="60"/>
      <c r="D73" s="9">
        <f t="shared" si="25"/>
        <v>1.5707051296093101E-2</v>
      </c>
      <c r="E73" s="61"/>
      <c r="F73" s="61"/>
      <c r="G73" s="61"/>
      <c r="H73" s="61"/>
      <c r="I73" s="61"/>
      <c r="J73" s="61"/>
      <c r="K73" s="61"/>
      <c r="L73" s="19">
        <f t="shared" si="21"/>
        <v>11042.5</v>
      </c>
      <c r="M73" s="19">
        <f>3155/2</f>
        <v>1577.5</v>
      </c>
      <c r="N73" s="12">
        <f t="shared" si="3"/>
        <v>1.1464389534883721</v>
      </c>
      <c r="O73" s="12"/>
      <c r="P73" s="137">
        <f t="shared" si="9"/>
        <v>379.6875</v>
      </c>
      <c r="Q73" s="137">
        <f>15*10*2.25*CMF</f>
        <v>379.6875</v>
      </c>
      <c r="R73" s="141">
        <f t="shared" si="4"/>
        <v>0.31693447412353926</v>
      </c>
      <c r="S73" s="19"/>
      <c r="T73" s="137">
        <f t="shared" si="10"/>
        <v>27337.5</v>
      </c>
      <c r="U73" s="137">
        <f>15*10*2.25*CMF</f>
        <v>379.6875</v>
      </c>
      <c r="V73" s="141">
        <f t="shared" si="5"/>
        <v>0.34298780487804881</v>
      </c>
      <c r="W73" s="19"/>
      <c r="X73" s="137">
        <f t="shared" si="11"/>
        <v>23160.9375</v>
      </c>
      <c r="Y73" s="137">
        <f>15*10*2.25*CMF</f>
        <v>379.6875</v>
      </c>
      <c r="Z73" s="141">
        <f t="shared" si="6"/>
        <v>0.2950174825174825</v>
      </c>
      <c r="AA73" s="19"/>
      <c r="AB73" s="137">
        <f t="shared" si="8"/>
        <v>50498.4375</v>
      </c>
      <c r="AC73" s="136">
        <f t="shared" si="26"/>
        <v>379.6875</v>
      </c>
      <c r="AD73" s="141">
        <f t="shared" si="27"/>
        <v>0.31667014178482067</v>
      </c>
      <c r="AE73" s="19"/>
      <c r="AF73" s="63"/>
      <c r="AG73" s="64"/>
      <c r="AI73" s="9"/>
      <c r="AJ73" s="79">
        <f>+AJ72/-AJ68</f>
        <v>1.3179531449911093</v>
      </c>
      <c r="AK73" s="19"/>
      <c r="AL73" s="19"/>
    </row>
    <row r="74" spans="1:41" s="8" customFormat="1" ht="12.75" thickBot="1">
      <c r="A74" s="17" t="s">
        <v>154</v>
      </c>
      <c r="B74" s="17" t="s">
        <v>51</v>
      </c>
      <c r="C74" s="60"/>
      <c r="D74" s="9">
        <f t="shared" si="25"/>
        <v>0</v>
      </c>
      <c r="E74" s="61" t="s">
        <v>194</v>
      </c>
      <c r="F74" s="61" t="s">
        <v>194</v>
      </c>
      <c r="G74" s="61" t="s">
        <v>194</v>
      </c>
      <c r="H74" s="61" t="s">
        <v>194</v>
      </c>
      <c r="I74" s="61" t="s">
        <v>194</v>
      </c>
      <c r="J74" s="61" t="s">
        <v>194</v>
      </c>
      <c r="K74" s="61" t="s">
        <v>194</v>
      </c>
      <c r="L74" s="19">
        <f t="shared" si="21"/>
        <v>0</v>
      </c>
      <c r="M74" s="19"/>
      <c r="N74" s="12">
        <f t="shared" si="3"/>
        <v>0</v>
      </c>
      <c r="O74" s="12"/>
      <c r="P74" s="137">
        <f t="shared" si="9"/>
        <v>0</v>
      </c>
      <c r="Q74" s="137">
        <f>$M74*CMF</f>
        <v>0</v>
      </c>
      <c r="R74" s="141">
        <f t="shared" si="4"/>
        <v>0</v>
      </c>
      <c r="S74" s="19"/>
      <c r="T74" s="137">
        <f t="shared" si="10"/>
        <v>0</v>
      </c>
      <c r="U74" s="137">
        <f>$M74*CMF</f>
        <v>0</v>
      </c>
      <c r="V74" s="141">
        <f t="shared" si="5"/>
        <v>0</v>
      </c>
      <c r="W74" s="19"/>
      <c r="X74" s="137">
        <f t="shared" si="11"/>
        <v>0</v>
      </c>
      <c r="Y74" s="137">
        <f>$M74*CMF</f>
        <v>0</v>
      </c>
      <c r="Z74" s="141">
        <f t="shared" si="6"/>
        <v>0</v>
      </c>
      <c r="AA74" s="19"/>
      <c r="AB74" s="137">
        <f t="shared" si="8"/>
        <v>0</v>
      </c>
      <c r="AC74" s="136">
        <f t="shared" si="26"/>
        <v>0</v>
      </c>
      <c r="AD74" s="141">
        <f t="shared" si="27"/>
        <v>0</v>
      </c>
      <c r="AE74" s="19"/>
      <c r="AF74" s="63"/>
      <c r="AG74" s="64"/>
      <c r="AH74" s="4"/>
      <c r="AI74" s="9"/>
      <c r="AJ74" s="19"/>
      <c r="AK74" s="19"/>
      <c r="AL74" s="19"/>
    </row>
    <row r="75" spans="1:41" s="8" customFormat="1" ht="12.75" thickBot="1">
      <c r="A75" s="17" t="s">
        <v>154</v>
      </c>
      <c r="B75" s="17" t="s">
        <v>52</v>
      </c>
      <c r="C75" s="60"/>
      <c r="D75" s="9">
        <f t="shared" si="25"/>
        <v>0</v>
      </c>
      <c r="E75" s="61" t="s">
        <v>194</v>
      </c>
      <c r="F75" s="61" t="s">
        <v>194</v>
      </c>
      <c r="G75" s="65"/>
      <c r="H75" s="61" t="s">
        <v>194</v>
      </c>
      <c r="I75" s="61" t="s">
        <v>194</v>
      </c>
      <c r="J75" s="65"/>
      <c r="K75" s="78" t="s">
        <v>199</v>
      </c>
      <c r="L75" s="19">
        <f t="shared" si="21"/>
        <v>0</v>
      </c>
      <c r="M75" s="19"/>
      <c r="N75" s="12">
        <f t="shared" si="3"/>
        <v>0</v>
      </c>
      <c r="O75" s="12"/>
      <c r="P75" s="137">
        <f t="shared" si="9"/>
        <v>0</v>
      </c>
      <c r="Q75" s="137">
        <f>$M75*CMF</f>
        <v>0</v>
      </c>
      <c r="R75" s="141">
        <f t="shared" si="4"/>
        <v>0</v>
      </c>
      <c r="S75" s="19"/>
      <c r="T75" s="137">
        <f t="shared" si="10"/>
        <v>0</v>
      </c>
      <c r="U75" s="137">
        <f>$M75*CMF</f>
        <v>0</v>
      </c>
      <c r="V75" s="141">
        <f t="shared" si="5"/>
        <v>0</v>
      </c>
      <c r="W75" s="19"/>
      <c r="X75" s="137">
        <f t="shared" si="11"/>
        <v>0</v>
      </c>
      <c r="Y75" s="137">
        <f>$M75*CMF</f>
        <v>0</v>
      </c>
      <c r="Z75" s="141">
        <f t="shared" si="6"/>
        <v>0</v>
      </c>
      <c r="AA75" s="19"/>
      <c r="AB75" s="137">
        <f t="shared" si="8"/>
        <v>0</v>
      </c>
      <c r="AC75" s="136">
        <f t="shared" si="26"/>
        <v>0</v>
      </c>
      <c r="AD75" s="141">
        <f t="shared" si="27"/>
        <v>0</v>
      </c>
      <c r="AE75" s="19"/>
      <c r="AF75" s="63"/>
      <c r="AG75" s="64"/>
      <c r="AJ75" s="19">
        <f>+AJ69-AJ71+0.05*AJ69</f>
        <v>144530.43687728257</v>
      </c>
      <c r="AK75" s="19"/>
      <c r="AL75" s="8">
        <f>AO75*12</f>
        <v>16517764.21454658</v>
      </c>
      <c r="AO75" s="41">
        <f>AJ75/0.105</f>
        <v>1376480.3512122149</v>
      </c>
    </row>
    <row r="76" spans="1:41" s="8" customFormat="1" ht="12.75" thickBot="1">
      <c r="A76" s="17" t="s">
        <v>154</v>
      </c>
      <c r="B76" s="17" t="s">
        <v>53</v>
      </c>
      <c r="C76" s="60"/>
      <c r="D76" s="9">
        <f t="shared" si="25"/>
        <v>0</v>
      </c>
      <c r="E76" s="61" t="s">
        <v>194</v>
      </c>
      <c r="F76" s="61" t="s">
        <v>194</v>
      </c>
      <c r="G76" s="65"/>
      <c r="H76" s="61" t="s">
        <v>194</v>
      </c>
      <c r="I76" s="61" t="s">
        <v>194</v>
      </c>
      <c r="J76" s="65"/>
      <c r="K76" s="78" t="s">
        <v>199</v>
      </c>
      <c r="L76" s="19">
        <f t="shared" si="21"/>
        <v>0</v>
      </c>
      <c r="M76" s="19"/>
      <c r="N76" s="12">
        <f t="shared" si="3"/>
        <v>0</v>
      </c>
      <c r="O76" s="12"/>
      <c r="P76" s="137">
        <f t="shared" si="9"/>
        <v>0</v>
      </c>
      <c r="Q76" s="137">
        <f>$M76*CMF</f>
        <v>0</v>
      </c>
      <c r="R76" s="141">
        <f t="shared" si="4"/>
        <v>0</v>
      </c>
      <c r="S76" s="19"/>
      <c r="T76" s="137">
        <f t="shared" si="10"/>
        <v>0</v>
      </c>
      <c r="U76" s="137">
        <f>$M76*CMF</f>
        <v>0</v>
      </c>
      <c r="V76" s="141">
        <f t="shared" si="5"/>
        <v>0</v>
      </c>
      <c r="W76" s="19"/>
      <c r="X76" s="137">
        <f t="shared" si="11"/>
        <v>0</v>
      </c>
      <c r="Y76" s="137">
        <f>$M76*CMF</f>
        <v>0</v>
      </c>
      <c r="Z76" s="141">
        <f t="shared" si="6"/>
        <v>0</v>
      </c>
      <c r="AA76" s="19"/>
      <c r="AB76" s="137">
        <f t="shared" si="8"/>
        <v>0</v>
      </c>
      <c r="AC76" s="136">
        <f t="shared" si="26"/>
        <v>0</v>
      </c>
      <c r="AD76" s="141">
        <f t="shared" si="27"/>
        <v>0</v>
      </c>
      <c r="AE76" s="19"/>
      <c r="AF76" s="63"/>
      <c r="AG76" s="64"/>
      <c r="AI76" s="9"/>
      <c r="AJ76" s="19">
        <f>+AJ68</f>
        <v>-89793.925775776268</v>
      </c>
      <c r="AK76" s="19"/>
      <c r="AL76" s="19">
        <f>0.8*AL75</f>
        <v>13214211.371637264</v>
      </c>
    </row>
    <row r="77" spans="1:41" s="8" customFormat="1" ht="12.75" thickBot="1">
      <c r="A77" s="17" t="s">
        <v>155</v>
      </c>
      <c r="B77" s="25" t="s">
        <v>196</v>
      </c>
      <c r="C77" s="60"/>
      <c r="D77" s="9">
        <f t="shared" si="25"/>
        <v>7.9207349008190552E-3</v>
      </c>
      <c r="E77" s="61" t="s">
        <v>194</v>
      </c>
      <c r="F77" s="61" t="s">
        <v>194</v>
      </c>
      <c r="G77" s="61" t="s">
        <v>194</v>
      </c>
      <c r="H77" s="61" t="s">
        <v>194</v>
      </c>
      <c r="I77" s="61" t="s">
        <v>194</v>
      </c>
      <c r="J77" s="61" t="s">
        <v>194</v>
      </c>
      <c r="K77" s="61" t="s">
        <v>194</v>
      </c>
      <c r="L77" s="19">
        <f t="shared" ref="L77:L87" si="28">7*M77</f>
        <v>5568.5</v>
      </c>
      <c r="M77" s="19">
        <f>1591/2</f>
        <v>795.5</v>
      </c>
      <c r="N77" s="12">
        <f t="shared" si="3"/>
        <v>0.578125</v>
      </c>
      <c r="O77" s="12"/>
      <c r="P77" s="137">
        <f t="shared" si="9"/>
        <v>810</v>
      </c>
      <c r="Q77" s="137">
        <f>(28+20)*15*CMF</f>
        <v>810</v>
      </c>
      <c r="R77" s="141">
        <f t="shared" si="4"/>
        <v>0.67612687813021699</v>
      </c>
      <c r="S77" s="19"/>
      <c r="T77" s="137">
        <f t="shared" si="10"/>
        <v>43533.45</v>
      </c>
      <c r="U77" s="137">
        <f>(15.83+20)*15*CMF</f>
        <v>604.63124999999991</v>
      </c>
      <c r="V77" s="141">
        <f t="shared" si="5"/>
        <v>0.54618902439024386</v>
      </c>
      <c r="W77" s="19"/>
      <c r="X77" s="137">
        <f t="shared" si="11"/>
        <v>47351.25</v>
      </c>
      <c r="Y77" s="137">
        <f>(26+20)*15*CMF</f>
        <v>776.25</v>
      </c>
      <c r="Z77" s="141">
        <f t="shared" si="6"/>
        <v>0.60314685314685312</v>
      </c>
      <c r="AA77" s="19"/>
      <c r="AB77" s="137">
        <f t="shared" si="8"/>
        <v>90884.7</v>
      </c>
      <c r="AC77" s="136">
        <f t="shared" si="26"/>
        <v>683.34360902255639</v>
      </c>
      <c r="AD77" s="141">
        <f t="shared" si="27"/>
        <v>0.56992794747502618</v>
      </c>
      <c r="AE77" s="19"/>
      <c r="AF77" s="63"/>
      <c r="AG77" s="64"/>
      <c r="AH77" s="4"/>
      <c r="AJ77" s="19">
        <f>+AJ76+AJ75</f>
        <v>54736.511101506301</v>
      </c>
      <c r="AK77" s="19"/>
      <c r="AL77" s="19"/>
    </row>
    <row r="78" spans="1:41" s="8" customFormat="1" ht="12.75" thickBot="1">
      <c r="A78" s="17" t="s">
        <v>155</v>
      </c>
      <c r="B78" s="25" t="s">
        <v>197</v>
      </c>
      <c r="C78" s="60"/>
      <c r="D78" s="9">
        <f t="shared" si="25"/>
        <v>2.7331762794152495E-3</v>
      </c>
      <c r="E78" s="61" t="s">
        <v>194</v>
      </c>
      <c r="F78" s="61" t="s">
        <v>194</v>
      </c>
      <c r="G78" s="65"/>
      <c r="H78" s="61" t="s">
        <v>194</v>
      </c>
      <c r="I78" s="61" t="s">
        <v>194</v>
      </c>
      <c r="J78" s="65"/>
      <c r="K78" s="65"/>
      <c r="L78" s="19">
        <f t="shared" si="28"/>
        <v>1921.5</v>
      </c>
      <c r="M78" s="19">
        <f>549/2</f>
        <v>274.5</v>
      </c>
      <c r="N78" s="12">
        <f t="shared" ref="N78:N88" si="29">M78/1376</f>
        <v>0.19949127906976744</v>
      </c>
      <c r="O78" s="12"/>
      <c r="P78" s="137">
        <f t="shared" si="9"/>
        <v>0</v>
      </c>
      <c r="Q78" s="19">
        <v>0</v>
      </c>
      <c r="R78" s="141">
        <f t="shared" ref="R78:R87" si="30">+Q78/Q$8</f>
        <v>0</v>
      </c>
      <c r="S78" s="19"/>
      <c r="T78" s="137">
        <f t="shared" si="10"/>
        <v>22234.5</v>
      </c>
      <c r="U78" s="137">
        <f>$M78*CMF</f>
        <v>308.8125</v>
      </c>
      <c r="V78" s="141">
        <f t="shared" ref="V78:V87" si="31">+U78/U$8</f>
        <v>0.27896341463414637</v>
      </c>
      <c r="W78" s="19"/>
      <c r="X78" s="137">
        <f t="shared" si="11"/>
        <v>18837.5625</v>
      </c>
      <c r="Y78" s="137">
        <f>$M78*CMF</f>
        <v>308.8125</v>
      </c>
      <c r="Z78" s="141">
        <f t="shared" ref="Z78:Z87" si="32">+Y78/Y$8</f>
        <v>0.23994755244755245</v>
      </c>
      <c r="AA78" s="19"/>
      <c r="AB78" s="137">
        <f t="shared" si="8"/>
        <v>41072.0625</v>
      </c>
      <c r="AC78" s="136">
        <f t="shared" si="26"/>
        <v>308.8125</v>
      </c>
      <c r="AD78" s="141">
        <f t="shared" ref="AD78:AD87" si="33">+AC78/AC$8</f>
        <v>0.25755838198498748</v>
      </c>
      <c r="AE78" s="19"/>
      <c r="AF78" s="63"/>
      <c r="AG78" s="64"/>
      <c r="AI78" s="9"/>
      <c r="AJ78" s="19">
        <f>AJ77*12</f>
        <v>656838.13321807561</v>
      </c>
      <c r="AK78" s="19"/>
      <c r="AL78" s="19"/>
    </row>
    <row r="79" spans="1:41" s="8" customFormat="1">
      <c r="A79" s="17" t="s">
        <v>155</v>
      </c>
      <c r="B79" s="8" t="s">
        <v>62</v>
      </c>
      <c r="C79" s="60"/>
      <c r="D79" s="9">
        <f t="shared" si="25"/>
        <v>0</v>
      </c>
      <c r="E79" s="61" t="s">
        <v>195</v>
      </c>
      <c r="F79" s="61"/>
      <c r="G79" s="61"/>
      <c r="H79" s="61"/>
      <c r="I79" s="61"/>
      <c r="J79" s="61"/>
      <c r="K79" s="61"/>
      <c r="L79" s="19">
        <f t="shared" si="28"/>
        <v>0</v>
      </c>
      <c r="M79" s="19">
        <f>0/2</f>
        <v>0</v>
      </c>
      <c r="N79" s="12">
        <f t="shared" si="29"/>
        <v>0</v>
      </c>
      <c r="O79" s="12"/>
      <c r="P79" s="137">
        <f t="shared" si="9"/>
        <v>0</v>
      </c>
      <c r="Q79" s="137"/>
      <c r="R79" s="141">
        <f t="shared" si="30"/>
        <v>0</v>
      </c>
      <c r="S79" s="19"/>
      <c r="T79" s="137">
        <f t="shared" si="10"/>
        <v>0</v>
      </c>
      <c r="U79" s="137"/>
      <c r="V79" s="141">
        <f t="shared" si="31"/>
        <v>0</v>
      </c>
      <c r="W79" s="19"/>
      <c r="X79" s="137">
        <f t="shared" si="11"/>
        <v>0</v>
      </c>
      <c r="Y79" s="137"/>
      <c r="Z79" s="141">
        <f t="shared" si="32"/>
        <v>0</v>
      </c>
      <c r="AA79" s="19"/>
      <c r="AB79" s="137">
        <f t="shared" ref="AB79:AB87" si="34">+X79+T79</f>
        <v>0</v>
      </c>
      <c r="AC79" s="136">
        <f t="shared" si="26"/>
        <v>0</v>
      </c>
      <c r="AD79" s="141">
        <f t="shared" si="33"/>
        <v>0</v>
      </c>
      <c r="AE79" s="19"/>
      <c r="AF79" s="63"/>
      <c r="AG79" s="64"/>
      <c r="AI79" s="9"/>
      <c r="AJ79" s="19">
        <f>AJ78/0.105</f>
        <v>6255601.2687435774</v>
      </c>
      <c r="AK79" s="18"/>
      <c r="AL79" s="19"/>
    </row>
    <row r="80" spans="1:41" s="8" customFormat="1" ht="12.75" thickBot="1">
      <c r="A80" s="17"/>
      <c r="B80" s="23" t="s">
        <v>54</v>
      </c>
      <c r="C80" s="60"/>
      <c r="D80" s="9"/>
      <c r="E80" s="61"/>
      <c r="F80" s="61"/>
      <c r="G80" s="61"/>
      <c r="H80" s="61"/>
      <c r="I80" s="61"/>
      <c r="J80" s="61"/>
      <c r="K80" s="61"/>
      <c r="L80" s="19"/>
      <c r="M80" s="19"/>
      <c r="N80" s="12">
        <f t="shared" si="29"/>
        <v>0</v>
      </c>
      <c r="O80" s="12"/>
      <c r="P80" s="137"/>
      <c r="Q80" s="137"/>
      <c r="R80" s="141"/>
      <c r="S80" s="19"/>
      <c r="T80" s="137"/>
      <c r="U80" s="137"/>
      <c r="V80" s="141"/>
      <c r="W80" s="19"/>
      <c r="X80" s="137"/>
      <c r="Y80" s="137"/>
      <c r="Z80" s="141"/>
      <c r="AA80" s="19"/>
      <c r="AB80" s="137"/>
      <c r="AC80" s="136" t="s">
        <v>71</v>
      </c>
      <c r="AD80" s="141"/>
      <c r="AE80" s="19"/>
      <c r="AF80" s="63"/>
      <c r="AG80" s="64"/>
      <c r="AI80" s="9"/>
      <c r="AJ80" s="19"/>
      <c r="AK80" s="19"/>
      <c r="AL80" s="19"/>
    </row>
    <row r="81" spans="1:38" s="8" customFormat="1" ht="12.75" thickBot="1">
      <c r="A81" s="17" t="s">
        <v>152</v>
      </c>
      <c r="B81" s="8" t="s">
        <v>55</v>
      </c>
      <c r="C81" s="60"/>
      <c r="D81" s="9">
        <f t="shared" ref="D81:D87" si="35">L81/$L$88</f>
        <v>4.7843031047687702E-3</v>
      </c>
      <c r="E81" s="61" t="s">
        <v>194</v>
      </c>
      <c r="F81" s="61" t="s">
        <v>194</v>
      </c>
      <c r="G81" s="65"/>
      <c r="H81" s="61" t="s">
        <v>194</v>
      </c>
      <c r="I81" s="61" t="s">
        <v>194</v>
      </c>
      <c r="J81" s="65"/>
      <c r="K81" s="66" t="s">
        <v>194</v>
      </c>
      <c r="L81" s="19">
        <f t="shared" si="28"/>
        <v>3363.5</v>
      </c>
      <c r="M81" s="19">
        <f>961/2</f>
        <v>480.5</v>
      </c>
      <c r="N81" s="12">
        <f t="shared" si="29"/>
        <v>0.34920058139534882</v>
      </c>
      <c r="O81" s="12"/>
      <c r="P81" s="137">
        <f t="shared" ref="P81:P87" si="36">Q81*P$7</f>
        <v>540.5625</v>
      </c>
      <c r="Q81" s="137">
        <f>$M81*CMF</f>
        <v>540.5625</v>
      </c>
      <c r="R81" s="141">
        <f t="shared" si="30"/>
        <v>0.45122078464106846</v>
      </c>
      <c r="S81" s="19"/>
      <c r="T81" s="137">
        <f t="shared" ref="T81:T87" si="37">U81*T$7</f>
        <v>38920.5</v>
      </c>
      <c r="U81" s="137">
        <f>$M81*CMF</f>
        <v>540.5625</v>
      </c>
      <c r="V81" s="141">
        <f t="shared" si="31"/>
        <v>0.48831300813008133</v>
      </c>
      <c r="W81" s="19"/>
      <c r="X81" s="137">
        <f t="shared" ref="X81:X87" si="38">Y81*X$7</f>
        <v>32974.3125</v>
      </c>
      <c r="Y81" s="137">
        <f>$M81*CMF</f>
        <v>540.5625</v>
      </c>
      <c r="Z81" s="141">
        <f t="shared" si="32"/>
        <v>0.4200174825174825</v>
      </c>
      <c r="AA81" s="19"/>
      <c r="AB81" s="137">
        <f t="shared" si="34"/>
        <v>71894.8125</v>
      </c>
      <c r="AC81" s="136">
        <f t="shared" ref="AC81:AC87" si="39">+AB81/AB$7</f>
        <v>540.5625</v>
      </c>
      <c r="AD81" s="141">
        <f t="shared" si="33"/>
        <v>0.45084445371142617</v>
      </c>
      <c r="AE81" s="19"/>
      <c r="AF81" s="63"/>
      <c r="AG81" s="64"/>
      <c r="AH81" s="4"/>
      <c r="AJ81" s="19">
        <v>7000</v>
      </c>
      <c r="AK81" s="19"/>
      <c r="AL81" s="19"/>
    </row>
    <row r="82" spans="1:38" s="8" customFormat="1" ht="12.75" thickBot="1">
      <c r="A82" s="17" t="s">
        <v>152</v>
      </c>
      <c r="B82" s="8" t="s">
        <v>56</v>
      </c>
      <c r="C82" s="60"/>
      <c r="D82" s="9">
        <f t="shared" si="35"/>
        <v>1.7424621089168256E-3</v>
      </c>
      <c r="E82" s="61" t="s">
        <v>194</v>
      </c>
      <c r="F82" s="61" t="s">
        <v>194</v>
      </c>
      <c r="G82" s="65"/>
      <c r="H82" s="61" t="s">
        <v>194</v>
      </c>
      <c r="I82" s="61" t="s">
        <v>194</v>
      </c>
      <c r="J82" s="65"/>
      <c r="K82" s="66" t="s">
        <v>194</v>
      </c>
      <c r="L82" s="19">
        <f t="shared" si="28"/>
        <v>1225</v>
      </c>
      <c r="M82" s="19">
        <f>350/2</f>
        <v>175</v>
      </c>
      <c r="N82" s="12">
        <f t="shared" si="29"/>
        <v>0.12718023255813954</v>
      </c>
      <c r="O82" s="12"/>
      <c r="P82" s="137">
        <f t="shared" si="36"/>
        <v>171.40715843023258</v>
      </c>
      <c r="Q82" s="137">
        <f>Q$8*$N82*CMF</f>
        <v>171.40715843023258</v>
      </c>
      <c r="R82" s="141">
        <f t="shared" si="30"/>
        <v>0.143077761627907</v>
      </c>
      <c r="S82" s="19"/>
      <c r="T82" s="137">
        <f t="shared" si="37"/>
        <v>11403.869912790698</v>
      </c>
      <c r="U82" s="137">
        <f>U$8*$N82*CMF</f>
        <v>158.38708212209303</v>
      </c>
      <c r="V82" s="141">
        <f t="shared" si="31"/>
        <v>0.14307776162790697</v>
      </c>
      <c r="W82" s="19"/>
      <c r="X82" s="137">
        <f t="shared" si="38"/>
        <v>11232.605832122093</v>
      </c>
      <c r="Y82" s="137">
        <f>Y$8*$N82*CMF</f>
        <v>184.14107921511629</v>
      </c>
      <c r="Z82" s="141">
        <f t="shared" si="32"/>
        <v>0.14307776162790697</v>
      </c>
      <c r="AA82" s="19"/>
      <c r="AB82" s="137">
        <f t="shared" si="34"/>
        <v>22636.475744912794</v>
      </c>
      <c r="AC82" s="136">
        <f t="shared" si="39"/>
        <v>170.19906575122403</v>
      </c>
      <c r="AD82" s="141">
        <f t="shared" si="33"/>
        <v>0.14195084716532447</v>
      </c>
      <c r="AE82" s="19"/>
      <c r="AF82" s="63"/>
      <c r="AG82" s="64"/>
      <c r="AI82" s="9"/>
      <c r="AJ82" s="19">
        <f>1250*14+1220*14</f>
        <v>34580</v>
      </c>
      <c r="AK82" s="19"/>
      <c r="AL82" s="19"/>
    </row>
    <row r="83" spans="1:38" s="8" customFormat="1" ht="12.75" thickBot="1">
      <c r="A83" s="17" t="s">
        <v>152</v>
      </c>
      <c r="B83" s="8" t="s">
        <v>57</v>
      </c>
      <c r="C83" s="60"/>
      <c r="D83" s="9">
        <f t="shared" si="35"/>
        <v>4.8838723681354458E-3</v>
      </c>
      <c r="E83" s="61" t="s">
        <v>194</v>
      </c>
      <c r="F83" s="61" t="s">
        <v>194</v>
      </c>
      <c r="G83" s="65"/>
      <c r="H83" s="61" t="s">
        <v>194</v>
      </c>
      <c r="I83" s="61" t="s">
        <v>194</v>
      </c>
      <c r="J83" s="65"/>
      <c r="K83" s="66" t="s">
        <v>194</v>
      </c>
      <c r="L83" s="19">
        <f t="shared" si="28"/>
        <v>3433.5</v>
      </c>
      <c r="M83" s="19">
        <f>981/2</f>
        <v>490.5</v>
      </c>
      <c r="N83" s="12">
        <f t="shared" si="29"/>
        <v>0.35646802325581395</v>
      </c>
      <c r="O83" s="12"/>
      <c r="P83" s="137">
        <f t="shared" si="36"/>
        <v>551.8125</v>
      </c>
      <c r="Q83" s="137">
        <f>$M83*CMF</f>
        <v>551.8125</v>
      </c>
      <c r="R83" s="141">
        <f t="shared" si="30"/>
        <v>0.46061143572621033</v>
      </c>
      <c r="S83" s="19"/>
      <c r="T83" s="137">
        <f t="shared" si="37"/>
        <v>39730.5</v>
      </c>
      <c r="U83" s="137">
        <f>$M83*CMF</f>
        <v>551.8125</v>
      </c>
      <c r="V83" s="141">
        <f t="shared" si="31"/>
        <v>0.49847560975609756</v>
      </c>
      <c r="W83" s="19"/>
      <c r="X83" s="137">
        <f t="shared" si="38"/>
        <v>33660.5625</v>
      </c>
      <c r="Y83" s="137">
        <f>$M83*CMF</f>
        <v>551.8125</v>
      </c>
      <c r="Z83" s="141">
        <f t="shared" si="32"/>
        <v>0.42875874125874125</v>
      </c>
      <c r="AA83" s="19"/>
      <c r="AB83" s="137">
        <f t="shared" si="34"/>
        <v>73391.0625</v>
      </c>
      <c r="AC83" s="136">
        <f t="shared" si="39"/>
        <v>551.8125</v>
      </c>
      <c r="AD83" s="141">
        <f t="shared" si="33"/>
        <v>0.46022727272727271</v>
      </c>
      <c r="AE83" s="19"/>
      <c r="AF83" s="63"/>
      <c r="AG83" s="64"/>
      <c r="AI83" s="9"/>
      <c r="AJ83" s="19">
        <f>28*3*475</f>
        <v>39900</v>
      </c>
      <c r="AK83" s="19"/>
      <c r="AL83" s="19"/>
    </row>
    <row r="84" spans="1:38" s="8" customFormat="1" ht="12.75" thickBot="1">
      <c r="A84" s="17" t="s">
        <v>152</v>
      </c>
      <c r="B84" s="8" t="s">
        <v>58</v>
      </c>
      <c r="C84" s="60"/>
      <c r="D84" s="9">
        <f t="shared" si="35"/>
        <v>4.3959829776387344E-3</v>
      </c>
      <c r="E84" s="61" t="s">
        <v>194</v>
      </c>
      <c r="F84" s="61" t="s">
        <v>194</v>
      </c>
      <c r="G84" s="65"/>
      <c r="H84" s="61" t="s">
        <v>194</v>
      </c>
      <c r="I84" s="61" t="s">
        <v>194</v>
      </c>
      <c r="J84" s="65"/>
      <c r="K84" s="66" t="s">
        <v>194</v>
      </c>
      <c r="L84" s="19">
        <f t="shared" si="28"/>
        <v>3090.5</v>
      </c>
      <c r="M84" s="19">
        <f>883/2</f>
        <v>441.5</v>
      </c>
      <c r="N84" s="12">
        <f t="shared" si="29"/>
        <v>0.32085755813953487</v>
      </c>
      <c r="O84" s="12"/>
      <c r="P84" s="137">
        <f t="shared" si="36"/>
        <v>496.6875</v>
      </c>
      <c r="Q84" s="137">
        <f>$M84*CMF</f>
        <v>496.6875</v>
      </c>
      <c r="R84" s="141">
        <f t="shared" si="30"/>
        <v>0.41459724540901505</v>
      </c>
      <c r="S84" s="19"/>
      <c r="T84" s="137">
        <f t="shared" si="37"/>
        <v>35761.5</v>
      </c>
      <c r="U84" s="137">
        <f>$M84*CMF</f>
        <v>496.6875</v>
      </c>
      <c r="V84" s="141">
        <f t="shared" si="31"/>
        <v>0.44867886178861788</v>
      </c>
      <c r="W84" s="19"/>
      <c r="X84" s="137">
        <f t="shared" si="38"/>
        <v>30297.9375</v>
      </c>
      <c r="Y84" s="137">
        <f>$M84*CMF</f>
        <v>496.6875</v>
      </c>
      <c r="Z84" s="141">
        <f t="shared" si="32"/>
        <v>0.38592657342657344</v>
      </c>
      <c r="AA84" s="19"/>
      <c r="AB84" s="137">
        <f t="shared" si="34"/>
        <v>66059.4375</v>
      </c>
      <c r="AC84" s="136">
        <f t="shared" si="39"/>
        <v>496.6875</v>
      </c>
      <c r="AD84" s="141">
        <f t="shared" si="33"/>
        <v>0.41425145954962467</v>
      </c>
      <c r="AE84" s="19"/>
      <c r="AF84" s="63"/>
      <c r="AH84" s="4"/>
      <c r="AJ84" s="19">
        <f>+AJ83-AJ82</f>
        <v>5320</v>
      </c>
      <c r="AK84" s="19"/>
      <c r="AL84" s="19"/>
    </row>
    <row r="85" spans="1:38" s="8" customFormat="1" ht="12.75" thickBot="1">
      <c r="A85" s="17" t="s">
        <v>152</v>
      </c>
      <c r="B85" s="8" t="s">
        <v>59</v>
      </c>
      <c r="C85" s="60"/>
      <c r="D85" s="9">
        <f t="shared" si="35"/>
        <v>4.9286785366504493E-4</v>
      </c>
      <c r="E85" s="61" t="s">
        <v>194</v>
      </c>
      <c r="F85" s="61" t="s">
        <v>194</v>
      </c>
      <c r="G85" s="65"/>
      <c r="H85" s="61" t="s">
        <v>194</v>
      </c>
      <c r="I85" s="61" t="s">
        <v>194</v>
      </c>
      <c r="J85" s="65"/>
      <c r="K85" s="66" t="s">
        <v>194</v>
      </c>
      <c r="L85" s="19">
        <f t="shared" si="28"/>
        <v>346.5</v>
      </c>
      <c r="M85" s="19">
        <f>99/2</f>
        <v>49.5</v>
      </c>
      <c r="N85" s="12">
        <f t="shared" si="29"/>
        <v>3.5973837209302327E-2</v>
      </c>
      <c r="O85" s="12"/>
      <c r="P85" s="137">
        <f t="shared" si="36"/>
        <v>55.6875</v>
      </c>
      <c r="Q85" s="137">
        <f>$M85*CMF</f>
        <v>55.6875</v>
      </c>
      <c r="R85" s="141">
        <f t="shared" si="30"/>
        <v>4.6483722871452422E-2</v>
      </c>
      <c r="S85" s="19"/>
      <c r="T85" s="137">
        <f t="shared" si="37"/>
        <v>4009.5</v>
      </c>
      <c r="U85" s="137">
        <f>$M85*CMF</f>
        <v>55.6875</v>
      </c>
      <c r="V85" s="141">
        <f t="shared" si="31"/>
        <v>5.0304878048780491E-2</v>
      </c>
      <c r="W85" s="19"/>
      <c r="X85" s="137">
        <f t="shared" si="38"/>
        <v>3396.9375</v>
      </c>
      <c r="Y85" s="137">
        <f>$M85*CMF</f>
        <v>55.6875</v>
      </c>
      <c r="Z85" s="141">
        <f t="shared" si="32"/>
        <v>4.3269230769230768E-2</v>
      </c>
      <c r="AA85" s="19"/>
      <c r="AB85" s="137">
        <f t="shared" si="34"/>
        <v>7406.4375</v>
      </c>
      <c r="AC85" s="136">
        <f t="shared" si="39"/>
        <v>55.6875</v>
      </c>
      <c r="AD85" s="141">
        <f t="shared" si="33"/>
        <v>4.6444954128440366E-2</v>
      </c>
      <c r="AE85" s="19"/>
      <c r="AF85" s="63"/>
      <c r="AG85" s="19"/>
      <c r="AI85" s="9"/>
      <c r="AJ85" s="19">
        <f>+AJ84+AJ81</f>
        <v>12320</v>
      </c>
      <c r="AK85" s="19"/>
      <c r="AL85" s="19"/>
    </row>
    <row r="86" spans="1:38" s="8" customFormat="1" ht="12.75" thickBot="1">
      <c r="A86" s="17" t="s">
        <v>151</v>
      </c>
      <c r="B86" s="23" t="s">
        <v>60</v>
      </c>
      <c r="C86" s="60"/>
      <c r="D86" s="9">
        <f t="shared" si="35"/>
        <v>9.9569263366675754E-3</v>
      </c>
      <c r="E86" s="61" t="s">
        <v>194</v>
      </c>
      <c r="F86" s="61" t="s">
        <v>194</v>
      </c>
      <c r="G86" s="65"/>
      <c r="H86" s="61" t="s">
        <v>194</v>
      </c>
      <c r="I86" s="61" t="s">
        <v>194</v>
      </c>
      <c r="J86" s="65"/>
      <c r="K86" s="66" t="s">
        <v>194</v>
      </c>
      <c r="L86" s="19">
        <f t="shared" si="28"/>
        <v>7000</v>
      </c>
      <c r="M86" s="19">
        <f>2000/2</f>
        <v>1000</v>
      </c>
      <c r="N86" s="12">
        <f t="shared" si="29"/>
        <v>0.72674418604651159</v>
      </c>
      <c r="O86" s="12"/>
      <c r="P86" s="137">
        <f t="shared" si="36"/>
        <v>1125</v>
      </c>
      <c r="Q86" s="137">
        <f>$M86*CMF</f>
        <v>1125</v>
      </c>
      <c r="R86" s="141">
        <f t="shared" si="30"/>
        <v>0.93906510851419034</v>
      </c>
      <c r="S86" s="19"/>
      <c r="T86" s="137">
        <f t="shared" si="37"/>
        <v>81000</v>
      </c>
      <c r="U86" s="137">
        <f>$M86*CMF</f>
        <v>1125</v>
      </c>
      <c r="V86" s="141">
        <f t="shared" si="31"/>
        <v>1.0162601626016261</v>
      </c>
      <c r="W86" s="19"/>
      <c r="X86" s="137">
        <f t="shared" si="38"/>
        <v>68625</v>
      </c>
      <c r="Y86" s="137">
        <f>$M86*CMF</f>
        <v>1125</v>
      </c>
      <c r="Z86" s="141">
        <f t="shared" si="32"/>
        <v>0.87412587412587417</v>
      </c>
      <c r="AA86" s="19"/>
      <c r="AB86" s="137">
        <f t="shared" si="34"/>
        <v>149625</v>
      </c>
      <c r="AC86" s="136">
        <f t="shared" si="39"/>
        <v>1125</v>
      </c>
      <c r="AD86" s="141">
        <f t="shared" si="33"/>
        <v>0.93828190158465385</v>
      </c>
      <c r="AE86" s="19"/>
      <c r="AF86" s="63"/>
      <c r="AI86" s="9"/>
      <c r="AJ86" s="19">
        <f>AJ85*0.58</f>
        <v>7145.5999999999995</v>
      </c>
      <c r="AK86" s="19"/>
      <c r="AL86" s="19"/>
    </row>
    <row r="87" spans="1:38" s="8" customFormat="1" ht="12.75" thickBot="1">
      <c r="A87" s="17" t="s">
        <v>213</v>
      </c>
      <c r="B87" s="23" t="s">
        <v>61</v>
      </c>
      <c r="C87" s="60"/>
      <c r="D87" s="9">
        <f t="shared" si="35"/>
        <v>1.2799628805786167E-2</v>
      </c>
      <c r="E87" s="61" t="s">
        <v>194</v>
      </c>
      <c r="F87" s="61" t="s">
        <v>194</v>
      </c>
      <c r="G87" s="65"/>
      <c r="H87" s="61" t="s">
        <v>194</v>
      </c>
      <c r="I87" s="61" t="s">
        <v>194</v>
      </c>
      <c r="J87" s="65"/>
      <c r="K87" s="66" t="s">
        <v>194</v>
      </c>
      <c r="L87" s="19">
        <f t="shared" si="28"/>
        <v>8998.5</v>
      </c>
      <c r="M87" s="19">
        <f>2571/2</f>
        <v>1285.5</v>
      </c>
      <c r="N87" s="12">
        <f t="shared" si="29"/>
        <v>0.93422965116279066</v>
      </c>
      <c r="O87" s="12"/>
      <c r="P87" s="137">
        <f t="shared" si="36"/>
        <v>1373.4727443609022</v>
      </c>
      <c r="Q87" s="137">
        <f>(((1000+500+500+500)*4.33*15)*CMF)/SM134Units</f>
        <v>1373.4727443609022</v>
      </c>
      <c r="R87" s="141">
        <f t="shared" si="30"/>
        <v>1.1464714059773808</v>
      </c>
      <c r="S87" s="19"/>
      <c r="T87" s="137">
        <f t="shared" si="37"/>
        <v>98890.037593984962</v>
      </c>
      <c r="U87" s="137">
        <f>(((1000+500+500+500)*4.33*15)*CMF)/SM134Units</f>
        <v>1373.4727443609022</v>
      </c>
      <c r="V87" s="141">
        <f t="shared" si="31"/>
        <v>1.2407161195672107</v>
      </c>
      <c r="W87" s="19"/>
      <c r="X87" s="137">
        <f t="shared" si="38"/>
        <v>83781.837406015038</v>
      </c>
      <c r="Y87" s="137">
        <f>(((1000+500+500+500)*4.33*15)*CMF)/SM134Units</f>
        <v>1373.4727443609022</v>
      </c>
      <c r="Z87" s="141">
        <f t="shared" si="32"/>
        <v>1.0671893895578106</v>
      </c>
      <c r="AA87" s="19"/>
      <c r="AB87" s="137">
        <f t="shared" si="34"/>
        <v>182671.875</v>
      </c>
      <c r="AC87" s="136">
        <f t="shared" si="39"/>
        <v>1373.4727443609022</v>
      </c>
      <c r="AD87" s="141">
        <f t="shared" si="33"/>
        <v>1.1455152163143472</v>
      </c>
      <c r="AE87" s="19"/>
      <c r="AF87" s="63"/>
      <c r="AH87" s="19"/>
      <c r="AJ87" s="8">
        <f>0.5*AJ78/12</f>
        <v>27368.255550753151</v>
      </c>
      <c r="AL87" s="19"/>
    </row>
    <row r="88" spans="1:38" s="8" customFormat="1" ht="12.75" thickBot="1">
      <c r="A88" s="80"/>
      <c r="B88" s="26" t="s">
        <v>254</v>
      </c>
      <c r="C88" s="26"/>
      <c r="D88" s="81">
        <f>SUM(D9:D87)</f>
        <v>0.99999999999999978</v>
      </c>
      <c r="E88" s="82" t="s">
        <v>198</v>
      </c>
      <c r="F88" s="82" t="s">
        <v>198</v>
      </c>
      <c r="G88" s="82"/>
      <c r="H88" s="82" t="s">
        <v>198</v>
      </c>
      <c r="I88" s="82" t="s">
        <v>198</v>
      </c>
      <c r="J88" s="82"/>
      <c r="K88" s="82"/>
      <c r="L88" s="22">
        <f>+SUM(L9:L87)</f>
        <v>703028.20000000007</v>
      </c>
      <c r="M88" s="22">
        <f>+SUM(M9:M87)</f>
        <v>60898.049999999996</v>
      </c>
      <c r="N88" s="83">
        <f t="shared" si="29"/>
        <v>44.257303779069765</v>
      </c>
      <c r="O88" s="83"/>
      <c r="P88" s="21">
        <f>+SUM(P9:P87)</f>
        <v>68702.035872488355</v>
      </c>
      <c r="Q88" s="22">
        <f>+SUM(Q9:Q87)</f>
        <v>68702.035872488355</v>
      </c>
      <c r="R88" s="21">
        <f>+Q88/Q$8</f>
        <v>57.347275352661399</v>
      </c>
      <c r="S88" s="37"/>
      <c r="T88" s="22">
        <f>+SUM(T9:T87)</f>
        <v>4682102.4296054998</v>
      </c>
      <c r="U88" s="22">
        <f>+SUM(U9:U87)</f>
        <v>65029.200411187485</v>
      </c>
      <c r="V88" s="21">
        <f>+U88/U$8</f>
        <v>58.743631807757438</v>
      </c>
      <c r="W88" s="38"/>
      <c r="X88" s="22">
        <f>+SUM(X9:X87)</f>
        <v>4388688.280409161</v>
      </c>
      <c r="Y88" s="22">
        <f>+SUM(Y9:Y87)</f>
        <v>71945.709514904273</v>
      </c>
      <c r="Z88" s="21">
        <f>+Y88/Y$8</f>
        <v>55.901872194952816</v>
      </c>
      <c r="AA88" s="38"/>
      <c r="AB88" s="45">
        <f>+SUM(AB9:AB87)</f>
        <v>9070790.7100146599</v>
      </c>
      <c r="AC88" s="22">
        <f>+SUM(AC9:AC87)</f>
        <v>68201.433909884669</v>
      </c>
      <c r="AD88" s="21">
        <f>+AC88/AC$8</f>
        <v>56.881929866459274</v>
      </c>
      <c r="AE88" s="84"/>
      <c r="AF88" s="85"/>
      <c r="AJ88" s="8">
        <f>+AJ87+AJ86</f>
        <v>34513.855550753149</v>
      </c>
    </row>
    <row r="89" spans="1:38" s="8" customFormat="1" ht="12.75" thickTop="1">
      <c r="A89" s="17"/>
      <c r="L89" s="10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63"/>
    </row>
    <row r="90" spans="1:38" s="87" customFormat="1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6" t="s">
        <v>253</v>
      </c>
      <c r="M90" s="86" t="s">
        <v>252</v>
      </c>
    </row>
    <row r="91" spans="1:38" s="8" customFormat="1">
      <c r="A91" s="88"/>
      <c r="B91" s="23" t="s">
        <v>238</v>
      </c>
      <c r="L91" s="8">
        <f>10.3*43560*2.5</f>
        <v>1121670.0000000002</v>
      </c>
      <c r="M91" s="8">
        <f>L91/10.3</f>
        <v>108900.00000000001</v>
      </c>
      <c r="P91" s="39">
        <f t="shared" ref="P91:P108" si="40">Q91*P$7</f>
        <v>8433.609022556393</v>
      </c>
      <c r="Q91" s="39">
        <f>+$L91/SM134Units</f>
        <v>8433.609022556393</v>
      </c>
      <c r="R91" s="11">
        <f t="shared" ref="R91:R120" si="41">+Q91/Q$8</f>
        <v>7.0397404194961544</v>
      </c>
      <c r="T91" s="39">
        <f t="shared" ref="T91:T101" si="42">U91*T$7</f>
        <v>607219.84962406033</v>
      </c>
      <c r="U91" s="39">
        <f>+$L91/SM134Units</f>
        <v>8433.609022556393</v>
      </c>
      <c r="V91" s="11">
        <f t="shared" ref="V91:V102" si="43">+U91/U$8</f>
        <v>7.6184363347392887</v>
      </c>
      <c r="X91" s="39">
        <f t="shared" ref="X91:X101" si="44">Y91*X$7</f>
        <v>514450.15037593996</v>
      </c>
      <c r="Y91" s="39">
        <f>+$L91/SM134Units</f>
        <v>8433.609022556393</v>
      </c>
      <c r="Z91" s="11">
        <f t="shared" ref="Z91:Z102" si="45">+Y91/Y$8</f>
        <v>6.552920763447081</v>
      </c>
      <c r="AB91" s="62">
        <f>+X91+T91</f>
        <v>1121670.0000000002</v>
      </c>
      <c r="AC91" s="39">
        <f t="shared" ref="AC91:AC102" si="46">+AB91/AB$7</f>
        <v>8433.609022556393</v>
      </c>
      <c r="AD91" s="11">
        <f t="shared" ref="AD91:AD102" si="47">+AC91/AC$8</f>
        <v>7.0338690763606282</v>
      </c>
    </row>
    <row r="92" spans="1:38" s="8" customFormat="1">
      <c r="A92" s="17"/>
      <c r="B92" s="27" t="s">
        <v>239</v>
      </c>
      <c r="P92" s="40"/>
      <c r="R92" s="12"/>
    </row>
    <row r="93" spans="1:38" s="8" customFormat="1">
      <c r="A93" s="17"/>
      <c r="B93" s="8" t="s">
        <v>249</v>
      </c>
      <c r="L93" s="8">
        <f>+L148*CMF</f>
        <v>294300</v>
      </c>
      <c r="M93" s="8">
        <f t="shared" ref="M93:M102" si="48">L93/10.3</f>
        <v>28572.815533980582</v>
      </c>
      <c r="P93" s="40">
        <f t="shared" si="40"/>
        <v>2212.781954887218</v>
      </c>
      <c r="Q93" s="8">
        <f>+$L93/SM134Units</f>
        <v>2212.781954887218</v>
      </c>
      <c r="R93" s="11">
        <f t="shared" si="41"/>
        <v>1.8470634014083622</v>
      </c>
      <c r="T93" s="39">
        <f t="shared" si="42"/>
        <v>159320.30075187969</v>
      </c>
      <c r="U93" s="8">
        <f>+$L93/SM134Units</f>
        <v>2212.781954887218</v>
      </c>
      <c r="V93" s="11">
        <f t="shared" si="43"/>
        <v>1.9988996882450027</v>
      </c>
      <c r="X93" s="39">
        <f t="shared" si="44"/>
        <v>134979.69924812031</v>
      </c>
      <c r="Y93" s="8">
        <f>+$L93/SM134Units</f>
        <v>2212.781954887218</v>
      </c>
      <c r="Z93" s="11">
        <f t="shared" si="45"/>
        <v>1.7193332982806666</v>
      </c>
      <c r="AB93" s="62">
        <f>+X93+T93</f>
        <v>294300</v>
      </c>
      <c r="AC93" s="39">
        <f t="shared" si="46"/>
        <v>2212.781954887218</v>
      </c>
      <c r="AD93" s="11">
        <f t="shared" si="47"/>
        <v>1.8455228981544771</v>
      </c>
    </row>
    <row r="94" spans="1:38" s="8" customFormat="1">
      <c r="A94" s="17"/>
      <c r="B94" s="8" t="s">
        <v>250</v>
      </c>
      <c r="L94" s="8">
        <f>+L149*8*CMF</f>
        <v>41202</v>
      </c>
      <c r="M94" s="8">
        <f t="shared" si="48"/>
        <v>4000.1941747572814</v>
      </c>
      <c r="P94" s="40">
        <f t="shared" si="40"/>
        <v>309.78947368421052</v>
      </c>
      <c r="Q94" s="8">
        <f t="shared" ref="Q94:Q108" si="49">+$L94/SM134Units</f>
        <v>309.78947368421052</v>
      </c>
      <c r="R94" s="12">
        <f t="shared" si="41"/>
        <v>0.25858887619717069</v>
      </c>
      <c r="T94" s="40">
        <f t="shared" si="42"/>
        <v>22304.842105263157</v>
      </c>
      <c r="U94" s="8">
        <f t="shared" ref="U94:U108" si="50">+$L94/SM134Units</f>
        <v>309.78947368421052</v>
      </c>
      <c r="V94" s="12">
        <f t="shared" si="43"/>
        <v>0.27984595635430037</v>
      </c>
      <c r="X94" s="40">
        <f t="shared" si="44"/>
        <v>18897.157894736843</v>
      </c>
      <c r="Y94" s="8">
        <f t="shared" ref="Y94:Y108" si="51">+$L94/SM134Units</f>
        <v>309.78947368421052</v>
      </c>
      <c r="Z94" s="12">
        <f t="shared" si="45"/>
        <v>0.24070666175929334</v>
      </c>
      <c r="AB94" s="19">
        <f t="shared" ref="AB94:AB99" si="52">+X94+T94</f>
        <v>41202</v>
      </c>
      <c r="AC94" s="41">
        <f t="shared" si="46"/>
        <v>309.78947368421052</v>
      </c>
      <c r="AD94" s="12">
        <f t="shared" si="47"/>
        <v>0.25837320574162681</v>
      </c>
    </row>
    <row r="95" spans="1:38" s="8" customFormat="1">
      <c r="A95" s="17"/>
      <c r="B95" s="8" t="s">
        <v>251</v>
      </c>
      <c r="L95" s="8">
        <f>L147*0.5*CMF</f>
        <v>73575</v>
      </c>
      <c r="M95" s="8">
        <f t="shared" si="48"/>
        <v>7143.2038834951454</v>
      </c>
      <c r="P95" s="40">
        <f t="shared" si="40"/>
        <v>553.19548872180451</v>
      </c>
      <c r="Q95" s="8">
        <f t="shared" si="49"/>
        <v>553.19548872180451</v>
      </c>
      <c r="R95" s="12">
        <f t="shared" si="41"/>
        <v>0.46176585035209056</v>
      </c>
      <c r="T95" s="40">
        <f t="shared" si="42"/>
        <v>39830.075187969924</v>
      </c>
      <c r="U95" s="8">
        <f t="shared" si="50"/>
        <v>553.19548872180451</v>
      </c>
      <c r="V95" s="12">
        <f t="shared" si="43"/>
        <v>0.49972492206125069</v>
      </c>
      <c r="X95" s="40">
        <f t="shared" si="44"/>
        <v>33744.924812030076</v>
      </c>
      <c r="Y95" s="8">
        <f t="shared" si="51"/>
        <v>553.19548872180451</v>
      </c>
      <c r="Z95" s="12">
        <f t="shared" si="45"/>
        <v>0.42983332457016665</v>
      </c>
      <c r="AB95" s="19">
        <f t="shared" si="52"/>
        <v>73575</v>
      </c>
      <c r="AC95" s="41">
        <f t="shared" si="46"/>
        <v>553.19548872180451</v>
      </c>
      <c r="AD95" s="12">
        <f t="shared" si="47"/>
        <v>0.46138072453861928</v>
      </c>
    </row>
    <row r="96" spans="1:38" s="8" customFormat="1">
      <c r="A96" s="17"/>
      <c r="B96" s="8" t="s">
        <v>240</v>
      </c>
      <c r="L96" s="8">
        <f>545*4*35*CMF</f>
        <v>85837.5</v>
      </c>
      <c r="M96" s="8">
        <f t="shared" si="48"/>
        <v>8333.7378640776697</v>
      </c>
      <c r="P96" s="40">
        <f t="shared" si="40"/>
        <v>645.39473684210532</v>
      </c>
      <c r="Q96" s="8">
        <f t="shared" si="49"/>
        <v>645.39473684210532</v>
      </c>
      <c r="R96" s="12">
        <f t="shared" si="41"/>
        <v>0.53872682541077244</v>
      </c>
      <c r="T96" s="40">
        <f t="shared" si="42"/>
        <v>46468.42105263158</v>
      </c>
      <c r="U96" s="8">
        <f t="shared" si="50"/>
        <v>645.39473684210532</v>
      </c>
      <c r="V96" s="12">
        <f t="shared" si="43"/>
        <v>0.58301240907145924</v>
      </c>
      <c r="X96" s="40">
        <f t="shared" si="44"/>
        <v>39369.078947368427</v>
      </c>
      <c r="Y96" s="8">
        <f t="shared" si="51"/>
        <v>645.39473684210532</v>
      </c>
      <c r="Z96" s="12">
        <f t="shared" si="45"/>
        <v>0.50147221199852787</v>
      </c>
      <c r="AB96" s="19">
        <f t="shared" si="52"/>
        <v>85837.5</v>
      </c>
      <c r="AC96" s="41">
        <f t="shared" si="46"/>
        <v>645.39473684210532</v>
      </c>
      <c r="AD96" s="12">
        <f t="shared" si="47"/>
        <v>0.53827751196172258</v>
      </c>
    </row>
    <row r="97" spans="1:30" s="8" customFormat="1">
      <c r="A97" s="17"/>
      <c r="B97" s="8" t="s">
        <v>241</v>
      </c>
      <c r="L97" s="8">
        <f>N141*1.5*CMF</f>
        <v>237908.27980621456</v>
      </c>
      <c r="M97" s="8">
        <f t="shared" si="48"/>
        <v>23097.891243321799</v>
      </c>
      <c r="P97" s="40">
        <f t="shared" si="40"/>
        <v>1788.7840586933426</v>
      </c>
      <c r="Q97" s="8">
        <f t="shared" si="49"/>
        <v>1788.7840586933426</v>
      </c>
      <c r="R97" s="12">
        <f t="shared" si="41"/>
        <v>1.4931419521647267</v>
      </c>
      <c r="T97" s="40">
        <f t="shared" si="42"/>
        <v>128792.45222592066</v>
      </c>
      <c r="U97" s="8">
        <f t="shared" si="50"/>
        <v>1788.7840586933426</v>
      </c>
      <c r="V97" s="12">
        <f t="shared" si="43"/>
        <v>1.6158844251972382</v>
      </c>
      <c r="X97" s="40">
        <f t="shared" si="44"/>
        <v>109115.8275802939</v>
      </c>
      <c r="Y97" s="8">
        <f t="shared" si="51"/>
        <v>1788.7840586933426</v>
      </c>
      <c r="Z97" s="12">
        <f t="shared" si="45"/>
        <v>1.3898866034913306</v>
      </c>
      <c r="AB97" s="19">
        <f t="shared" si="52"/>
        <v>237908.27980621456</v>
      </c>
      <c r="AC97" s="41">
        <f t="shared" si="46"/>
        <v>1788.7840586933426</v>
      </c>
      <c r="AD97" s="12">
        <f t="shared" si="47"/>
        <v>1.4918966294356486</v>
      </c>
    </row>
    <row r="98" spans="1:30" s="8" customFormat="1">
      <c r="A98" s="17"/>
      <c r="B98" s="8" t="s">
        <v>242</v>
      </c>
      <c r="L98" s="8">
        <f>+L158*CMF</f>
        <v>11250</v>
      </c>
      <c r="M98" s="8">
        <f t="shared" si="48"/>
        <v>1092.2330097087379</v>
      </c>
      <c r="P98" s="40">
        <f t="shared" si="40"/>
        <v>84.58646616541354</v>
      </c>
      <c r="Q98" s="8">
        <f t="shared" si="49"/>
        <v>84.58646616541354</v>
      </c>
      <c r="R98" s="12">
        <f t="shared" si="41"/>
        <v>7.060639913640529E-2</v>
      </c>
      <c r="T98" s="40">
        <f t="shared" si="42"/>
        <v>6090.2255639097748</v>
      </c>
      <c r="U98" s="8">
        <f t="shared" si="50"/>
        <v>84.58646616541354</v>
      </c>
      <c r="V98" s="12">
        <f t="shared" si="43"/>
        <v>7.6410538541475642E-2</v>
      </c>
      <c r="X98" s="40">
        <f t="shared" si="44"/>
        <v>5159.7744360902261</v>
      </c>
      <c r="Y98" s="8">
        <f t="shared" si="51"/>
        <v>84.58646616541354</v>
      </c>
      <c r="Z98" s="12">
        <f t="shared" si="45"/>
        <v>6.5723749934276252E-2</v>
      </c>
      <c r="AB98" s="19">
        <f t="shared" si="52"/>
        <v>11250</v>
      </c>
      <c r="AC98" s="41">
        <f t="shared" si="46"/>
        <v>84.58646616541354</v>
      </c>
      <c r="AD98" s="12">
        <f t="shared" si="47"/>
        <v>7.0547511397342402E-2</v>
      </c>
    </row>
    <row r="99" spans="1:30" s="8" customFormat="1">
      <c r="A99" s="17"/>
      <c r="B99" s="8" t="s">
        <v>243</v>
      </c>
      <c r="L99" s="8">
        <f>+L161*CMF</f>
        <v>35437.5</v>
      </c>
      <c r="M99" s="8">
        <f t="shared" si="48"/>
        <v>3440.5339805825242</v>
      </c>
      <c r="P99" s="40">
        <f t="shared" si="40"/>
        <v>266.44736842105266</v>
      </c>
      <c r="Q99" s="8">
        <f t="shared" si="49"/>
        <v>266.44736842105266</v>
      </c>
      <c r="R99" s="12">
        <f t="shared" si="41"/>
        <v>0.22241015727967667</v>
      </c>
      <c r="T99" s="40">
        <f t="shared" si="42"/>
        <v>19184.21052631579</v>
      </c>
      <c r="U99" s="8">
        <f t="shared" si="50"/>
        <v>266.44736842105266</v>
      </c>
      <c r="V99" s="12">
        <f t="shared" si="43"/>
        <v>0.24069319640564829</v>
      </c>
      <c r="X99" s="40">
        <f t="shared" si="44"/>
        <v>16253.289473684212</v>
      </c>
      <c r="Y99" s="8">
        <f t="shared" si="51"/>
        <v>266.44736842105266</v>
      </c>
      <c r="Z99" s="12">
        <f t="shared" si="45"/>
        <v>0.20702981229297021</v>
      </c>
      <c r="AB99" s="19">
        <f t="shared" si="52"/>
        <v>35437.5</v>
      </c>
      <c r="AC99" s="41">
        <f t="shared" si="46"/>
        <v>266.44736842105266</v>
      </c>
      <c r="AD99" s="12">
        <f t="shared" si="47"/>
        <v>0.22222466090162857</v>
      </c>
    </row>
    <row r="100" spans="1:30" s="8" customFormat="1">
      <c r="A100" s="17"/>
      <c r="B100" s="8" t="s">
        <v>228</v>
      </c>
      <c r="L100" s="8">
        <f>+L157*CMF</f>
        <v>28125</v>
      </c>
      <c r="M100" s="8">
        <f t="shared" si="48"/>
        <v>2730.5825242718442</v>
      </c>
      <c r="P100" s="40">
        <f t="shared" si="40"/>
        <v>211.46616541353384</v>
      </c>
      <c r="Q100" s="8">
        <f t="shared" si="49"/>
        <v>211.46616541353384</v>
      </c>
      <c r="R100" s="12">
        <f t="shared" si="41"/>
        <v>0.17651599784101321</v>
      </c>
      <c r="T100" s="40">
        <f t="shared" si="42"/>
        <v>15225.563909774437</v>
      </c>
      <c r="U100" s="8">
        <f t="shared" si="50"/>
        <v>211.46616541353384</v>
      </c>
      <c r="V100" s="12">
        <f t="shared" si="43"/>
        <v>0.19102634635368912</v>
      </c>
      <c r="X100" s="40">
        <f t="shared" si="44"/>
        <v>12899.436090225565</v>
      </c>
      <c r="Y100" s="8">
        <f t="shared" si="51"/>
        <v>211.46616541353384</v>
      </c>
      <c r="Z100" s="12">
        <f t="shared" si="45"/>
        <v>0.16430937483569064</v>
      </c>
      <c r="AB100" s="19">
        <f>+X100+T100</f>
        <v>28125</v>
      </c>
      <c r="AC100" s="41">
        <f t="shared" si="46"/>
        <v>211.46616541353384</v>
      </c>
      <c r="AD100" s="12">
        <f t="shared" si="47"/>
        <v>0.176368778493356</v>
      </c>
    </row>
    <row r="101" spans="1:30" s="8" customFormat="1">
      <c r="A101" s="17"/>
      <c r="B101" s="8" t="s">
        <v>232</v>
      </c>
      <c r="L101" s="8">
        <f>+L160*CMF</f>
        <v>16875</v>
      </c>
      <c r="M101" s="8">
        <f t="shared" si="48"/>
        <v>1638.3495145631066</v>
      </c>
      <c r="P101" s="40">
        <f t="shared" si="40"/>
        <v>126.8796992481203</v>
      </c>
      <c r="Q101" s="8">
        <f t="shared" si="49"/>
        <v>126.8796992481203</v>
      </c>
      <c r="R101" s="12">
        <f t="shared" si="41"/>
        <v>0.10590959870460794</v>
      </c>
      <c r="T101" s="40">
        <f t="shared" si="42"/>
        <v>9135.3383458646622</v>
      </c>
      <c r="U101" s="8">
        <f t="shared" si="50"/>
        <v>126.8796992481203</v>
      </c>
      <c r="V101" s="12">
        <f t="shared" si="43"/>
        <v>0.11461580781221346</v>
      </c>
      <c r="X101" s="40">
        <f t="shared" si="44"/>
        <v>7739.6616541353387</v>
      </c>
      <c r="Y101" s="8">
        <f t="shared" si="51"/>
        <v>126.8796992481203</v>
      </c>
      <c r="Z101" s="12">
        <f t="shared" si="45"/>
        <v>9.858562490141437E-2</v>
      </c>
      <c r="AB101" s="19">
        <f>+X101+T101</f>
        <v>16875</v>
      </c>
      <c r="AC101" s="41">
        <f t="shared" si="46"/>
        <v>126.8796992481203</v>
      </c>
      <c r="AD101" s="12">
        <f t="shared" si="47"/>
        <v>0.1058212670960136</v>
      </c>
    </row>
    <row r="102" spans="1:30" s="8" customFormat="1">
      <c r="A102" s="17"/>
      <c r="B102" s="8" t="s">
        <v>256</v>
      </c>
      <c r="L102" s="8">
        <f>15000*CMF</f>
        <v>16875</v>
      </c>
      <c r="M102" s="8">
        <f t="shared" si="48"/>
        <v>1638.3495145631066</v>
      </c>
      <c r="P102" s="40">
        <f>Q102*P$7</f>
        <v>126.8796992481203</v>
      </c>
      <c r="Q102" s="8">
        <f t="shared" si="49"/>
        <v>126.8796992481203</v>
      </c>
      <c r="R102" s="12">
        <f t="shared" si="41"/>
        <v>0.10590959870460794</v>
      </c>
      <c r="T102" s="40">
        <f>U102*T$7</f>
        <v>9135.3383458646622</v>
      </c>
      <c r="U102" s="8">
        <f t="shared" si="50"/>
        <v>126.8796992481203</v>
      </c>
      <c r="V102" s="12">
        <f t="shared" si="43"/>
        <v>0.11461580781221346</v>
      </c>
      <c r="X102" s="40">
        <f>Y102*X$7</f>
        <v>7739.6616541353387</v>
      </c>
      <c r="Y102" s="8">
        <f t="shared" si="51"/>
        <v>126.8796992481203</v>
      </c>
      <c r="Z102" s="12">
        <f t="shared" si="45"/>
        <v>9.858562490141437E-2</v>
      </c>
      <c r="AB102" s="19">
        <f>+X102+T102</f>
        <v>16875</v>
      </c>
      <c r="AC102" s="41">
        <f t="shared" si="46"/>
        <v>126.8796992481203</v>
      </c>
      <c r="AD102" s="12">
        <f t="shared" si="47"/>
        <v>0.1058212670960136</v>
      </c>
    </row>
    <row r="103" spans="1:30" s="8" customFormat="1">
      <c r="A103" s="17"/>
      <c r="B103" s="28" t="s">
        <v>263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>
        <f>SUM(L93:L101)</f>
        <v>824510.27980621462</v>
      </c>
      <c r="M103" s="28">
        <f>SUM(M93:M101)</f>
        <v>80049.54172875869</v>
      </c>
      <c r="P103" s="42">
        <f>SUM(P93:P102)</f>
        <v>6326.2051113249208</v>
      </c>
      <c r="Q103" s="42">
        <f>SUM(Q93:Q102)</f>
        <v>6326.2051113249208</v>
      </c>
      <c r="R103" s="43">
        <f>SUM(R93:R102)</f>
        <v>5.280638657199435</v>
      </c>
      <c r="T103" s="42">
        <f>SUM(T93:T102)</f>
        <v>455486.76801539434</v>
      </c>
      <c r="U103" s="42">
        <f>SUM(U93:U102)</f>
        <v>6326.2051113249208</v>
      </c>
      <c r="V103" s="43">
        <f>SUM(V93:V102)</f>
        <v>5.7147290978544909</v>
      </c>
      <c r="X103" s="42">
        <f>SUM(X93:X102)</f>
        <v>385898.51179082022</v>
      </c>
      <c r="Y103" s="42">
        <f>SUM(Y93:Y102)</f>
        <v>6326.2051113249208</v>
      </c>
      <c r="Z103" s="43">
        <f>SUM(Z93:Z102)</f>
        <v>4.9154662869657511</v>
      </c>
      <c r="AB103" s="42">
        <f>SUM(AB93:AB102)</f>
        <v>841385.27980621462</v>
      </c>
      <c r="AC103" s="42">
        <f>SUM(AC93:AC102)</f>
        <v>6326.2051113249208</v>
      </c>
      <c r="AD103" s="43">
        <f>SUM(AD93:AD102)</f>
        <v>5.276234454816449</v>
      </c>
    </row>
    <row r="104" spans="1:30" s="8" customFormat="1">
      <c r="A104" s="17"/>
      <c r="P104" s="40"/>
      <c r="R104" s="12"/>
      <c r="U104" s="8">
        <f t="shared" si="50"/>
        <v>0</v>
      </c>
      <c r="Y104" s="8">
        <f t="shared" si="51"/>
        <v>0</v>
      </c>
    </row>
    <row r="105" spans="1:30" s="8" customFormat="1">
      <c r="A105" s="17"/>
      <c r="B105" s="27" t="s">
        <v>247</v>
      </c>
      <c r="P105" s="40"/>
      <c r="R105" s="12"/>
      <c r="U105" s="8">
        <f t="shared" si="50"/>
        <v>0</v>
      </c>
      <c r="Y105" s="8">
        <f t="shared" si="51"/>
        <v>0</v>
      </c>
    </row>
    <row r="106" spans="1:30" s="8" customFormat="1">
      <c r="A106" s="17"/>
      <c r="B106" s="8" t="s">
        <v>244</v>
      </c>
      <c r="L106" s="8">
        <f>75000*CMF</f>
        <v>84375</v>
      </c>
      <c r="M106" s="8">
        <f>L106/10.3</f>
        <v>8191.7475728155332</v>
      </c>
      <c r="P106" s="39">
        <f t="shared" si="40"/>
        <v>634.3984962406015</v>
      </c>
      <c r="Q106" s="39">
        <f t="shared" si="49"/>
        <v>634.3984962406015</v>
      </c>
      <c r="R106" s="11">
        <f t="shared" si="41"/>
        <v>0.52954799352303961</v>
      </c>
      <c r="T106" s="39">
        <f>U106*T$7</f>
        <v>45676.691729323305</v>
      </c>
      <c r="U106" s="39">
        <f t="shared" si="50"/>
        <v>634.3984962406015</v>
      </c>
      <c r="V106" s="11">
        <f t="shared" ref="V106:V114" si="53">+U106/U$8</f>
        <v>0.57307903906106727</v>
      </c>
      <c r="X106" s="39">
        <f>Y106*X$7</f>
        <v>38698.308270676695</v>
      </c>
      <c r="Y106" s="39">
        <f t="shared" si="51"/>
        <v>634.3984962406015</v>
      </c>
      <c r="Z106" s="11">
        <f t="shared" ref="Z106:Z114" si="54">+Y106/Y$8</f>
        <v>0.49292812450707185</v>
      </c>
      <c r="AB106" s="62">
        <f>+X106+T106</f>
        <v>84375</v>
      </c>
      <c r="AC106" s="41">
        <f>+AB106/AB$7</f>
        <v>634.3984962406015</v>
      </c>
      <c r="AD106" s="12">
        <f>+AC106/AC$8</f>
        <v>0.52910633548006802</v>
      </c>
    </row>
    <row r="107" spans="1:30" s="8" customFormat="1">
      <c r="A107" s="17"/>
      <c r="B107" s="8" t="s">
        <v>246</v>
      </c>
      <c r="L107" s="8">
        <f>4000*CMF</f>
        <v>4500</v>
      </c>
      <c r="M107" s="8">
        <f>L107/10.3</f>
        <v>436.89320388349512</v>
      </c>
      <c r="P107" s="40">
        <f t="shared" si="40"/>
        <v>33.834586466165412</v>
      </c>
      <c r="Q107" s="8">
        <f t="shared" si="49"/>
        <v>33.834586466165412</v>
      </c>
      <c r="R107" s="12">
        <f t="shared" si="41"/>
        <v>2.8242559654562113E-2</v>
      </c>
      <c r="T107" s="40">
        <f>U107*T$7</f>
        <v>2436.0902255639098</v>
      </c>
      <c r="U107" s="8">
        <f t="shared" si="50"/>
        <v>33.834586466165412</v>
      </c>
      <c r="V107" s="12">
        <f t="shared" si="53"/>
        <v>3.0564215416590254E-2</v>
      </c>
      <c r="X107" s="40">
        <f>Y107*X$7</f>
        <v>2063.9097744360902</v>
      </c>
      <c r="Y107" s="8">
        <f t="shared" si="51"/>
        <v>33.834586466165412</v>
      </c>
      <c r="Z107" s="12">
        <f t="shared" si="54"/>
        <v>2.6289499973710499E-2</v>
      </c>
      <c r="AB107" s="19">
        <f>+X107+T107</f>
        <v>4500</v>
      </c>
      <c r="AC107" s="41">
        <f>+AB107/AB$7</f>
        <v>33.834586466165412</v>
      </c>
      <c r="AD107" s="12">
        <f>+AC107/AC$8</f>
        <v>2.8219004558936958E-2</v>
      </c>
    </row>
    <row r="108" spans="1:30" s="8" customFormat="1">
      <c r="A108" s="17"/>
      <c r="B108" s="8" t="s">
        <v>245</v>
      </c>
      <c r="L108" s="8">
        <f>4000*CMF</f>
        <v>4500</v>
      </c>
      <c r="M108" s="8">
        <f>L108/10.3</f>
        <v>436.89320388349512</v>
      </c>
      <c r="P108" s="40">
        <f t="shared" si="40"/>
        <v>33.834586466165412</v>
      </c>
      <c r="Q108" s="8">
        <f t="shared" si="49"/>
        <v>33.834586466165412</v>
      </c>
      <c r="R108" s="12">
        <f t="shared" si="41"/>
        <v>2.8242559654562113E-2</v>
      </c>
      <c r="T108" s="40">
        <f>U108*T$7</f>
        <v>2436.0902255639098</v>
      </c>
      <c r="U108" s="8">
        <f t="shared" si="50"/>
        <v>33.834586466165412</v>
      </c>
      <c r="V108" s="12">
        <f t="shared" si="53"/>
        <v>3.0564215416590254E-2</v>
      </c>
      <c r="X108" s="40">
        <f>Y108*X$7</f>
        <v>2063.9097744360902</v>
      </c>
      <c r="Y108" s="8">
        <f t="shared" si="51"/>
        <v>33.834586466165412</v>
      </c>
      <c r="Z108" s="12">
        <f t="shared" si="54"/>
        <v>2.6289499973710499E-2</v>
      </c>
      <c r="AB108" s="19">
        <f>+X108+T108</f>
        <v>4500</v>
      </c>
      <c r="AC108" s="41">
        <f>+AB108/AB$7</f>
        <v>33.834586466165412</v>
      </c>
      <c r="AD108" s="12">
        <f>+AC108/AC$8</f>
        <v>2.8219004558936958E-2</v>
      </c>
    </row>
    <row r="109" spans="1:30" s="8" customFormat="1">
      <c r="A109" s="17"/>
      <c r="B109" s="20" t="s">
        <v>364</v>
      </c>
      <c r="P109" s="40">
        <v>0</v>
      </c>
      <c r="Q109" s="8">
        <v>0</v>
      </c>
      <c r="R109" s="12">
        <f t="shared" si="41"/>
        <v>0</v>
      </c>
      <c r="T109" s="40">
        <f>U109*T$7</f>
        <v>53687.712194592415</v>
      </c>
      <c r="U109" s="8">
        <f>+$Q123/SM134Units</f>
        <v>745.66266936933914</v>
      </c>
      <c r="V109" s="12">
        <f t="shared" si="53"/>
        <v>0.67358868055044185</v>
      </c>
      <c r="X109" s="40">
        <f>Y109*X$7</f>
        <v>45485.422831529686</v>
      </c>
      <c r="Y109" s="8">
        <f>+$Q123/SM134Units</f>
        <v>745.66266936933914</v>
      </c>
      <c r="Z109" s="12">
        <f t="shared" si="54"/>
        <v>0.57938047348044996</v>
      </c>
      <c r="AB109" s="19">
        <f>+X109+T109</f>
        <v>99173.135026122094</v>
      </c>
      <c r="AC109" s="41">
        <f>+AB109/AB$7</f>
        <v>745.66266936933903</v>
      </c>
      <c r="AD109" s="12">
        <f>+AC109/AC$8</f>
        <v>0.62190381098360215</v>
      </c>
    </row>
    <row r="110" spans="1:30" s="8" customFormat="1">
      <c r="A110" s="17"/>
      <c r="B110" s="28" t="s">
        <v>248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>
        <f>SUM(L106:L108)</f>
        <v>93375</v>
      </c>
      <c r="M110" s="28">
        <f>SUM(M106:M108)</f>
        <v>9065.5339805825242</v>
      </c>
      <c r="P110" s="42">
        <f>SUM(P106:P109)</f>
        <v>702.06766917293237</v>
      </c>
      <c r="Q110" s="42">
        <f>SUM(Q106:Q108)</f>
        <v>702.06766917293237</v>
      </c>
      <c r="R110" s="43">
        <f>+Q110/Q$8</f>
        <v>0.58603311283216386</v>
      </c>
      <c r="T110" s="42">
        <f>SUM(T106:T109)</f>
        <v>104236.58437504355</v>
      </c>
      <c r="U110" s="42">
        <f>SUM(U106:U108)</f>
        <v>702.06766917293237</v>
      </c>
      <c r="V110" s="43">
        <f t="shared" si="53"/>
        <v>0.63420746989424781</v>
      </c>
      <c r="X110" s="42">
        <f>SUM(X106:X109)</f>
        <v>88311.550651078564</v>
      </c>
      <c r="Y110" s="42">
        <f>SUM(Y106:Y108)</f>
        <v>702.06766917293237</v>
      </c>
      <c r="Z110" s="43">
        <f t="shared" si="54"/>
        <v>0.5455071244544929</v>
      </c>
      <c r="AB110" s="42">
        <f>SUM(AB106:AB109)</f>
        <v>192548.13502612209</v>
      </c>
      <c r="AC110" s="42">
        <f>SUM(AC106:AC108)</f>
        <v>702.06766917293237</v>
      </c>
      <c r="AD110" s="43">
        <f>SUM(AD106:AD108)</f>
        <v>0.58554434459794202</v>
      </c>
    </row>
    <row r="111" spans="1:30" s="8" customFormat="1">
      <c r="A111" s="17"/>
      <c r="B111" s="46" t="s">
        <v>264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>
        <f>+L110+L103</f>
        <v>917885.27980621462</v>
      </c>
      <c r="M111" s="28">
        <f>+M110+M103</f>
        <v>89115.07570934121</v>
      </c>
      <c r="P111" s="42">
        <f>+P110+P103</f>
        <v>7028.2727804978531</v>
      </c>
      <c r="Q111" s="42">
        <f>+Q110+Q103</f>
        <v>7028.2727804978531</v>
      </c>
      <c r="R111" s="43">
        <f>+Q111/Q$8</f>
        <v>5.8666717700315969</v>
      </c>
      <c r="T111" s="42">
        <f>+T110+T103</f>
        <v>559723.35239043785</v>
      </c>
      <c r="U111" s="42">
        <f>+U110+U103</f>
        <v>7028.2727804978531</v>
      </c>
      <c r="V111" s="43">
        <f t="shared" si="53"/>
        <v>6.3489365677487379</v>
      </c>
      <c r="X111" s="42">
        <f>+X110+X103</f>
        <v>474210.0624418988</v>
      </c>
      <c r="Y111" s="42">
        <f>+Y110+Y103</f>
        <v>7028.2727804978531</v>
      </c>
      <c r="Z111" s="43">
        <f t="shared" si="54"/>
        <v>5.4609734114202428</v>
      </c>
      <c r="AB111" s="42">
        <f>+AB110+AB103</f>
        <v>1033933.4148323367</v>
      </c>
      <c r="AC111" s="42">
        <f>+AC110+AC103</f>
        <v>7028.2727804978531</v>
      </c>
      <c r="AD111" s="43">
        <f>+AD110+AD103</f>
        <v>5.8617787994143908</v>
      </c>
    </row>
    <row r="112" spans="1:30" s="8" customFormat="1">
      <c r="A112" s="17"/>
      <c r="B112" s="46" t="s">
        <v>255</v>
      </c>
      <c r="C112" s="46"/>
      <c r="D112" s="89"/>
      <c r="E112" s="90"/>
      <c r="F112" s="90"/>
      <c r="G112" s="90"/>
      <c r="H112" s="90"/>
      <c r="I112" s="90"/>
      <c r="J112" s="90"/>
      <c r="K112" s="90"/>
      <c r="L112" s="47">
        <f>+L111+L91</f>
        <v>2039555.2798062149</v>
      </c>
      <c r="M112" s="47">
        <f>+M111+M91</f>
        <v>198015.07570934121</v>
      </c>
      <c r="N112" s="91"/>
      <c r="O112" s="91"/>
      <c r="P112" s="47">
        <f>+P111+P91</f>
        <v>15461.881803054246</v>
      </c>
      <c r="Q112" s="47">
        <f>+Q111+Q91</f>
        <v>15461.881803054246</v>
      </c>
      <c r="R112" s="48">
        <f>+Q112/Q$8</f>
        <v>12.906412189527751</v>
      </c>
      <c r="S112" s="49"/>
      <c r="T112" s="47">
        <f>+T111+T91</f>
        <v>1166943.2020144982</v>
      </c>
      <c r="U112" s="47">
        <f>+U111+U91</f>
        <v>15461.881803054246</v>
      </c>
      <c r="V112" s="48">
        <f t="shared" si="53"/>
        <v>13.967372902488027</v>
      </c>
      <c r="W112" s="49"/>
      <c r="X112" s="47">
        <f>+X111+X91</f>
        <v>988660.21281783876</v>
      </c>
      <c r="Y112" s="47">
        <f>+Y111+Y91</f>
        <v>15461.881803054246</v>
      </c>
      <c r="Z112" s="48">
        <f t="shared" si="54"/>
        <v>12.013894174867325</v>
      </c>
      <c r="AA112" s="49"/>
      <c r="AB112" s="50">
        <f>+AB111+AB91</f>
        <v>2155603.4148323368</v>
      </c>
      <c r="AC112" s="47">
        <f>+AC111+AC91</f>
        <v>15461.881803054246</v>
      </c>
      <c r="AD112" s="48">
        <f>+AD111+AD91</f>
        <v>12.895647875775019</v>
      </c>
    </row>
    <row r="113" spans="1:30" s="8" customFormat="1">
      <c r="A113" s="17"/>
      <c r="B113" s="24" t="s">
        <v>217</v>
      </c>
      <c r="L113" s="8">
        <f>0.15*(L111+L88)</f>
        <v>243137.02197093217</v>
      </c>
      <c r="P113" s="8">
        <f>0.15*(P111+P88)</f>
        <v>11359.546297947931</v>
      </c>
      <c r="Q113" s="8">
        <f>0.15*(Q111+Q88)</f>
        <v>11359.546297947931</v>
      </c>
      <c r="R113" s="18">
        <f>+Q113/Q$8</f>
        <v>9.4820920684039489</v>
      </c>
      <c r="T113" s="8">
        <f>0.15*(T111+T88)</f>
        <v>786273.86729939061</v>
      </c>
      <c r="U113" s="8">
        <f>0.15*(U111+U88)</f>
        <v>10808.620978752801</v>
      </c>
      <c r="V113" s="18">
        <f t="shared" si="53"/>
        <v>9.763885256325926</v>
      </c>
      <c r="X113" s="8">
        <f>0.15*(X111+X88)</f>
        <v>729434.75142765895</v>
      </c>
      <c r="Y113" s="8">
        <f>0.15*(Y111+Y88)</f>
        <v>11846.097344310318</v>
      </c>
      <c r="Z113" s="18">
        <f t="shared" si="54"/>
        <v>9.2044268409559571</v>
      </c>
      <c r="AB113" s="8">
        <f>+X113+T113</f>
        <v>1515708.6187270496</v>
      </c>
      <c r="AC113" s="8">
        <f>0.15*(AC111+AC88)</f>
        <v>11284.456003557378</v>
      </c>
      <c r="AD113" s="8">
        <f>0.15*(AD111+AD88)</f>
        <v>9.4115562998810489</v>
      </c>
    </row>
    <row r="114" spans="1:30" s="8" customFormat="1">
      <c r="A114" s="17"/>
      <c r="B114" s="46" t="s">
        <v>265</v>
      </c>
      <c r="C114" s="46"/>
      <c r="D114" s="89"/>
      <c r="E114" s="90"/>
      <c r="F114" s="90"/>
      <c r="G114" s="90"/>
      <c r="H114" s="90"/>
      <c r="I114" s="90"/>
      <c r="J114" s="90"/>
      <c r="K114" s="90"/>
      <c r="L114" s="47">
        <f>+L113+L112+L88</f>
        <v>2985720.5017771474</v>
      </c>
      <c r="M114" s="47"/>
      <c r="N114" s="91"/>
      <c r="O114" s="91"/>
      <c r="P114" s="47">
        <f>+P113+P112+P88</f>
        <v>95523.463973490536</v>
      </c>
      <c r="Q114" s="47">
        <f>+Q113+Q112+Q88</f>
        <v>95523.463973490536</v>
      </c>
      <c r="R114" s="48">
        <f>+Q114/Q$8</f>
        <v>79.735779610593099</v>
      </c>
      <c r="S114" s="49"/>
      <c r="T114" s="47">
        <f>+T113+T112+T88</f>
        <v>6635319.4989193883</v>
      </c>
      <c r="U114" s="47">
        <f>+U113+U112+U88</f>
        <v>91299.703192994522</v>
      </c>
      <c r="V114" s="48">
        <f t="shared" si="53"/>
        <v>82.474889966571382</v>
      </c>
      <c r="W114" s="49"/>
      <c r="X114" s="47">
        <f>+X113+X112+X88</f>
        <v>6106783.2446546592</v>
      </c>
      <c r="Y114" s="47">
        <f>+Y113+Y112+Y88</f>
        <v>99253.688662268833</v>
      </c>
      <c r="Z114" s="48">
        <f t="shared" si="54"/>
        <v>77.120193210776094</v>
      </c>
      <c r="AA114" s="49"/>
      <c r="AB114" s="50">
        <f>+AB113+AB112+AB88</f>
        <v>12742102.743574046</v>
      </c>
      <c r="AC114" s="47">
        <f>+AC113+AC112+AC88</f>
        <v>94947.771716496296</v>
      </c>
      <c r="AD114" s="48">
        <f>+AD113+AD112+AD88</f>
        <v>79.189134042115342</v>
      </c>
    </row>
    <row r="115" spans="1:30" s="8" customFormat="1">
      <c r="A115" s="17"/>
      <c r="B115" s="24"/>
      <c r="R115" s="12"/>
    </row>
    <row r="116" spans="1:30" s="8" customFormat="1">
      <c r="A116" s="17"/>
      <c r="B116" s="27" t="s">
        <v>257</v>
      </c>
    </row>
    <row r="117" spans="1:30" s="8" customFormat="1">
      <c r="A117" s="17"/>
      <c r="B117" s="8" t="s">
        <v>69</v>
      </c>
      <c r="L117" s="8">
        <v>4000</v>
      </c>
      <c r="P117" s="39">
        <f>Q117*P$7</f>
        <v>30.075187969924812</v>
      </c>
      <c r="Q117" s="39">
        <f>+$L117/SM134Units</f>
        <v>30.075187969924812</v>
      </c>
      <c r="R117" s="11">
        <f t="shared" si="41"/>
        <v>2.5104497470721882E-2</v>
      </c>
      <c r="T117" s="39">
        <f>U117*T$7</f>
        <v>2165.4135338345864</v>
      </c>
      <c r="U117" s="39">
        <f>+$L117/SM134Units</f>
        <v>30.075187969924812</v>
      </c>
      <c r="V117" s="11">
        <f>+U117/U$8</f>
        <v>2.716819148141356E-2</v>
      </c>
      <c r="X117" s="39">
        <f>Y117*X$7</f>
        <v>1834.5864661654136</v>
      </c>
      <c r="Y117" s="39">
        <f>+$L117/SM134Units</f>
        <v>30.075187969924812</v>
      </c>
      <c r="Z117" s="11">
        <f>+Y117/Y$8</f>
        <v>2.3368444421075999E-2</v>
      </c>
      <c r="AB117" s="62">
        <f>+X117+T117</f>
        <v>4000</v>
      </c>
      <c r="AC117" s="41">
        <f>+AB117/AB$7</f>
        <v>30.075187969924812</v>
      </c>
      <c r="AD117" s="12">
        <f>+AC117/AC$8</f>
        <v>2.5083559607943964E-2</v>
      </c>
    </row>
    <row r="118" spans="1:30" s="8" customFormat="1">
      <c r="A118" s="17"/>
      <c r="B118" s="8" t="s">
        <v>258</v>
      </c>
      <c r="L118" s="8">
        <f>0.0075*0.75*13000000</f>
        <v>73125</v>
      </c>
      <c r="P118" s="40">
        <f>Q118*P$7</f>
        <v>549.81203007518798</v>
      </c>
      <c r="Q118" s="8">
        <f>+$L118/SM134Units</f>
        <v>549.81203007518798</v>
      </c>
      <c r="R118" s="12">
        <f t="shared" si="41"/>
        <v>0.45894159438663434</v>
      </c>
      <c r="T118" s="40">
        <f>U118*T$7</f>
        <v>39586.466165413534</v>
      </c>
      <c r="U118" s="8">
        <f>+$L118/SM134Units</f>
        <v>549.81203007518798</v>
      </c>
      <c r="V118" s="12">
        <f>+U118/U$8</f>
        <v>0.49666850051959166</v>
      </c>
      <c r="X118" s="40">
        <f>Y118*X$7</f>
        <v>33538.533834586466</v>
      </c>
      <c r="Y118" s="8">
        <f>+$L118/SM134Units</f>
        <v>549.81203007518798</v>
      </c>
      <c r="Z118" s="12">
        <f>+Y118/Y$8</f>
        <v>0.42720437457279564</v>
      </c>
      <c r="AB118" s="19">
        <f>+X118+T118</f>
        <v>73125</v>
      </c>
      <c r="AC118" s="41">
        <f>+AB118/AB$7</f>
        <v>549.81203007518798</v>
      </c>
      <c r="AD118" s="12">
        <f>+AC118/AC$8</f>
        <v>0.45855882408272558</v>
      </c>
    </row>
    <row r="119" spans="1:30" s="8" customFormat="1">
      <c r="A119" s="17"/>
      <c r="B119" s="8" t="s">
        <v>262</v>
      </c>
      <c r="L119" s="8">
        <f>0.0025*0.75*13000000</f>
        <v>24375</v>
      </c>
      <c r="P119" s="40">
        <f>Q119*P$7</f>
        <v>183.27067669172934</v>
      </c>
      <c r="Q119" s="8">
        <f>+$L119/SM134Units</f>
        <v>183.27067669172934</v>
      </c>
      <c r="R119" s="12">
        <f t="shared" si="41"/>
        <v>0.15298053146221147</v>
      </c>
      <c r="T119" s="40">
        <f>U119*T$7</f>
        <v>13195.488721804511</v>
      </c>
      <c r="U119" s="8">
        <f>+$L119/SM134Units</f>
        <v>183.27067669172934</v>
      </c>
      <c r="V119" s="12">
        <f>+U119/U$8</f>
        <v>0.16555616683986391</v>
      </c>
      <c r="X119" s="40">
        <f>Y119*X$7</f>
        <v>11179.511278195489</v>
      </c>
      <c r="Y119" s="8">
        <f>+$L119/SM134Units</f>
        <v>183.27067669172934</v>
      </c>
      <c r="Z119" s="12">
        <f>+Y119/Y$8</f>
        <v>0.14240145819093189</v>
      </c>
      <c r="AB119" s="19">
        <f>+X119+T119</f>
        <v>24375</v>
      </c>
      <c r="AC119" s="41">
        <f>+AB119/AB$7</f>
        <v>183.27067669172934</v>
      </c>
      <c r="AD119" s="12">
        <f>+AC119/AC$8</f>
        <v>0.15285294136090855</v>
      </c>
    </row>
    <row r="120" spans="1:30" s="8" customFormat="1">
      <c r="A120" s="17"/>
      <c r="B120" s="8" t="s">
        <v>259</v>
      </c>
      <c r="L120" s="8">
        <f>13000000*0.75*0.75*0.105*0.5</f>
        <v>383906.25</v>
      </c>
      <c r="P120" s="40">
        <f>Q120*P$7</f>
        <v>2886.5131578947367</v>
      </c>
      <c r="Q120" s="8">
        <f>+$L120/SM134Units</f>
        <v>2886.5131578947367</v>
      </c>
      <c r="R120" s="12">
        <f t="shared" si="41"/>
        <v>2.4094433705298304</v>
      </c>
      <c r="T120" s="40">
        <f>U120*T$7</f>
        <v>207828.94736842104</v>
      </c>
      <c r="U120" s="8">
        <f>+$L120/SM134Units</f>
        <v>2886.5131578947367</v>
      </c>
      <c r="V120" s="12">
        <f>+U120/U$8</f>
        <v>2.6075096277278562</v>
      </c>
      <c r="X120" s="40">
        <f>Y120*X$7</f>
        <v>176077.30263157893</v>
      </c>
      <c r="Y120" s="8">
        <f>+$L120/SM134Units</f>
        <v>2886.5131578947367</v>
      </c>
      <c r="Z120" s="12">
        <f>+Y120/Y$8</f>
        <v>2.2428229665071768</v>
      </c>
      <c r="AB120" s="19">
        <f>+X120+T120</f>
        <v>383906.25</v>
      </c>
      <c r="AC120" s="41">
        <f>+AB120/AB$7</f>
        <v>2886.5131578947367</v>
      </c>
      <c r="AD120" s="12">
        <f>+AC120/AC$8</f>
        <v>2.4074338264343091</v>
      </c>
    </row>
    <row r="121" spans="1:30" s="8" customFormat="1">
      <c r="A121" s="17"/>
      <c r="B121" s="30" t="s">
        <v>260</v>
      </c>
      <c r="L121" s="30">
        <f>SUM(L117:L120)</f>
        <v>485406.25</v>
      </c>
      <c r="M121" s="30"/>
      <c r="P121" s="92">
        <f>SUM(P117:P120)</f>
        <v>3649.6710526315787</v>
      </c>
      <c r="Q121" s="92">
        <f>SUM(Q117:Q120)</f>
        <v>3649.6710526315787</v>
      </c>
      <c r="R121" s="44">
        <f>SUM(R117:R120)</f>
        <v>3.046469993849398</v>
      </c>
      <c r="T121" s="92">
        <f>SUM(T117:T120)</f>
        <v>262776.31578947365</v>
      </c>
      <c r="U121" s="92">
        <f>SUM(U117:U120)</f>
        <v>3649.6710526315787</v>
      </c>
      <c r="V121" s="44">
        <f>SUM(V117:V120)</f>
        <v>3.2969024865687251</v>
      </c>
      <c r="X121" s="92">
        <f>SUM(X117:X120)</f>
        <v>222629.93421052629</v>
      </c>
      <c r="Y121" s="92">
        <f>SUM(Y117:Y120)</f>
        <v>3649.6710526315787</v>
      </c>
      <c r="Z121" s="44">
        <f>SUM(Z117:Z120)</f>
        <v>2.8357972436919803</v>
      </c>
      <c r="AB121" s="92">
        <f>SUM(AB117:AB120)</f>
        <v>485406.25</v>
      </c>
      <c r="AC121" s="92">
        <f>SUM(AC117:AC120)</f>
        <v>3649.6710526315787</v>
      </c>
      <c r="AD121" s="44">
        <f>SUM(AD117:AD120)</f>
        <v>3.0439291514858873</v>
      </c>
    </row>
    <row r="122" spans="1:30" s="8" customFormat="1">
      <c r="A122" s="17"/>
      <c r="B122" s="28"/>
      <c r="L122" s="28"/>
      <c r="M122" s="28"/>
      <c r="P122" s="42"/>
      <c r="Q122" s="42"/>
      <c r="R122" s="93"/>
      <c r="T122" s="42"/>
      <c r="U122" s="42"/>
      <c r="V122" s="93"/>
      <c r="X122" s="42"/>
      <c r="Y122" s="42"/>
      <c r="Z122" s="93"/>
      <c r="AB122" s="42"/>
      <c r="AC122" s="42"/>
      <c r="AD122" s="93"/>
    </row>
    <row r="123" spans="1:30" s="8" customFormat="1" ht="12.75" thickBot="1">
      <c r="A123" s="17"/>
      <c r="B123" s="14" t="s">
        <v>261</v>
      </c>
      <c r="L123" s="14">
        <f>+L121+L114+L88</f>
        <v>4174154.9517771476</v>
      </c>
      <c r="M123" s="14"/>
      <c r="P123" s="3">
        <f>+P121+P114</f>
        <v>99173.135026122109</v>
      </c>
      <c r="Q123" s="3">
        <f>+Q121+Q114</f>
        <v>99173.135026122109</v>
      </c>
      <c r="R123" s="2">
        <f>+R121+R114</f>
        <v>82.782249604442498</v>
      </c>
      <c r="T123" s="3">
        <f>+T121+T114</f>
        <v>6898095.8147088615</v>
      </c>
      <c r="U123" s="3">
        <f>+U121+U114</f>
        <v>94949.374245626095</v>
      </c>
      <c r="V123" s="2">
        <f>+V121+V114</f>
        <v>85.771792453140108</v>
      </c>
      <c r="X123" s="3">
        <f>+X121+X114</f>
        <v>6329413.178865185</v>
      </c>
      <c r="Y123" s="3">
        <f>+Y121+Y114</f>
        <v>102903.35971490041</v>
      </c>
      <c r="Z123" s="2">
        <f>+Z121+Z114</f>
        <v>79.955990454468079</v>
      </c>
      <c r="AB123" s="3">
        <f>+AB121+AB114</f>
        <v>13227508.993574046</v>
      </c>
      <c r="AC123" s="3">
        <f>+AC121+AC114</f>
        <v>98597.442769127869</v>
      </c>
      <c r="AD123" s="2">
        <f>+AD121+AD114</f>
        <v>82.233063193601225</v>
      </c>
    </row>
    <row r="124" spans="1:30" s="8" customFormat="1" ht="12.75" thickTop="1">
      <c r="A124" s="17"/>
    </row>
    <row r="125" spans="1:30">
      <c r="A125" s="17"/>
      <c r="B125" s="8" t="s">
        <v>266</v>
      </c>
      <c r="C125" s="8"/>
      <c r="D125" s="8"/>
      <c r="E125" s="8"/>
      <c r="F125" s="8"/>
      <c r="G125" s="8"/>
      <c r="H125" s="8"/>
      <c r="I125" s="8"/>
      <c r="J125" s="8"/>
      <c r="K125" s="8"/>
      <c r="L125" s="32">
        <v>0.75</v>
      </c>
      <c r="M125" s="36" t="s">
        <v>267</v>
      </c>
      <c r="T125" s="36">
        <f>0.75*T123</f>
        <v>5173571.8610316459</v>
      </c>
      <c r="U125" s="36">
        <f>0.75*U123</f>
        <v>71212.030684219571</v>
      </c>
      <c r="V125" s="36">
        <f>0.75*V123</f>
        <v>64.328844339855081</v>
      </c>
      <c r="X125" s="36">
        <f>0.75*X123</f>
        <v>4747059.8841488883</v>
      </c>
      <c r="Y125" s="36">
        <f>0.75*Y123</f>
        <v>77177.519786175311</v>
      </c>
      <c r="Z125" s="36">
        <f>0.75*Z123</f>
        <v>59.966992840851063</v>
      </c>
      <c r="AB125" s="36">
        <f>0.75*AB123</f>
        <v>9920631.7451805342</v>
      </c>
      <c r="AC125" s="36">
        <f>0.75*AC123</f>
        <v>73948.082076845894</v>
      </c>
      <c r="AD125" s="36">
        <f>0.75*AD123</f>
        <v>61.674797395200919</v>
      </c>
    </row>
    <row r="126" spans="1:30">
      <c r="B126" s="94" t="s">
        <v>268</v>
      </c>
    </row>
    <row r="127" spans="1:30">
      <c r="B127" s="8" t="s">
        <v>253</v>
      </c>
      <c r="T127" s="36">
        <f>+T123-T125</f>
        <v>1724523.9536772156</v>
      </c>
      <c r="X127" s="36">
        <f>+X123-X125</f>
        <v>1582353.2947162967</v>
      </c>
      <c r="AB127" s="36">
        <f>+AB123-AB125</f>
        <v>3306877.2483935114</v>
      </c>
    </row>
    <row r="128" spans="1:30">
      <c r="B128" s="8" t="s">
        <v>269</v>
      </c>
      <c r="T128" s="36">
        <f>-T113</f>
        <v>-786273.86729939061</v>
      </c>
      <c r="X128" s="36">
        <f>-X113</f>
        <v>-729434.75142765895</v>
      </c>
      <c r="AB128" s="36">
        <f>-AB113</f>
        <v>-1515708.6187270496</v>
      </c>
    </row>
    <row r="129" spans="2:28">
      <c r="B129" s="8" t="s">
        <v>270</v>
      </c>
      <c r="T129" s="36">
        <f>+T128+T127</f>
        <v>938250.08637782501</v>
      </c>
      <c r="X129" s="36">
        <f>+X128+X127</f>
        <v>852918.54328863777</v>
      </c>
      <c r="AB129" s="36">
        <f>+AB128+AB127</f>
        <v>1791168.6296664618</v>
      </c>
    </row>
    <row r="135" spans="2:28">
      <c r="L135" s="36">
        <f>10.3*43560</f>
        <v>448668.00000000006</v>
      </c>
      <c r="P135" s="36">
        <f>P$7*28</f>
        <v>28</v>
      </c>
      <c r="T135" s="36">
        <f>T7*15.83</f>
        <v>1139.76</v>
      </c>
      <c r="X135" s="36">
        <f>X7*26</f>
        <v>1586</v>
      </c>
    </row>
    <row r="136" spans="2:28">
      <c r="L136" s="36">
        <f>SQRT(L135)</f>
        <v>669.82684329608651</v>
      </c>
      <c r="M136" s="36">
        <f>L136*25</f>
        <v>16745.671082402161</v>
      </c>
      <c r="N136" s="36">
        <f>M136*4</f>
        <v>66982.684329608644</v>
      </c>
      <c r="P136" s="36">
        <f>P$7*20</f>
        <v>20</v>
      </c>
      <c r="T136" s="36">
        <f>T$7*20</f>
        <v>1440</v>
      </c>
      <c r="X136" s="36">
        <f>X$7*20</f>
        <v>1220</v>
      </c>
    </row>
    <row r="137" spans="2:28">
      <c r="L137" s="36">
        <f>L136*4-120</f>
        <v>2559.307373184346</v>
      </c>
      <c r="N137" s="36">
        <f>300*300</f>
        <v>90000</v>
      </c>
      <c r="P137" s="36">
        <f>+P136+P135</f>
        <v>48</v>
      </c>
      <c r="T137" s="36">
        <f>+T136+T135</f>
        <v>2579.7600000000002</v>
      </c>
      <c r="X137" s="36">
        <f>+X136+X135</f>
        <v>2806</v>
      </c>
    </row>
    <row r="138" spans="2:28">
      <c r="L138" s="36">
        <f>30*L137</f>
        <v>76779.221195530379</v>
      </c>
      <c r="N138" s="36">
        <f>+N137+N136</f>
        <v>156982.68432960863</v>
      </c>
    </row>
    <row r="139" spans="2:28">
      <c r="N139" s="36">
        <f>-2.5*60*80</f>
        <v>-12000</v>
      </c>
    </row>
    <row r="140" spans="2:28">
      <c r="N140" s="36">
        <f>-4000</f>
        <v>-4000</v>
      </c>
    </row>
    <row r="141" spans="2:28">
      <c r="N141" s="36">
        <f>SUM(N138:N140)</f>
        <v>140982.68432960863</v>
      </c>
    </row>
    <row r="142" spans="2:28">
      <c r="N142" s="36">
        <f>N141/134</f>
        <v>1052.1095845493182</v>
      </c>
    </row>
    <row r="143" spans="2:28">
      <c r="N143" s="36">
        <f>6500*12</f>
        <v>78000</v>
      </c>
    </row>
    <row r="144" spans="2:28">
      <c r="L144" s="36">
        <f>670-(37.5*2+25*2)</f>
        <v>545</v>
      </c>
    </row>
    <row r="145" spans="2:14">
      <c r="L145" s="36">
        <v>60</v>
      </c>
    </row>
    <row r="146" spans="2:14">
      <c r="L146" s="36">
        <v>4</v>
      </c>
    </row>
    <row r="147" spans="2:14">
      <c r="L147" s="36">
        <f>L146*L145*L144</f>
        <v>130800</v>
      </c>
    </row>
    <row r="148" spans="2:14">
      <c r="L148" s="36">
        <f>2*L147</f>
        <v>261600</v>
      </c>
    </row>
    <row r="149" spans="2:14">
      <c r="L149" s="36">
        <f>L144*L146*2.1</f>
        <v>4578</v>
      </c>
    </row>
    <row r="150" spans="2:14">
      <c r="L150" s="36">
        <f>10*L149</f>
        <v>45780</v>
      </c>
    </row>
    <row r="151" spans="2:14">
      <c r="L151" s="36">
        <f>+L150+L148</f>
        <v>307380</v>
      </c>
      <c r="M151" s="36">
        <f>75000*10.3</f>
        <v>772500</v>
      </c>
      <c r="N151" s="32">
        <f>+L151/M151</f>
        <v>0.39790291262135924</v>
      </c>
    </row>
    <row r="152" spans="2:14">
      <c r="L152" s="36">
        <f>+N141*1.5</f>
        <v>211474.02649441294</v>
      </c>
    </row>
    <row r="153" spans="2:14">
      <c r="B153" s="36" t="s">
        <v>224</v>
      </c>
      <c r="L153" s="36">
        <f>545*4*35</f>
        <v>76300</v>
      </c>
      <c r="M153" s="36">
        <v>16</v>
      </c>
    </row>
    <row r="154" spans="2:14">
      <c r="B154" s="36" t="s">
        <v>225</v>
      </c>
    </row>
    <row r="155" spans="2:14">
      <c r="B155" s="36" t="s">
        <v>226</v>
      </c>
    </row>
    <row r="156" spans="2:14">
      <c r="B156" s="36" t="s">
        <v>227</v>
      </c>
    </row>
    <row r="157" spans="2:14">
      <c r="B157" s="36" t="s">
        <v>228</v>
      </c>
      <c r="L157" s="36">
        <v>25000</v>
      </c>
    </row>
    <row r="158" spans="2:14">
      <c r="B158" s="36" t="s">
        <v>229</v>
      </c>
      <c r="L158" s="36">
        <f>10000</f>
        <v>10000</v>
      </c>
    </row>
    <row r="159" spans="2:14">
      <c r="B159" s="36" t="s">
        <v>231</v>
      </c>
      <c r="L159" s="36">
        <v>15000</v>
      </c>
    </row>
    <row r="160" spans="2:14">
      <c r="B160" s="36" t="s">
        <v>232</v>
      </c>
      <c r="L160" s="36">
        <v>15000</v>
      </c>
    </row>
    <row r="161" spans="2:14">
      <c r="B161" s="36" t="s">
        <v>233</v>
      </c>
      <c r="L161" s="36">
        <f>900*35</f>
        <v>31500</v>
      </c>
      <c r="M161" s="36">
        <f>SUM(L151:L161)</f>
        <v>691654.02649441292</v>
      </c>
      <c r="N161" s="36">
        <f>M161/10.3</f>
        <v>67150.876358680864</v>
      </c>
    </row>
    <row r="162" spans="2:14">
      <c r="B162" s="36" t="s">
        <v>234</v>
      </c>
      <c r="L162" s="36">
        <v>75000</v>
      </c>
    </row>
    <row r="163" spans="2:14">
      <c r="B163" s="36" t="s">
        <v>235</v>
      </c>
      <c r="L163" s="36">
        <v>4000</v>
      </c>
    </row>
    <row r="164" spans="2:14">
      <c r="B164" s="36" t="s">
        <v>236</v>
      </c>
      <c r="L164" s="36">
        <v>4000</v>
      </c>
      <c r="M164" s="36">
        <f>SUM(L151:L164)</f>
        <v>774654.02649441292</v>
      </c>
      <c r="N164" s="36">
        <f>M164/10.3</f>
        <v>75209.128785865323</v>
      </c>
    </row>
  </sheetData>
  <mergeCells count="4">
    <mergeCell ref="P5:R5"/>
    <mergeCell ref="T5:V5"/>
    <mergeCell ref="X5:Z5"/>
    <mergeCell ref="AB5:AD5"/>
  </mergeCells>
  <printOptions horizontalCentered="1" gridLines="1"/>
  <pageMargins left="0.5" right="0.5" top="1.81" bottom="0.8" header="0.5" footer="0.5"/>
  <pageSetup scale="86" fitToHeight="3" orientation="landscape" horizontalDpi="300" verticalDpi="300" r:id="rId1"/>
  <headerFooter alignWithMargins="0">
    <oddHeader>&amp;C&amp;"Arial,Bold"&amp;11&amp;UConstruction Cost Summary
By Unit</oddHeader>
    <oddFooter xml:space="preserve">&amp;L&amp;F&amp;C&amp;D&amp;RPage 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52</vt:i4>
      </vt:variant>
    </vt:vector>
  </HeadingPairs>
  <TitlesOfParts>
    <vt:vector size="58" baseType="lpstr">
      <vt:lpstr>Summary</vt:lpstr>
      <vt:lpstr>Proforma</vt:lpstr>
      <vt:lpstr>UCost Final</vt:lpstr>
      <vt:lpstr>Comps</vt:lpstr>
      <vt:lpstr>Project Schedule</vt:lpstr>
      <vt:lpstr>Initial Mix</vt:lpstr>
      <vt:lpstr>_3BGarage</vt:lpstr>
      <vt:lpstr>Adj2B</vt:lpstr>
      <vt:lpstr>ADj3B</vt:lpstr>
      <vt:lpstr>CapRate</vt:lpstr>
      <vt:lpstr>'UCost Final'!CMF</vt:lpstr>
      <vt:lpstr>CMF</vt:lpstr>
      <vt:lpstr>Const_Profit</vt:lpstr>
      <vt:lpstr>ConstProfit</vt:lpstr>
      <vt:lpstr>constprofit2B</vt:lpstr>
      <vt:lpstr>constprofit3B</vt:lpstr>
      <vt:lpstr>Four_Bedroom_Rate</vt:lpstr>
      <vt:lpstr>Interim_Int_Rate</vt:lpstr>
      <vt:lpstr>Internet</vt:lpstr>
      <vt:lpstr>INVESTOR_SHARE___50</vt:lpstr>
      <vt:lpstr>InvShare</vt:lpstr>
      <vt:lpstr>LandscapeArea</vt:lpstr>
      <vt:lpstr>LTV</vt:lpstr>
      <vt:lpstr>MgrOffFirstFlr</vt:lpstr>
      <vt:lpstr>MonthlyNOI</vt:lpstr>
      <vt:lpstr>MortgageLoan</vt:lpstr>
      <vt:lpstr>MortgagePmt</vt:lpstr>
      <vt:lpstr>MortPts</vt:lpstr>
      <vt:lpstr>MortRate</vt:lpstr>
      <vt:lpstr>NOI</vt:lpstr>
      <vt:lpstr>One_Bedroom_Rate</vt:lpstr>
      <vt:lpstr>Pool</vt:lpstr>
      <vt:lpstr>Comps!Print_Area</vt:lpstr>
      <vt:lpstr>'Initial Mix'!Print_Area</vt:lpstr>
      <vt:lpstr>Proforma!Print_Area</vt:lpstr>
      <vt:lpstr>Summary!Print_Area</vt:lpstr>
      <vt:lpstr>'UCost Final'!Print_Area</vt:lpstr>
      <vt:lpstr>'Initial Mix'!Print_Titles</vt:lpstr>
      <vt:lpstr>Proforma!Print_Titles</vt:lpstr>
      <vt:lpstr>'Project Schedule'!Print_Titles</vt:lpstr>
      <vt:lpstr>Summary!Print_Titles</vt:lpstr>
      <vt:lpstr>'UCost Final'!Print_Titles</vt:lpstr>
      <vt:lpstr>Project_Value</vt:lpstr>
      <vt:lpstr>'UCost Final'!SM134Units</vt:lpstr>
      <vt:lpstr>SM134Units</vt:lpstr>
      <vt:lpstr>Three_Bedroom_Rate</vt:lpstr>
      <vt:lpstr>ThreeBdrm_First_Flr</vt:lpstr>
      <vt:lpstr>TotalCost</vt:lpstr>
      <vt:lpstr>TotalDirectCost</vt:lpstr>
      <vt:lpstr>TotalSF</vt:lpstr>
      <vt:lpstr>TotalValue</vt:lpstr>
      <vt:lpstr>'UCost Final'!TRUnits</vt:lpstr>
      <vt:lpstr>TRUnits</vt:lpstr>
      <vt:lpstr>TUnits</vt:lpstr>
      <vt:lpstr>Two_Bedroom_Rate</vt:lpstr>
      <vt:lpstr>TwoBdrm_First_Flr</vt:lpstr>
      <vt:lpstr>Vollyball___Basketball</vt:lpstr>
      <vt:lpstr>Vollybasketball</vt:lpstr>
    </vt:vector>
  </TitlesOfParts>
  <Company>GWR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Jan Havlíček</cp:lastModifiedBy>
  <cp:lastPrinted>2001-02-20T17:47:08Z</cp:lastPrinted>
  <dcterms:created xsi:type="dcterms:W3CDTF">1998-01-21T04:19:53Z</dcterms:created>
  <dcterms:modified xsi:type="dcterms:W3CDTF">2023-09-17T11:49:05Z</dcterms:modified>
</cp:coreProperties>
</file>