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D52CD1-A46E-40BF-91B0-A4308B0E9ED8}" xr6:coauthVersionLast="47" xr6:coauthVersionMax="47" xr10:uidLastSave="{00000000-0000-0000-0000-000000000000}"/>
  <bookViews>
    <workbookView xWindow="-120" yWindow="-120" windowWidth="38640" windowHeight="15720" tabRatio="727" firstSheet="2" activeTab="2"/>
  </bookViews>
  <sheets>
    <sheet name="Summary" sheetId="11" r:id="rId1"/>
    <sheet name="Proforma" sheetId="7" r:id="rId2"/>
    <sheet name="UCost Final" sheetId="9" r:id="rId3"/>
    <sheet name="Comps" sheetId="8" r:id="rId4"/>
    <sheet name="Project Schedule" sheetId="10" r:id="rId5"/>
    <sheet name="Initial Mix" sheetId="6" state="hidden" r:id="rId6"/>
  </sheets>
  <definedNames>
    <definedName name="_3BGarage">'UCost Final'!$W$1</definedName>
    <definedName name="Adj2B">'UCost Final'!$W$2</definedName>
    <definedName name="ADj3B">'UCost Final'!$W$3</definedName>
    <definedName name="_Cap10">Proforma!#REF!</definedName>
    <definedName name="_Cap11">Proforma!#REF!</definedName>
    <definedName name="CapRate">Proforma!$C$45</definedName>
    <definedName name="CMF" localSheetId="2">'UCost Final'!$J$1</definedName>
    <definedName name="CMF">'Initial Mix'!$P$1</definedName>
    <definedName name="Const_Profit">'UCost Final'!$L$2</definedName>
    <definedName name="ConstProfit">'UCost Final'!$S$131</definedName>
    <definedName name="constprofit2B">'UCost Final'!$N$131</definedName>
    <definedName name="constprofit3B">'UCost Final'!$Q$131</definedName>
    <definedName name="CTime">#REF!</definedName>
    <definedName name="Four_Bedroom_Rate">Proforma!#REF!</definedName>
    <definedName name="Garage_Rate">Proforma!$C$4</definedName>
    <definedName name="Interim_Int_Rate">'UCost Final'!$D$139</definedName>
    <definedName name="Internet">Proforma!$C$1</definedName>
    <definedName name="INVESTOR_SHARE___50">Summary!$C$9</definedName>
    <definedName name="InvShare">Summary!$C$9</definedName>
    <definedName name="Land">'UCost Final'!$S$154</definedName>
    <definedName name="LandscapeArea">'UCost Final'!$O$2</definedName>
    <definedName name="LoanPerU">'Project Schedule'!$B$65</definedName>
    <definedName name="LTC">'UCost Final'!#REF!</definedName>
    <definedName name="_ltc85">'UCost Final'!#REF!</definedName>
    <definedName name="_LTC90">'UCost Final'!#REF!</definedName>
    <definedName name="LTV">Proforma!$D$47</definedName>
    <definedName name="MgrOffFirstFlr">'UCost Final'!$Q$3</definedName>
    <definedName name="MonthlyNOI">Proforma!$Q$36</definedName>
    <definedName name="Mortg2002">Proforma!$F$79</definedName>
    <definedName name="MortgageLoan">Proforma!$Q$50</definedName>
    <definedName name="MortgagePmt">Proforma!$Q$39</definedName>
    <definedName name="MortPts">'UCost Final'!$D$140</definedName>
    <definedName name="MortRate">Proforma!$D$39</definedName>
    <definedName name="NetCash">Proforma!$P$40</definedName>
    <definedName name="NOI">Proforma!$P$36</definedName>
    <definedName name="One_Bedroom_Rate">Proforma!#REF!</definedName>
    <definedName name="Pool">'UCost Final'!$N$3</definedName>
    <definedName name="_xlnm.Print_Area" localSheetId="3">Comps!$A$5:$AL$13</definedName>
    <definedName name="_xlnm.Print_Area" localSheetId="5">'Initial Mix'!$P$9:$AD$88</definedName>
    <definedName name="_xlnm.Print_Area" localSheetId="1">Proforma!$H$15:$S$43</definedName>
    <definedName name="_xlnm.Print_Area" localSheetId="0">Summary!$B$3:$H$52</definedName>
    <definedName name="_xlnm.Print_Area" localSheetId="2">'UCost Final'!$M$146:$W$176</definedName>
    <definedName name="_xlnm.Print_Titles" localSheetId="5">'Initial Mix'!$B:$B,'Initial Mix'!$5:$8</definedName>
    <definedName name="_xlnm.Print_Titles" localSheetId="1">Proforma!$B:$B,Proforma!$5:$14</definedName>
    <definedName name="_xlnm.Print_Titles" localSheetId="4">'Project Schedule'!$A:$B,'Project Schedule'!$4:$4</definedName>
    <definedName name="_xlnm.Print_Titles" localSheetId="0">Summary!$1:$2</definedName>
    <definedName name="_xlnm.Print_Titles" localSheetId="2">'UCost Final'!$B:$B,'UCost Final'!$7:$13</definedName>
    <definedName name="Project_Value">Proforma!$V$45</definedName>
    <definedName name="SM134Units" localSheetId="2">'UCost Final'!$D$13</definedName>
    <definedName name="SM134Units">'Initial Mix'!$AB$7</definedName>
    <definedName name="Term">Proforma!$D$38</definedName>
    <definedName name="Three_Bedroom_Rate">Proforma!$C$3</definedName>
    <definedName name="ThreeBdrm_First_Flr">'UCost Final'!$Q$2</definedName>
    <definedName name="TotalCost">'UCost Final'!$S$143</definedName>
    <definedName name="TotalCProfit">'UCost Final'!$S$163</definedName>
    <definedName name="TotalDirectCost">'UCost Final'!$S$132</definedName>
    <definedName name="TotalSF">Proforma!$Q$9</definedName>
    <definedName name="TotalValue">'UCost Final'!$S$171</definedName>
    <definedName name="TRUnits" localSheetId="2">'UCost Final'!$J$2</definedName>
    <definedName name="TRUnits">'Initial Mix'!$L$2</definedName>
    <definedName name="TUnits">Proforma!$Q$12</definedName>
    <definedName name="Two_Bedroom_Rate">Proforma!$C$2</definedName>
    <definedName name="TwoBdrm_First_Flr">'UCost Final'!$Q$1</definedName>
    <definedName name="Vollyball___Basketball">'UCost Final'!$N$4</definedName>
    <definedName name="Vollybasketball">'UCost Final'!$N$4</definedName>
  </definedNames>
  <calcPr calcId="0" fullCalcOnLoad="1"/>
</workbook>
</file>

<file path=xl/calcChain.xml><?xml version="1.0" encoding="utf-8"?>
<calcChain xmlns="http://schemas.openxmlformats.org/spreadsheetml/2006/main">
  <c r="Y10" i="8" l="1"/>
  <c r="Z10" i="8"/>
  <c r="AA10" i="8"/>
  <c r="AB10" i="8"/>
  <c r="AD10" i="8"/>
  <c r="AE10" i="8"/>
  <c r="AF10" i="8"/>
  <c r="AG10" i="8"/>
  <c r="AI10" i="8"/>
  <c r="AJ10" i="8"/>
  <c r="AK10" i="8"/>
  <c r="AL10" i="8"/>
  <c r="V12" i="8"/>
  <c r="W12" i="8"/>
  <c r="AD12" i="8"/>
  <c r="AE12" i="8"/>
  <c r="AF12" i="8"/>
  <c r="AG12" i="8"/>
  <c r="V13" i="8"/>
  <c r="W13" i="8"/>
  <c r="T14" i="8"/>
  <c r="U14" i="8"/>
  <c r="V14" i="8"/>
  <c r="U15" i="8"/>
  <c r="W15" i="8"/>
  <c r="L7" i="6"/>
  <c r="AB7" i="6"/>
  <c r="AK7" i="6"/>
  <c r="AL7" i="6"/>
  <c r="R8" i="6"/>
  <c r="V8" i="6"/>
  <c r="Z8" i="6"/>
  <c r="AC8" i="6"/>
  <c r="AD8" i="6"/>
  <c r="D9" i="6"/>
  <c r="L9" i="6"/>
  <c r="M9" i="6"/>
  <c r="N9" i="6"/>
  <c r="P9" i="6"/>
  <c r="Q9" i="6"/>
  <c r="R9" i="6"/>
  <c r="T9" i="6"/>
  <c r="U9" i="6"/>
  <c r="V9" i="6"/>
  <c r="X9" i="6"/>
  <c r="Y9" i="6"/>
  <c r="Z9" i="6"/>
  <c r="AB9" i="6"/>
  <c r="AC9" i="6"/>
  <c r="AD9" i="6"/>
  <c r="AI9" i="6"/>
  <c r="AJ9" i="6"/>
  <c r="AK9" i="6"/>
  <c r="AL9" i="6"/>
  <c r="P10" i="6"/>
  <c r="Q10" i="6"/>
  <c r="R10" i="6"/>
  <c r="T10" i="6"/>
  <c r="U10" i="6"/>
  <c r="V10" i="6"/>
  <c r="X10" i="6"/>
  <c r="Y10" i="6"/>
  <c r="Z10" i="6"/>
  <c r="AB10" i="6"/>
  <c r="AC10" i="6"/>
  <c r="AD10" i="6"/>
  <c r="AI10" i="6"/>
  <c r="AJ10" i="6"/>
  <c r="AK10" i="6"/>
  <c r="AL10" i="6"/>
  <c r="D11" i="6"/>
  <c r="L11" i="6"/>
  <c r="M11" i="6"/>
  <c r="N11" i="6"/>
  <c r="P11" i="6"/>
  <c r="Q11" i="6"/>
  <c r="R11" i="6"/>
  <c r="T11" i="6"/>
  <c r="U11" i="6"/>
  <c r="V11" i="6"/>
  <c r="X11" i="6"/>
  <c r="Y11" i="6"/>
  <c r="Z11" i="6"/>
  <c r="AB11" i="6"/>
  <c r="AC11" i="6"/>
  <c r="AD11" i="6"/>
  <c r="AI11" i="6"/>
  <c r="AK11" i="6"/>
  <c r="AL11" i="6"/>
  <c r="D12" i="6"/>
  <c r="L12" i="6"/>
  <c r="M12" i="6"/>
  <c r="N12" i="6"/>
  <c r="P12" i="6"/>
  <c r="Q12" i="6"/>
  <c r="R12" i="6"/>
  <c r="T12" i="6"/>
  <c r="U12" i="6"/>
  <c r="V12" i="6"/>
  <c r="X12" i="6"/>
  <c r="Y12" i="6"/>
  <c r="Z12" i="6"/>
  <c r="AB12" i="6"/>
  <c r="AC12" i="6"/>
  <c r="AD12" i="6"/>
  <c r="AI12" i="6"/>
  <c r="AJ12" i="6"/>
  <c r="AK12" i="6"/>
  <c r="AL12" i="6"/>
  <c r="D13" i="6"/>
  <c r="L13" i="6"/>
  <c r="M13" i="6"/>
  <c r="N13" i="6"/>
  <c r="P13" i="6"/>
  <c r="Q13" i="6"/>
  <c r="R13" i="6"/>
  <c r="T13" i="6"/>
  <c r="U13" i="6"/>
  <c r="V13" i="6"/>
  <c r="X13" i="6"/>
  <c r="Y13" i="6"/>
  <c r="Z13" i="6"/>
  <c r="AB13" i="6"/>
  <c r="AC13" i="6"/>
  <c r="AD13" i="6"/>
  <c r="AI13" i="6"/>
  <c r="AJ13" i="6"/>
  <c r="AK13" i="6"/>
  <c r="AL13" i="6"/>
  <c r="AI14" i="6"/>
  <c r="AJ14" i="6"/>
  <c r="AK14" i="6"/>
  <c r="AL14" i="6"/>
  <c r="D15" i="6"/>
  <c r="L15" i="6"/>
  <c r="M15" i="6"/>
  <c r="N15" i="6"/>
  <c r="P15" i="6"/>
  <c r="Q15" i="6"/>
  <c r="R15" i="6"/>
  <c r="T15" i="6"/>
  <c r="U15" i="6"/>
  <c r="V15" i="6"/>
  <c r="X15" i="6"/>
  <c r="Y15" i="6"/>
  <c r="Z15" i="6"/>
  <c r="AB15" i="6"/>
  <c r="AC15" i="6"/>
  <c r="AD15" i="6"/>
  <c r="AI15" i="6"/>
  <c r="AJ15" i="6"/>
  <c r="AK15" i="6"/>
  <c r="AL15" i="6"/>
  <c r="D16" i="6"/>
  <c r="L16" i="6"/>
  <c r="M16" i="6"/>
  <c r="N16" i="6"/>
  <c r="R16" i="6"/>
  <c r="V16" i="6"/>
  <c r="Z16" i="6"/>
  <c r="AB16" i="6"/>
  <c r="AC16" i="6"/>
  <c r="AD16" i="6"/>
  <c r="AI16" i="6"/>
  <c r="AJ16" i="6"/>
  <c r="AK16" i="6"/>
  <c r="AL16" i="6"/>
  <c r="D17" i="6"/>
  <c r="L17" i="6"/>
  <c r="M17" i="6"/>
  <c r="N17" i="6"/>
  <c r="R17" i="6"/>
  <c r="V17" i="6"/>
  <c r="Z17" i="6"/>
  <c r="AB17" i="6"/>
  <c r="AC17" i="6"/>
  <c r="AD17" i="6"/>
  <c r="AI17" i="6"/>
  <c r="AJ17" i="6"/>
  <c r="AK17" i="6"/>
  <c r="AL17" i="6"/>
  <c r="L18" i="6"/>
  <c r="N18" i="6"/>
  <c r="AI18" i="6"/>
  <c r="AJ18" i="6"/>
  <c r="AK18" i="6"/>
  <c r="AL18" i="6"/>
  <c r="D19" i="6"/>
  <c r="L19" i="6"/>
  <c r="M19" i="6"/>
  <c r="N19" i="6"/>
  <c r="P19" i="6"/>
  <c r="Q19" i="6"/>
  <c r="R19" i="6"/>
  <c r="T19" i="6"/>
  <c r="U19" i="6"/>
  <c r="V19" i="6"/>
  <c r="X19" i="6"/>
  <c r="Y19" i="6"/>
  <c r="Z19" i="6"/>
  <c r="AB19" i="6"/>
  <c r="AC19" i="6"/>
  <c r="AD19" i="6"/>
  <c r="AI19" i="6"/>
  <c r="AJ19" i="6"/>
  <c r="AK19" i="6"/>
  <c r="AL19" i="6"/>
  <c r="D20" i="6"/>
  <c r="L20" i="6"/>
  <c r="M20" i="6"/>
  <c r="N20" i="6"/>
  <c r="P20" i="6"/>
  <c r="Q20" i="6"/>
  <c r="R20" i="6"/>
  <c r="T20" i="6"/>
  <c r="U20" i="6"/>
  <c r="V20" i="6"/>
  <c r="X20" i="6"/>
  <c r="Y20" i="6"/>
  <c r="Z20" i="6"/>
  <c r="AB20" i="6"/>
  <c r="AC20" i="6"/>
  <c r="AD20" i="6"/>
  <c r="AI20" i="6"/>
  <c r="AJ20" i="6"/>
  <c r="AK20" i="6"/>
  <c r="AL20" i="6"/>
  <c r="D21" i="6"/>
  <c r="L21" i="6"/>
  <c r="M21" i="6"/>
  <c r="N21" i="6"/>
  <c r="P21" i="6"/>
  <c r="Q21" i="6"/>
  <c r="R21" i="6"/>
  <c r="T21" i="6"/>
  <c r="U21" i="6"/>
  <c r="V21" i="6"/>
  <c r="X21" i="6"/>
  <c r="Y21" i="6"/>
  <c r="Z21" i="6"/>
  <c r="AB21" i="6"/>
  <c r="AC21" i="6"/>
  <c r="AD21" i="6"/>
  <c r="AI21" i="6"/>
  <c r="AJ21" i="6"/>
  <c r="AK21" i="6"/>
  <c r="AL21" i="6"/>
  <c r="N22" i="6"/>
  <c r="AI22" i="6"/>
  <c r="AJ22" i="6"/>
  <c r="AK22" i="6"/>
  <c r="AL22" i="6"/>
  <c r="D23" i="6"/>
  <c r="L23" i="6"/>
  <c r="M23" i="6"/>
  <c r="N23" i="6"/>
  <c r="P23" i="6"/>
  <c r="Q23" i="6"/>
  <c r="R23" i="6"/>
  <c r="T23" i="6"/>
  <c r="U23" i="6"/>
  <c r="V23" i="6"/>
  <c r="X23" i="6"/>
  <c r="Y23" i="6"/>
  <c r="Z23" i="6"/>
  <c r="AB23" i="6"/>
  <c r="AC23" i="6"/>
  <c r="AD23" i="6"/>
  <c r="AI23" i="6"/>
  <c r="AJ23" i="6"/>
  <c r="AK23" i="6"/>
  <c r="AL23" i="6"/>
  <c r="D24" i="6"/>
  <c r="L24" i="6"/>
  <c r="M24" i="6"/>
  <c r="N24" i="6"/>
  <c r="P24" i="6"/>
  <c r="Q24" i="6"/>
  <c r="R24" i="6"/>
  <c r="T24" i="6"/>
  <c r="U24" i="6"/>
  <c r="V24" i="6"/>
  <c r="X24" i="6"/>
  <c r="Y24" i="6"/>
  <c r="Z24" i="6"/>
  <c r="AB24" i="6"/>
  <c r="AC24" i="6"/>
  <c r="AD24" i="6"/>
  <c r="AK24" i="6"/>
  <c r="AL24" i="6"/>
  <c r="D25" i="6"/>
  <c r="L25" i="6"/>
  <c r="M25" i="6"/>
  <c r="N25" i="6"/>
  <c r="P25" i="6"/>
  <c r="Q25" i="6"/>
  <c r="R25" i="6"/>
  <c r="T25" i="6"/>
  <c r="U25" i="6"/>
  <c r="V25" i="6"/>
  <c r="X25" i="6"/>
  <c r="Y25" i="6"/>
  <c r="Z25" i="6"/>
  <c r="AB25" i="6"/>
  <c r="AC25" i="6"/>
  <c r="AD25" i="6"/>
  <c r="AI25" i="6"/>
  <c r="AJ25" i="6"/>
  <c r="AK25" i="6"/>
  <c r="AL25" i="6"/>
  <c r="D26" i="6"/>
  <c r="L26" i="6"/>
  <c r="M26" i="6"/>
  <c r="N26" i="6"/>
  <c r="P26" i="6"/>
  <c r="Q26" i="6"/>
  <c r="R26" i="6"/>
  <c r="T26" i="6"/>
  <c r="U26" i="6"/>
  <c r="V26" i="6"/>
  <c r="X26" i="6"/>
  <c r="Y26" i="6"/>
  <c r="Z26" i="6"/>
  <c r="AB26" i="6"/>
  <c r="AC26" i="6"/>
  <c r="AD26" i="6"/>
  <c r="AI26" i="6"/>
  <c r="AJ26" i="6"/>
  <c r="AK26" i="6"/>
  <c r="AL26" i="6"/>
  <c r="AI27" i="6"/>
  <c r="AK27" i="6"/>
  <c r="AL27" i="6"/>
  <c r="D28" i="6"/>
  <c r="L28" i="6"/>
  <c r="M28" i="6"/>
  <c r="N28" i="6"/>
  <c r="P28" i="6"/>
  <c r="Q28" i="6"/>
  <c r="R28" i="6"/>
  <c r="T28" i="6"/>
  <c r="U28" i="6"/>
  <c r="V28" i="6"/>
  <c r="X28" i="6"/>
  <c r="Y28" i="6"/>
  <c r="Z28" i="6"/>
  <c r="AB28" i="6"/>
  <c r="AC28" i="6"/>
  <c r="AD28" i="6"/>
  <c r="AI28" i="6"/>
  <c r="AJ28" i="6"/>
  <c r="AK28" i="6"/>
  <c r="AL28" i="6"/>
  <c r="D29" i="6"/>
  <c r="L29" i="6"/>
  <c r="M29" i="6"/>
  <c r="N29" i="6"/>
  <c r="P29" i="6"/>
  <c r="Q29" i="6"/>
  <c r="R29" i="6"/>
  <c r="T29" i="6"/>
  <c r="U29" i="6"/>
  <c r="V29" i="6"/>
  <c r="X29" i="6"/>
  <c r="Y29" i="6"/>
  <c r="Z29" i="6"/>
  <c r="AB29" i="6"/>
  <c r="AC29" i="6"/>
  <c r="AD29" i="6"/>
  <c r="AI29" i="6"/>
  <c r="AJ29" i="6"/>
  <c r="AK29" i="6"/>
  <c r="AL29" i="6"/>
  <c r="D30" i="6"/>
  <c r="L30" i="6"/>
  <c r="M30" i="6"/>
  <c r="N30" i="6"/>
  <c r="P30" i="6"/>
  <c r="Q30" i="6"/>
  <c r="R30" i="6"/>
  <c r="T30" i="6"/>
  <c r="U30" i="6"/>
  <c r="V30" i="6"/>
  <c r="X30" i="6"/>
  <c r="Y30" i="6"/>
  <c r="Z30" i="6"/>
  <c r="AB30" i="6"/>
  <c r="AC30" i="6"/>
  <c r="AD30" i="6"/>
  <c r="AI30" i="6"/>
  <c r="AJ30" i="6"/>
  <c r="AK30" i="6"/>
  <c r="AL30" i="6"/>
  <c r="D31" i="6"/>
  <c r="L31" i="6"/>
  <c r="N31" i="6"/>
  <c r="P31" i="6"/>
  <c r="Q31" i="6"/>
  <c r="R31" i="6"/>
  <c r="T31" i="6"/>
  <c r="U31" i="6"/>
  <c r="V31" i="6"/>
  <c r="X31" i="6"/>
  <c r="Y31" i="6"/>
  <c r="Z31" i="6"/>
  <c r="AB31" i="6"/>
  <c r="AC31" i="6"/>
  <c r="AD31" i="6"/>
  <c r="AI31" i="6"/>
  <c r="AK31" i="6"/>
  <c r="AL31" i="6"/>
  <c r="D32" i="6"/>
  <c r="L32" i="6"/>
  <c r="N32" i="6"/>
  <c r="P32" i="6"/>
  <c r="Q32" i="6"/>
  <c r="R32" i="6"/>
  <c r="T32" i="6"/>
  <c r="U32" i="6"/>
  <c r="V32" i="6"/>
  <c r="X32" i="6"/>
  <c r="Y32" i="6"/>
  <c r="Z32" i="6"/>
  <c r="AB32" i="6"/>
  <c r="AC32" i="6"/>
  <c r="AD32" i="6"/>
  <c r="AI32" i="6"/>
  <c r="AJ32" i="6"/>
  <c r="AK32" i="6"/>
  <c r="AL32" i="6"/>
  <c r="D33" i="6"/>
  <c r="L33" i="6"/>
  <c r="N33" i="6"/>
  <c r="P33" i="6"/>
  <c r="Q33" i="6"/>
  <c r="R33" i="6"/>
  <c r="T33" i="6"/>
  <c r="U33" i="6"/>
  <c r="V33" i="6"/>
  <c r="X33" i="6"/>
  <c r="Y33" i="6"/>
  <c r="Z33" i="6"/>
  <c r="AB33" i="6"/>
  <c r="AC33" i="6"/>
  <c r="AD33" i="6"/>
  <c r="AI33" i="6"/>
  <c r="AK33" i="6"/>
  <c r="AL33" i="6"/>
  <c r="D34" i="6"/>
  <c r="L34" i="6"/>
  <c r="M34" i="6"/>
  <c r="N34" i="6"/>
  <c r="P34" i="6"/>
  <c r="Q34" i="6"/>
  <c r="R34" i="6"/>
  <c r="T34" i="6"/>
  <c r="U34" i="6"/>
  <c r="V34" i="6"/>
  <c r="X34" i="6"/>
  <c r="Y34" i="6"/>
  <c r="Z34" i="6"/>
  <c r="AB34" i="6"/>
  <c r="AC34" i="6"/>
  <c r="AD34" i="6"/>
  <c r="AI34" i="6"/>
  <c r="AJ34" i="6"/>
  <c r="AK34" i="6"/>
  <c r="AL34" i="6"/>
  <c r="D35" i="6"/>
  <c r="L35" i="6"/>
  <c r="M35" i="6"/>
  <c r="N35" i="6"/>
  <c r="P35" i="6"/>
  <c r="Q35" i="6"/>
  <c r="R35" i="6"/>
  <c r="T35" i="6"/>
  <c r="U35" i="6"/>
  <c r="V35" i="6"/>
  <c r="X35" i="6"/>
  <c r="Y35" i="6"/>
  <c r="Z35" i="6"/>
  <c r="AB35" i="6"/>
  <c r="AC35" i="6"/>
  <c r="AD35" i="6"/>
  <c r="AI35" i="6"/>
  <c r="AJ35" i="6"/>
  <c r="AK35" i="6"/>
  <c r="AL35" i="6"/>
  <c r="AI36" i="6"/>
  <c r="AJ36" i="6"/>
  <c r="AK36" i="6"/>
  <c r="AL36" i="6"/>
  <c r="P37" i="6"/>
  <c r="Q37" i="6"/>
  <c r="R37" i="6"/>
  <c r="T37" i="6"/>
  <c r="U37" i="6"/>
  <c r="V37" i="6"/>
  <c r="X37" i="6"/>
  <c r="Y37" i="6"/>
  <c r="Z37" i="6"/>
  <c r="AB37" i="6"/>
  <c r="AC37" i="6"/>
  <c r="AD37" i="6"/>
  <c r="AI37" i="6"/>
  <c r="AJ37" i="6"/>
  <c r="AK37" i="6"/>
  <c r="AL37" i="6"/>
  <c r="P38" i="6"/>
  <c r="Q38" i="6"/>
  <c r="R38" i="6"/>
  <c r="T38" i="6"/>
  <c r="U38" i="6"/>
  <c r="V38" i="6"/>
  <c r="X38" i="6"/>
  <c r="Y38" i="6"/>
  <c r="Z38" i="6"/>
  <c r="AB38" i="6"/>
  <c r="AC38" i="6"/>
  <c r="AD38" i="6"/>
  <c r="AI38" i="6"/>
  <c r="AJ38" i="6"/>
  <c r="AK38" i="6"/>
  <c r="AL38" i="6"/>
  <c r="AI39" i="6"/>
  <c r="AJ39" i="6"/>
  <c r="AK39" i="6"/>
  <c r="AL39" i="6"/>
  <c r="D40" i="6"/>
  <c r="L40" i="6"/>
  <c r="M40" i="6"/>
  <c r="N40" i="6"/>
  <c r="P40" i="6"/>
  <c r="Q40" i="6"/>
  <c r="R40" i="6"/>
  <c r="T40" i="6"/>
  <c r="U40" i="6"/>
  <c r="V40" i="6"/>
  <c r="X40" i="6"/>
  <c r="Y40" i="6"/>
  <c r="Z40" i="6"/>
  <c r="AB40" i="6"/>
  <c r="AC40" i="6"/>
  <c r="AD40" i="6"/>
  <c r="AI40" i="6"/>
  <c r="AK40" i="6"/>
  <c r="AL40" i="6"/>
  <c r="D41" i="6"/>
  <c r="L41" i="6"/>
  <c r="M41" i="6"/>
  <c r="N41" i="6"/>
  <c r="P41" i="6"/>
  <c r="Q41" i="6"/>
  <c r="R41" i="6"/>
  <c r="T41" i="6"/>
  <c r="U41" i="6"/>
  <c r="V41" i="6"/>
  <c r="X41" i="6"/>
  <c r="Y41" i="6"/>
  <c r="Z41" i="6"/>
  <c r="AB41" i="6"/>
  <c r="AC41" i="6"/>
  <c r="AD41" i="6"/>
  <c r="AI41" i="6"/>
  <c r="AJ41" i="6"/>
  <c r="AK41" i="6"/>
  <c r="AL41" i="6"/>
  <c r="AI42" i="6"/>
  <c r="AJ42" i="6"/>
  <c r="AK42" i="6"/>
  <c r="AL42" i="6"/>
  <c r="D43" i="6"/>
  <c r="L43" i="6"/>
  <c r="M43" i="6"/>
  <c r="N43" i="6"/>
  <c r="P43" i="6"/>
  <c r="Q43" i="6"/>
  <c r="R43" i="6"/>
  <c r="T43" i="6"/>
  <c r="U43" i="6"/>
  <c r="V43" i="6"/>
  <c r="X43" i="6"/>
  <c r="Y43" i="6"/>
  <c r="Z43" i="6"/>
  <c r="AB43" i="6"/>
  <c r="AC43" i="6"/>
  <c r="AD43" i="6"/>
  <c r="AI43" i="6"/>
  <c r="AJ43" i="6"/>
  <c r="AK43" i="6"/>
  <c r="AL43" i="6"/>
  <c r="D44" i="6"/>
  <c r="L44" i="6"/>
  <c r="M44" i="6"/>
  <c r="N44" i="6"/>
  <c r="P44" i="6"/>
  <c r="Q44" i="6"/>
  <c r="R44" i="6"/>
  <c r="T44" i="6"/>
  <c r="U44" i="6"/>
  <c r="V44" i="6"/>
  <c r="X44" i="6"/>
  <c r="Y44" i="6"/>
  <c r="Z44" i="6"/>
  <c r="AB44" i="6"/>
  <c r="AC44" i="6"/>
  <c r="AD44" i="6"/>
  <c r="AI44" i="6"/>
  <c r="AJ44" i="6"/>
  <c r="AK44" i="6"/>
  <c r="AL44" i="6"/>
  <c r="D45" i="6"/>
  <c r="L45" i="6"/>
  <c r="M45" i="6"/>
  <c r="N45" i="6"/>
  <c r="P45" i="6"/>
  <c r="Q45" i="6"/>
  <c r="R45" i="6"/>
  <c r="T45" i="6"/>
  <c r="U45" i="6"/>
  <c r="V45" i="6"/>
  <c r="X45" i="6"/>
  <c r="Y45" i="6"/>
  <c r="Z45" i="6"/>
  <c r="AB45" i="6"/>
  <c r="AC45" i="6"/>
  <c r="AD45" i="6"/>
  <c r="AI45" i="6"/>
  <c r="AJ45" i="6"/>
  <c r="AK45" i="6"/>
  <c r="AL45" i="6"/>
  <c r="AI46" i="6"/>
  <c r="AJ46" i="6"/>
  <c r="AK46" i="6"/>
  <c r="AL46" i="6"/>
  <c r="D47" i="6"/>
  <c r="L47" i="6"/>
  <c r="N47" i="6"/>
  <c r="P47" i="6"/>
  <c r="Q47" i="6"/>
  <c r="R47" i="6"/>
  <c r="T47" i="6"/>
  <c r="U47" i="6"/>
  <c r="V47" i="6"/>
  <c r="X47" i="6"/>
  <c r="Y47" i="6"/>
  <c r="Z47" i="6"/>
  <c r="AB47" i="6"/>
  <c r="AC47" i="6"/>
  <c r="AD47" i="6"/>
  <c r="AI47" i="6"/>
  <c r="AJ47" i="6"/>
  <c r="AK47" i="6"/>
  <c r="AL47" i="6"/>
  <c r="D48" i="6"/>
  <c r="L48" i="6"/>
  <c r="M48" i="6"/>
  <c r="N48" i="6"/>
  <c r="P48" i="6"/>
  <c r="Q48" i="6"/>
  <c r="R48" i="6"/>
  <c r="T48" i="6"/>
  <c r="U48" i="6"/>
  <c r="V48" i="6"/>
  <c r="X48" i="6"/>
  <c r="Y48" i="6"/>
  <c r="Z48" i="6"/>
  <c r="AB48" i="6"/>
  <c r="AC48" i="6"/>
  <c r="AD48" i="6"/>
  <c r="AI48" i="6"/>
  <c r="AJ48" i="6"/>
  <c r="AK48" i="6"/>
  <c r="AL48" i="6"/>
  <c r="L49" i="6"/>
  <c r="D50" i="6"/>
  <c r="L50" i="6"/>
  <c r="M50" i="6"/>
  <c r="N50" i="6"/>
  <c r="P50" i="6"/>
  <c r="Q50" i="6"/>
  <c r="R50" i="6"/>
  <c r="T50" i="6"/>
  <c r="U50" i="6"/>
  <c r="V50" i="6"/>
  <c r="X50" i="6"/>
  <c r="Y50" i="6"/>
  <c r="Z50" i="6"/>
  <c r="AB50" i="6"/>
  <c r="AC50" i="6"/>
  <c r="AD50" i="6"/>
  <c r="AI50" i="6"/>
  <c r="AJ50" i="6"/>
  <c r="AK50" i="6"/>
  <c r="AL50" i="6"/>
  <c r="D51" i="6"/>
  <c r="L51" i="6"/>
  <c r="M51" i="6"/>
  <c r="N51" i="6"/>
  <c r="P51" i="6"/>
  <c r="Q51" i="6"/>
  <c r="R51" i="6"/>
  <c r="T51" i="6"/>
  <c r="U51" i="6"/>
  <c r="V51" i="6"/>
  <c r="X51" i="6"/>
  <c r="Y51" i="6"/>
  <c r="Z51" i="6"/>
  <c r="AB51" i="6"/>
  <c r="AC51" i="6"/>
  <c r="AD51" i="6"/>
  <c r="AI51" i="6"/>
  <c r="AJ51" i="6"/>
  <c r="AK51" i="6"/>
  <c r="AL51" i="6"/>
  <c r="D52" i="6"/>
  <c r="L52" i="6"/>
  <c r="M52" i="6"/>
  <c r="N52" i="6"/>
  <c r="P52" i="6"/>
  <c r="Q52" i="6"/>
  <c r="R52" i="6"/>
  <c r="T52" i="6"/>
  <c r="U52" i="6"/>
  <c r="V52" i="6"/>
  <c r="X52" i="6"/>
  <c r="Y52" i="6"/>
  <c r="Z52" i="6"/>
  <c r="AB52" i="6"/>
  <c r="AC52" i="6"/>
  <c r="AD52" i="6"/>
  <c r="AI52" i="6"/>
  <c r="AJ52" i="6"/>
  <c r="AK52" i="6"/>
  <c r="AL52" i="6"/>
  <c r="AI53" i="6"/>
  <c r="AJ53" i="6"/>
  <c r="AK53" i="6"/>
  <c r="AL53" i="6"/>
  <c r="D54" i="6"/>
  <c r="L54" i="6"/>
  <c r="M54" i="6"/>
  <c r="N54" i="6"/>
  <c r="P54" i="6"/>
  <c r="Q54" i="6"/>
  <c r="R54" i="6"/>
  <c r="T54" i="6"/>
  <c r="U54" i="6"/>
  <c r="V54" i="6"/>
  <c r="X54" i="6"/>
  <c r="Y54" i="6"/>
  <c r="Z54" i="6"/>
  <c r="AB54" i="6"/>
  <c r="AC54" i="6"/>
  <c r="AD54" i="6"/>
  <c r="AI54" i="6"/>
  <c r="AJ54" i="6"/>
  <c r="AK54" i="6"/>
  <c r="AL54" i="6"/>
  <c r="D55" i="6"/>
  <c r="L55" i="6"/>
  <c r="M55" i="6"/>
  <c r="N55" i="6"/>
  <c r="P55" i="6"/>
  <c r="Q55" i="6"/>
  <c r="R55" i="6"/>
  <c r="T55" i="6"/>
  <c r="U55" i="6"/>
  <c r="V55" i="6"/>
  <c r="X55" i="6"/>
  <c r="Y55" i="6"/>
  <c r="Z55" i="6"/>
  <c r="AB55" i="6"/>
  <c r="AC55" i="6"/>
  <c r="AD55" i="6"/>
  <c r="D56" i="6"/>
  <c r="L56" i="6"/>
  <c r="M56" i="6"/>
  <c r="N56" i="6"/>
  <c r="P56" i="6"/>
  <c r="Q56" i="6"/>
  <c r="R56" i="6"/>
  <c r="T56" i="6"/>
  <c r="V56" i="6"/>
  <c r="X56" i="6"/>
  <c r="Y56" i="6"/>
  <c r="Z56" i="6"/>
  <c r="AB56" i="6"/>
  <c r="AC56" i="6"/>
  <c r="AD56" i="6"/>
  <c r="AJ56" i="6"/>
  <c r="AJ57" i="6"/>
  <c r="D58" i="6"/>
  <c r="L58" i="6"/>
  <c r="M58" i="6"/>
  <c r="N58" i="6"/>
  <c r="P58" i="6"/>
  <c r="Q58" i="6"/>
  <c r="R58" i="6"/>
  <c r="T58" i="6"/>
  <c r="U58" i="6"/>
  <c r="V58" i="6"/>
  <c r="X58" i="6"/>
  <c r="Y58" i="6"/>
  <c r="Z58" i="6"/>
  <c r="AB58" i="6"/>
  <c r="AC58" i="6"/>
  <c r="AD58" i="6"/>
  <c r="AJ58" i="6"/>
  <c r="D59" i="6"/>
  <c r="L59" i="6"/>
  <c r="M59" i="6"/>
  <c r="N59" i="6"/>
  <c r="P59" i="6"/>
  <c r="Q59" i="6"/>
  <c r="R59" i="6"/>
  <c r="T59" i="6"/>
  <c r="U59" i="6"/>
  <c r="V59" i="6"/>
  <c r="X59" i="6"/>
  <c r="Y59" i="6"/>
  <c r="Z59" i="6"/>
  <c r="AB59" i="6"/>
  <c r="AC59" i="6"/>
  <c r="AD59" i="6"/>
  <c r="D60" i="6"/>
  <c r="L60" i="6"/>
  <c r="M60" i="6"/>
  <c r="N60" i="6"/>
  <c r="P60" i="6"/>
  <c r="Q60" i="6"/>
  <c r="R60" i="6"/>
  <c r="T60" i="6"/>
  <c r="U60" i="6"/>
  <c r="V60" i="6"/>
  <c r="X60" i="6"/>
  <c r="Y60" i="6"/>
  <c r="Z60" i="6"/>
  <c r="AB60" i="6"/>
  <c r="AC60" i="6"/>
  <c r="AD60" i="6"/>
  <c r="AJ60" i="6"/>
  <c r="AK60" i="6"/>
  <c r="AL60" i="6"/>
  <c r="AN60" i="6"/>
  <c r="D61" i="6"/>
  <c r="AJ61" i="6"/>
  <c r="AL61" i="6"/>
  <c r="AN61" i="6"/>
  <c r="D62" i="6"/>
  <c r="L62" i="6"/>
  <c r="M62" i="6"/>
  <c r="N62" i="6"/>
  <c r="P62" i="6"/>
  <c r="Q62" i="6"/>
  <c r="R62" i="6"/>
  <c r="T62" i="6"/>
  <c r="U62" i="6"/>
  <c r="V62" i="6"/>
  <c r="X62" i="6"/>
  <c r="Y62" i="6"/>
  <c r="Z62" i="6"/>
  <c r="AB62" i="6"/>
  <c r="AC62" i="6"/>
  <c r="AD62" i="6"/>
  <c r="AJ62" i="6"/>
  <c r="AL62" i="6"/>
  <c r="AM62" i="6"/>
  <c r="AN62" i="6"/>
  <c r="D63" i="6"/>
  <c r="L63" i="6"/>
  <c r="M63" i="6"/>
  <c r="N63" i="6"/>
  <c r="P63" i="6"/>
  <c r="Q63" i="6"/>
  <c r="R63" i="6"/>
  <c r="T63" i="6"/>
  <c r="U63" i="6"/>
  <c r="V63" i="6"/>
  <c r="X63" i="6"/>
  <c r="Y63" i="6"/>
  <c r="Z63" i="6"/>
  <c r="AB63" i="6"/>
  <c r="AC63" i="6"/>
  <c r="AD63" i="6"/>
  <c r="AJ63" i="6"/>
  <c r="AK63" i="6"/>
  <c r="D64" i="6"/>
  <c r="L64" i="6"/>
  <c r="M64" i="6"/>
  <c r="N64" i="6"/>
  <c r="P64" i="6"/>
  <c r="Q64" i="6"/>
  <c r="R64" i="6"/>
  <c r="T64" i="6"/>
  <c r="U64" i="6"/>
  <c r="V64" i="6"/>
  <c r="X64" i="6"/>
  <c r="Y64" i="6"/>
  <c r="Z64" i="6"/>
  <c r="AB64" i="6"/>
  <c r="AC64" i="6"/>
  <c r="AD64" i="6"/>
  <c r="AJ64" i="6"/>
  <c r="AK64" i="6"/>
  <c r="N65" i="6"/>
  <c r="D66" i="6"/>
  <c r="L66" i="6"/>
  <c r="M66" i="6"/>
  <c r="N66" i="6"/>
  <c r="P66" i="6"/>
  <c r="Q66" i="6"/>
  <c r="R66" i="6"/>
  <c r="T66" i="6"/>
  <c r="U66" i="6"/>
  <c r="V66" i="6"/>
  <c r="X66" i="6"/>
  <c r="Y66" i="6"/>
  <c r="Z66" i="6"/>
  <c r="AB66" i="6"/>
  <c r="AC66" i="6"/>
  <c r="AD66" i="6"/>
  <c r="AJ66" i="6"/>
  <c r="D67" i="6"/>
  <c r="L67" i="6"/>
  <c r="M67" i="6"/>
  <c r="N67" i="6"/>
  <c r="P67" i="6"/>
  <c r="Q67" i="6"/>
  <c r="R67" i="6"/>
  <c r="T67" i="6"/>
  <c r="U67" i="6"/>
  <c r="V67" i="6"/>
  <c r="X67" i="6"/>
  <c r="Y67" i="6"/>
  <c r="Z67" i="6"/>
  <c r="AB67" i="6"/>
  <c r="AC67" i="6"/>
  <c r="AD67" i="6"/>
  <c r="D68" i="6"/>
  <c r="L68" i="6"/>
  <c r="M68" i="6"/>
  <c r="N68" i="6"/>
  <c r="P68" i="6"/>
  <c r="Q68" i="6"/>
  <c r="R68" i="6"/>
  <c r="T68" i="6"/>
  <c r="U68" i="6"/>
  <c r="V68" i="6"/>
  <c r="X68" i="6"/>
  <c r="Y68" i="6"/>
  <c r="Z68" i="6"/>
  <c r="AB68" i="6"/>
  <c r="AC68" i="6"/>
  <c r="AD68" i="6"/>
  <c r="AJ68" i="6"/>
  <c r="D69" i="6"/>
  <c r="L69" i="6"/>
  <c r="M69" i="6"/>
  <c r="N69" i="6"/>
  <c r="P69" i="6"/>
  <c r="Q69" i="6"/>
  <c r="R69" i="6"/>
  <c r="T69" i="6"/>
  <c r="U69" i="6"/>
  <c r="V69" i="6"/>
  <c r="X69" i="6"/>
  <c r="Y69" i="6"/>
  <c r="Z69" i="6"/>
  <c r="AB69" i="6"/>
  <c r="AC69" i="6"/>
  <c r="AD69" i="6"/>
  <c r="AJ69" i="6"/>
  <c r="AL69" i="6"/>
  <c r="D70" i="6"/>
  <c r="L70" i="6"/>
  <c r="M70" i="6"/>
  <c r="N70" i="6"/>
  <c r="P70" i="6"/>
  <c r="Q70" i="6"/>
  <c r="R70" i="6"/>
  <c r="T70" i="6"/>
  <c r="U70" i="6"/>
  <c r="V70" i="6"/>
  <c r="X70" i="6"/>
  <c r="Y70" i="6"/>
  <c r="Z70" i="6"/>
  <c r="AB70" i="6"/>
  <c r="AC70" i="6"/>
  <c r="AD70" i="6"/>
  <c r="AJ70" i="6"/>
  <c r="AL70" i="6"/>
  <c r="D71" i="6"/>
  <c r="L71" i="6"/>
  <c r="M71" i="6"/>
  <c r="N71" i="6"/>
  <c r="P71" i="6"/>
  <c r="Q71" i="6"/>
  <c r="R71" i="6"/>
  <c r="T71" i="6"/>
  <c r="U71" i="6"/>
  <c r="V71" i="6"/>
  <c r="X71" i="6"/>
  <c r="Y71" i="6"/>
  <c r="Z71" i="6"/>
  <c r="AB71" i="6"/>
  <c r="AC71" i="6"/>
  <c r="AD71" i="6"/>
  <c r="AJ71" i="6"/>
  <c r="D72" i="6"/>
  <c r="L72" i="6"/>
  <c r="M72" i="6"/>
  <c r="N72" i="6"/>
  <c r="P72" i="6"/>
  <c r="Q72" i="6"/>
  <c r="R72" i="6"/>
  <c r="T72" i="6"/>
  <c r="U72" i="6"/>
  <c r="V72" i="6"/>
  <c r="X72" i="6"/>
  <c r="Y72" i="6"/>
  <c r="Z72" i="6"/>
  <c r="AB72" i="6"/>
  <c r="AC72" i="6"/>
  <c r="AD72" i="6"/>
  <c r="AJ72" i="6"/>
  <c r="D73" i="6"/>
  <c r="L73" i="6"/>
  <c r="M73" i="6"/>
  <c r="N73" i="6"/>
  <c r="P73" i="6"/>
  <c r="Q73" i="6"/>
  <c r="R73" i="6"/>
  <c r="T73" i="6"/>
  <c r="U73" i="6"/>
  <c r="V73" i="6"/>
  <c r="X73" i="6"/>
  <c r="Y73" i="6"/>
  <c r="Z73" i="6"/>
  <c r="AB73" i="6"/>
  <c r="AC73" i="6"/>
  <c r="AD73" i="6"/>
  <c r="AJ73" i="6"/>
  <c r="D74" i="6"/>
  <c r="L74" i="6"/>
  <c r="N74" i="6"/>
  <c r="P74" i="6"/>
  <c r="Q74" i="6"/>
  <c r="R74" i="6"/>
  <c r="T74" i="6"/>
  <c r="U74" i="6"/>
  <c r="V74" i="6"/>
  <c r="X74" i="6"/>
  <c r="Y74" i="6"/>
  <c r="Z74" i="6"/>
  <c r="AB74" i="6"/>
  <c r="AC74" i="6"/>
  <c r="AD74" i="6"/>
  <c r="D75" i="6"/>
  <c r="L75" i="6"/>
  <c r="N75" i="6"/>
  <c r="P75" i="6"/>
  <c r="Q75" i="6"/>
  <c r="R75" i="6"/>
  <c r="T75" i="6"/>
  <c r="U75" i="6"/>
  <c r="V75" i="6"/>
  <c r="X75" i="6"/>
  <c r="Y75" i="6"/>
  <c r="Z75" i="6"/>
  <c r="AB75" i="6"/>
  <c r="AC75" i="6"/>
  <c r="AD75" i="6"/>
  <c r="AJ75" i="6"/>
  <c r="AL75" i="6"/>
  <c r="AO75" i="6"/>
  <c r="D76" i="6"/>
  <c r="L76" i="6"/>
  <c r="N76" i="6"/>
  <c r="P76" i="6"/>
  <c r="Q76" i="6"/>
  <c r="R76" i="6"/>
  <c r="T76" i="6"/>
  <c r="U76" i="6"/>
  <c r="V76" i="6"/>
  <c r="X76" i="6"/>
  <c r="Y76" i="6"/>
  <c r="Z76" i="6"/>
  <c r="AB76" i="6"/>
  <c r="AC76" i="6"/>
  <c r="AD76" i="6"/>
  <c r="AJ76" i="6"/>
  <c r="AL76" i="6"/>
  <c r="D77" i="6"/>
  <c r="L77" i="6"/>
  <c r="M77" i="6"/>
  <c r="N77" i="6"/>
  <c r="P77" i="6"/>
  <c r="Q77" i="6"/>
  <c r="R77" i="6"/>
  <c r="T77" i="6"/>
  <c r="U77" i="6"/>
  <c r="V77" i="6"/>
  <c r="X77" i="6"/>
  <c r="Y77" i="6"/>
  <c r="Z77" i="6"/>
  <c r="AB77" i="6"/>
  <c r="AC77" i="6"/>
  <c r="AD77" i="6"/>
  <c r="AJ77" i="6"/>
  <c r="D78" i="6"/>
  <c r="L78" i="6"/>
  <c r="M78" i="6"/>
  <c r="N78" i="6"/>
  <c r="P78" i="6"/>
  <c r="R78" i="6"/>
  <c r="T78" i="6"/>
  <c r="U78" i="6"/>
  <c r="V78" i="6"/>
  <c r="X78" i="6"/>
  <c r="Y78" i="6"/>
  <c r="Z78" i="6"/>
  <c r="AB78" i="6"/>
  <c r="AC78" i="6"/>
  <c r="AD78" i="6"/>
  <c r="AJ78" i="6"/>
  <c r="D79" i="6"/>
  <c r="L79" i="6"/>
  <c r="M79" i="6"/>
  <c r="N79" i="6"/>
  <c r="P79" i="6"/>
  <c r="R79" i="6"/>
  <c r="T79" i="6"/>
  <c r="V79" i="6"/>
  <c r="X79" i="6"/>
  <c r="Z79" i="6"/>
  <c r="AB79" i="6"/>
  <c r="AC79" i="6"/>
  <c r="AD79" i="6"/>
  <c r="AJ79" i="6"/>
  <c r="N80" i="6"/>
  <c r="D81" i="6"/>
  <c r="L81" i="6"/>
  <c r="M81" i="6"/>
  <c r="N81" i="6"/>
  <c r="P81" i="6"/>
  <c r="Q81" i="6"/>
  <c r="R81" i="6"/>
  <c r="T81" i="6"/>
  <c r="U81" i="6"/>
  <c r="V81" i="6"/>
  <c r="X81" i="6"/>
  <c r="Y81" i="6"/>
  <c r="Z81" i="6"/>
  <c r="AB81" i="6"/>
  <c r="AC81" i="6"/>
  <c r="AD81" i="6"/>
  <c r="D82" i="6"/>
  <c r="L82" i="6"/>
  <c r="M82" i="6"/>
  <c r="N82" i="6"/>
  <c r="P82" i="6"/>
  <c r="Q82" i="6"/>
  <c r="R82" i="6"/>
  <c r="T82" i="6"/>
  <c r="U82" i="6"/>
  <c r="V82" i="6"/>
  <c r="X82" i="6"/>
  <c r="Y82" i="6"/>
  <c r="Z82" i="6"/>
  <c r="AB82" i="6"/>
  <c r="AC82" i="6"/>
  <c r="AD82" i="6"/>
  <c r="AJ82" i="6"/>
  <c r="D83" i="6"/>
  <c r="L83" i="6"/>
  <c r="M83" i="6"/>
  <c r="N83" i="6"/>
  <c r="P83" i="6"/>
  <c r="Q83" i="6"/>
  <c r="R83" i="6"/>
  <c r="T83" i="6"/>
  <c r="U83" i="6"/>
  <c r="V83" i="6"/>
  <c r="X83" i="6"/>
  <c r="Y83" i="6"/>
  <c r="Z83" i="6"/>
  <c r="AB83" i="6"/>
  <c r="AC83" i="6"/>
  <c r="AD83" i="6"/>
  <c r="AJ83" i="6"/>
  <c r="D84" i="6"/>
  <c r="L84" i="6"/>
  <c r="M84" i="6"/>
  <c r="N84" i="6"/>
  <c r="P84" i="6"/>
  <c r="Q84" i="6"/>
  <c r="R84" i="6"/>
  <c r="T84" i="6"/>
  <c r="U84" i="6"/>
  <c r="V84" i="6"/>
  <c r="X84" i="6"/>
  <c r="Y84" i="6"/>
  <c r="Z84" i="6"/>
  <c r="AB84" i="6"/>
  <c r="AC84" i="6"/>
  <c r="AD84" i="6"/>
  <c r="AJ84" i="6"/>
  <c r="D85" i="6"/>
  <c r="L85" i="6"/>
  <c r="M85" i="6"/>
  <c r="N85" i="6"/>
  <c r="P85" i="6"/>
  <c r="Q85" i="6"/>
  <c r="R85" i="6"/>
  <c r="T85" i="6"/>
  <c r="U85" i="6"/>
  <c r="V85" i="6"/>
  <c r="X85" i="6"/>
  <c r="Y85" i="6"/>
  <c r="Z85" i="6"/>
  <c r="AB85" i="6"/>
  <c r="AC85" i="6"/>
  <c r="AD85" i="6"/>
  <c r="AJ85" i="6"/>
  <c r="D86" i="6"/>
  <c r="L86" i="6"/>
  <c r="M86" i="6"/>
  <c r="N86" i="6"/>
  <c r="P86" i="6"/>
  <c r="Q86" i="6"/>
  <c r="R86" i="6"/>
  <c r="T86" i="6"/>
  <c r="U86" i="6"/>
  <c r="V86" i="6"/>
  <c r="X86" i="6"/>
  <c r="Y86" i="6"/>
  <c r="Z86" i="6"/>
  <c r="AB86" i="6"/>
  <c r="AC86" i="6"/>
  <c r="AD86" i="6"/>
  <c r="AJ86" i="6"/>
  <c r="D87" i="6"/>
  <c r="L87" i="6"/>
  <c r="M87" i="6"/>
  <c r="N87" i="6"/>
  <c r="P87" i="6"/>
  <c r="Q87" i="6"/>
  <c r="R87" i="6"/>
  <c r="T87" i="6"/>
  <c r="U87" i="6"/>
  <c r="V87" i="6"/>
  <c r="X87" i="6"/>
  <c r="Y87" i="6"/>
  <c r="Z87" i="6"/>
  <c r="AB87" i="6"/>
  <c r="AC87" i="6"/>
  <c r="AD87" i="6"/>
  <c r="AJ87" i="6"/>
  <c r="D88" i="6"/>
  <c r="L88" i="6"/>
  <c r="M88" i="6"/>
  <c r="N88" i="6"/>
  <c r="P88" i="6"/>
  <c r="Q88" i="6"/>
  <c r="R88" i="6"/>
  <c r="T88" i="6"/>
  <c r="U88" i="6"/>
  <c r="V88" i="6"/>
  <c r="X88" i="6"/>
  <c r="Y88" i="6"/>
  <c r="Z88" i="6"/>
  <c r="AB88" i="6"/>
  <c r="AC88" i="6"/>
  <c r="AD88" i="6"/>
  <c r="AJ88" i="6"/>
  <c r="L91" i="6"/>
  <c r="M91" i="6"/>
  <c r="P91" i="6"/>
  <c r="Q91" i="6"/>
  <c r="R91" i="6"/>
  <c r="T91" i="6"/>
  <c r="U91" i="6"/>
  <c r="V91" i="6"/>
  <c r="X91" i="6"/>
  <c r="Y91" i="6"/>
  <c r="Z91" i="6"/>
  <c r="AB91" i="6"/>
  <c r="AC91" i="6"/>
  <c r="AD91" i="6"/>
  <c r="L93" i="6"/>
  <c r="M93" i="6"/>
  <c r="P93" i="6"/>
  <c r="Q93" i="6"/>
  <c r="R93" i="6"/>
  <c r="T93" i="6"/>
  <c r="U93" i="6"/>
  <c r="V93" i="6"/>
  <c r="X93" i="6"/>
  <c r="Y93" i="6"/>
  <c r="Z93" i="6"/>
  <c r="AB93" i="6"/>
  <c r="AC93" i="6"/>
  <c r="AD93" i="6"/>
  <c r="L94" i="6"/>
  <c r="M94" i="6"/>
  <c r="P94" i="6"/>
  <c r="Q94" i="6"/>
  <c r="R94" i="6"/>
  <c r="T94" i="6"/>
  <c r="U94" i="6"/>
  <c r="V94" i="6"/>
  <c r="X94" i="6"/>
  <c r="Y94" i="6"/>
  <c r="Z94" i="6"/>
  <c r="AB94" i="6"/>
  <c r="AC94" i="6"/>
  <c r="AD94" i="6"/>
  <c r="L95" i="6"/>
  <c r="M95" i="6"/>
  <c r="P95" i="6"/>
  <c r="Q95" i="6"/>
  <c r="R95" i="6"/>
  <c r="T95" i="6"/>
  <c r="U95" i="6"/>
  <c r="V95" i="6"/>
  <c r="X95" i="6"/>
  <c r="Y95" i="6"/>
  <c r="Z95" i="6"/>
  <c r="AB95" i="6"/>
  <c r="AC95" i="6"/>
  <c r="AD95" i="6"/>
  <c r="L96" i="6"/>
  <c r="M96" i="6"/>
  <c r="P96" i="6"/>
  <c r="Q96" i="6"/>
  <c r="R96" i="6"/>
  <c r="T96" i="6"/>
  <c r="U96" i="6"/>
  <c r="V96" i="6"/>
  <c r="X96" i="6"/>
  <c r="Y96" i="6"/>
  <c r="Z96" i="6"/>
  <c r="AB96" i="6"/>
  <c r="AC96" i="6"/>
  <c r="AD96" i="6"/>
  <c r="L97" i="6"/>
  <c r="M97" i="6"/>
  <c r="P97" i="6"/>
  <c r="Q97" i="6"/>
  <c r="R97" i="6"/>
  <c r="T97" i="6"/>
  <c r="U97" i="6"/>
  <c r="V97" i="6"/>
  <c r="X97" i="6"/>
  <c r="Y97" i="6"/>
  <c r="Z97" i="6"/>
  <c r="AB97" i="6"/>
  <c r="AC97" i="6"/>
  <c r="AD97" i="6"/>
  <c r="L98" i="6"/>
  <c r="M98" i="6"/>
  <c r="P98" i="6"/>
  <c r="Q98" i="6"/>
  <c r="R98" i="6"/>
  <c r="T98" i="6"/>
  <c r="U98" i="6"/>
  <c r="V98" i="6"/>
  <c r="X98" i="6"/>
  <c r="Y98" i="6"/>
  <c r="Z98" i="6"/>
  <c r="AB98" i="6"/>
  <c r="AC98" i="6"/>
  <c r="AD98" i="6"/>
  <c r="L99" i="6"/>
  <c r="M99" i="6"/>
  <c r="P99" i="6"/>
  <c r="Q99" i="6"/>
  <c r="R99" i="6"/>
  <c r="T99" i="6"/>
  <c r="U99" i="6"/>
  <c r="V99" i="6"/>
  <c r="X99" i="6"/>
  <c r="Y99" i="6"/>
  <c r="Z99" i="6"/>
  <c r="AB99" i="6"/>
  <c r="AC99" i="6"/>
  <c r="AD99" i="6"/>
  <c r="L100" i="6"/>
  <c r="M100" i="6"/>
  <c r="P100" i="6"/>
  <c r="Q100" i="6"/>
  <c r="R100" i="6"/>
  <c r="T100" i="6"/>
  <c r="U100" i="6"/>
  <c r="V100" i="6"/>
  <c r="X100" i="6"/>
  <c r="Y100" i="6"/>
  <c r="Z100" i="6"/>
  <c r="AB100" i="6"/>
  <c r="AC100" i="6"/>
  <c r="AD100" i="6"/>
  <c r="L101" i="6"/>
  <c r="M101" i="6"/>
  <c r="P101" i="6"/>
  <c r="Q101" i="6"/>
  <c r="R101" i="6"/>
  <c r="T101" i="6"/>
  <c r="U101" i="6"/>
  <c r="V101" i="6"/>
  <c r="X101" i="6"/>
  <c r="Y101" i="6"/>
  <c r="Z101" i="6"/>
  <c r="AB101" i="6"/>
  <c r="AC101" i="6"/>
  <c r="AD101" i="6"/>
  <c r="L102" i="6"/>
  <c r="M102" i="6"/>
  <c r="P102" i="6"/>
  <c r="Q102" i="6"/>
  <c r="R102" i="6"/>
  <c r="T102" i="6"/>
  <c r="U102" i="6"/>
  <c r="V102" i="6"/>
  <c r="X102" i="6"/>
  <c r="Y102" i="6"/>
  <c r="Z102" i="6"/>
  <c r="AB102" i="6"/>
  <c r="AC102" i="6"/>
  <c r="AD102" i="6"/>
  <c r="L103" i="6"/>
  <c r="M103" i="6"/>
  <c r="P103" i="6"/>
  <c r="Q103" i="6"/>
  <c r="R103" i="6"/>
  <c r="T103" i="6"/>
  <c r="U103" i="6"/>
  <c r="V103" i="6"/>
  <c r="X103" i="6"/>
  <c r="Y103" i="6"/>
  <c r="Z103" i="6"/>
  <c r="AB103" i="6"/>
  <c r="AC103" i="6"/>
  <c r="AD103" i="6"/>
  <c r="U104" i="6"/>
  <c r="Y104" i="6"/>
  <c r="U105" i="6"/>
  <c r="Y105" i="6"/>
  <c r="L106" i="6"/>
  <c r="M106" i="6"/>
  <c r="P106" i="6"/>
  <c r="Q106" i="6"/>
  <c r="R106" i="6"/>
  <c r="T106" i="6"/>
  <c r="U106" i="6"/>
  <c r="V106" i="6"/>
  <c r="X106" i="6"/>
  <c r="Y106" i="6"/>
  <c r="Z106" i="6"/>
  <c r="AB106" i="6"/>
  <c r="AC106" i="6"/>
  <c r="AD106" i="6"/>
  <c r="L107" i="6"/>
  <c r="M107" i="6"/>
  <c r="P107" i="6"/>
  <c r="Q107" i="6"/>
  <c r="R107" i="6"/>
  <c r="T107" i="6"/>
  <c r="U107" i="6"/>
  <c r="V107" i="6"/>
  <c r="X107" i="6"/>
  <c r="Y107" i="6"/>
  <c r="Z107" i="6"/>
  <c r="AB107" i="6"/>
  <c r="AC107" i="6"/>
  <c r="AD107" i="6"/>
  <c r="L108" i="6"/>
  <c r="M108" i="6"/>
  <c r="P108" i="6"/>
  <c r="Q108" i="6"/>
  <c r="R108" i="6"/>
  <c r="T108" i="6"/>
  <c r="U108" i="6"/>
  <c r="V108" i="6"/>
  <c r="X108" i="6"/>
  <c r="Y108" i="6"/>
  <c r="Z108" i="6"/>
  <c r="AB108" i="6"/>
  <c r="AC108" i="6"/>
  <c r="AD108" i="6"/>
  <c r="R109" i="6"/>
  <c r="T109" i="6"/>
  <c r="U109" i="6"/>
  <c r="V109" i="6"/>
  <c r="X109" i="6"/>
  <c r="Y109" i="6"/>
  <c r="Z109" i="6"/>
  <c r="AB109" i="6"/>
  <c r="AC109" i="6"/>
  <c r="AD109" i="6"/>
  <c r="L110" i="6"/>
  <c r="M110" i="6"/>
  <c r="P110" i="6"/>
  <c r="Q110" i="6"/>
  <c r="R110" i="6"/>
  <c r="T110" i="6"/>
  <c r="U110" i="6"/>
  <c r="V110" i="6"/>
  <c r="X110" i="6"/>
  <c r="Y110" i="6"/>
  <c r="Z110" i="6"/>
  <c r="AB110" i="6"/>
  <c r="AC110" i="6"/>
  <c r="AD110" i="6"/>
  <c r="L111" i="6"/>
  <c r="M111" i="6"/>
  <c r="P111" i="6"/>
  <c r="Q111" i="6"/>
  <c r="R111" i="6"/>
  <c r="T111" i="6"/>
  <c r="U111" i="6"/>
  <c r="V111" i="6"/>
  <c r="X111" i="6"/>
  <c r="Y111" i="6"/>
  <c r="Z111" i="6"/>
  <c r="AB111" i="6"/>
  <c r="AC111" i="6"/>
  <c r="AD111" i="6"/>
  <c r="L112" i="6"/>
  <c r="M112" i="6"/>
  <c r="P112" i="6"/>
  <c r="Q112" i="6"/>
  <c r="R112" i="6"/>
  <c r="T112" i="6"/>
  <c r="U112" i="6"/>
  <c r="V112" i="6"/>
  <c r="X112" i="6"/>
  <c r="Y112" i="6"/>
  <c r="Z112" i="6"/>
  <c r="AB112" i="6"/>
  <c r="AC112" i="6"/>
  <c r="AD112" i="6"/>
  <c r="L113" i="6"/>
  <c r="P113" i="6"/>
  <c r="Q113" i="6"/>
  <c r="R113" i="6"/>
  <c r="T113" i="6"/>
  <c r="U113" i="6"/>
  <c r="V113" i="6"/>
  <c r="X113" i="6"/>
  <c r="Y113" i="6"/>
  <c r="Z113" i="6"/>
  <c r="AB113" i="6"/>
  <c r="AC113" i="6"/>
  <c r="AD113" i="6"/>
  <c r="L114" i="6"/>
  <c r="P114" i="6"/>
  <c r="Q114" i="6"/>
  <c r="R114" i="6"/>
  <c r="T114" i="6"/>
  <c r="U114" i="6"/>
  <c r="V114" i="6"/>
  <c r="X114" i="6"/>
  <c r="Y114" i="6"/>
  <c r="Z114" i="6"/>
  <c r="AB114" i="6"/>
  <c r="AC114" i="6"/>
  <c r="AD114" i="6"/>
  <c r="P117" i="6"/>
  <c r="Q117" i="6"/>
  <c r="R117" i="6"/>
  <c r="T117" i="6"/>
  <c r="U117" i="6"/>
  <c r="V117" i="6"/>
  <c r="X117" i="6"/>
  <c r="Y117" i="6"/>
  <c r="Z117" i="6"/>
  <c r="AB117" i="6"/>
  <c r="AC117" i="6"/>
  <c r="AD117" i="6"/>
  <c r="L118" i="6"/>
  <c r="P118" i="6"/>
  <c r="Q118" i="6"/>
  <c r="R118" i="6"/>
  <c r="T118" i="6"/>
  <c r="U118" i="6"/>
  <c r="V118" i="6"/>
  <c r="X118" i="6"/>
  <c r="Y118" i="6"/>
  <c r="Z118" i="6"/>
  <c r="AB118" i="6"/>
  <c r="AC118" i="6"/>
  <c r="AD118" i="6"/>
  <c r="L119" i="6"/>
  <c r="P119" i="6"/>
  <c r="Q119" i="6"/>
  <c r="R119" i="6"/>
  <c r="T119" i="6"/>
  <c r="U119" i="6"/>
  <c r="V119" i="6"/>
  <c r="X119" i="6"/>
  <c r="Y119" i="6"/>
  <c r="Z119" i="6"/>
  <c r="AB119" i="6"/>
  <c r="AC119" i="6"/>
  <c r="AD119" i="6"/>
  <c r="L120" i="6"/>
  <c r="P120" i="6"/>
  <c r="Q120" i="6"/>
  <c r="R120" i="6"/>
  <c r="T120" i="6"/>
  <c r="U120" i="6"/>
  <c r="V120" i="6"/>
  <c r="X120" i="6"/>
  <c r="Y120" i="6"/>
  <c r="Z120" i="6"/>
  <c r="AB120" i="6"/>
  <c r="AC120" i="6"/>
  <c r="AD120" i="6"/>
  <c r="L121" i="6"/>
  <c r="P121" i="6"/>
  <c r="Q121" i="6"/>
  <c r="R121" i="6"/>
  <c r="T121" i="6"/>
  <c r="U121" i="6"/>
  <c r="V121" i="6"/>
  <c r="X121" i="6"/>
  <c r="Y121" i="6"/>
  <c r="Z121" i="6"/>
  <c r="AB121" i="6"/>
  <c r="AC121" i="6"/>
  <c r="AD121" i="6"/>
  <c r="L123" i="6"/>
  <c r="P123" i="6"/>
  <c r="Q123" i="6"/>
  <c r="R123" i="6"/>
  <c r="T123" i="6"/>
  <c r="U123" i="6"/>
  <c r="V123" i="6"/>
  <c r="X123" i="6"/>
  <c r="Y123" i="6"/>
  <c r="Z123" i="6"/>
  <c r="AB123" i="6"/>
  <c r="AC123" i="6"/>
  <c r="AD123" i="6"/>
  <c r="T125" i="6"/>
  <c r="U125" i="6"/>
  <c r="V125" i="6"/>
  <c r="X125" i="6"/>
  <c r="Y125" i="6"/>
  <c r="Z125" i="6"/>
  <c r="AB125" i="6"/>
  <c r="AC125" i="6"/>
  <c r="AD125" i="6"/>
  <c r="T127" i="6"/>
  <c r="X127" i="6"/>
  <c r="AB127" i="6"/>
  <c r="T128" i="6"/>
  <c r="X128" i="6"/>
  <c r="AB128" i="6"/>
  <c r="T129" i="6"/>
  <c r="X129" i="6"/>
  <c r="AB129" i="6"/>
  <c r="L135" i="6"/>
  <c r="P135" i="6"/>
  <c r="T135" i="6"/>
  <c r="X135" i="6"/>
  <c r="L136" i="6"/>
  <c r="M136" i="6"/>
  <c r="N136" i="6"/>
  <c r="P136" i="6"/>
  <c r="T136" i="6"/>
  <c r="X136" i="6"/>
  <c r="L137" i="6"/>
  <c r="N137" i="6"/>
  <c r="P137" i="6"/>
  <c r="T137" i="6"/>
  <c r="X137" i="6"/>
  <c r="L138" i="6"/>
  <c r="N138" i="6"/>
  <c r="N139" i="6"/>
  <c r="N140" i="6"/>
  <c r="N141" i="6"/>
  <c r="N142" i="6"/>
  <c r="N143" i="6"/>
  <c r="L144" i="6"/>
  <c r="L147" i="6"/>
  <c r="L148" i="6"/>
  <c r="L149" i="6"/>
  <c r="L150" i="6"/>
  <c r="L151" i="6"/>
  <c r="M151" i="6"/>
  <c r="N151" i="6"/>
  <c r="L152" i="6"/>
  <c r="L153" i="6"/>
  <c r="L158" i="6"/>
  <c r="L161" i="6"/>
  <c r="M161" i="6"/>
  <c r="N161" i="6"/>
  <c r="M164" i="6"/>
  <c r="N164" i="6"/>
  <c r="C3" i="7"/>
  <c r="G9" i="7"/>
  <c r="H9" i="7"/>
  <c r="L9" i="7"/>
  <c r="M9" i="7"/>
  <c r="Q9" i="7"/>
  <c r="U9" i="7"/>
  <c r="V9" i="7"/>
  <c r="H12" i="7"/>
  <c r="M12" i="7"/>
  <c r="Q12" i="7"/>
  <c r="U12" i="7"/>
  <c r="V12" i="7"/>
  <c r="H13" i="7"/>
  <c r="M13" i="7"/>
  <c r="Q13" i="7"/>
  <c r="F16" i="7"/>
  <c r="G16" i="7"/>
  <c r="H16" i="7"/>
  <c r="I16" i="7"/>
  <c r="K16" i="7"/>
  <c r="L16" i="7"/>
  <c r="M16" i="7"/>
  <c r="N16" i="7"/>
  <c r="P16" i="7"/>
  <c r="Q16" i="7"/>
  <c r="R16" i="7"/>
  <c r="S16" i="7"/>
  <c r="T16" i="7"/>
  <c r="V16" i="7"/>
  <c r="W16" i="7"/>
  <c r="X16" i="7"/>
  <c r="F17" i="7"/>
  <c r="G17" i="7"/>
  <c r="H17" i="7"/>
  <c r="I17" i="7"/>
  <c r="K17" i="7"/>
  <c r="L17" i="7"/>
  <c r="M17" i="7"/>
  <c r="N17" i="7"/>
  <c r="P17" i="7"/>
  <c r="Q17" i="7"/>
  <c r="R17" i="7"/>
  <c r="S17" i="7"/>
  <c r="T17" i="7"/>
  <c r="V17" i="7"/>
  <c r="W17" i="7"/>
  <c r="X17" i="7"/>
  <c r="C18" i="7"/>
  <c r="F18" i="7"/>
  <c r="G18" i="7"/>
  <c r="H18" i="7"/>
  <c r="I18" i="7"/>
  <c r="K18" i="7"/>
  <c r="L18" i="7"/>
  <c r="M18" i="7"/>
  <c r="N18" i="7"/>
  <c r="P18" i="7"/>
  <c r="Q18" i="7"/>
  <c r="R18" i="7"/>
  <c r="S18" i="7"/>
  <c r="T18" i="7"/>
  <c r="V18" i="7"/>
  <c r="W18" i="7"/>
  <c r="X18" i="7"/>
  <c r="F19" i="7"/>
  <c r="G19" i="7"/>
  <c r="H19" i="7"/>
  <c r="I19" i="7"/>
  <c r="K19" i="7"/>
  <c r="L19" i="7"/>
  <c r="M19" i="7"/>
  <c r="N19" i="7"/>
  <c r="P19" i="7"/>
  <c r="Q19" i="7"/>
  <c r="R19" i="7"/>
  <c r="S19" i="7"/>
  <c r="T19" i="7"/>
  <c r="V19" i="7"/>
  <c r="W19" i="7"/>
  <c r="X19" i="7"/>
  <c r="F20" i="7"/>
  <c r="G20" i="7"/>
  <c r="H20" i="7"/>
  <c r="I20" i="7"/>
  <c r="K20" i="7"/>
  <c r="L20" i="7"/>
  <c r="M20" i="7"/>
  <c r="N20" i="7"/>
  <c r="P20" i="7"/>
  <c r="Q20" i="7"/>
  <c r="R20" i="7"/>
  <c r="S20" i="7"/>
  <c r="T20" i="7"/>
  <c r="V20" i="7"/>
  <c r="W20" i="7"/>
  <c r="X20" i="7"/>
  <c r="W21" i="7"/>
  <c r="W22" i="7"/>
  <c r="F23" i="7"/>
  <c r="G23" i="7"/>
  <c r="H23" i="7"/>
  <c r="I23" i="7"/>
  <c r="K23" i="7"/>
  <c r="L23" i="7"/>
  <c r="M23" i="7"/>
  <c r="N23" i="7"/>
  <c r="P23" i="7"/>
  <c r="Q23" i="7"/>
  <c r="R23" i="7"/>
  <c r="S23" i="7"/>
  <c r="T23" i="7"/>
  <c r="V23" i="7"/>
  <c r="W23" i="7"/>
  <c r="X23" i="7"/>
  <c r="F24" i="7"/>
  <c r="G24" i="7"/>
  <c r="H24" i="7"/>
  <c r="I24" i="7"/>
  <c r="K24" i="7"/>
  <c r="L24" i="7"/>
  <c r="M24" i="7"/>
  <c r="N24" i="7"/>
  <c r="P24" i="7"/>
  <c r="Q24" i="7"/>
  <c r="R24" i="7"/>
  <c r="S24" i="7"/>
  <c r="T24" i="7"/>
  <c r="V24" i="7"/>
  <c r="W24" i="7"/>
  <c r="X24" i="7"/>
  <c r="C25" i="7"/>
  <c r="F25" i="7"/>
  <c r="G25" i="7"/>
  <c r="H25" i="7"/>
  <c r="I25" i="7"/>
  <c r="K25" i="7"/>
  <c r="L25" i="7"/>
  <c r="M25" i="7"/>
  <c r="N25" i="7"/>
  <c r="P25" i="7"/>
  <c r="Q25" i="7"/>
  <c r="R25" i="7"/>
  <c r="S25" i="7"/>
  <c r="T25" i="7"/>
  <c r="V25" i="7"/>
  <c r="W25" i="7"/>
  <c r="X25" i="7"/>
  <c r="F26" i="7"/>
  <c r="G26" i="7"/>
  <c r="H26" i="7"/>
  <c r="I26" i="7"/>
  <c r="K26" i="7"/>
  <c r="L26" i="7"/>
  <c r="M26" i="7"/>
  <c r="N26" i="7"/>
  <c r="P26" i="7"/>
  <c r="Q26" i="7"/>
  <c r="R26" i="7"/>
  <c r="S26" i="7"/>
  <c r="T26" i="7"/>
  <c r="V26" i="7"/>
  <c r="W26" i="7"/>
  <c r="X26" i="7"/>
  <c r="C27" i="7"/>
  <c r="F27" i="7"/>
  <c r="G27" i="7"/>
  <c r="H27" i="7"/>
  <c r="I27" i="7"/>
  <c r="K27" i="7"/>
  <c r="L27" i="7"/>
  <c r="M27" i="7"/>
  <c r="N27" i="7"/>
  <c r="P27" i="7"/>
  <c r="Q27" i="7"/>
  <c r="R27" i="7"/>
  <c r="S27" i="7"/>
  <c r="T27" i="7"/>
  <c r="V27" i="7"/>
  <c r="W27" i="7"/>
  <c r="X27" i="7"/>
  <c r="F28" i="7"/>
  <c r="G28" i="7"/>
  <c r="H28" i="7"/>
  <c r="I28" i="7"/>
  <c r="K28" i="7"/>
  <c r="L28" i="7"/>
  <c r="M28" i="7"/>
  <c r="N28" i="7"/>
  <c r="P28" i="7"/>
  <c r="Q28" i="7"/>
  <c r="R28" i="7"/>
  <c r="S28" i="7"/>
  <c r="T28" i="7"/>
  <c r="V28" i="7"/>
  <c r="W28" i="7"/>
  <c r="X28" i="7"/>
  <c r="F29" i="7"/>
  <c r="G29" i="7"/>
  <c r="H29" i="7"/>
  <c r="I29" i="7"/>
  <c r="K29" i="7"/>
  <c r="L29" i="7"/>
  <c r="M29" i="7"/>
  <c r="N29" i="7"/>
  <c r="P29" i="7"/>
  <c r="Q29" i="7"/>
  <c r="R29" i="7"/>
  <c r="S29" i="7"/>
  <c r="T29" i="7"/>
  <c r="V29" i="7"/>
  <c r="W29" i="7"/>
  <c r="X29" i="7"/>
  <c r="F30" i="7"/>
  <c r="G30" i="7"/>
  <c r="H30" i="7"/>
  <c r="I30" i="7"/>
  <c r="K30" i="7"/>
  <c r="L30" i="7"/>
  <c r="M30" i="7"/>
  <c r="N30" i="7"/>
  <c r="P30" i="7"/>
  <c r="Q30" i="7"/>
  <c r="R30" i="7"/>
  <c r="S30" i="7"/>
  <c r="T30" i="7"/>
  <c r="V30" i="7"/>
  <c r="W30" i="7"/>
  <c r="X30" i="7"/>
  <c r="F31" i="7"/>
  <c r="G31" i="7"/>
  <c r="H31" i="7"/>
  <c r="I31" i="7"/>
  <c r="K31" i="7"/>
  <c r="L31" i="7"/>
  <c r="M31" i="7"/>
  <c r="N31" i="7"/>
  <c r="P31" i="7"/>
  <c r="Q31" i="7"/>
  <c r="R31" i="7"/>
  <c r="S31" i="7"/>
  <c r="T31" i="7"/>
  <c r="V31" i="7"/>
  <c r="W31" i="7"/>
  <c r="X31" i="7"/>
  <c r="F32" i="7"/>
  <c r="G32" i="7"/>
  <c r="H32" i="7"/>
  <c r="I32" i="7"/>
  <c r="K32" i="7"/>
  <c r="L32" i="7"/>
  <c r="M32" i="7"/>
  <c r="N32" i="7"/>
  <c r="P32" i="7"/>
  <c r="Q32" i="7"/>
  <c r="R32" i="7"/>
  <c r="S32" i="7"/>
  <c r="T32" i="7"/>
  <c r="V32" i="7"/>
  <c r="W32" i="7"/>
  <c r="X32" i="7"/>
  <c r="F33" i="7"/>
  <c r="G33" i="7"/>
  <c r="H33" i="7"/>
  <c r="I33" i="7"/>
  <c r="K33" i="7"/>
  <c r="L33" i="7"/>
  <c r="M33" i="7"/>
  <c r="N33" i="7"/>
  <c r="P33" i="7"/>
  <c r="Q33" i="7"/>
  <c r="R33" i="7"/>
  <c r="S33" i="7"/>
  <c r="T33" i="7"/>
  <c r="V33" i="7"/>
  <c r="W33" i="7"/>
  <c r="X33" i="7"/>
  <c r="F34" i="7"/>
  <c r="G34" i="7"/>
  <c r="H34" i="7"/>
  <c r="I34" i="7"/>
  <c r="K34" i="7"/>
  <c r="L34" i="7"/>
  <c r="M34" i="7"/>
  <c r="N34" i="7"/>
  <c r="P34" i="7"/>
  <c r="Q34" i="7"/>
  <c r="R34" i="7"/>
  <c r="S34" i="7"/>
  <c r="T34" i="7"/>
  <c r="V34" i="7"/>
  <c r="W34" i="7"/>
  <c r="X34" i="7"/>
  <c r="F36" i="7"/>
  <c r="G36" i="7"/>
  <c r="H36" i="7"/>
  <c r="I36" i="7"/>
  <c r="K36" i="7"/>
  <c r="L36" i="7"/>
  <c r="M36" i="7"/>
  <c r="N36" i="7"/>
  <c r="P36" i="7"/>
  <c r="Q36" i="7"/>
  <c r="R36" i="7"/>
  <c r="S36" i="7"/>
  <c r="T36" i="7"/>
  <c r="V36" i="7"/>
  <c r="W36" i="7"/>
  <c r="X36" i="7"/>
  <c r="F38" i="7"/>
  <c r="G38" i="7"/>
  <c r="H38" i="7"/>
  <c r="I38" i="7"/>
  <c r="K38" i="7"/>
  <c r="L38" i="7"/>
  <c r="M38" i="7"/>
  <c r="N38" i="7"/>
  <c r="P38" i="7"/>
  <c r="Q38" i="7"/>
  <c r="R38" i="7"/>
  <c r="S38" i="7"/>
  <c r="T38" i="7"/>
  <c r="V38" i="7"/>
  <c r="W38" i="7"/>
  <c r="X38" i="7"/>
  <c r="D39" i="7"/>
  <c r="F39" i="7"/>
  <c r="G39" i="7"/>
  <c r="H39" i="7"/>
  <c r="I39" i="7"/>
  <c r="K39" i="7"/>
  <c r="L39" i="7"/>
  <c r="M39" i="7"/>
  <c r="N39" i="7"/>
  <c r="P39" i="7"/>
  <c r="Q39" i="7"/>
  <c r="R39" i="7"/>
  <c r="S39" i="7"/>
  <c r="T39" i="7"/>
  <c r="V39" i="7"/>
  <c r="W39" i="7"/>
  <c r="X39" i="7"/>
  <c r="F40" i="7"/>
  <c r="G40" i="7"/>
  <c r="H40" i="7"/>
  <c r="I40" i="7"/>
  <c r="K40" i="7"/>
  <c r="L40" i="7"/>
  <c r="M40" i="7"/>
  <c r="N40" i="7"/>
  <c r="P40" i="7"/>
  <c r="Q40" i="7"/>
  <c r="R40" i="7"/>
  <c r="S40" i="7"/>
  <c r="T40" i="7"/>
  <c r="V40" i="7"/>
  <c r="W40" i="7"/>
  <c r="X40" i="7"/>
  <c r="G43" i="7"/>
  <c r="L43" i="7"/>
  <c r="Q43" i="7"/>
  <c r="V43" i="7"/>
  <c r="G45" i="7"/>
  <c r="H45" i="7"/>
  <c r="I45" i="7"/>
  <c r="L45" i="7"/>
  <c r="M45" i="7"/>
  <c r="N45" i="7"/>
  <c r="R45" i="7"/>
  <c r="S45" i="7"/>
  <c r="V45" i="7"/>
  <c r="W45" i="7"/>
  <c r="F48" i="7"/>
  <c r="H48" i="7"/>
  <c r="I48" i="7"/>
  <c r="K48" i="7"/>
  <c r="M48" i="7"/>
  <c r="N48" i="7"/>
  <c r="P48" i="7"/>
  <c r="Q48" i="7"/>
  <c r="R48" i="7"/>
  <c r="D50" i="7"/>
  <c r="F50" i="7"/>
  <c r="H50" i="7"/>
  <c r="I50" i="7"/>
  <c r="K50" i="7"/>
  <c r="M50" i="7"/>
  <c r="N50" i="7"/>
  <c r="P50" i="7"/>
  <c r="Q50" i="7"/>
  <c r="R50" i="7"/>
  <c r="D51" i="7"/>
  <c r="D52" i="7"/>
  <c r="F52" i="7"/>
  <c r="H52" i="7"/>
  <c r="I52" i="7"/>
  <c r="K52" i="7"/>
  <c r="M52" i="7"/>
  <c r="N52" i="7"/>
  <c r="P52" i="7"/>
  <c r="Q52" i="7"/>
  <c r="R52" i="7"/>
  <c r="F57" i="7"/>
  <c r="F58" i="7"/>
  <c r="F59" i="7"/>
  <c r="F61" i="7"/>
  <c r="F62" i="7"/>
  <c r="F63" i="7"/>
  <c r="F64" i="7"/>
  <c r="F65" i="7"/>
  <c r="F66" i="7"/>
  <c r="F67" i="7"/>
  <c r="F68" i="7"/>
  <c r="F71" i="7"/>
  <c r="F72" i="7"/>
  <c r="F73" i="7"/>
  <c r="F74" i="7"/>
  <c r="F75" i="7"/>
  <c r="F77" i="7"/>
  <c r="F78" i="7"/>
  <c r="F79" i="7"/>
  <c r="G79" i="7"/>
  <c r="F80" i="7"/>
  <c r="G80" i="7"/>
  <c r="F81" i="7"/>
  <c r="G81" i="7"/>
  <c r="F82" i="7"/>
  <c r="G82" i="7"/>
  <c r="F83" i="7"/>
  <c r="F85" i="7"/>
  <c r="F88" i="7"/>
  <c r="C1" i="10"/>
  <c r="D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C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B54" i="10"/>
  <c r="B55" i="10"/>
  <c r="B56" i="10"/>
  <c r="B57" i="10"/>
  <c r="B58" i="10"/>
  <c r="B59" i="10"/>
  <c r="B60" i="10"/>
  <c r="B61" i="10"/>
  <c r="W63" i="10"/>
  <c r="B64" i="10"/>
  <c r="B65" i="10"/>
  <c r="B85" i="10"/>
  <c r="D3" i="11"/>
  <c r="E3" i="11"/>
  <c r="F3" i="11"/>
  <c r="G3" i="11"/>
  <c r="H3" i="11"/>
  <c r="D5" i="11"/>
  <c r="E5" i="11"/>
  <c r="F5" i="11"/>
  <c r="G5" i="11"/>
  <c r="H5" i="11"/>
  <c r="D6" i="11"/>
  <c r="E6" i="11"/>
  <c r="F6" i="11"/>
  <c r="G6" i="11"/>
  <c r="H6" i="11"/>
  <c r="D7" i="11"/>
  <c r="E7" i="11"/>
  <c r="F7" i="11"/>
  <c r="G7" i="11"/>
  <c r="H7" i="11"/>
  <c r="D9" i="11"/>
  <c r="D11" i="11"/>
  <c r="D13" i="11"/>
  <c r="D14" i="11"/>
  <c r="D15" i="11"/>
  <c r="D17" i="11"/>
  <c r="D19" i="11"/>
  <c r="E24" i="11"/>
  <c r="F24" i="11"/>
  <c r="G24" i="11"/>
  <c r="H24" i="11"/>
  <c r="C25" i="11"/>
  <c r="D25" i="11"/>
  <c r="E25" i="11"/>
  <c r="F25" i="11"/>
  <c r="G25" i="11"/>
  <c r="H25" i="11"/>
  <c r="D26" i="11"/>
  <c r="E26" i="11"/>
  <c r="F26" i="11"/>
  <c r="G26" i="11"/>
  <c r="H26" i="11"/>
  <c r="C27" i="11"/>
  <c r="D27" i="11"/>
  <c r="E27" i="11"/>
  <c r="F27" i="11"/>
  <c r="G27" i="11"/>
  <c r="H27" i="11"/>
  <c r="D28" i="11"/>
  <c r="E28" i="11"/>
  <c r="F28" i="11"/>
  <c r="G28" i="11"/>
  <c r="H28" i="11"/>
  <c r="D29" i="11"/>
  <c r="E29" i="11"/>
  <c r="F29" i="11"/>
  <c r="G29" i="11"/>
  <c r="H29" i="11"/>
  <c r="D32" i="11"/>
  <c r="E32" i="11"/>
  <c r="F32" i="11"/>
  <c r="G32" i="11"/>
  <c r="H32" i="11"/>
  <c r="C33" i="11"/>
  <c r="D33" i="11"/>
  <c r="E33" i="11"/>
  <c r="F33" i="11"/>
  <c r="G33" i="11"/>
  <c r="H33" i="11"/>
  <c r="D34" i="11"/>
  <c r="E34" i="11"/>
  <c r="F34" i="11"/>
  <c r="G34" i="11"/>
  <c r="H34" i="11"/>
  <c r="C35" i="11"/>
  <c r="D35" i="11"/>
  <c r="E35" i="11"/>
  <c r="F35" i="11"/>
  <c r="G35" i="11"/>
  <c r="H35" i="11"/>
  <c r="D36" i="11"/>
  <c r="E36" i="11"/>
  <c r="F36" i="11"/>
  <c r="G36" i="11"/>
  <c r="H36" i="11"/>
  <c r="N1" i="9"/>
  <c r="Q1" i="9"/>
  <c r="T1" i="9"/>
  <c r="W1" i="9"/>
  <c r="N2" i="9"/>
  <c r="O2" i="9"/>
  <c r="Q2" i="9"/>
  <c r="T2" i="9"/>
  <c r="N3" i="9"/>
  <c r="Q3" i="9"/>
  <c r="T3" i="9"/>
  <c r="N4" i="9"/>
  <c r="BP6" i="9"/>
  <c r="BQ6" i="9"/>
  <c r="BR6" i="9"/>
  <c r="BS6" i="9"/>
  <c r="BU6" i="9"/>
  <c r="BV6" i="9"/>
  <c r="BW6" i="9"/>
  <c r="BX6" i="9"/>
  <c r="BZ6" i="9"/>
  <c r="CA6" i="9"/>
  <c r="CB6" i="9"/>
  <c r="CC6" i="9"/>
  <c r="CE6" i="9"/>
  <c r="CF6" i="9"/>
  <c r="CG6" i="9"/>
  <c r="CH6" i="9"/>
  <c r="CJ6" i="9"/>
  <c r="CK6" i="9"/>
  <c r="CL6" i="9"/>
  <c r="CM6" i="9"/>
  <c r="AH7" i="9"/>
  <c r="AI7" i="9"/>
  <c r="AJ7" i="9"/>
  <c r="AL7" i="9"/>
  <c r="AM7" i="9"/>
  <c r="AN7" i="9"/>
  <c r="AO7" i="9"/>
  <c r="AQ7" i="9"/>
  <c r="AR7" i="9"/>
  <c r="AS7" i="9"/>
  <c r="AT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S8" i="9"/>
  <c r="U8" i="9"/>
  <c r="S9" i="9"/>
  <c r="U9" i="9"/>
  <c r="J10" i="9"/>
  <c r="N10" i="9"/>
  <c r="Q10" i="9"/>
  <c r="S10" i="9"/>
  <c r="K11" i="9"/>
  <c r="L11" i="9"/>
  <c r="N11" i="9"/>
  <c r="O11" i="9"/>
  <c r="Q11" i="9"/>
  <c r="R11" i="9"/>
  <c r="D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AG14" i="9"/>
  <c r="AK14" i="9"/>
  <c r="AP14" i="9"/>
  <c r="AU14" i="9"/>
  <c r="AZ14" i="9"/>
  <c r="BE14" i="9"/>
  <c r="BJ14" i="9"/>
  <c r="BO14" i="9"/>
  <c r="BT14" i="9"/>
  <c r="BY14" i="9"/>
  <c r="CD14" i="9"/>
  <c r="CI14" i="9"/>
  <c r="CN14" i="9"/>
  <c r="CO14" i="9"/>
  <c r="CP14" i="9"/>
  <c r="CQ14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AG15" i="9"/>
  <c r="AK15" i="9"/>
  <c r="AP15" i="9"/>
  <c r="AU15" i="9"/>
  <c r="AZ15" i="9"/>
  <c r="BE15" i="9"/>
  <c r="BJ15" i="9"/>
  <c r="BO15" i="9"/>
  <c r="BT15" i="9"/>
  <c r="BY15" i="9"/>
  <c r="CD15" i="9"/>
  <c r="CI15" i="9"/>
  <c r="CN15" i="9"/>
  <c r="CO15" i="9"/>
  <c r="CP15" i="9"/>
  <c r="CQ15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AG16" i="9"/>
  <c r="AK16" i="9"/>
  <c r="AP16" i="9"/>
  <c r="AU16" i="9"/>
  <c r="AZ16" i="9"/>
  <c r="BE16" i="9"/>
  <c r="BJ16" i="9"/>
  <c r="BO16" i="9"/>
  <c r="BT16" i="9"/>
  <c r="BY16" i="9"/>
  <c r="CD16" i="9"/>
  <c r="CI16" i="9"/>
  <c r="CN16" i="9"/>
  <c r="CO16" i="9"/>
  <c r="CP16" i="9"/>
  <c r="CQ16" i="9"/>
  <c r="C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AG17" i="9"/>
  <c r="AK17" i="9"/>
  <c r="AP17" i="9"/>
  <c r="AU17" i="9"/>
  <c r="AZ17" i="9"/>
  <c r="BE17" i="9"/>
  <c r="BJ17" i="9"/>
  <c r="BO17" i="9"/>
  <c r="BT17" i="9"/>
  <c r="BY17" i="9"/>
  <c r="CD17" i="9"/>
  <c r="CI17" i="9"/>
  <c r="CN17" i="9"/>
  <c r="CO17" i="9"/>
  <c r="CP17" i="9"/>
  <c r="CQ17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AK18" i="9"/>
  <c r="AO18" i="9"/>
  <c r="AP18" i="9"/>
  <c r="AT18" i="9"/>
  <c r="AU18" i="9"/>
  <c r="AY18" i="9"/>
  <c r="AZ18" i="9"/>
  <c r="BD18" i="9"/>
  <c r="BE18" i="9"/>
  <c r="BI18" i="9"/>
  <c r="BJ18" i="9"/>
  <c r="BN18" i="9"/>
  <c r="BO18" i="9"/>
  <c r="BS18" i="9"/>
  <c r="BT18" i="9"/>
  <c r="BX18" i="9"/>
  <c r="BY18" i="9"/>
  <c r="CC18" i="9"/>
  <c r="CD18" i="9"/>
  <c r="CH18" i="9"/>
  <c r="CI18" i="9"/>
  <c r="CN18" i="9"/>
  <c r="CO18" i="9"/>
  <c r="CP18" i="9"/>
  <c r="CQ18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AK19" i="9"/>
  <c r="AN19" i="9"/>
  <c r="AP19" i="9"/>
  <c r="AR19" i="9"/>
  <c r="AU19" i="9"/>
  <c r="AV19" i="9"/>
  <c r="AY19" i="9"/>
  <c r="AZ19" i="9"/>
  <c r="BC19" i="9"/>
  <c r="BE19" i="9"/>
  <c r="BG19" i="9"/>
  <c r="BJ19" i="9"/>
  <c r="BK19" i="9"/>
  <c r="BN19" i="9"/>
  <c r="BO19" i="9"/>
  <c r="BT19" i="9"/>
  <c r="BY19" i="9"/>
  <c r="CD19" i="9"/>
  <c r="CI19" i="9"/>
  <c r="CN19" i="9"/>
  <c r="CO19" i="9"/>
  <c r="CP19" i="9"/>
  <c r="CQ19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AK20" i="9"/>
  <c r="AO20" i="9"/>
  <c r="AP20" i="9"/>
  <c r="AR20" i="9"/>
  <c r="AS20" i="9"/>
  <c r="AU20" i="9"/>
  <c r="AV20" i="9"/>
  <c r="AW20" i="9"/>
  <c r="AY20" i="9"/>
  <c r="AZ20" i="9"/>
  <c r="BA20" i="9"/>
  <c r="BC20" i="9"/>
  <c r="BD20" i="9"/>
  <c r="BE20" i="9"/>
  <c r="BG20" i="9"/>
  <c r="BH20" i="9"/>
  <c r="BJ20" i="9"/>
  <c r="BK20" i="9"/>
  <c r="BL20" i="9"/>
  <c r="BN20" i="9"/>
  <c r="BO20" i="9"/>
  <c r="BP20" i="9"/>
  <c r="BR20" i="9"/>
  <c r="BT20" i="9"/>
  <c r="BY20" i="9"/>
  <c r="CD20" i="9"/>
  <c r="CI20" i="9"/>
  <c r="CN20" i="9"/>
  <c r="CO20" i="9"/>
  <c r="CP20" i="9"/>
  <c r="CQ20" i="9"/>
  <c r="AK21" i="9"/>
  <c r="AP21" i="9"/>
  <c r="AU21" i="9"/>
  <c r="AZ21" i="9"/>
  <c r="BE21" i="9"/>
  <c r="BJ21" i="9"/>
  <c r="BO21" i="9"/>
  <c r="BT21" i="9"/>
  <c r="BY21" i="9"/>
  <c r="CD21" i="9"/>
  <c r="CI21" i="9"/>
  <c r="CN21" i="9"/>
  <c r="CO21" i="9"/>
  <c r="AK22" i="9"/>
  <c r="AP22" i="9"/>
  <c r="AU22" i="9"/>
  <c r="AZ22" i="9"/>
  <c r="BE22" i="9"/>
  <c r="BJ22" i="9"/>
  <c r="BO22" i="9"/>
  <c r="BT22" i="9"/>
  <c r="BY22" i="9"/>
  <c r="CD22" i="9"/>
  <c r="CI22" i="9"/>
  <c r="CN22" i="9"/>
  <c r="CO22" i="9"/>
  <c r="AK23" i="9"/>
  <c r="AP23" i="9"/>
  <c r="AU23" i="9"/>
  <c r="AZ23" i="9"/>
  <c r="BE23" i="9"/>
  <c r="BJ23" i="9"/>
  <c r="BO23" i="9"/>
  <c r="BT23" i="9"/>
  <c r="BY23" i="9"/>
  <c r="CD23" i="9"/>
  <c r="CI23" i="9"/>
  <c r="CN23" i="9"/>
  <c r="CO23" i="9"/>
  <c r="AK24" i="9"/>
  <c r="AP24" i="9"/>
  <c r="AU24" i="9"/>
  <c r="AZ24" i="9"/>
  <c r="BE24" i="9"/>
  <c r="BJ24" i="9"/>
  <c r="BO24" i="9"/>
  <c r="BT24" i="9"/>
  <c r="BY24" i="9"/>
  <c r="CD24" i="9"/>
  <c r="CI24" i="9"/>
  <c r="CN24" i="9"/>
  <c r="CO24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AK25" i="9"/>
  <c r="AP25" i="9"/>
  <c r="AR25" i="9"/>
  <c r="AU25" i="9"/>
  <c r="AV25" i="9"/>
  <c r="AY25" i="9"/>
  <c r="AZ25" i="9"/>
  <c r="BC25" i="9"/>
  <c r="BE25" i="9"/>
  <c r="BG25" i="9"/>
  <c r="BJ25" i="9"/>
  <c r="BK25" i="9"/>
  <c r="BN25" i="9"/>
  <c r="BO25" i="9"/>
  <c r="BR25" i="9"/>
  <c r="BT25" i="9"/>
  <c r="BY25" i="9"/>
  <c r="CD25" i="9"/>
  <c r="CI25" i="9"/>
  <c r="CN25" i="9"/>
  <c r="CO25" i="9"/>
  <c r="CP25" i="9"/>
  <c r="CQ25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AK26" i="9"/>
  <c r="AP26" i="9"/>
  <c r="AU26" i="9"/>
  <c r="AY26" i="9"/>
  <c r="AZ26" i="9"/>
  <c r="BC26" i="9"/>
  <c r="BE26" i="9"/>
  <c r="BG26" i="9"/>
  <c r="BJ26" i="9"/>
  <c r="BK26" i="9"/>
  <c r="BN26" i="9"/>
  <c r="BO26" i="9"/>
  <c r="BR26" i="9"/>
  <c r="BT26" i="9"/>
  <c r="BV26" i="9"/>
  <c r="BY26" i="9"/>
  <c r="BZ26" i="9"/>
  <c r="CD26" i="9"/>
  <c r="CI26" i="9"/>
  <c r="CN26" i="9"/>
  <c r="CO26" i="9"/>
  <c r="CP26" i="9"/>
  <c r="CQ26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AK27" i="9"/>
  <c r="AP27" i="9"/>
  <c r="AU27" i="9"/>
  <c r="AZ27" i="9"/>
  <c r="BE27" i="9"/>
  <c r="BF27" i="9"/>
  <c r="BI27" i="9"/>
  <c r="BJ27" i="9"/>
  <c r="BM27" i="9"/>
  <c r="BO27" i="9"/>
  <c r="BQ27" i="9"/>
  <c r="BT27" i="9"/>
  <c r="BU27" i="9"/>
  <c r="BX27" i="9"/>
  <c r="BY27" i="9"/>
  <c r="CB27" i="9"/>
  <c r="CD27" i="9"/>
  <c r="CF27" i="9"/>
  <c r="CI27" i="9"/>
  <c r="CN27" i="9"/>
  <c r="CO27" i="9"/>
  <c r="CP27" i="9"/>
  <c r="CQ27" i="9"/>
  <c r="C28" i="9"/>
  <c r="F28" i="9"/>
  <c r="U28" i="9"/>
  <c r="AK28" i="9"/>
  <c r="AP28" i="9"/>
  <c r="AU28" i="9"/>
  <c r="AZ28" i="9"/>
  <c r="BE28" i="9"/>
  <c r="BJ28" i="9"/>
  <c r="BO28" i="9"/>
  <c r="BT28" i="9"/>
  <c r="BY28" i="9"/>
  <c r="CD28" i="9"/>
  <c r="CI28" i="9"/>
  <c r="CN28" i="9"/>
  <c r="CO28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AK29" i="9"/>
  <c r="AP29" i="9"/>
  <c r="AS29" i="9"/>
  <c r="AU29" i="9"/>
  <c r="AW29" i="9"/>
  <c r="AZ29" i="9"/>
  <c r="BA29" i="9"/>
  <c r="BD29" i="9"/>
  <c r="BE29" i="9"/>
  <c r="BH29" i="9"/>
  <c r="BJ29" i="9"/>
  <c r="BL29" i="9"/>
  <c r="BO29" i="9"/>
  <c r="BP29" i="9"/>
  <c r="BS29" i="9"/>
  <c r="BT29" i="9"/>
  <c r="BY29" i="9"/>
  <c r="CD29" i="9"/>
  <c r="CI29" i="9"/>
  <c r="CN29" i="9"/>
  <c r="CO29" i="9"/>
  <c r="CP29" i="9"/>
  <c r="CQ29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AK30" i="9"/>
  <c r="AP30" i="9"/>
  <c r="AT30" i="9"/>
  <c r="AU30" i="9"/>
  <c r="AX30" i="9"/>
  <c r="AZ30" i="9"/>
  <c r="BB30" i="9"/>
  <c r="BE30" i="9"/>
  <c r="BF30" i="9"/>
  <c r="BI30" i="9"/>
  <c r="BJ30" i="9"/>
  <c r="BM30" i="9"/>
  <c r="BO30" i="9"/>
  <c r="BQ30" i="9"/>
  <c r="BT30" i="9"/>
  <c r="BU30" i="9"/>
  <c r="BY30" i="9"/>
  <c r="CD30" i="9"/>
  <c r="CI30" i="9"/>
  <c r="CN30" i="9"/>
  <c r="CO30" i="9"/>
  <c r="CP30" i="9"/>
  <c r="CQ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AK31" i="9"/>
  <c r="AP31" i="9"/>
  <c r="AU31" i="9"/>
  <c r="AV31" i="9"/>
  <c r="AY31" i="9"/>
  <c r="AZ31" i="9"/>
  <c r="BC31" i="9"/>
  <c r="BE31" i="9"/>
  <c r="BG31" i="9"/>
  <c r="BJ31" i="9"/>
  <c r="BK31" i="9"/>
  <c r="BN31" i="9"/>
  <c r="BO31" i="9"/>
  <c r="BR31" i="9"/>
  <c r="BT31" i="9"/>
  <c r="BV31" i="9"/>
  <c r="BY31" i="9"/>
  <c r="CD31" i="9"/>
  <c r="CI31" i="9"/>
  <c r="CN31" i="9"/>
  <c r="CO31" i="9"/>
  <c r="CP31" i="9"/>
  <c r="CQ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AK32" i="9"/>
  <c r="AP32" i="9"/>
  <c r="AU32" i="9"/>
  <c r="AV32" i="9"/>
  <c r="AY32" i="9"/>
  <c r="AZ32" i="9"/>
  <c r="BC32" i="9"/>
  <c r="BE32" i="9"/>
  <c r="BG32" i="9"/>
  <c r="BJ32" i="9"/>
  <c r="BK32" i="9"/>
  <c r="BN32" i="9"/>
  <c r="BO32" i="9"/>
  <c r="BR32" i="9"/>
  <c r="BT32" i="9"/>
  <c r="BV32" i="9"/>
  <c r="BY32" i="9"/>
  <c r="CD32" i="9"/>
  <c r="CI32" i="9"/>
  <c r="CN32" i="9"/>
  <c r="CO32" i="9"/>
  <c r="CP32" i="9"/>
  <c r="CQ32" i="9"/>
  <c r="P33" i="9"/>
  <c r="R33" i="9"/>
  <c r="AK33" i="9"/>
  <c r="AP33" i="9"/>
  <c r="AU33" i="9"/>
  <c r="AZ33" i="9"/>
  <c r="BE33" i="9"/>
  <c r="BJ33" i="9"/>
  <c r="BO33" i="9"/>
  <c r="BT33" i="9"/>
  <c r="BY33" i="9"/>
  <c r="CD33" i="9"/>
  <c r="CI33" i="9"/>
  <c r="CN33" i="9"/>
  <c r="CO33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AK34" i="9"/>
  <c r="AP34" i="9"/>
  <c r="AU34" i="9"/>
  <c r="AV34" i="9"/>
  <c r="AY34" i="9"/>
  <c r="AZ34" i="9"/>
  <c r="BC34" i="9"/>
  <c r="BE34" i="9"/>
  <c r="BG34" i="9"/>
  <c r="BJ34" i="9"/>
  <c r="BK34" i="9"/>
  <c r="BN34" i="9"/>
  <c r="BO34" i="9"/>
  <c r="BR34" i="9"/>
  <c r="BT34" i="9"/>
  <c r="BV34" i="9"/>
  <c r="BY34" i="9"/>
  <c r="CD34" i="9"/>
  <c r="CI34" i="9"/>
  <c r="CN34" i="9"/>
  <c r="CO34" i="9"/>
  <c r="CP34" i="9"/>
  <c r="CQ34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AK35" i="9"/>
  <c r="AP35" i="9"/>
  <c r="AT35" i="9"/>
  <c r="AU35" i="9"/>
  <c r="AX35" i="9"/>
  <c r="AZ35" i="9"/>
  <c r="BB35" i="9"/>
  <c r="BE35" i="9"/>
  <c r="BF35" i="9"/>
  <c r="BI35" i="9"/>
  <c r="BJ35" i="9"/>
  <c r="BM35" i="9"/>
  <c r="BO35" i="9"/>
  <c r="BQ35" i="9"/>
  <c r="BT35" i="9"/>
  <c r="BU35" i="9"/>
  <c r="BY35" i="9"/>
  <c r="CD35" i="9"/>
  <c r="CI35" i="9"/>
  <c r="CN35" i="9"/>
  <c r="CO35" i="9"/>
  <c r="CP35" i="9"/>
  <c r="CQ35" i="9"/>
  <c r="C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AK36" i="9"/>
  <c r="AP36" i="9"/>
  <c r="AS36" i="9"/>
  <c r="AU36" i="9"/>
  <c r="AW36" i="9"/>
  <c r="AZ36" i="9"/>
  <c r="BA36" i="9"/>
  <c r="BD36" i="9"/>
  <c r="BE36" i="9"/>
  <c r="BH36" i="9"/>
  <c r="BJ36" i="9"/>
  <c r="BL36" i="9"/>
  <c r="BO36" i="9"/>
  <c r="BP36" i="9"/>
  <c r="BS36" i="9"/>
  <c r="BT36" i="9"/>
  <c r="BY36" i="9"/>
  <c r="CD36" i="9"/>
  <c r="CI36" i="9"/>
  <c r="CN36" i="9"/>
  <c r="CO36" i="9"/>
  <c r="CP36" i="9"/>
  <c r="CQ36" i="9"/>
  <c r="C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AK37" i="9"/>
  <c r="AP37" i="9"/>
  <c r="AT37" i="9"/>
  <c r="AU37" i="9"/>
  <c r="AX37" i="9"/>
  <c r="AZ37" i="9"/>
  <c r="BB37" i="9"/>
  <c r="BE37" i="9"/>
  <c r="BF37" i="9"/>
  <c r="BI37" i="9"/>
  <c r="BJ37" i="9"/>
  <c r="BM37" i="9"/>
  <c r="BO37" i="9"/>
  <c r="BQ37" i="9"/>
  <c r="BT37" i="9"/>
  <c r="BU37" i="9"/>
  <c r="BY37" i="9"/>
  <c r="CD37" i="9"/>
  <c r="CI37" i="9"/>
  <c r="CN37" i="9"/>
  <c r="CO37" i="9"/>
  <c r="CP37" i="9"/>
  <c r="CQ37" i="9"/>
  <c r="C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AK38" i="9"/>
  <c r="AP38" i="9"/>
  <c r="AU38" i="9"/>
  <c r="AV38" i="9"/>
  <c r="AY38" i="9"/>
  <c r="AZ38" i="9"/>
  <c r="BC38" i="9"/>
  <c r="BE38" i="9"/>
  <c r="BG38" i="9"/>
  <c r="BJ38" i="9"/>
  <c r="BK38" i="9"/>
  <c r="BN38" i="9"/>
  <c r="BO38" i="9"/>
  <c r="BR38" i="9"/>
  <c r="BT38" i="9"/>
  <c r="BV38" i="9"/>
  <c r="BY38" i="9"/>
  <c r="CD38" i="9"/>
  <c r="CI38" i="9"/>
  <c r="CN38" i="9"/>
  <c r="CO38" i="9"/>
  <c r="CP38" i="9"/>
  <c r="CQ38" i="9"/>
  <c r="C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AK39" i="9"/>
  <c r="AP39" i="9"/>
  <c r="AU39" i="9"/>
  <c r="AV39" i="9"/>
  <c r="AY39" i="9"/>
  <c r="AZ39" i="9"/>
  <c r="BC39" i="9"/>
  <c r="BE39" i="9"/>
  <c r="BG39" i="9"/>
  <c r="BJ39" i="9"/>
  <c r="BK39" i="9"/>
  <c r="BN39" i="9"/>
  <c r="BO39" i="9"/>
  <c r="BR39" i="9"/>
  <c r="BT39" i="9"/>
  <c r="BV39" i="9"/>
  <c r="BY39" i="9"/>
  <c r="CD39" i="9"/>
  <c r="CI39" i="9"/>
  <c r="CN39" i="9"/>
  <c r="CO39" i="9"/>
  <c r="CP39" i="9"/>
  <c r="CQ39" i="9"/>
  <c r="C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AK40" i="9"/>
  <c r="AP40" i="9"/>
  <c r="AS40" i="9"/>
  <c r="AU40" i="9"/>
  <c r="AW40" i="9"/>
  <c r="AZ40" i="9"/>
  <c r="BA40" i="9"/>
  <c r="BD40" i="9"/>
  <c r="BE40" i="9"/>
  <c r="BH40" i="9"/>
  <c r="BJ40" i="9"/>
  <c r="BL40" i="9"/>
  <c r="BO40" i="9"/>
  <c r="BP40" i="9"/>
  <c r="BS40" i="9"/>
  <c r="BT40" i="9"/>
  <c r="BY40" i="9"/>
  <c r="CD40" i="9"/>
  <c r="CI40" i="9"/>
  <c r="CN40" i="9"/>
  <c r="CO40" i="9"/>
  <c r="CP40" i="9"/>
  <c r="CQ40" i="9"/>
  <c r="C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AK41" i="9"/>
  <c r="AP41" i="9"/>
  <c r="AT41" i="9"/>
  <c r="AU41" i="9"/>
  <c r="AX41" i="9"/>
  <c r="AZ41" i="9"/>
  <c r="BB41" i="9"/>
  <c r="BE41" i="9"/>
  <c r="BF41" i="9"/>
  <c r="BI41" i="9"/>
  <c r="BJ41" i="9"/>
  <c r="BM41" i="9"/>
  <c r="BO41" i="9"/>
  <c r="BQ41" i="9"/>
  <c r="BT41" i="9"/>
  <c r="BU41" i="9"/>
  <c r="BY41" i="9"/>
  <c r="CD41" i="9"/>
  <c r="CI41" i="9"/>
  <c r="CN41" i="9"/>
  <c r="CO41" i="9"/>
  <c r="CP41" i="9"/>
  <c r="CQ41" i="9"/>
  <c r="S42" i="9"/>
  <c r="U42" i="9"/>
  <c r="AK42" i="9"/>
  <c r="AP42" i="9"/>
  <c r="AU42" i="9"/>
  <c r="AZ42" i="9"/>
  <c r="BE42" i="9"/>
  <c r="BJ42" i="9"/>
  <c r="BO42" i="9"/>
  <c r="BT42" i="9"/>
  <c r="BY42" i="9"/>
  <c r="CD42" i="9"/>
  <c r="CI42" i="9"/>
  <c r="CN42" i="9"/>
  <c r="CO42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AK43" i="9"/>
  <c r="AP43" i="9"/>
  <c r="AU43" i="9"/>
  <c r="AX43" i="9"/>
  <c r="AZ43" i="9"/>
  <c r="BB43" i="9"/>
  <c r="BE43" i="9"/>
  <c r="BF43" i="9"/>
  <c r="BI43" i="9"/>
  <c r="BJ43" i="9"/>
  <c r="BM43" i="9"/>
  <c r="BO43" i="9"/>
  <c r="BQ43" i="9"/>
  <c r="BT43" i="9"/>
  <c r="BU43" i="9"/>
  <c r="BX43" i="9"/>
  <c r="BY43" i="9"/>
  <c r="CD43" i="9"/>
  <c r="CI43" i="9"/>
  <c r="CN43" i="9"/>
  <c r="CO43" i="9"/>
  <c r="CP43" i="9"/>
  <c r="CQ43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AK44" i="9"/>
  <c r="AP44" i="9"/>
  <c r="AU44" i="9"/>
  <c r="AX44" i="9"/>
  <c r="AZ44" i="9"/>
  <c r="BB44" i="9"/>
  <c r="BE44" i="9"/>
  <c r="BF44" i="9"/>
  <c r="BI44" i="9"/>
  <c r="BJ44" i="9"/>
  <c r="BM44" i="9"/>
  <c r="BO44" i="9"/>
  <c r="BQ44" i="9"/>
  <c r="BT44" i="9"/>
  <c r="BU44" i="9"/>
  <c r="BX44" i="9"/>
  <c r="BY44" i="9"/>
  <c r="CD44" i="9"/>
  <c r="CI44" i="9"/>
  <c r="CN44" i="9"/>
  <c r="CO44" i="9"/>
  <c r="CP44" i="9"/>
  <c r="CQ44" i="9"/>
  <c r="AK45" i="9"/>
  <c r="AP45" i="9"/>
  <c r="AU45" i="9"/>
  <c r="AZ45" i="9"/>
  <c r="BE45" i="9"/>
  <c r="BJ45" i="9"/>
  <c r="BO45" i="9"/>
  <c r="BT45" i="9"/>
  <c r="BY45" i="9"/>
  <c r="CD45" i="9"/>
  <c r="CI45" i="9"/>
  <c r="CN45" i="9"/>
  <c r="CO45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AK46" i="9"/>
  <c r="AP46" i="9"/>
  <c r="AU46" i="9"/>
  <c r="AX46" i="9"/>
  <c r="AZ46" i="9"/>
  <c r="BB46" i="9"/>
  <c r="BE46" i="9"/>
  <c r="BF46" i="9"/>
  <c r="BI46" i="9"/>
  <c r="BJ46" i="9"/>
  <c r="BM46" i="9"/>
  <c r="BO46" i="9"/>
  <c r="BQ46" i="9"/>
  <c r="BT46" i="9"/>
  <c r="BU46" i="9"/>
  <c r="BX46" i="9"/>
  <c r="BY46" i="9"/>
  <c r="CD46" i="9"/>
  <c r="CI46" i="9"/>
  <c r="CN46" i="9"/>
  <c r="CO46" i="9"/>
  <c r="CP46" i="9"/>
  <c r="CQ46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AK47" i="9"/>
  <c r="AP47" i="9"/>
  <c r="AU47" i="9"/>
  <c r="AX47" i="9"/>
  <c r="AZ47" i="9"/>
  <c r="BB47" i="9"/>
  <c r="BE47" i="9"/>
  <c r="BF47" i="9"/>
  <c r="BI47" i="9"/>
  <c r="BJ47" i="9"/>
  <c r="BM47" i="9"/>
  <c r="BO47" i="9"/>
  <c r="BQ47" i="9"/>
  <c r="BT47" i="9"/>
  <c r="BU47" i="9"/>
  <c r="BX47" i="9"/>
  <c r="BY47" i="9"/>
  <c r="CD47" i="9"/>
  <c r="CI47" i="9"/>
  <c r="CN47" i="9"/>
  <c r="CO47" i="9"/>
  <c r="CP47" i="9"/>
  <c r="CQ47" i="9"/>
  <c r="AK48" i="9"/>
  <c r="AP48" i="9"/>
  <c r="AU48" i="9"/>
  <c r="AZ48" i="9"/>
  <c r="BE48" i="9"/>
  <c r="BJ48" i="9"/>
  <c r="BO48" i="9"/>
  <c r="BT48" i="9"/>
  <c r="BY48" i="9"/>
  <c r="CD48" i="9"/>
  <c r="CI48" i="9"/>
  <c r="CN48" i="9"/>
  <c r="CO48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AK49" i="9"/>
  <c r="AM49" i="9"/>
  <c r="AP49" i="9"/>
  <c r="AU49" i="9"/>
  <c r="AZ49" i="9"/>
  <c r="BE49" i="9"/>
  <c r="BJ49" i="9"/>
  <c r="BO49" i="9"/>
  <c r="BT49" i="9"/>
  <c r="BY49" i="9"/>
  <c r="CD49" i="9"/>
  <c r="CI49" i="9"/>
  <c r="CN49" i="9"/>
  <c r="CO49" i="9"/>
  <c r="CP49" i="9"/>
  <c r="CQ49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AK50" i="9"/>
  <c r="AP50" i="9"/>
  <c r="AU50" i="9"/>
  <c r="AY50" i="9"/>
  <c r="AZ50" i="9"/>
  <c r="BC50" i="9"/>
  <c r="BE50" i="9"/>
  <c r="BH50" i="9"/>
  <c r="BJ50" i="9"/>
  <c r="BL50" i="9"/>
  <c r="BO50" i="9"/>
  <c r="BP50" i="9"/>
  <c r="BS50" i="9"/>
  <c r="BT50" i="9"/>
  <c r="BW50" i="9"/>
  <c r="BY50" i="9"/>
  <c r="CA50" i="9"/>
  <c r="CD50" i="9"/>
  <c r="CI50" i="9"/>
  <c r="CN50" i="9"/>
  <c r="CO50" i="9"/>
  <c r="CP50" i="9"/>
  <c r="CQ50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AK51" i="9"/>
  <c r="AP51" i="9"/>
  <c r="AU51" i="9"/>
  <c r="AZ51" i="9"/>
  <c r="BE51" i="9"/>
  <c r="BF51" i="9"/>
  <c r="BI51" i="9"/>
  <c r="BJ51" i="9"/>
  <c r="BM51" i="9"/>
  <c r="BO51" i="9"/>
  <c r="BQ51" i="9"/>
  <c r="BT51" i="9"/>
  <c r="BU51" i="9"/>
  <c r="BX51" i="9"/>
  <c r="BY51" i="9"/>
  <c r="CB51" i="9"/>
  <c r="CD51" i="9"/>
  <c r="CF51" i="9"/>
  <c r="CI51" i="9"/>
  <c r="CN51" i="9"/>
  <c r="CO51" i="9"/>
  <c r="CP51" i="9"/>
  <c r="CQ51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AK52" i="9"/>
  <c r="AP52" i="9"/>
  <c r="AU52" i="9"/>
  <c r="AY52" i="9"/>
  <c r="AZ52" i="9"/>
  <c r="BC52" i="9"/>
  <c r="BE52" i="9"/>
  <c r="BG52" i="9"/>
  <c r="BJ52" i="9"/>
  <c r="BK52" i="9"/>
  <c r="BN52" i="9"/>
  <c r="BO52" i="9"/>
  <c r="BR52" i="9"/>
  <c r="BT52" i="9"/>
  <c r="BV52" i="9"/>
  <c r="BY52" i="9"/>
  <c r="BZ52" i="9"/>
  <c r="CD52" i="9"/>
  <c r="CI52" i="9"/>
  <c r="CN52" i="9"/>
  <c r="CO52" i="9"/>
  <c r="CP52" i="9"/>
  <c r="CQ52" i="9"/>
  <c r="AK53" i="9"/>
  <c r="AP53" i="9"/>
  <c r="AU53" i="9"/>
  <c r="AZ53" i="9"/>
  <c r="BE53" i="9"/>
  <c r="BJ53" i="9"/>
  <c r="BO53" i="9"/>
  <c r="BT53" i="9"/>
  <c r="BY53" i="9"/>
  <c r="CD53" i="9"/>
  <c r="CI53" i="9"/>
  <c r="CN53" i="9"/>
  <c r="CO53" i="9"/>
  <c r="AK54" i="9"/>
  <c r="AP54" i="9"/>
  <c r="AU54" i="9"/>
  <c r="AZ54" i="9"/>
  <c r="BE54" i="9"/>
  <c r="BJ54" i="9"/>
  <c r="BO54" i="9"/>
  <c r="BT54" i="9"/>
  <c r="BY54" i="9"/>
  <c r="CD54" i="9"/>
  <c r="CI54" i="9"/>
  <c r="CN54" i="9"/>
  <c r="CO54" i="9"/>
  <c r="AK55" i="9"/>
  <c r="AP55" i="9"/>
  <c r="AU55" i="9"/>
  <c r="AZ55" i="9"/>
  <c r="BE55" i="9"/>
  <c r="BJ55" i="9"/>
  <c r="BO55" i="9"/>
  <c r="BT55" i="9"/>
  <c r="BY55" i="9"/>
  <c r="CD55" i="9"/>
  <c r="CI55" i="9"/>
  <c r="CN55" i="9"/>
  <c r="CO55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AK56" i="9"/>
  <c r="AP56" i="9"/>
  <c r="AU56" i="9"/>
  <c r="AY56" i="9"/>
  <c r="AZ56" i="9"/>
  <c r="BC56" i="9"/>
  <c r="BE56" i="9"/>
  <c r="BG56" i="9"/>
  <c r="BJ56" i="9"/>
  <c r="BK56" i="9"/>
  <c r="BN56" i="9"/>
  <c r="BO56" i="9"/>
  <c r="BR56" i="9"/>
  <c r="BT56" i="9"/>
  <c r="BV56" i="9"/>
  <c r="BY56" i="9"/>
  <c r="BZ56" i="9"/>
  <c r="CD56" i="9"/>
  <c r="CI56" i="9"/>
  <c r="CN56" i="9"/>
  <c r="CO56" i="9"/>
  <c r="CP56" i="9"/>
  <c r="CQ56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AK57" i="9"/>
  <c r="AP57" i="9"/>
  <c r="AU57" i="9"/>
  <c r="AZ57" i="9"/>
  <c r="BE57" i="9"/>
  <c r="BF57" i="9"/>
  <c r="BI57" i="9"/>
  <c r="BJ57" i="9"/>
  <c r="BM57" i="9"/>
  <c r="BO57" i="9"/>
  <c r="BQ57" i="9"/>
  <c r="BT57" i="9"/>
  <c r="BU57" i="9"/>
  <c r="BX57" i="9"/>
  <c r="BY57" i="9"/>
  <c r="CB57" i="9"/>
  <c r="CD57" i="9"/>
  <c r="CF57" i="9"/>
  <c r="CI57" i="9"/>
  <c r="CN57" i="9"/>
  <c r="CO57" i="9"/>
  <c r="CP57" i="9"/>
  <c r="CQ57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AK58" i="9"/>
  <c r="AP58" i="9"/>
  <c r="AU58" i="9"/>
  <c r="AZ58" i="9"/>
  <c r="BA58" i="9"/>
  <c r="BD58" i="9"/>
  <c r="BE58" i="9"/>
  <c r="BH58" i="9"/>
  <c r="BJ58" i="9"/>
  <c r="BL58" i="9"/>
  <c r="BO58" i="9"/>
  <c r="BP58" i="9"/>
  <c r="BS58" i="9"/>
  <c r="BT58" i="9"/>
  <c r="BW58" i="9"/>
  <c r="BY58" i="9"/>
  <c r="CA58" i="9"/>
  <c r="CD58" i="9"/>
  <c r="CI58" i="9"/>
  <c r="CN58" i="9"/>
  <c r="CO58" i="9"/>
  <c r="CP58" i="9"/>
  <c r="CQ58" i="9"/>
  <c r="AK59" i="9"/>
  <c r="AP59" i="9"/>
  <c r="AU59" i="9"/>
  <c r="AZ59" i="9"/>
  <c r="BE59" i="9"/>
  <c r="BJ59" i="9"/>
  <c r="BO59" i="9"/>
  <c r="BT59" i="9"/>
  <c r="BY59" i="9"/>
  <c r="CD59" i="9"/>
  <c r="CI59" i="9"/>
  <c r="CN59" i="9"/>
  <c r="CO59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AK60" i="9"/>
  <c r="AP60" i="9"/>
  <c r="AT60" i="9"/>
  <c r="AU60" i="9"/>
  <c r="AX60" i="9"/>
  <c r="AZ60" i="9"/>
  <c r="BB60" i="9"/>
  <c r="BE60" i="9"/>
  <c r="BF60" i="9"/>
  <c r="BI60" i="9"/>
  <c r="BJ60" i="9"/>
  <c r="BM60" i="9"/>
  <c r="BO60" i="9"/>
  <c r="BQ60" i="9"/>
  <c r="BT60" i="9"/>
  <c r="BU60" i="9"/>
  <c r="BY60" i="9"/>
  <c r="CD60" i="9"/>
  <c r="CI60" i="9"/>
  <c r="CN60" i="9"/>
  <c r="CO60" i="9"/>
  <c r="CP60" i="9"/>
  <c r="CQ60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AK61" i="9"/>
  <c r="AP61" i="9"/>
  <c r="AU61" i="9"/>
  <c r="AZ61" i="9"/>
  <c r="BB61" i="9"/>
  <c r="BE61" i="9"/>
  <c r="BF61" i="9"/>
  <c r="BI61" i="9"/>
  <c r="BJ61" i="9"/>
  <c r="BM61" i="9"/>
  <c r="BO61" i="9"/>
  <c r="BQ61" i="9"/>
  <c r="BT61" i="9"/>
  <c r="BU61" i="9"/>
  <c r="BX61" i="9"/>
  <c r="BY61" i="9"/>
  <c r="CB61" i="9"/>
  <c r="CD61" i="9"/>
  <c r="CI61" i="9"/>
  <c r="CN61" i="9"/>
  <c r="CO61" i="9"/>
  <c r="CP61" i="9"/>
  <c r="CQ61" i="9"/>
  <c r="J62" i="9"/>
  <c r="K62" i="9"/>
  <c r="L62" i="9"/>
  <c r="M62" i="9"/>
  <c r="O62" i="9"/>
  <c r="P62" i="9"/>
  <c r="R62" i="9"/>
  <c r="S62" i="9"/>
  <c r="T62" i="9"/>
  <c r="U62" i="9"/>
  <c r="V62" i="9"/>
  <c r="W62" i="9"/>
  <c r="AK62" i="9"/>
  <c r="AP62" i="9"/>
  <c r="AU62" i="9"/>
  <c r="AZ62" i="9"/>
  <c r="BC62" i="9"/>
  <c r="BE62" i="9"/>
  <c r="BG62" i="9"/>
  <c r="BJ62" i="9"/>
  <c r="BK62" i="9"/>
  <c r="BN62" i="9"/>
  <c r="BO62" i="9"/>
  <c r="BR62" i="9"/>
  <c r="BT62" i="9"/>
  <c r="BV62" i="9"/>
  <c r="BY62" i="9"/>
  <c r="BZ62" i="9"/>
  <c r="CC62" i="9"/>
  <c r="CD62" i="9"/>
  <c r="CI62" i="9"/>
  <c r="CN62" i="9"/>
  <c r="CO62" i="9"/>
  <c r="CP62" i="9"/>
  <c r="CQ62" i="9"/>
  <c r="J63" i="9"/>
  <c r="L63" i="9"/>
  <c r="M63" i="9"/>
  <c r="O63" i="9"/>
  <c r="P63" i="9"/>
  <c r="R63" i="9"/>
  <c r="S63" i="9"/>
  <c r="T63" i="9"/>
  <c r="U63" i="9"/>
  <c r="V63" i="9"/>
  <c r="W63" i="9"/>
  <c r="AK63" i="9"/>
  <c r="AP63" i="9"/>
  <c r="AU63" i="9"/>
  <c r="AZ63" i="9"/>
  <c r="BE63" i="9"/>
  <c r="BI63" i="9"/>
  <c r="BJ63" i="9"/>
  <c r="BM63" i="9"/>
  <c r="BO63" i="9"/>
  <c r="BQ63" i="9"/>
  <c r="BT63" i="9"/>
  <c r="BU63" i="9"/>
  <c r="BX63" i="9"/>
  <c r="BY63" i="9"/>
  <c r="CB63" i="9"/>
  <c r="CD63" i="9"/>
  <c r="CF63" i="9"/>
  <c r="CI63" i="9"/>
  <c r="CJ63" i="9"/>
  <c r="CN63" i="9"/>
  <c r="CO63" i="9"/>
  <c r="CP63" i="9"/>
  <c r="CQ63" i="9"/>
  <c r="AK64" i="9"/>
  <c r="AP64" i="9"/>
  <c r="AU64" i="9"/>
  <c r="AZ64" i="9"/>
  <c r="BE64" i="9"/>
  <c r="BJ64" i="9"/>
  <c r="BO64" i="9"/>
  <c r="BT64" i="9"/>
  <c r="BY64" i="9"/>
  <c r="CD64" i="9"/>
  <c r="CI64" i="9"/>
  <c r="CN64" i="9"/>
  <c r="CO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AK65" i="9"/>
  <c r="AP65" i="9"/>
  <c r="AU65" i="9"/>
  <c r="AZ65" i="9"/>
  <c r="BC65" i="9"/>
  <c r="BE65" i="9"/>
  <c r="BG65" i="9"/>
  <c r="BJ65" i="9"/>
  <c r="BK65" i="9"/>
  <c r="BN65" i="9"/>
  <c r="BO65" i="9"/>
  <c r="BR65" i="9"/>
  <c r="BT65" i="9"/>
  <c r="BV65" i="9"/>
  <c r="BY65" i="9"/>
  <c r="BZ65" i="9"/>
  <c r="CC65" i="9"/>
  <c r="CD65" i="9"/>
  <c r="CI65" i="9"/>
  <c r="CN65" i="9"/>
  <c r="CO65" i="9"/>
  <c r="CP65" i="9"/>
  <c r="CQ65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AK66" i="9"/>
  <c r="AP66" i="9"/>
  <c r="AU66" i="9"/>
  <c r="AZ66" i="9"/>
  <c r="BC66" i="9"/>
  <c r="BE66" i="9"/>
  <c r="BG66" i="9"/>
  <c r="BJ66" i="9"/>
  <c r="BK66" i="9"/>
  <c r="BN66" i="9"/>
  <c r="BO66" i="9"/>
  <c r="BR66" i="9"/>
  <c r="BT66" i="9"/>
  <c r="BV66" i="9"/>
  <c r="BY66" i="9"/>
  <c r="BZ66" i="9"/>
  <c r="CC66" i="9"/>
  <c r="CD66" i="9"/>
  <c r="CI66" i="9"/>
  <c r="CN66" i="9"/>
  <c r="CO66" i="9"/>
  <c r="CP66" i="9"/>
  <c r="CQ66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AK67" i="9"/>
  <c r="AP67" i="9"/>
  <c r="AU67" i="9"/>
  <c r="AZ67" i="9"/>
  <c r="BC67" i="9"/>
  <c r="BE67" i="9"/>
  <c r="BG67" i="9"/>
  <c r="BJ67" i="9"/>
  <c r="BK67" i="9"/>
  <c r="BN67" i="9"/>
  <c r="BO67" i="9"/>
  <c r="BR67" i="9"/>
  <c r="BT67" i="9"/>
  <c r="BV67" i="9"/>
  <c r="BY67" i="9"/>
  <c r="BZ67" i="9"/>
  <c r="CC67" i="9"/>
  <c r="CD67" i="9"/>
  <c r="CI67" i="9"/>
  <c r="CN67" i="9"/>
  <c r="CO67" i="9"/>
  <c r="CP67" i="9"/>
  <c r="CQ67" i="9"/>
  <c r="AK68" i="9"/>
  <c r="AP68" i="9"/>
  <c r="AU68" i="9"/>
  <c r="AZ68" i="9"/>
  <c r="BE68" i="9"/>
  <c r="BJ68" i="9"/>
  <c r="BO68" i="9"/>
  <c r="BT68" i="9"/>
  <c r="BY68" i="9"/>
  <c r="CD68" i="9"/>
  <c r="CI68" i="9"/>
  <c r="CN68" i="9"/>
  <c r="CO68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AK69" i="9"/>
  <c r="AP69" i="9"/>
  <c r="AU69" i="9"/>
  <c r="AW69" i="9"/>
  <c r="AZ69" i="9"/>
  <c r="BA69" i="9"/>
  <c r="BD69" i="9"/>
  <c r="BE69" i="9"/>
  <c r="BH69" i="9"/>
  <c r="BJ69" i="9"/>
  <c r="BL69" i="9"/>
  <c r="BO69" i="9"/>
  <c r="BP69" i="9"/>
  <c r="BS69" i="9"/>
  <c r="BT69" i="9"/>
  <c r="BW69" i="9"/>
  <c r="BY69" i="9"/>
  <c r="CD69" i="9"/>
  <c r="CI69" i="9"/>
  <c r="CN69" i="9"/>
  <c r="CO69" i="9"/>
  <c r="CP69" i="9"/>
  <c r="CQ69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AK70" i="9"/>
  <c r="AP70" i="9"/>
  <c r="AU70" i="9"/>
  <c r="AZ70" i="9"/>
  <c r="BD70" i="9"/>
  <c r="BE70" i="9"/>
  <c r="BH70" i="9"/>
  <c r="BJ70" i="9"/>
  <c r="BL70" i="9"/>
  <c r="BO70" i="9"/>
  <c r="BP70" i="9"/>
  <c r="BS70" i="9"/>
  <c r="BT70" i="9"/>
  <c r="BW70" i="9"/>
  <c r="BY70" i="9"/>
  <c r="CA70" i="9"/>
  <c r="CD70" i="9"/>
  <c r="CE70" i="9"/>
  <c r="CI70" i="9"/>
  <c r="CN70" i="9"/>
  <c r="CO70" i="9"/>
  <c r="CP70" i="9"/>
  <c r="CQ70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AK71" i="9"/>
  <c r="AP71" i="9"/>
  <c r="AU71" i="9"/>
  <c r="AZ71" i="9"/>
  <c r="BE71" i="9"/>
  <c r="BI71" i="9"/>
  <c r="BJ71" i="9"/>
  <c r="BM71" i="9"/>
  <c r="BO71" i="9"/>
  <c r="BQ71" i="9"/>
  <c r="BT71" i="9"/>
  <c r="BU71" i="9"/>
  <c r="BX71" i="9"/>
  <c r="BY71" i="9"/>
  <c r="CB71" i="9"/>
  <c r="CD71" i="9"/>
  <c r="CF71" i="9"/>
  <c r="CI71" i="9"/>
  <c r="CJ71" i="9"/>
  <c r="CN71" i="9"/>
  <c r="CO71" i="9"/>
  <c r="CP71" i="9"/>
  <c r="CQ71" i="9"/>
  <c r="AK72" i="9"/>
  <c r="AP72" i="9"/>
  <c r="AU72" i="9"/>
  <c r="AZ72" i="9"/>
  <c r="BE72" i="9"/>
  <c r="BJ72" i="9"/>
  <c r="BO72" i="9"/>
  <c r="BT72" i="9"/>
  <c r="BY72" i="9"/>
  <c r="CD72" i="9"/>
  <c r="CI72" i="9"/>
  <c r="CN72" i="9"/>
  <c r="CO72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AK73" i="9"/>
  <c r="AP73" i="9"/>
  <c r="AU73" i="9"/>
  <c r="AZ73" i="9"/>
  <c r="BC73" i="9"/>
  <c r="BE73" i="9"/>
  <c r="BG73" i="9"/>
  <c r="BJ73" i="9"/>
  <c r="BK73" i="9"/>
  <c r="BN73" i="9"/>
  <c r="BO73" i="9"/>
  <c r="BR73" i="9"/>
  <c r="BT73" i="9"/>
  <c r="BV73" i="9"/>
  <c r="BY73" i="9"/>
  <c r="BZ73" i="9"/>
  <c r="CC73" i="9"/>
  <c r="CD73" i="9"/>
  <c r="CI73" i="9"/>
  <c r="CN73" i="9"/>
  <c r="CO73" i="9"/>
  <c r="CP73" i="9"/>
  <c r="CQ73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AK74" i="9"/>
  <c r="AP74" i="9"/>
  <c r="AU74" i="9"/>
  <c r="AZ74" i="9"/>
  <c r="BC74" i="9"/>
  <c r="BE74" i="9"/>
  <c r="BG74" i="9"/>
  <c r="BJ74" i="9"/>
  <c r="BK74" i="9"/>
  <c r="BN74" i="9"/>
  <c r="BO74" i="9"/>
  <c r="BR74" i="9"/>
  <c r="BT74" i="9"/>
  <c r="BV74" i="9"/>
  <c r="BY74" i="9"/>
  <c r="BZ74" i="9"/>
  <c r="CC74" i="9"/>
  <c r="CD74" i="9"/>
  <c r="CI74" i="9"/>
  <c r="CN74" i="9"/>
  <c r="CO74" i="9"/>
  <c r="CP74" i="9"/>
  <c r="CQ74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AK75" i="9"/>
  <c r="AP75" i="9"/>
  <c r="AU75" i="9"/>
  <c r="AZ75" i="9"/>
  <c r="BC75" i="9"/>
  <c r="BE75" i="9"/>
  <c r="BG75" i="9"/>
  <c r="BJ75" i="9"/>
  <c r="BK75" i="9"/>
  <c r="BN75" i="9"/>
  <c r="BO75" i="9"/>
  <c r="BR75" i="9"/>
  <c r="BT75" i="9"/>
  <c r="BV75" i="9"/>
  <c r="BY75" i="9"/>
  <c r="BZ75" i="9"/>
  <c r="CC75" i="9"/>
  <c r="CD75" i="9"/>
  <c r="CI75" i="9"/>
  <c r="CN75" i="9"/>
  <c r="CO75" i="9"/>
  <c r="CP75" i="9"/>
  <c r="CQ75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AK76" i="9"/>
  <c r="AP76" i="9"/>
  <c r="AU76" i="9"/>
  <c r="AZ76" i="9"/>
  <c r="BE76" i="9"/>
  <c r="BF76" i="9"/>
  <c r="BI76" i="9"/>
  <c r="BJ76" i="9"/>
  <c r="BM76" i="9"/>
  <c r="BO76" i="9"/>
  <c r="BQ76" i="9"/>
  <c r="BT76" i="9"/>
  <c r="BU76" i="9"/>
  <c r="BX76" i="9"/>
  <c r="BY76" i="9"/>
  <c r="CB76" i="9"/>
  <c r="CD76" i="9"/>
  <c r="CF76" i="9"/>
  <c r="CI76" i="9"/>
  <c r="CN76" i="9"/>
  <c r="CO76" i="9"/>
  <c r="CP76" i="9"/>
  <c r="CQ76" i="9"/>
  <c r="C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AK77" i="9"/>
  <c r="AP77" i="9"/>
  <c r="AU77" i="9"/>
  <c r="AZ77" i="9"/>
  <c r="BE77" i="9"/>
  <c r="BF77" i="9"/>
  <c r="BI77" i="9"/>
  <c r="BJ77" i="9"/>
  <c r="BM77" i="9"/>
  <c r="BO77" i="9"/>
  <c r="BQ77" i="9"/>
  <c r="BT77" i="9"/>
  <c r="BU77" i="9"/>
  <c r="BX77" i="9"/>
  <c r="BY77" i="9"/>
  <c r="CB77" i="9"/>
  <c r="CD77" i="9"/>
  <c r="CF77" i="9"/>
  <c r="CI77" i="9"/>
  <c r="CN77" i="9"/>
  <c r="CO77" i="9"/>
  <c r="CP77" i="9"/>
  <c r="CQ77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AK78" i="9"/>
  <c r="AP78" i="9"/>
  <c r="AU78" i="9"/>
  <c r="AZ78" i="9"/>
  <c r="BE78" i="9"/>
  <c r="BH78" i="9"/>
  <c r="BJ78" i="9"/>
  <c r="BL78" i="9"/>
  <c r="BO78" i="9"/>
  <c r="BP78" i="9"/>
  <c r="BS78" i="9"/>
  <c r="BT78" i="9"/>
  <c r="BW78" i="9"/>
  <c r="BY78" i="9"/>
  <c r="CA78" i="9"/>
  <c r="CD78" i="9"/>
  <c r="CE78" i="9"/>
  <c r="CH78" i="9"/>
  <c r="CI78" i="9"/>
  <c r="CN78" i="9"/>
  <c r="CO78" i="9"/>
  <c r="CP78" i="9"/>
  <c r="CQ78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AK79" i="9"/>
  <c r="AP79" i="9"/>
  <c r="AU79" i="9"/>
  <c r="AZ79" i="9"/>
  <c r="BE79" i="9"/>
  <c r="BH79" i="9"/>
  <c r="BJ79" i="9"/>
  <c r="BL79" i="9"/>
  <c r="BO79" i="9"/>
  <c r="BP79" i="9"/>
  <c r="BS79" i="9"/>
  <c r="BT79" i="9"/>
  <c r="BW79" i="9"/>
  <c r="BY79" i="9"/>
  <c r="CA79" i="9"/>
  <c r="CD79" i="9"/>
  <c r="CE79" i="9"/>
  <c r="CH79" i="9"/>
  <c r="CI79" i="9"/>
  <c r="CN79" i="9"/>
  <c r="CO79" i="9"/>
  <c r="CP79" i="9"/>
  <c r="CQ79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AK80" i="9"/>
  <c r="AP80" i="9"/>
  <c r="AU80" i="9"/>
  <c r="AZ80" i="9"/>
  <c r="BE80" i="9"/>
  <c r="BI80" i="9"/>
  <c r="BJ80" i="9"/>
  <c r="BM80" i="9"/>
  <c r="BO80" i="9"/>
  <c r="BQ80" i="9"/>
  <c r="BT80" i="9"/>
  <c r="BU80" i="9"/>
  <c r="BX80" i="9"/>
  <c r="BY80" i="9"/>
  <c r="CB80" i="9"/>
  <c r="CD80" i="9"/>
  <c r="CF80" i="9"/>
  <c r="CI80" i="9"/>
  <c r="CJ80" i="9"/>
  <c r="CN80" i="9"/>
  <c r="CO80" i="9"/>
  <c r="CP80" i="9"/>
  <c r="CQ80" i="9"/>
  <c r="AK81" i="9"/>
  <c r="AP81" i="9"/>
  <c r="AU81" i="9"/>
  <c r="AZ81" i="9"/>
  <c r="BE81" i="9"/>
  <c r="BJ81" i="9"/>
  <c r="BO81" i="9"/>
  <c r="BT81" i="9"/>
  <c r="BY81" i="9"/>
  <c r="CD81" i="9"/>
  <c r="CI81" i="9"/>
  <c r="CN81" i="9"/>
  <c r="CO81" i="9"/>
  <c r="AK82" i="9"/>
  <c r="AP82" i="9"/>
  <c r="AU82" i="9"/>
  <c r="AZ82" i="9"/>
  <c r="BE82" i="9"/>
  <c r="BJ82" i="9"/>
  <c r="BO82" i="9"/>
  <c r="BT82" i="9"/>
  <c r="BY82" i="9"/>
  <c r="CD82" i="9"/>
  <c r="CI82" i="9"/>
  <c r="CN82" i="9"/>
  <c r="CO82" i="9"/>
  <c r="AK83" i="9"/>
  <c r="AP83" i="9"/>
  <c r="AU83" i="9"/>
  <c r="AZ83" i="9"/>
  <c r="BE83" i="9"/>
  <c r="BJ83" i="9"/>
  <c r="BO83" i="9"/>
  <c r="BT83" i="9"/>
  <c r="BY83" i="9"/>
  <c r="CD83" i="9"/>
  <c r="CI83" i="9"/>
  <c r="CN83" i="9"/>
  <c r="CO83" i="9"/>
  <c r="AK84" i="9"/>
  <c r="AP84" i="9"/>
  <c r="AU84" i="9"/>
  <c r="AZ84" i="9"/>
  <c r="BE84" i="9"/>
  <c r="BJ84" i="9"/>
  <c r="BO84" i="9"/>
  <c r="BT84" i="9"/>
  <c r="BY84" i="9"/>
  <c r="CD84" i="9"/>
  <c r="CI84" i="9"/>
  <c r="CN84" i="9"/>
  <c r="CO84" i="9"/>
  <c r="AK85" i="9"/>
  <c r="AP85" i="9"/>
  <c r="AU85" i="9"/>
  <c r="AZ85" i="9"/>
  <c r="BE85" i="9"/>
  <c r="BJ85" i="9"/>
  <c r="BO85" i="9"/>
  <c r="BT85" i="9"/>
  <c r="BY85" i="9"/>
  <c r="CD85" i="9"/>
  <c r="CI85" i="9"/>
  <c r="CN85" i="9"/>
  <c r="CO85" i="9"/>
  <c r="AK86" i="9"/>
  <c r="AP86" i="9"/>
  <c r="AU86" i="9"/>
  <c r="AZ86" i="9"/>
  <c r="BE86" i="9"/>
  <c r="BJ86" i="9"/>
  <c r="BO86" i="9"/>
  <c r="BT86" i="9"/>
  <c r="BY86" i="9"/>
  <c r="CD86" i="9"/>
  <c r="CI86" i="9"/>
  <c r="CN86" i="9"/>
  <c r="CO86" i="9"/>
  <c r="AK87" i="9"/>
  <c r="AP87" i="9"/>
  <c r="AU87" i="9"/>
  <c r="AZ87" i="9"/>
  <c r="BE87" i="9"/>
  <c r="BJ87" i="9"/>
  <c r="BO87" i="9"/>
  <c r="BT87" i="9"/>
  <c r="BY87" i="9"/>
  <c r="CD87" i="9"/>
  <c r="CI87" i="9"/>
  <c r="CN87" i="9"/>
  <c r="CO87" i="9"/>
  <c r="C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AG88" i="9"/>
  <c r="AK88" i="9"/>
  <c r="AL88" i="9"/>
  <c r="AP88" i="9"/>
  <c r="AQ88" i="9"/>
  <c r="AU88" i="9"/>
  <c r="AV88" i="9"/>
  <c r="AZ88" i="9"/>
  <c r="BA88" i="9"/>
  <c r="BE88" i="9"/>
  <c r="BF88" i="9"/>
  <c r="BJ88" i="9"/>
  <c r="BK88" i="9"/>
  <c r="BO88" i="9"/>
  <c r="BP88" i="9"/>
  <c r="BT88" i="9"/>
  <c r="BU88" i="9"/>
  <c r="BY88" i="9"/>
  <c r="BZ88" i="9"/>
  <c r="CD88" i="9"/>
  <c r="CE88" i="9"/>
  <c r="CI88" i="9"/>
  <c r="CJ88" i="9"/>
  <c r="CN88" i="9"/>
  <c r="CO88" i="9"/>
  <c r="CP88" i="9"/>
  <c r="CQ88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AK89" i="9"/>
  <c r="AP89" i="9"/>
  <c r="AU89" i="9"/>
  <c r="AZ89" i="9"/>
  <c r="BE89" i="9"/>
  <c r="BI89" i="9"/>
  <c r="BJ89" i="9"/>
  <c r="BM89" i="9"/>
  <c r="BO89" i="9"/>
  <c r="BQ89" i="9"/>
  <c r="BT89" i="9"/>
  <c r="BU89" i="9"/>
  <c r="BX89" i="9"/>
  <c r="BY89" i="9"/>
  <c r="CB89" i="9"/>
  <c r="CD89" i="9"/>
  <c r="CF89" i="9"/>
  <c r="CI89" i="9"/>
  <c r="CJ89" i="9"/>
  <c r="CN89" i="9"/>
  <c r="CO89" i="9"/>
  <c r="CP89" i="9"/>
  <c r="CQ89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AK90" i="9"/>
  <c r="AP90" i="9"/>
  <c r="AU90" i="9"/>
  <c r="AZ90" i="9"/>
  <c r="BE90" i="9"/>
  <c r="BJ90" i="9"/>
  <c r="BK90" i="9"/>
  <c r="BN90" i="9"/>
  <c r="BO90" i="9"/>
  <c r="BR90" i="9"/>
  <c r="BT90" i="9"/>
  <c r="BV90" i="9"/>
  <c r="BY90" i="9"/>
  <c r="BZ90" i="9"/>
  <c r="CC90" i="9"/>
  <c r="CD90" i="9"/>
  <c r="CG90" i="9"/>
  <c r="CI90" i="9"/>
  <c r="CK90" i="9"/>
  <c r="CN90" i="9"/>
  <c r="CO90" i="9"/>
  <c r="CP90" i="9"/>
  <c r="CQ90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AK91" i="9"/>
  <c r="AO91" i="9"/>
  <c r="AP91" i="9"/>
  <c r="AT91" i="9"/>
  <c r="AU91" i="9"/>
  <c r="AY91" i="9"/>
  <c r="AZ91" i="9"/>
  <c r="BD91" i="9"/>
  <c r="BE91" i="9"/>
  <c r="BI91" i="9"/>
  <c r="BJ91" i="9"/>
  <c r="BN91" i="9"/>
  <c r="BO91" i="9"/>
  <c r="BS91" i="9"/>
  <c r="BT91" i="9"/>
  <c r="BX91" i="9"/>
  <c r="BY91" i="9"/>
  <c r="CC91" i="9"/>
  <c r="CD91" i="9"/>
  <c r="CH91" i="9"/>
  <c r="CI91" i="9"/>
  <c r="CN91" i="9"/>
  <c r="CO91" i="9"/>
  <c r="CP91" i="9"/>
  <c r="CQ91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AG92" i="9"/>
  <c r="AK92" i="9"/>
  <c r="AL92" i="9"/>
  <c r="AP92" i="9"/>
  <c r="AQ92" i="9"/>
  <c r="AU92" i="9"/>
  <c r="AV92" i="9"/>
  <c r="AZ92" i="9"/>
  <c r="BA92" i="9"/>
  <c r="BE92" i="9"/>
  <c r="BF92" i="9"/>
  <c r="BJ92" i="9"/>
  <c r="BK92" i="9"/>
  <c r="BO92" i="9"/>
  <c r="BP92" i="9"/>
  <c r="BT92" i="9"/>
  <c r="BU92" i="9"/>
  <c r="BY92" i="9"/>
  <c r="BZ92" i="9"/>
  <c r="CD92" i="9"/>
  <c r="CE92" i="9"/>
  <c r="CI92" i="9"/>
  <c r="CJ92" i="9"/>
  <c r="CN92" i="9"/>
  <c r="CO92" i="9"/>
  <c r="CP92" i="9"/>
  <c r="CQ92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AG93" i="9"/>
  <c r="AK93" i="9"/>
  <c r="AL93" i="9"/>
  <c r="AP93" i="9"/>
  <c r="AQ93" i="9"/>
  <c r="AU93" i="9"/>
  <c r="AV93" i="9"/>
  <c r="AZ93" i="9"/>
  <c r="BA93" i="9"/>
  <c r="BE93" i="9"/>
  <c r="BF93" i="9"/>
  <c r="BJ93" i="9"/>
  <c r="BK93" i="9"/>
  <c r="BO93" i="9"/>
  <c r="BP93" i="9"/>
  <c r="BT93" i="9"/>
  <c r="BU93" i="9"/>
  <c r="BY93" i="9"/>
  <c r="BZ93" i="9"/>
  <c r="CD93" i="9"/>
  <c r="CE93" i="9"/>
  <c r="CI93" i="9"/>
  <c r="CJ93" i="9"/>
  <c r="CN93" i="9"/>
  <c r="CO93" i="9"/>
  <c r="CP93" i="9"/>
  <c r="CQ93" i="9"/>
  <c r="C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AG94" i="9"/>
  <c r="AK94" i="9"/>
  <c r="AL94" i="9"/>
  <c r="AP94" i="9"/>
  <c r="AQ94" i="9"/>
  <c r="AU94" i="9"/>
  <c r="AV94" i="9"/>
  <c r="AZ94" i="9"/>
  <c r="BA94" i="9"/>
  <c r="BE94" i="9"/>
  <c r="BF94" i="9"/>
  <c r="BJ94" i="9"/>
  <c r="BK94" i="9"/>
  <c r="BO94" i="9"/>
  <c r="BP94" i="9"/>
  <c r="BT94" i="9"/>
  <c r="BU94" i="9"/>
  <c r="BY94" i="9"/>
  <c r="BZ94" i="9"/>
  <c r="CD94" i="9"/>
  <c r="CE94" i="9"/>
  <c r="CI94" i="9"/>
  <c r="CJ94" i="9"/>
  <c r="CN94" i="9"/>
  <c r="CO94" i="9"/>
  <c r="CP94" i="9"/>
  <c r="CQ94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BP95" i="9"/>
  <c r="BQ95" i="9"/>
  <c r="BR95" i="9"/>
  <c r="BS95" i="9"/>
  <c r="BT95" i="9"/>
  <c r="BU95" i="9"/>
  <c r="BV95" i="9"/>
  <c r="BW95" i="9"/>
  <c r="BX95" i="9"/>
  <c r="BY95" i="9"/>
  <c r="BZ95" i="9"/>
  <c r="CA95" i="9"/>
  <c r="CB95" i="9"/>
  <c r="CC95" i="9"/>
  <c r="CD95" i="9"/>
  <c r="CE95" i="9"/>
  <c r="CF95" i="9"/>
  <c r="CG95" i="9"/>
  <c r="CH95" i="9"/>
  <c r="CI95" i="9"/>
  <c r="CJ95" i="9"/>
  <c r="CK95" i="9"/>
  <c r="CL95" i="9"/>
  <c r="CM95" i="9"/>
  <c r="CN95" i="9"/>
  <c r="CO95" i="9"/>
  <c r="CP95" i="9"/>
  <c r="CQ95" i="9"/>
  <c r="F97" i="9"/>
  <c r="G97" i="9"/>
  <c r="M97" i="9"/>
  <c r="N97" i="9"/>
  <c r="O97" i="9"/>
  <c r="P97" i="9"/>
  <c r="Q97" i="9"/>
  <c r="R97" i="9"/>
  <c r="S97" i="9"/>
  <c r="T97" i="9"/>
  <c r="U97" i="9"/>
  <c r="V97" i="9"/>
  <c r="W97" i="9"/>
  <c r="AK97" i="9"/>
  <c r="AP97" i="9"/>
  <c r="AU97" i="9"/>
  <c r="AZ97" i="9"/>
  <c r="BE97" i="9"/>
  <c r="BJ97" i="9"/>
  <c r="BO97" i="9"/>
  <c r="BT97" i="9"/>
  <c r="BY97" i="9"/>
  <c r="CD97" i="9"/>
  <c r="CI97" i="9"/>
  <c r="CN97" i="9"/>
  <c r="CO97" i="9"/>
  <c r="CP97" i="9"/>
  <c r="CQ97" i="9"/>
  <c r="F99" i="9"/>
  <c r="G99" i="9"/>
  <c r="M99" i="9"/>
  <c r="N99" i="9"/>
  <c r="O99" i="9"/>
  <c r="P99" i="9"/>
  <c r="Q99" i="9"/>
  <c r="R99" i="9"/>
  <c r="S99" i="9"/>
  <c r="T99" i="9"/>
  <c r="U99" i="9"/>
  <c r="V99" i="9"/>
  <c r="W99" i="9"/>
  <c r="AG99" i="9"/>
  <c r="AK99" i="9"/>
  <c r="AL99" i="9"/>
  <c r="AP99" i="9"/>
  <c r="AQ99" i="9"/>
  <c r="AU99" i="9"/>
  <c r="AZ99" i="9"/>
  <c r="BE99" i="9"/>
  <c r="BJ99" i="9"/>
  <c r="BO99" i="9"/>
  <c r="BT99" i="9"/>
  <c r="BY99" i="9"/>
  <c r="CD99" i="9"/>
  <c r="CI99" i="9"/>
  <c r="CN99" i="9"/>
  <c r="CO99" i="9"/>
  <c r="CP99" i="9"/>
  <c r="CQ99" i="9"/>
  <c r="F100" i="9"/>
  <c r="G100" i="9"/>
  <c r="M100" i="9"/>
  <c r="N100" i="9"/>
  <c r="O100" i="9"/>
  <c r="P100" i="9"/>
  <c r="Q100" i="9"/>
  <c r="R100" i="9"/>
  <c r="S100" i="9"/>
  <c r="T100" i="9"/>
  <c r="U100" i="9"/>
  <c r="V100" i="9"/>
  <c r="W100" i="9"/>
  <c r="AG100" i="9"/>
  <c r="AK100" i="9"/>
  <c r="AL100" i="9"/>
  <c r="AP100" i="9"/>
  <c r="AQ100" i="9"/>
  <c r="AU100" i="9"/>
  <c r="AV100" i="9"/>
  <c r="AZ100" i="9"/>
  <c r="BA100" i="9"/>
  <c r="BE100" i="9"/>
  <c r="BF100" i="9"/>
  <c r="BJ100" i="9"/>
  <c r="BO100" i="9"/>
  <c r="BT100" i="9"/>
  <c r="BY100" i="9"/>
  <c r="CD100" i="9"/>
  <c r="CI100" i="9"/>
  <c r="CN100" i="9"/>
  <c r="CO100" i="9"/>
  <c r="CP100" i="9"/>
  <c r="CQ100" i="9"/>
  <c r="F101" i="9"/>
  <c r="G101" i="9"/>
  <c r="M101" i="9"/>
  <c r="N101" i="9"/>
  <c r="O101" i="9"/>
  <c r="P101" i="9"/>
  <c r="Q101" i="9"/>
  <c r="R101" i="9"/>
  <c r="S101" i="9"/>
  <c r="T101" i="9"/>
  <c r="U101" i="9"/>
  <c r="V101" i="9"/>
  <c r="W101" i="9"/>
  <c r="AG101" i="9"/>
  <c r="AK101" i="9"/>
  <c r="AL101" i="9"/>
  <c r="AP101" i="9"/>
  <c r="AQ101" i="9"/>
  <c r="AU101" i="9"/>
  <c r="AV101" i="9"/>
  <c r="AZ101" i="9"/>
  <c r="BA101" i="9"/>
  <c r="BE101" i="9"/>
  <c r="BF101" i="9"/>
  <c r="BJ101" i="9"/>
  <c r="BO101" i="9"/>
  <c r="BT101" i="9"/>
  <c r="BY101" i="9"/>
  <c r="CD101" i="9"/>
  <c r="CI101" i="9"/>
  <c r="CN101" i="9"/>
  <c r="CO101" i="9"/>
  <c r="CP101" i="9"/>
  <c r="CQ101" i="9"/>
  <c r="F102" i="9"/>
  <c r="G102" i="9"/>
  <c r="M102" i="9"/>
  <c r="N102" i="9"/>
  <c r="O102" i="9"/>
  <c r="P102" i="9"/>
  <c r="Q102" i="9"/>
  <c r="R102" i="9"/>
  <c r="S102" i="9"/>
  <c r="T102" i="9"/>
  <c r="U102" i="9"/>
  <c r="V102" i="9"/>
  <c r="W102" i="9"/>
  <c r="AG102" i="9"/>
  <c r="AK102" i="9"/>
  <c r="AL102" i="9"/>
  <c r="AP102" i="9"/>
  <c r="AQ102" i="9"/>
  <c r="AU102" i="9"/>
  <c r="AV102" i="9"/>
  <c r="AZ102" i="9"/>
  <c r="BA102" i="9"/>
  <c r="BE102" i="9"/>
  <c r="BF102" i="9"/>
  <c r="BJ102" i="9"/>
  <c r="BO102" i="9"/>
  <c r="BT102" i="9"/>
  <c r="BY102" i="9"/>
  <c r="CD102" i="9"/>
  <c r="CI102" i="9"/>
  <c r="CN102" i="9"/>
  <c r="CO102" i="9"/>
  <c r="CP102" i="9"/>
  <c r="CQ102" i="9"/>
  <c r="F103" i="9"/>
  <c r="G103" i="9"/>
  <c r="M103" i="9"/>
  <c r="N103" i="9"/>
  <c r="O103" i="9"/>
  <c r="P103" i="9"/>
  <c r="Q103" i="9"/>
  <c r="R103" i="9"/>
  <c r="S103" i="9"/>
  <c r="T103" i="9"/>
  <c r="U103" i="9"/>
  <c r="V103" i="9"/>
  <c r="W103" i="9"/>
  <c r="AG103" i="9"/>
  <c r="AK103" i="9"/>
  <c r="AL103" i="9"/>
  <c r="AP103" i="9"/>
  <c r="AQ103" i="9"/>
  <c r="AU103" i="9"/>
  <c r="AV103" i="9"/>
  <c r="AZ103" i="9"/>
  <c r="BA103" i="9"/>
  <c r="BE103" i="9"/>
  <c r="BF103" i="9"/>
  <c r="BJ103" i="9"/>
  <c r="BO103" i="9"/>
  <c r="BT103" i="9"/>
  <c r="BY103" i="9"/>
  <c r="CD103" i="9"/>
  <c r="CI103" i="9"/>
  <c r="CN103" i="9"/>
  <c r="CO103" i="9"/>
  <c r="CP103" i="9"/>
  <c r="CQ103" i="9"/>
  <c r="F104" i="9"/>
  <c r="G104" i="9"/>
  <c r="M104" i="9"/>
  <c r="N104" i="9"/>
  <c r="O104" i="9"/>
  <c r="P104" i="9"/>
  <c r="Q104" i="9"/>
  <c r="R104" i="9"/>
  <c r="S104" i="9"/>
  <c r="T104" i="9"/>
  <c r="U104" i="9"/>
  <c r="V104" i="9"/>
  <c r="W104" i="9"/>
  <c r="AG104" i="9"/>
  <c r="AK104" i="9"/>
  <c r="AL104" i="9"/>
  <c r="AP104" i="9"/>
  <c r="AQ104" i="9"/>
  <c r="AU104" i="9"/>
  <c r="AV104" i="9"/>
  <c r="AZ104" i="9"/>
  <c r="BA104" i="9"/>
  <c r="BE104" i="9"/>
  <c r="BF104" i="9"/>
  <c r="BJ104" i="9"/>
  <c r="BO104" i="9"/>
  <c r="BT104" i="9"/>
  <c r="BY104" i="9"/>
  <c r="CD104" i="9"/>
  <c r="CI104" i="9"/>
  <c r="CN104" i="9"/>
  <c r="CO104" i="9"/>
  <c r="CP104" i="9"/>
  <c r="CQ104" i="9"/>
  <c r="F105" i="9"/>
  <c r="G105" i="9"/>
  <c r="M105" i="9"/>
  <c r="N105" i="9"/>
  <c r="O105" i="9"/>
  <c r="P105" i="9"/>
  <c r="Q105" i="9"/>
  <c r="R105" i="9"/>
  <c r="S105" i="9"/>
  <c r="T105" i="9"/>
  <c r="U105" i="9"/>
  <c r="V105" i="9"/>
  <c r="W105" i="9"/>
  <c r="AG105" i="9"/>
  <c r="AK105" i="9"/>
  <c r="AL105" i="9"/>
  <c r="AP105" i="9"/>
  <c r="AQ105" i="9"/>
  <c r="AU105" i="9"/>
  <c r="AV105" i="9"/>
  <c r="AZ105" i="9"/>
  <c r="BA105" i="9"/>
  <c r="BE105" i="9"/>
  <c r="BF105" i="9"/>
  <c r="BJ105" i="9"/>
  <c r="BO105" i="9"/>
  <c r="BT105" i="9"/>
  <c r="BY105" i="9"/>
  <c r="CD105" i="9"/>
  <c r="CI105" i="9"/>
  <c r="CN105" i="9"/>
  <c r="CO105" i="9"/>
  <c r="CP105" i="9"/>
  <c r="CQ105" i="9"/>
  <c r="F106" i="9"/>
  <c r="G106" i="9"/>
  <c r="M106" i="9"/>
  <c r="N106" i="9"/>
  <c r="O106" i="9"/>
  <c r="P106" i="9"/>
  <c r="Q106" i="9"/>
  <c r="R106" i="9"/>
  <c r="S106" i="9"/>
  <c r="T106" i="9"/>
  <c r="U106" i="9"/>
  <c r="V106" i="9"/>
  <c r="W106" i="9"/>
  <c r="AG106" i="9"/>
  <c r="AK106" i="9"/>
  <c r="AL106" i="9"/>
  <c r="AP106" i="9"/>
  <c r="AQ106" i="9"/>
  <c r="AU106" i="9"/>
  <c r="AV106" i="9"/>
  <c r="AZ106" i="9"/>
  <c r="BA106" i="9"/>
  <c r="BE106" i="9"/>
  <c r="BF106" i="9"/>
  <c r="BJ106" i="9"/>
  <c r="BO106" i="9"/>
  <c r="BT106" i="9"/>
  <c r="BY106" i="9"/>
  <c r="CD106" i="9"/>
  <c r="CI106" i="9"/>
  <c r="CN106" i="9"/>
  <c r="CO106" i="9"/>
  <c r="CP106" i="9"/>
  <c r="CQ106" i="9"/>
  <c r="F107" i="9"/>
  <c r="G107" i="9"/>
  <c r="M107" i="9"/>
  <c r="N107" i="9"/>
  <c r="O107" i="9"/>
  <c r="P107" i="9"/>
  <c r="Q107" i="9"/>
  <c r="R107" i="9"/>
  <c r="S107" i="9"/>
  <c r="T107" i="9"/>
  <c r="U107" i="9"/>
  <c r="V107" i="9"/>
  <c r="W107" i="9"/>
  <c r="AG107" i="9"/>
  <c r="AK107" i="9"/>
  <c r="AL107" i="9"/>
  <c r="AP107" i="9"/>
  <c r="AQ107" i="9"/>
  <c r="AU107" i="9"/>
  <c r="AV107" i="9"/>
  <c r="AZ107" i="9"/>
  <c r="BA107" i="9"/>
  <c r="BE107" i="9"/>
  <c r="BF107" i="9"/>
  <c r="BJ107" i="9"/>
  <c r="BO107" i="9"/>
  <c r="BT107" i="9"/>
  <c r="BY107" i="9"/>
  <c r="CD107" i="9"/>
  <c r="CI107" i="9"/>
  <c r="CN107" i="9"/>
  <c r="CO107" i="9"/>
  <c r="CP107" i="9"/>
  <c r="CQ107" i="9"/>
  <c r="F108" i="9"/>
  <c r="G108" i="9"/>
  <c r="M108" i="9"/>
  <c r="N108" i="9"/>
  <c r="O108" i="9"/>
  <c r="P108" i="9"/>
  <c r="Q108" i="9"/>
  <c r="R108" i="9"/>
  <c r="S108" i="9"/>
  <c r="T108" i="9"/>
  <c r="U108" i="9"/>
  <c r="V108" i="9"/>
  <c r="W108" i="9"/>
  <c r="AG108" i="9"/>
  <c r="AK108" i="9"/>
  <c r="AL108" i="9"/>
  <c r="AP108" i="9"/>
  <c r="AQ108" i="9"/>
  <c r="AU108" i="9"/>
  <c r="AV108" i="9"/>
  <c r="AZ108" i="9"/>
  <c r="BA108" i="9"/>
  <c r="BE108" i="9"/>
  <c r="BF108" i="9"/>
  <c r="BJ108" i="9"/>
  <c r="BO108" i="9"/>
  <c r="BT108" i="9"/>
  <c r="BY108" i="9"/>
  <c r="CD108" i="9"/>
  <c r="CI108" i="9"/>
  <c r="CN108" i="9"/>
  <c r="CO108" i="9"/>
  <c r="CP108" i="9"/>
  <c r="CQ108" i="9"/>
  <c r="F109" i="9"/>
  <c r="G109" i="9"/>
  <c r="M109" i="9"/>
  <c r="N109" i="9"/>
  <c r="O109" i="9"/>
  <c r="P109" i="9"/>
  <c r="Q109" i="9"/>
  <c r="R109" i="9"/>
  <c r="S109" i="9"/>
  <c r="T109" i="9"/>
  <c r="U109" i="9"/>
  <c r="V109" i="9"/>
  <c r="W109" i="9"/>
  <c r="AG109" i="9"/>
  <c r="AK109" i="9"/>
  <c r="AL109" i="9"/>
  <c r="AP109" i="9"/>
  <c r="AQ109" i="9"/>
  <c r="AU109" i="9"/>
  <c r="AV109" i="9"/>
  <c r="AZ109" i="9"/>
  <c r="BA109" i="9"/>
  <c r="BE109" i="9"/>
  <c r="BF109" i="9"/>
  <c r="BJ109" i="9"/>
  <c r="BO109" i="9"/>
  <c r="BT109" i="9"/>
  <c r="BY109" i="9"/>
  <c r="CD109" i="9"/>
  <c r="CI109" i="9"/>
  <c r="CN109" i="9"/>
  <c r="CO109" i="9"/>
  <c r="CP109" i="9"/>
  <c r="CQ109" i="9"/>
  <c r="F110" i="9"/>
  <c r="G110" i="9"/>
  <c r="M110" i="9"/>
  <c r="N110" i="9"/>
  <c r="O110" i="9"/>
  <c r="P110" i="9"/>
  <c r="Q110" i="9"/>
  <c r="R110" i="9"/>
  <c r="S110" i="9"/>
  <c r="T110" i="9"/>
  <c r="U110" i="9"/>
  <c r="V110" i="9"/>
  <c r="W110" i="9"/>
  <c r="AG110" i="9"/>
  <c r="AK110" i="9"/>
  <c r="AL110" i="9"/>
  <c r="AP110" i="9"/>
  <c r="AQ110" i="9"/>
  <c r="AU110" i="9"/>
  <c r="AV110" i="9"/>
  <c r="AZ110" i="9"/>
  <c r="BA110" i="9"/>
  <c r="BE110" i="9"/>
  <c r="BF110" i="9"/>
  <c r="BJ110" i="9"/>
  <c r="BO110" i="9"/>
  <c r="BT110" i="9"/>
  <c r="BY110" i="9"/>
  <c r="CD110" i="9"/>
  <c r="CI110" i="9"/>
  <c r="CN110" i="9"/>
  <c r="CO110" i="9"/>
  <c r="CP110" i="9"/>
  <c r="CQ110" i="9"/>
  <c r="F111" i="9"/>
  <c r="G111" i="9"/>
  <c r="M111" i="9"/>
  <c r="N111" i="9"/>
  <c r="O111" i="9"/>
  <c r="P111" i="9"/>
  <c r="Q111" i="9"/>
  <c r="R111" i="9"/>
  <c r="S111" i="9"/>
  <c r="T111" i="9"/>
  <c r="U111" i="9"/>
  <c r="V111" i="9"/>
  <c r="W111" i="9"/>
  <c r="AG111" i="9"/>
  <c r="AK111" i="9"/>
  <c r="AL111" i="9"/>
  <c r="AP111" i="9"/>
  <c r="AQ111" i="9"/>
  <c r="AU111" i="9"/>
  <c r="AV111" i="9"/>
  <c r="AZ111" i="9"/>
  <c r="BA111" i="9"/>
  <c r="BE111" i="9"/>
  <c r="BF111" i="9"/>
  <c r="BJ111" i="9"/>
  <c r="BO111" i="9"/>
  <c r="BT111" i="9"/>
  <c r="BY111" i="9"/>
  <c r="CD111" i="9"/>
  <c r="CI111" i="9"/>
  <c r="CN111" i="9"/>
  <c r="CO111" i="9"/>
  <c r="CP111" i="9"/>
  <c r="CQ111" i="9"/>
  <c r="F112" i="9"/>
  <c r="G112" i="9"/>
  <c r="M112" i="9"/>
  <c r="N112" i="9"/>
  <c r="O112" i="9"/>
  <c r="P112" i="9"/>
  <c r="Q112" i="9"/>
  <c r="R112" i="9"/>
  <c r="S112" i="9"/>
  <c r="T112" i="9"/>
  <c r="U112" i="9"/>
  <c r="V112" i="9"/>
  <c r="W112" i="9"/>
  <c r="AG112" i="9"/>
  <c r="AK112" i="9"/>
  <c r="AL112" i="9"/>
  <c r="AP112" i="9"/>
  <c r="AQ112" i="9"/>
  <c r="AU112" i="9"/>
  <c r="AV112" i="9"/>
  <c r="AZ112" i="9"/>
  <c r="BA112" i="9"/>
  <c r="BE112" i="9"/>
  <c r="BF112" i="9"/>
  <c r="BJ112" i="9"/>
  <c r="BO112" i="9"/>
  <c r="BT112" i="9"/>
  <c r="BY112" i="9"/>
  <c r="CD112" i="9"/>
  <c r="CI112" i="9"/>
  <c r="CN112" i="9"/>
  <c r="CO112" i="9"/>
  <c r="CP112" i="9"/>
  <c r="CQ112" i="9"/>
  <c r="F113" i="9"/>
  <c r="G113" i="9"/>
  <c r="M113" i="9"/>
  <c r="N113" i="9"/>
  <c r="O113" i="9"/>
  <c r="P113" i="9"/>
  <c r="Q113" i="9"/>
  <c r="R113" i="9"/>
  <c r="S113" i="9"/>
  <c r="T113" i="9"/>
  <c r="U113" i="9"/>
  <c r="V113" i="9"/>
  <c r="W113" i="9"/>
  <c r="AG113" i="9"/>
  <c r="AK113" i="9"/>
  <c r="AL113" i="9"/>
  <c r="AP113" i="9"/>
  <c r="AQ113" i="9"/>
  <c r="AU113" i="9"/>
  <c r="AV113" i="9"/>
  <c r="AZ113" i="9"/>
  <c r="BA113" i="9"/>
  <c r="BE113" i="9"/>
  <c r="BF113" i="9"/>
  <c r="BJ113" i="9"/>
  <c r="BO113" i="9"/>
  <c r="BT113" i="9"/>
  <c r="BY113" i="9"/>
  <c r="CD113" i="9"/>
  <c r="CI113" i="9"/>
  <c r="CN113" i="9"/>
  <c r="CO113" i="9"/>
  <c r="CP113" i="9"/>
  <c r="CQ113" i="9"/>
  <c r="F114" i="9"/>
  <c r="G114" i="9"/>
  <c r="M114" i="9"/>
  <c r="N114" i="9"/>
  <c r="O114" i="9"/>
  <c r="P114" i="9"/>
  <c r="Q114" i="9"/>
  <c r="R114" i="9"/>
  <c r="S114" i="9"/>
  <c r="T114" i="9"/>
  <c r="U114" i="9"/>
  <c r="V114" i="9"/>
  <c r="W114" i="9"/>
  <c r="AG114" i="9"/>
  <c r="AK114" i="9"/>
  <c r="AL114" i="9"/>
  <c r="AP114" i="9"/>
  <c r="AQ114" i="9"/>
  <c r="AU114" i="9"/>
  <c r="AV114" i="9"/>
  <c r="AZ114" i="9"/>
  <c r="BA114" i="9"/>
  <c r="BE114" i="9"/>
  <c r="BF114" i="9"/>
  <c r="BJ114" i="9"/>
  <c r="BO114" i="9"/>
  <c r="BT114" i="9"/>
  <c r="BY114" i="9"/>
  <c r="CD114" i="9"/>
  <c r="CI114" i="9"/>
  <c r="CN114" i="9"/>
  <c r="CO114" i="9"/>
  <c r="CP114" i="9"/>
  <c r="CQ114" i="9"/>
  <c r="F115" i="9"/>
  <c r="G115" i="9"/>
  <c r="M115" i="9"/>
  <c r="N115" i="9"/>
  <c r="O115" i="9"/>
  <c r="P115" i="9"/>
  <c r="Q115" i="9"/>
  <c r="R115" i="9"/>
  <c r="S115" i="9"/>
  <c r="T115" i="9"/>
  <c r="U115" i="9"/>
  <c r="V115" i="9"/>
  <c r="W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AZ115" i="9"/>
  <c r="BA115" i="9"/>
  <c r="BB115" i="9"/>
  <c r="BC115" i="9"/>
  <c r="BD115" i="9"/>
  <c r="BE115" i="9"/>
  <c r="BF115" i="9"/>
  <c r="BG115" i="9"/>
  <c r="BH115" i="9"/>
  <c r="BI115" i="9"/>
  <c r="BJ115" i="9"/>
  <c r="BK115" i="9"/>
  <c r="BL115" i="9"/>
  <c r="BM115" i="9"/>
  <c r="BN115" i="9"/>
  <c r="BO115" i="9"/>
  <c r="BP115" i="9"/>
  <c r="BQ115" i="9"/>
  <c r="BR115" i="9"/>
  <c r="BS115" i="9"/>
  <c r="BT115" i="9"/>
  <c r="BU115" i="9"/>
  <c r="BV115" i="9"/>
  <c r="BW115" i="9"/>
  <c r="BX115" i="9"/>
  <c r="BY115" i="9"/>
  <c r="BZ115" i="9"/>
  <c r="CA115" i="9"/>
  <c r="CB115" i="9"/>
  <c r="CC115" i="9"/>
  <c r="CD115" i="9"/>
  <c r="CE115" i="9"/>
  <c r="CF115" i="9"/>
  <c r="CG115" i="9"/>
  <c r="CH115" i="9"/>
  <c r="CI115" i="9"/>
  <c r="CJ115" i="9"/>
  <c r="CK115" i="9"/>
  <c r="CL115" i="9"/>
  <c r="CM115" i="9"/>
  <c r="CN115" i="9"/>
  <c r="CO115" i="9"/>
  <c r="CP115" i="9"/>
  <c r="CQ115" i="9"/>
  <c r="O116" i="9"/>
  <c r="F117" i="9"/>
  <c r="G117" i="9"/>
  <c r="M117" i="9"/>
  <c r="N117" i="9"/>
  <c r="O117" i="9"/>
  <c r="P117" i="9"/>
  <c r="Q117" i="9"/>
  <c r="R117" i="9"/>
  <c r="S117" i="9"/>
  <c r="T117" i="9"/>
  <c r="U117" i="9"/>
  <c r="V117" i="9"/>
  <c r="W117" i="9"/>
  <c r="AK117" i="9"/>
  <c r="AP117" i="9"/>
  <c r="AU117" i="9"/>
  <c r="AZ117" i="9"/>
  <c r="BE117" i="9"/>
  <c r="BJ117" i="9"/>
  <c r="BO117" i="9"/>
  <c r="BT117" i="9"/>
  <c r="BY117" i="9"/>
  <c r="CD117" i="9"/>
  <c r="CI117" i="9"/>
  <c r="CL117" i="9"/>
  <c r="CN117" i="9"/>
  <c r="CO117" i="9"/>
  <c r="CP117" i="9"/>
  <c r="CQ117" i="9"/>
  <c r="D118" i="9"/>
  <c r="F118" i="9"/>
  <c r="G118" i="9"/>
  <c r="M118" i="9"/>
  <c r="N118" i="9"/>
  <c r="O118" i="9"/>
  <c r="P118" i="9"/>
  <c r="Q118" i="9"/>
  <c r="R118" i="9"/>
  <c r="S118" i="9"/>
  <c r="T118" i="9"/>
  <c r="U118" i="9"/>
  <c r="V118" i="9"/>
  <c r="W118" i="9"/>
  <c r="AK118" i="9"/>
  <c r="AP118" i="9"/>
  <c r="AU118" i="9"/>
  <c r="AZ118" i="9"/>
  <c r="BE118" i="9"/>
  <c r="BJ118" i="9"/>
  <c r="BO118" i="9"/>
  <c r="BT118" i="9"/>
  <c r="BY118" i="9"/>
  <c r="CD118" i="9"/>
  <c r="CI118" i="9"/>
  <c r="CL118" i="9"/>
  <c r="CN118" i="9"/>
  <c r="CO118" i="9"/>
  <c r="CP118" i="9"/>
  <c r="CQ118" i="9"/>
  <c r="D119" i="9"/>
  <c r="F119" i="9"/>
  <c r="G119" i="9"/>
  <c r="M119" i="9"/>
  <c r="N119" i="9"/>
  <c r="O119" i="9"/>
  <c r="P119" i="9"/>
  <c r="Q119" i="9"/>
  <c r="R119" i="9"/>
  <c r="S119" i="9"/>
  <c r="T119" i="9"/>
  <c r="U119" i="9"/>
  <c r="V119" i="9"/>
  <c r="W119" i="9"/>
  <c r="AK119" i="9"/>
  <c r="AP119" i="9"/>
  <c r="AU119" i="9"/>
  <c r="AZ119" i="9"/>
  <c r="BE119" i="9"/>
  <c r="BJ119" i="9"/>
  <c r="BO119" i="9"/>
  <c r="BT119" i="9"/>
  <c r="BY119" i="9"/>
  <c r="CD119" i="9"/>
  <c r="CI119" i="9"/>
  <c r="CM119" i="9"/>
  <c r="CN119" i="9"/>
  <c r="CO119" i="9"/>
  <c r="CP119" i="9"/>
  <c r="CQ119" i="9"/>
  <c r="F120" i="9"/>
  <c r="G120" i="9"/>
  <c r="M120" i="9"/>
  <c r="N120" i="9"/>
  <c r="O120" i="9"/>
  <c r="P120" i="9"/>
  <c r="Q120" i="9"/>
  <c r="R120" i="9"/>
  <c r="S120" i="9"/>
  <c r="T120" i="9"/>
  <c r="U120" i="9"/>
  <c r="V120" i="9"/>
  <c r="W120" i="9"/>
  <c r="AK120" i="9"/>
  <c r="AP120" i="9"/>
  <c r="AU120" i="9"/>
  <c r="AZ120" i="9"/>
  <c r="BE120" i="9"/>
  <c r="BJ120" i="9"/>
  <c r="BO120" i="9"/>
  <c r="BT120" i="9"/>
  <c r="BY120" i="9"/>
  <c r="CD120" i="9"/>
  <c r="CI120" i="9"/>
  <c r="CM120" i="9"/>
  <c r="CN120" i="9"/>
  <c r="CO120" i="9"/>
  <c r="CP120" i="9"/>
  <c r="CQ120" i="9"/>
  <c r="E121" i="9"/>
  <c r="F121" i="9"/>
  <c r="G121" i="9"/>
  <c r="M121" i="9"/>
  <c r="N121" i="9"/>
  <c r="O121" i="9"/>
  <c r="P121" i="9"/>
  <c r="Q121" i="9"/>
  <c r="R121" i="9"/>
  <c r="S121" i="9"/>
  <c r="T121" i="9"/>
  <c r="U121" i="9"/>
  <c r="V121" i="9"/>
  <c r="W121" i="9"/>
  <c r="AK121" i="9"/>
  <c r="AN121" i="9"/>
  <c r="AP121" i="9"/>
  <c r="AS121" i="9"/>
  <c r="AU121" i="9"/>
  <c r="AX121" i="9"/>
  <c r="AZ121" i="9"/>
  <c r="BC121" i="9"/>
  <c r="BE121" i="9"/>
  <c r="BH121" i="9"/>
  <c r="BJ121" i="9"/>
  <c r="BM121" i="9"/>
  <c r="BO121" i="9"/>
  <c r="BT121" i="9"/>
  <c r="BY121" i="9"/>
  <c r="CD121" i="9"/>
  <c r="CI121" i="9"/>
  <c r="CN121" i="9"/>
  <c r="CO121" i="9"/>
  <c r="CP121" i="9"/>
  <c r="CQ121" i="9"/>
  <c r="F122" i="9"/>
  <c r="G122" i="9"/>
  <c r="M122" i="9"/>
  <c r="N122" i="9"/>
  <c r="O122" i="9"/>
  <c r="P122" i="9"/>
  <c r="Q122" i="9"/>
  <c r="R122" i="9"/>
  <c r="S122" i="9"/>
  <c r="T122" i="9"/>
  <c r="U122" i="9"/>
  <c r="V122" i="9"/>
  <c r="W122" i="9"/>
  <c r="AK122" i="9"/>
  <c r="AP122" i="9"/>
  <c r="AU122" i="9"/>
  <c r="AZ122" i="9"/>
  <c r="BE122" i="9"/>
  <c r="BJ122" i="9"/>
  <c r="BM122" i="9"/>
  <c r="BO122" i="9"/>
  <c r="BT122" i="9"/>
  <c r="BY122" i="9"/>
  <c r="CD122" i="9"/>
  <c r="CI122" i="9"/>
  <c r="CN122" i="9"/>
  <c r="CO122" i="9"/>
  <c r="CP122" i="9"/>
  <c r="CQ122" i="9"/>
  <c r="F123" i="9"/>
  <c r="G123" i="9"/>
  <c r="M123" i="9"/>
  <c r="N123" i="9"/>
  <c r="O123" i="9"/>
  <c r="P123" i="9"/>
  <c r="Q123" i="9"/>
  <c r="R123" i="9"/>
  <c r="S123" i="9"/>
  <c r="T123" i="9"/>
  <c r="U123" i="9"/>
  <c r="V123" i="9"/>
  <c r="W123" i="9"/>
  <c r="AK123" i="9"/>
  <c r="AM123" i="9"/>
  <c r="AP123" i="9"/>
  <c r="AR123" i="9"/>
  <c r="AU123" i="9"/>
  <c r="AW123" i="9"/>
  <c r="AZ123" i="9"/>
  <c r="BB123" i="9"/>
  <c r="BE123" i="9"/>
  <c r="BJ123" i="9"/>
  <c r="BO123" i="9"/>
  <c r="BT123" i="9"/>
  <c r="BY123" i="9"/>
  <c r="CD123" i="9"/>
  <c r="CI123" i="9"/>
  <c r="CN123" i="9"/>
  <c r="CO123" i="9"/>
  <c r="CP123" i="9"/>
  <c r="CQ123" i="9"/>
  <c r="E124" i="9"/>
  <c r="F124" i="9"/>
  <c r="G124" i="9"/>
  <c r="M124" i="9"/>
  <c r="N124" i="9"/>
  <c r="O124" i="9"/>
  <c r="P124" i="9"/>
  <c r="Q124" i="9"/>
  <c r="R124" i="9"/>
  <c r="S124" i="9"/>
  <c r="T124" i="9"/>
  <c r="U124" i="9"/>
  <c r="V124" i="9"/>
  <c r="W124" i="9"/>
  <c r="AK124" i="9"/>
  <c r="AP124" i="9"/>
  <c r="AU124" i="9"/>
  <c r="AZ124" i="9"/>
  <c r="BE124" i="9"/>
  <c r="BJ124" i="9"/>
  <c r="BO124" i="9"/>
  <c r="BT124" i="9"/>
  <c r="BY124" i="9"/>
  <c r="CD124" i="9"/>
  <c r="CI124" i="9"/>
  <c r="CL124" i="9"/>
  <c r="CM124" i="9"/>
  <c r="CN124" i="9"/>
  <c r="CO124" i="9"/>
  <c r="CP124" i="9"/>
  <c r="CQ124" i="9"/>
  <c r="E125" i="9"/>
  <c r="F125" i="9"/>
  <c r="G125" i="9"/>
  <c r="M125" i="9"/>
  <c r="N125" i="9"/>
  <c r="O125" i="9"/>
  <c r="P125" i="9"/>
  <c r="Q125" i="9"/>
  <c r="R125" i="9"/>
  <c r="S125" i="9"/>
  <c r="T125" i="9"/>
  <c r="U125" i="9"/>
  <c r="V125" i="9"/>
  <c r="W125" i="9"/>
  <c r="AK125" i="9"/>
  <c r="AP125" i="9"/>
  <c r="AU125" i="9"/>
  <c r="AZ125" i="9"/>
  <c r="BE125" i="9"/>
  <c r="BJ125" i="9"/>
  <c r="BL125" i="9"/>
  <c r="BM125" i="9"/>
  <c r="BO125" i="9"/>
  <c r="BT125" i="9"/>
  <c r="BY125" i="9"/>
  <c r="CD125" i="9"/>
  <c r="CI125" i="9"/>
  <c r="CN125" i="9"/>
  <c r="CO125" i="9"/>
  <c r="CP125" i="9"/>
  <c r="CQ125" i="9"/>
  <c r="F126" i="9"/>
  <c r="G126" i="9"/>
  <c r="M126" i="9"/>
  <c r="N126" i="9"/>
  <c r="O126" i="9"/>
  <c r="P126" i="9"/>
  <c r="Q126" i="9"/>
  <c r="R126" i="9"/>
  <c r="S126" i="9"/>
  <c r="T126" i="9"/>
  <c r="U126" i="9"/>
  <c r="V126" i="9"/>
  <c r="W126" i="9"/>
  <c r="AK126" i="9"/>
  <c r="AP126" i="9"/>
  <c r="AU126" i="9"/>
  <c r="AZ126" i="9"/>
  <c r="BE126" i="9"/>
  <c r="BJ126" i="9"/>
  <c r="BO126" i="9"/>
  <c r="BT126" i="9"/>
  <c r="BY126" i="9"/>
  <c r="CD126" i="9"/>
  <c r="CI126" i="9"/>
  <c r="CL126" i="9"/>
  <c r="CM126" i="9"/>
  <c r="CN126" i="9"/>
  <c r="CO126" i="9"/>
  <c r="CP126" i="9"/>
  <c r="CQ126" i="9"/>
  <c r="F127" i="9"/>
  <c r="G127" i="9"/>
  <c r="M127" i="9"/>
  <c r="N127" i="9"/>
  <c r="O127" i="9"/>
  <c r="P127" i="9"/>
  <c r="Q127" i="9"/>
  <c r="R127" i="9"/>
  <c r="S127" i="9"/>
  <c r="T127" i="9"/>
  <c r="U127" i="9"/>
  <c r="V127" i="9"/>
  <c r="W127" i="9"/>
  <c r="AK127" i="9"/>
  <c r="AP127" i="9"/>
  <c r="AU127" i="9"/>
  <c r="AZ127" i="9"/>
  <c r="BE127" i="9"/>
  <c r="BJ127" i="9"/>
  <c r="BO127" i="9"/>
  <c r="BT127" i="9"/>
  <c r="BY127" i="9"/>
  <c r="CD127" i="9"/>
  <c r="CI127" i="9"/>
  <c r="CL127" i="9"/>
  <c r="CM127" i="9"/>
  <c r="CN127" i="9"/>
  <c r="CO127" i="9"/>
  <c r="CP127" i="9"/>
  <c r="CQ127" i="9"/>
  <c r="F128" i="9"/>
  <c r="G128" i="9"/>
  <c r="M128" i="9"/>
  <c r="N128" i="9"/>
  <c r="O128" i="9"/>
  <c r="P128" i="9"/>
  <c r="Q128" i="9"/>
  <c r="R128" i="9"/>
  <c r="S128" i="9"/>
  <c r="T128" i="9"/>
  <c r="U128" i="9"/>
  <c r="V128" i="9"/>
  <c r="W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AZ128" i="9"/>
  <c r="BA128" i="9"/>
  <c r="BB128" i="9"/>
  <c r="BC128" i="9"/>
  <c r="BD128" i="9"/>
  <c r="BE128" i="9"/>
  <c r="BF128" i="9"/>
  <c r="BG128" i="9"/>
  <c r="BH128" i="9"/>
  <c r="BI128" i="9"/>
  <c r="BJ128" i="9"/>
  <c r="BK128" i="9"/>
  <c r="BL128" i="9"/>
  <c r="BM128" i="9"/>
  <c r="BN128" i="9"/>
  <c r="BO128" i="9"/>
  <c r="BP128" i="9"/>
  <c r="BQ128" i="9"/>
  <c r="BR128" i="9"/>
  <c r="BS128" i="9"/>
  <c r="BT128" i="9"/>
  <c r="BU128" i="9"/>
  <c r="BV128" i="9"/>
  <c r="BW128" i="9"/>
  <c r="BX128" i="9"/>
  <c r="BY128" i="9"/>
  <c r="BZ128" i="9"/>
  <c r="CA128" i="9"/>
  <c r="CB128" i="9"/>
  <c r="CC128" i="9"/>
  <c r="CD128" i="9"/>
  <c r="CE128" i="9"/>
  <c r="CF128" i="9"/>
  <c r="CG128" i="9"/>
  <c r="CH128" i="9"/>
  <c r="CI128" i="9"/>
  <c r="CJ128" i="9"/>
  <c r="CK128" i="9"/>
  <c r="CL128" i="9"/>
  <c r="CM128" i="9"/>
  <c r="CN128" i="9"/>
  <c r="CO128" i="9"/>
  <c r="CP128" i="9"/>
  <c r="CQ128" i="9"/>
  <c r="F129" i="9"/>
  <c r="G129" i="9"/>
  <c r="M129" i="9"/>
  <c r="N129" i="9"/>
  <c r="O129" i="9"/>
  <c r="P129" i="9"/>
  <c r="Q129" i="9"/>
  <c r="R129" i="9"/>
  <c r="S129" i="9"/>
  <c r="T129" i="9"/>
  <c r="U129" i="9"/>
  <c r="V129" i="9"/>
  <c r="W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AZ129" i="9"/>
  <c r="BA129" i="9"/>
  <c r="BB129" i="9"/>
  <c r="BC129" i="9"/>
  <c r="BD129" i="9"/>
  <c r="BE129" i="9"/>
  <c r="BF129" i="9"/>
  <c r="BG129" i="9"/>
  <c r="BH129" i="9"/>
  <c r="BI129" i="9"/>
  <c r="BJ129" i="9"/>
  <c r="BK129" i="9"/>
  <c r="BL129" i="9"/>
  <c r="BM129" i="9"/>
  <c r="BN129" i="9"/>
  <c r="BO129" i="9"/>
  <c r="BP129" i="9"/>
  <c r="BQ129" i="9"/>
  <c r="BR129" i="9"/>
  <c r="BS129" i="9"/>
  <c r="BT129" i="9"/>
  <c r="BU129" i="9"/>
  <c r="BV129" i="9"/>
  <c r="BW129" i="9"/>
  <c r="BX129" i="9"/>
  <c r="BY129" i="9"/>
  <c r="BZ129" i="9"/>
  <c r="CA129" i="9"/>
  <c r="CB129" i="9"/>
  <c r="CC129" i="9"/>
  <c r="CD129" i="9"/>
  <c r="CE129" i="9"/>
  <c r="CF129" i="9"/>
  <c r="CG129" i="9"/>
  <c r="CH129" i="9"/>
  <c r="CI129" i="9"/>
  <c r="CJ129" i="9"/>
  <c r="CK129" i="9"/>
  <c r="CL129" i="9"/>
  <c r="CM129" i="9"/>
  <c r="CN129" i="9"/>
  <c r="CO129" i="9"/>
  <c r="CP129" i="9"/>
  <c r="CQ129" i="9"/>
  <c r="F130" i="9"/>
  <c r="G130" i="9"/>
  <c r="M130" i="9"/>
  <c r="N130" i="9"/>
  <c r="O130" i="9"/>
  <c r="P130" i="9"/>
  <c r="Q130" i="9"/>
  <c r="R130" i="9"/>
  <c r="S130" i="9"/>
  <c r="T130" i="9"/>
  <c r="U130" i="9"/>
  <c r="V130" i="9"/>
  <c r="W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AZ130" i="9"/>
  <c r="BA130" i="9"/>
  <c r="BB130" i="9"/>
  <c r="BC130" i="9"/>
  <c r="BD130" i="9"/>
  <c r="BE130" i="9"/>
  <c r="BF130" i="9"/>
  <c r="BG130" i="9"/>
  <c r="BH130" i="9"/>
  <c r="BI130" i="9"/>
  <c r="BJ130" i="9"/>
  <c r="BK130" i="9"/>
  <c r="BL130" i="9"/>
  <c r="BM130" i="9"/>
  <c r="BN130" i="9"/>
  <c r="BO130" i="9"/>
  <c r="BP130" i="9"/>
  <c r="BQ130" i="9"/>
  <c r="BR130" i="9"/>
  <c r="BS130" i="9"/>
  <c r="BT130" i="9"/>
  <c r="BU130" i="9"/>
  <c r="BV130" i="9"/>
  <c r="BW130" i="9"/>
  <c r="BX130" i="9"/>
  <c r="BY130" i="9"/>
  <c r="BZ130" i="9"/>
  <c r="CA130" i="9"/>
  <c r="CB130" i="9"/>
  <c r="CC130" i="9"/>
  <c r="CD130" i="9"/>
  <c r="CE130" i="9"/>
  <c r="CF130" i="9"/>
  <c r="CG130" i="9"/>
  <c r="CH130" i="9"/>
  <c r="CI130" i="9"/>
  <c r="CJ130" i="9"/>
  <c r="CK130" i="9"/>
  <c r="CL130" i="9"/>
  <c r="CM130" i="9"/>
  <c r="CN130" i="9"/>
  <c r="CO130" i="9"/>
  <c r="CP130" i="9"/>
  <c r="CQ130" i="9"/>
  <c r="M131" i="9"/>
  <c r="N131" i="9"/>
  <c r="O131" i="9"/>
  <c r="P131" i="9"/>
  <c r="Q131" i="9"/>
  <c r="R131" i="9"/>
  <c r="S131" i="9"/>
  <c r="T131" i="9"/>
  <c r="U131" i="9"/>
  <c r="V131" i="9"/>
  <c r="W131" i="9"/>
  <c r="CO131" i="9"/>
  <c r="CP131" i="9"/>
  <c r="CQ131" i="9"/>
  <c r="M132" i="9"/>
  <c r="N132" i="9"/>
  <c r="O132" i="9"/>
  <c r="P132" i="9"/>
  <c r="Q132" i="9"/>
  <c r="R132" i="9"/>
  <c r="S132" i="9"/>
  <c r="T132" i="9"/>
  <c r="U132" i="9"/>
  <c r="V132" i="9"/>
  <c r="W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AZ132" i="9"/>
  <c r="BA132" i="9"/>
  <c r="BB132" i="9"/>
  <c r="BC132" i="9"/>
  <c r="BD132" i="9"/>
  <c r="BE132" i="9"/>
  <c r="BF132" i="9"/>
  <c r="BG132" i="9"/>
  <c r="BH132" i="9"/>
  <c r="BI132" i="9"/>
  <c r="BJ132" i="9"/>
  <c r="BK132" i="9"/>
  <c r="BL132" i="9"/>
  <c r="BM132" i="9"/>
  <c r="BN132" i="9"/>
  <c r="BO132" i="9"/>
  <c r="BP132" i="9"/>
  <c r="BQ132" i="9"/>
  <c r="BR132" i="9"/>
  <c r="BS132" i="9"/>
  <c r="BT132" i="9"/>
  <c r="BU132" i="9"/>
  <c r="BV132" i="9"/>
  <c r="BW132" i="9"/>
  <c r="BX132" i="9"/>
  <c r="BY132" i="9"/>
  <c r="BZ132" i="9"/>
  <c r="CA132" i="9"/>
  <c r="CB132" i="9"/>
  <c r="CC132" i="9"/>
  <c r="CD132" i="9"/>
  <c r="CE132" i="9"/>
  <c r="CF132" i="9"/>
  <c r="CG132" i="9"/>
  <c r="CH132" i="9"/>
  <c r="CI132" i="9"/>
  <c r="CJ132" i="9"/>
  <c r="CK132" i="9"/>
  <c r="CL132" i="9"/>
  <c r="CM132" i="9"/>
  <c r="CN132" i="9"/>
  <c r="CO132" i="9"/>
  <c r="CP132" i="9"/>
  <c r="CQ132" i="9"/>
  <c r="M135" i="9"/>
  <c r="N135" i="9"/>
  <c r="O135" i="9"/>
  <c r="P135" i="9"/>
  <c r="Q135" i="9"/>
  <c r="R135" i="9"/>
  <c r="S135" i="9"/>
  <c r="T135" i="9"/>
  <c r="U135" i="9"/>
  <c r="V135" i="9"/>
  <c r="W135" i="9"/>
  <c r="AK135" i="9"/>
  <c r="AP135" i="9"/>
  <c r="AU135" i="9"/>
  <c r="AZ135" i="9"/>
  <c r="BE135" i="9"/>
  <c r="BJ135" i="9"/>
  <c r="BO135" i="9"/>
  <c r="BT135" i="9"/>
  <c r="BY135" i="9"/>
  <c r="CD135" i="9"/>
  <c r="CI135" i="9"/>
  <c r="CN135" i="9"/>
  <c r="CO135" i="9"/>
  <c r="CP135" i="9"/>
  <c r="CQ135" i="9"/>
  <c r="O136" i="9"/>
  <c r="F137" i="9"/>
  <c r="M137" i="9"/>
  <c r="N137" i="9"/>
  <c r="O137" i="9"/>
  <c r="P137" i="9"/>
  <c r="Q137" i="9"/>
  <c r="R137" i="9"/>
  <c r="S137" i="9"/>
  <c r="T137" i="9"/>
  <c r="U137" i="9"/>
  <c r="V137" i="9"/>
  <c r="W137" i="9"/>
  <c r="AG137" i="9"/>
  <c r="AK137" i="9"/>
  <c r="AP137" i="9"/>
  <c r="AU137" i="9"/>
  <c r="AZ137" i="9"/>
  <c r="BE137" i="9"/>
  <c r="BJ137" i="9"/>
  <c r="BO137" i="9"/>
  <c r="BT137" i="9"/>
  <c r="BY137" i="9"/>
  <c r="CD137" i="9"/>
  <c r="CI137" i="9"/>
  <c r="CN137" i="9"/>
  <c r="CO137" i="9"/>
  <c r="CP137" i="9"/>
  <c r="CQ137" i="9"/>
  <c r="F138" i="9"/>
  <c r="M138" i="9"/>
  <c r="N138" i="9"/>
  <c r="O138" i="9"/>
  <c r="P138" i="9"/>
  <c r="Q138" i="9"/>
  <c r="R138" i="9"/>
  <c r="S138" i="9"/>
  <c r="T138" i="9"/>
  <c r="U138" i="9"/>
  <c r="V138" i="9"/>
  <c r="W138" i="9"/>
  <c r="AG138" i="9"/>
  <c r="AK138" i="9"/>
  <c r="AP138" i="9"/>
  <c r="AU138" i="9"/>
  <c r="AZ138" i="9"/>
  <c r="BE138" i="9"/>
  <c r="BJ138" i="9"/>
  <c r="BO138" i="9"/>
  <c r="BT138" i="9"/>
  <c r="BY138" i="9"/>
  <c r="CD138" i="9"/>
  <c r="CI138" i="9"/>
  <c r="CN138" i="9"/>
  <c r="CO138" i="9"/>
  <c r="CP138" i="9"/>
  <c r="CQ138" i="9"/>
  <c r="D139" i="9"/>
  <c r="F139" i="9"/>
  <c r="M139" i="9"/>
  <c r="N139" i="9"/>
  <c r="O139" i="9"/>
  <c r="P139" i="9"/>
  <c r="Q139" i="9"/>
  <c r="R139" i="9"/>
  <c r="S139" i="9"/>
  <c r="T139" i="9"/>
  <c r="U139" i="9"/>
  <c r="V139" i="9"/>
  <c r="W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AZ139" i="9"/>
  <c r="BA139" i="9"/>
  <c r="BB139" i="9"/>
  <c r="BC139" i="9"/>
  <c r="BD139" i="9"/>
  <c r="BE139" i="9"/>
  <c r="BF139" i="9"/>
  <c r="BG139" i="9"/>
  <c r="BH139" i="9"/>
  <c r="BI139" i="9"/>
  <c r="BJ139" i="9"/>
  <c r="BK139" i="9"/>
  <c r="BL139" i="9"/>
  <c r="BM139" i="9"/>
  <c r="BN139" i="9"/>
  <c r="BO139" i="9"/>
  <c r="BP139" i="9"/>
  <c r="BQ139" i="9"/>
  <c r="BR139" i="9"/>
  <c r="BS139" i="9"/>
  <c r="BT139" i="9"/>
  <c r="BU139" i="9"/>
  <c r="BV139" i="9"/>
  <c r="BW139" i="9"/>
  <c r="BX139" i="9"/>
  <c r="BY139" i="9"/>
  <c r="BZ139" i="9"/>
  <c r="CA139" i="9"/>
  <c r="CB139" i="9"/>
  <c r="CC139" i="9"/>
  <c r="CD139" i="9"/>
  <c r="CE139" i="9"/>
  <c r="CF139" i="9"/>
  <c r="CG139" i="9"/>
  <c r="CH139" i="9"/>
  <c r="CI139" i="9"/>
  <c r="CJ139" i="9"/>
  <c r="CK139" i="9"/>
  <c r="CL139" i="9"/>
  <c r="CM139" i="9"/>
  <c r="CN139" i="9"/>
  <c r="CO139" i="9"/>
  <c r="CP139" i="9"/>
  <c r="CQ139" i="9"/>
  <c r="M140" i="9"/>
  <c r="N140" i="9"/>
  <c r="O140" i="9"/>
  <c r="P140" i="9"/>
  <c r="Q140" i="9"/>
  <c r="R140" i="9"/>
  <c r="S140" i="9"/>
  <c r="T140" i="9"/>
  <c r="U140" i="9"/>
  <c r="V140" i="9"/>
  <c r="W140" i="9"/>
  <c r="CQ140" i="9"/>
  <c r="F141" i="9"/>
  <c r="M141" i="9"/>
  <c r="N141" i="9"/>
  <c r="O141" i="9"/>
  <c r="P141" i="9"/>
  <c r="Q141" i="9"/>
  <c r="R141" i="9"/>
  <c r="S141" i="9"/>
  <c r="T141" i="9"/>
  <c r="U141" i="9"/>
  <c r="V141" i="9"/>
  <c r="W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AZ141" i="9"/>
  <c r="BA141" i="9"/>
  <c r="BB141" i="9"/>
  <c r="BC141" i="9"/>
  <c r="BD141" i="9"/>
  <c r="BE141" i="9"/>
  <c r="BF141" i="9"/>
  <c r="BG141" i="9"/>
  <c r="BH141" i="9"/>
  <c r="BI141" i="9"/>
  <c r="BJ141" i="9"/>
  <c r="BK141" i="9"/>
  <c r="BL141" i="9"/>
  <c r="BM141" i="9"/>
  <c r="BN141" i="9"/>
  <c r="BO141" i="9"/>
  <c r="BP141" i="9"/>
  <c r="BQ141" i="9"/>
  <c r="BR141" i="9"/>
  <c r="BS141" i="9"/>
  <c r="BT141" i="9"/>
  <c r="BU141" i="9"/>
  <c r="BV141" i="9"/>
  <c r="BW141" i="9"/>
  <c r="BX141" i="9"/>
  <c r="BY141" i="9"/>
  <c r="BZ141" i="9"/>
  <c r="CA141" i="9"/>
  <c r="CB141" i="9"/>
  <c r="CC141" i="9"/>
  <c r="CD141" i="9"/>
  <c r="CE141" i="9"/>
  <c r="CF141" i="9"/>
  <c r="CG141" i="9"/>
  <c r="CH141" i="9"/>
  <c r="CI141" i="9"/>
  <c r="CJ141" i="9"/>
  <c r="CK141" i="9"/>
  <c r="CL141" i="9"/>
  <c r="CM141" i="9"/>
  <c r="CN141" i="9"/>
  <c r="CO141" i="9"/>
  <c r="CP141" i="9"/>
  <c r="CQ141" i="9"/>
  <c r="O142" i="9"/>
  <c r="F143" i="9"/>
  <c r="M143" i="9"/>
  <c r="N143" i="9"/>
  <c r="O143" i="9"/>
  <c r="P143" i="9"/>
  <c r="Q143" i="9"/>
  <c r="R143" i="9"/>
  <c r="S143" i="9"/>
  <c r="T143" i="9"/>
  <c r="U143" i="9"/>
  <c r="V143" i="9"/>
  <c r="W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AZ143" i="9"/>
  <c r="BA143" i="9"/>
  <c r="BB143" i="9"/>
  <c r="BC143" i="9"/>
  <c r="BD143" i="9"/>
  <c r="BE143" i="9"/>
  <c r="BF143" i="9"/>
  <c r="BG143" i="9"/>
  <c r="BH143" i="9"/>
  <c r="BI143" i="9"/>
  <c r="BJ143" i="9"/>
  <c r="BK143" i="9"/>
  <c r="BL143" i="9"/>
  <c r="BM143" i="9"/>
  <c r="BN143" i="9"/>
  <c r="BO143" i="9"/>
  <c r="BP143" i="9"/>
  <c r="BQ143" i="9"/>
  <c r="BR143" i="9"/>
  <c r="BS143" i="9"/>
  <c r="BT143" i="9"/>
  <c r="BU143" i="9"/>
  <c r="BV143" i="9"/>
  <c r="BW143" i="9"/>
  <c r="BX143" i="9"/>
  <c r="BY143" i="9"/>
  <c r="BZ143" i="9"/>
  <c r="CA143" i="9"/>
  <c r="CB143" i="9"/>
  <c r="CC143" i="9"/>
  <c r="CD143" i="9"/>
  <c r="CE143" i="9"/>
  <c r="CF143" i="9"/>
  <c r="CG143" i="9"/>
  <c r="CH143" i="9"/>
  <c r="CI143" i="9"/>
  <c r="CJ143" i="9"/>
  <c r="CK143" i="9"/>
  <c r="CL143" i="9"/>
  <c r="CM143" i="9"/>
  <c r="CN143" i="9"/>
  <c r="CO143" i="9"/>
  <c r="CP143" i="9"/>
  <c r="CQ143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BP144" i="9"/>
  <c r="BQ144" i="9"/>
  <c r="BR144" i="9"/>
  <c r="BS144" i="9"/>
  <c r="BT144" i="9"/>
  <c r="BU144" i="9"/>
  <c r="BV144" i="9"/>
  <c r="BW144" i="9"/>
  <c r="BX144" i="9"/>
  <c r="BY144" i="9"/>
  <c r="BZ144" i="9"/>
  <c r="CA144" i="9"/>
  <c r="CB144" i="9"/>
  <c r="CC144" i="9"/>
  <c r="CD144" i="9"/>
  <c r="CE144" i="9"/>
  <c r="CF144" i="9"/>
  <c r="CG144" i="9"/>
  <c r="CH144" i="9"/>
  <c r="CI144" i="9"/>
  <c r="CJ144" i="9"/>
  <c r="CK144" i="9"/>
  <c r="CL144" i="9"/>
  <c r="CM144" i="9"/>
  <c r="CN144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BA145" i="9"/>
  <c r="BB145" i="9"/>
  <c r="BC145" i="9"/>
  <c r="BD145" i="9"/>
  <c r="BE145" i="9"/>
  <c r="BF145" i="9"/>
  <c r="BG145" i="9"/>
  <c r="BH145" i="9"/>
  <c r="BI145" i="9"/>
  <c r="BJ145" i="9"/>
  <c r="BK145" i="9"/>
  <c r="BL145" i="9"/>
  <c r="BM145" i="9"/>
  <c r="BN145" i="9"/>
  <c r="BO145" i="9"/>
  <c r="BP145" i="9"/>
  <c r="BQ145" i="9"/>
  <c r="BR145" i="9"/>
  <c r="BS145" i="9"/>
  <c r="BT145" i="9"/>
  <c r="BU145" i="9"/>
  <c r="BV145" i="9"/>
  <c r="BW145" i="9"/>
  <c r="BX145" i="9"/>
  <c r="BY145" i="9"/>
  <c r="BZ145" i="9"/>
  <c r="CA145" i="9"/>
  <c r="CB145" i="9"/>
  <c r="CC145" i="9"/>
  <c r="CD145" i="9"/>
  <c r="CE145" i="9"/>
  <c r="CF145" i="9"/>
  <c r="CG145" i="9"/>
  <c r="CH145" i="9"/>
  <c r="CI145" i="9"/>
  <c r="CJ145" i="9"/>
  <c r="CK145" i="9"/>
  <c r="CL145" i="9"/>
  <c r="CM145" i="9"/>
  <c r="CN145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AZ146" i="9"/>
  <c r="BA146" i="9"/>
  <c r="BB146" i="9"/>
  <c r="BC146" i="9"/>
  <c r="BD146" i="9"/>
  <c r="BE146" i="9"/>
  <c r="BF146" i="9"/>
  <c r="BG146" i="9"/>
  <c r="BH146" i="9"/>
  <c r="BI146" i="9"/>
  <c r="BJ146" i="9"/>
  <c r="BK146" i="9"/>
  <c r="BL146" i="9"/>
  <c r="BM146" i="9"/>
  <c r="BN146" i="9"/>
  <c r="BO146" i="9"/>
  <c r="BP146" i="9"/>
  <c r="BQ146" i="9"/>
  <c r="BR146" i="9"/>
  <c r="BS146" i="9"/>
  <c r="BT146" i="9"/>
  <c r="BU146" i="9"/>
  <c r="BV146" i="9"/>
  <c r="BW146" i="9"/>
  <c r="BX146" i="9"/>
  <c r="BY146" i="9"/>
  <c r="BZ146" i="9"/>
  <c r="CA146" i="9"/>
  <c r="CB146" i="9"/>
  <c r="CC146" i="9"/>
  <c r="CD146" i="9"/>
  <c r="CE146" i="9"/>
  <c r="CF146" i="9"/>
  <c r="CG146" i="9"/>
  <c r="CH146" i="9"/>
  <c r="CI146" i="9"/>
  <c r="CJ146" i="9"/>
  <c r="CK146" i="9"/>
  <c r="CL146" i="9"/>
  <c r="CM146" i="9"/>
  <c r="CN146" i="9"/>
  <c r="J148" i="9"/>
  <c r="K148" i="9"/>
  <c r="L148" i="9"/>
  <c r="M148" i="9"/>
  <c r="N148" i="9"/>
  <c r="O148" i="9"/>
  <c r="P148" i="9"/>
  <c r="Q148" i="9"/>
  <c r="R148" i="9"/>
  <c r="T148" i="9"/>
  <c r="U148" i="9"/>
  <c r="J149" i="9"/>
  <c r="K149" i="9"/>
  <c r="L149" i="9"/>
  <c r="M149" i="9"/>
  <c r="N149" i="9"/>
  <c r="O149" i="9"/>
  <c r="P149" i="9"/>
  <c r="Q149" i="9"/>
  <c r="R149" i="9"/>
  <c r="T149" i="9"/>
  <c r="U149" i="9"/>
  <c r="J150" i="9"/>
  <c r="K150" i="9"/>
  <c r="L150" i="9"/>
  <c r="M150" i="9"/>
  <c r="N150" i="9"/>
  <c r="O150" i="9"/>
  <c r="P150" i="9"/>
  <c r="Q150" i="9"/>
  <c r="R150" i="9"/>
  <c r="T150" i="9"/>
  <c r="U150" i="9"/>
  <c r="J151" i="9"/>
  <c r="K151" i="9"/>
  <c r="L151" i="9"/>
  <c r="M151" i="9"/>
  <c r="N151" i="9"/>
  <c r="O151" i="9"/>
  <c r="P151" i="9"/>
  <c r="Q151" i="9"/>
  <c r="R151" i="9"/>
  <c r="T151" i="9"/>
  <c r="U151" i="9"/>
  <c r="M154" i="9"/>
  <c r="N154" i="9"/>
  <c r="O154" i="9"/>
  <c r="P154" i="9"/>
  <c r="Q154" i="9"/>
  <c r="R154" i="9"/>
  <c r="S154" i="9"/>
  <c r="T154" i="9"/>
  <c r="U154" i="9"/>
  <c r="V154" i="9"/>
  <c r="W154" i="9"/>
  <c r="M155" i="9"/>
  <c r="N155" i="9"/>
  <c r="O155" i="9"/>
  <c r="P155" i="9"/>
  <c r="Q155" i="9"/>
  <c r="R155" i="9"/>
  <c r="S155" i="9"/>
  <c r="T155" i="9"/>
  <c r="U155" i="9"/>
  <c r="V155" i="9"/>
  <c r="W155" i="9"/>
  <c r="AK156" i="9"/>
  <c r="AP156" i="9"/>
  <c r="AQ156" i="9"/>
  <c r="AR156" i="9"/>
  <c r="AS156" i="9"/>
  <c r="AT156" i="9"/>
  <c r="AU156" i="9"/>
  <c r="AV156" i="9"/>
  <c r="AW156" i="9"/>
  <c r="AX156" i="9"/>
  <c r="AY156" i="9"/>
  <c r="AZ156" i="9"/>
  <c r="BA156" i="9"/>
  <c r="BB156" i="9"/>
  <c r="BC156" i="9"/>
  <c r="BD156" i="9"/>
  <c r="BE156" i="9"/>
  <c r="BF156" i="9"/>
  <c r="BG156" i="9"/>
  <c r="BH156" i="9"/>
  <c r="BI156" i="9"/>
  <c r="BJ156" i="9"/>
  <c r="BK156" i="9"/>
  <c r="BL156" i="9"/>
  <c r="BM156" i="9"/>
  <c r="BN156" i="9"/>
  <c r="BO156" i="9"/>
  <c r="BP156" i="9"/>
  <c r="BQ156" i="9"/>
  <c r="BR156" i="9"/>
  <c r="BS156" i="9"/>
  <c r="BT156" i="9"/>
  <c r="BU156" i="9"/>
  <c r="BV156" i="9"/>
  <c r="BW156" i="9"/>
  <c r="BX156" i="9"/>
  <c r="BY156" i="9"/>
  <c r="BZ156" i="9"/>
  <c r="CA156" i="9"/>
  <c r="CB156" i="9"/>
  <c r="CC156" i="9"/>
  <c r="CD156" i="9"/>
  <c r="CE156" i="9"/>
  <c r="CF156" i="9"/>
  <c r="CG156" i="9"/>
  <c r="CH156" i="9"/>
  <c r="CI156" i="9"/>
  <c r="CJ156" i="9"/>
  <c r="CK156" i="9"/>
  <c r="CL156" i="9"/>
  <c r="CM156" i="9"/>
  <c r="CN156" i="9"/>
  <c r="CO156" i="9"/>
  <c r="CP156" i="9"/>
  <c r="CQ156" i="9"/>
  <c r="M157" i="9"/>
  <c r="N157" i="9"/>
  <c r="O157" i="9"/>
  <c r="P157" i="9"/>
  <c r="Q157" i="9"/>
  <c r="R157" i="9"/>
  <c r="S157" i="9"/>
  <c r="T157" i="9"/>
  <c r="U157" i="9"/>
  <c r="V157" i="9"/>
  <c r="W157" i="9"/>
  <c r="AK157" i="9"/>
  <c r="AP157" i="9"/>
  <c r="AQ157" i="9"/>
  <c r="AR157" i="9"/>
  <c r="AS157" i="9"/>
  <c r="AT157" i="9"/>
  <c r="AU157" i="9"/>
  <c r="AV157" i="9"/>
  <c r="AW157" i="9"/>
  <c r="AX157" i="9"/>
  <c r="AY157" i="9"/>
  <c r="AZ157" i="9"/>
  <c r="BA157" i="9"/>
  <c r="BB157" i="9"/>
  <c r="BC157" i="9"/>
  <c r="BD157" i="9"/>
  <c r="BE157" i="9"/>
  <c r="BF157" i="9"/>
  <c r="BG157" i="9"/>
  <c r="BH157" i="9"/>
  <c r="BI157" i="9"/>
  <c r="BJ157" i="9"/>
  <c r="BK157" i="9"/>
  <c r="BL157" i="9"/>
  <c r="BM157" i="9"/>
  <c r="BN157" i="9"/>
  <c r="BO157" i="9"/>
  <c r="BP157" i="9"/>
  <c r="BQ157" i="9"/>
  <c r="BR157" i="9"/>
  <c r="BS157" i="9"/>
  <c r="BT157" i="9"/>
  <c r="BU157" i="9"/>
  <c r="BV157" i="9"/>
  <c r="BW157" i="9"/>
  <c r="BX157" i="9"/>
  <c r="BY157" i="9"/>
  <c r="BZ157" i="9"/>
  <c r="CA157" i="9"/>
  <c r="CB157" i="9"/>
  <c r="CC157" i="9"/>
  <c r="CD157" i="9"/>
  <c r="CE157" i="9"/>
  <c r="CF157" i="9"/>
  <c r="CG157" i="9"/>
  <c r="CH157" i="9"/>
  <c r="CI157" i="9"/>
  <c r="CJ157" i="9"/>
  <c r="CK157" i="9"/>
  <c r="CL157" i="9"/>
  <c r="CM157" i="9"/>
  <c r="CN157" i="9"/>
  <c r="CO157" i="9"/>
  <c r="CP157" i="9"/>
  <c r="CQ157" i="9"/>
  <c r="AK158" i="9"/>
  <c r="AP158" i="9"/>
  <c r="AQ158" i="9"/>
  <c r="AR158" i="9"/>
  <c r="AS158" i="9"/>
  <c r="AT158" i="9"/>
  <c r="AU158" i="9"/>
  <c r="AV158" i="9"/>
  <c r="AW158" i="9"/>
  <c r="AX158" i="9"/>
  <c r="AY158" i="9"/>
  <c r="AZ158" i="9"/>
  <c r="BA158" i="9"/>
  <c r="BB158" i="9"/>
  <c r="BC158" i="9"/>
  <c r="BD158" i="9"/>
  <c r="BE158" i="9"/>
  <c r="BF158" i="9"/>
  <c r="BG158" i="9"/>
  <c r="BH158" i="9"/>
  <c r="BI158" i="9"/>
  <c r="BJ158" i="9"/>
  <c r="BK158" i="9"/>
  <c r="BL158" i="9"/>
  <c r="BM158" i="9"/>
  <c r="BN158" i="9"/>
  <c r="BO158" i="9"/>
  <c r="BP158" i="9"/>
  <c r="BQ158" i="9"/>
  <c r="BR158" i="9"/>
  <c r="BS158" i="9"/>
  <c r="BT158" i="9"/>
  <c r="BU158" i="9"/>
  <c r="BV158" i="9"/>
  <c r="BW158" i="9"/>
  <c r="BX158" i="9"/>
  <c r="BY158" i="9"/>
  <c r="BZ158" i="9"/>
  <c r="CA158" i="9"/>
  <c r="CB158" i="9"/>
  <c r="CC158" i="9"/>
  <c r="CD158" i="9"/>
  <c r="CE158" i="9"/>
  <c r="CF158" i="9"/>
  <c r="CG158" i="9"/>
  <c r="CH158" i="9"/>
  <c r="CI158" i="9"/>
  <c r="CJ158" i="9"/>
  <c r="CK158" i="9"/>
  <c r="CL158" i="9"/>
  <c r="CM158" i="9"/>
  <c r="CN158" i="9"/>
  <c r="CO158" i="9"/>
  <c r="CP158" i="9"/>
  <c r="CQ158" i="9"/>
  <c r="AK159" i="9"/>
  <c r="AP159" i="9"/>
  <c r="AQ159" i="9"/>
  <c r="AR159" i="9"/>
  <c r="AS159" i="9"/>
  <c r="AT159" i="9"/>
  <c r="AU159" i="9"/>
  <c r="AV159" i="9"/>
  <c r="AW159" i="9"/>
  <c r="AX159" i="9"/>
  <c r="AY159" i="9"/>
  <c r="AZ159" i="9"/>
  <c r="BA159" i="9"/>
  <c r="BB159" i="9"/>
  <c r="BC159" i="9"/>
  <c r="BD159" i="9"/>
  <c r="BE159" i="9"/>
  <c r="BF159" i="9"/>
  <c r="BG159" i="9"/>
  <c r="BH159" i="9"/>
  <c r="BI159" i="9"/>
  <c r="BJ159" i="9"/>
  <c r="BK159" i="9"/>
  <c r="BL159" i="9"/>
  <c r="BM159" i="9"/>
  <c r="BN159" i="9"/>
  <c r="BO159" i="9"/>
  <c r="BP159" i="9"/>
  <c r="BQ159" i="9"/>
  <c r="BR159" i="9"/>
  <c r="BS159" i="9"/>
  <c r="BT159" i="9"/>
  <c r="BU159" i="9"/>
  <c r="BV159" i="9"/>
  <c r="BW159" i="9"/>
  <c r="BX159" i="9"/>
  <c r="BY159" i="9"/>
  <c r="BZ159" i="9"/>
  <c r="CA159" i="9"/>
  <c r="CB159" i="9"/>
  <c r="CC159" i="9"/>
  <c r="CD159" i="9"/>
  <c r="CE159" i="9"/>
  <c r="CF159" i="9"/>
  <c r="CG159" i="9"/>
  <c r="CH159" i="9"/>
  <c r="CI159" i="9"/>
  <c r="CJ159" i="9"/>
  <c r="CK159" i="9"/>
  <c r="CL159" i="9"/>
  <c r="CM159" i="9"/>
  <c r="CN159" i="9"/>
  <c r="CO159" i="9"/>
  <c r="CP159" i="9"/>
  <c r="CQ159" i="9"/>
  <c r="M161" i="9"/>
  <c r="N161" i="9"/>
  <c r="O161" i="9"/>
  <c r="P161" i="9"/>
  <c r="Q161" i="9"/>
  <c r="R161" i="9"/>
  <c r="S161" i="9"/>
  <c r="T161" i="9"/>
  <c r="U161" i="9"/>
  <c r="V161" i="9"/>
  <c r="W161" i="9"/>
  <c r="M162" i="9"/>
  <c r="N162" i="9"/>
  <c r="O162" i="9"/>
  <c r="P162" i="9"/>
  <c r="Q162" i="9"/>
  <c r="R162" i="9"/>
  <c r="S162" i="9"/>
  <c r="T162" i="9"/>
  <c r="U162" i="9"/>
  <c r="V162" i="9"/>
  <c r="W162" i="9"/>
  <c r="AK162" i="9"/>
  <c r="AP162" i="9"/>
  <c r="AQ162" i="9"/>
  <c r="AR162" i="9"/>
  <c r="AS162" i="9"/>
  <c r="AT162" i="9"/>
  <c r="AU162" i="9"/>
  <c r="AV162" i="9"/>
  <c r="AW162" i="9"/>
  <c r="AX162" i="9"/>
  <c r="AY162" i="9"/>
  <c r="AZ162" i="9"/>
  <c r="BA162" i="9"/>
  <c r="BB162" i="9"/>
  <c r="BC162" i="9"/>
  <c r="BD162" i="9"/>
  <c r="BE162" i="9"/>
  <c r="BF162" i="9"/>
  <c r="BG162" i="9"/>
  <c r="BH162" i="9"/>
  <c r="BI162" i="9"/>
  <c r="BJ162" i="9"/>
  <c r="BK162" i="9"/>
  <c r="BL162" i="9"/>
  <c r="BM162" i="9"/>
  <c r="BN162" i="9"/>
  <c r="BO162" i="9"/>
  <c r="BP162" i="9"/>
  <c r="BQ162" i="9"/>
  <c r="BR162" i="9"/>
  <c r="BS162" i="9"/>
  <c r="BT162" i="9"/>
  <c r="BU162" i="9"/>
  <c r="BV162" i="9"/>
  <c r="BW162" i="9"/>
  <c r="BX162" i="9"/>
  <c r="BY162" i="9"/>
  <c r="BZ162" i="9"/>
  <c r="CA162" i="9"/>
  <c r="CB162" i="9"/>
  <c r="CC162" i="9"/>
  <c r="CD162" i="9"/>
  <c r="CE162" i="9"/>
  <c r="CF162" i="9"/>
  <c r="CG162" i="9"/>
  <c r="CH162" i="9"/>
  <c r="CI162" i="9"/>
  <c r="CJ162" i="9"/>
  <c r="CK162" i="9"/>
  <c r="CL162" i="9"/>
  <c r="CM162" i="9"/>
  <c r="CN162" i="9"/>
  <c r="CO162" i="9"/>
  <c r="CP162" i="9"/>
  <c r="CQ162" i="9"/>
  <c r="M163" i="9"/>
  <c r="N163" i="9"/>
  <c r="O163" i="9"/>
  <c r="P163" i="9"/>
  <c r="Q163" i="9"/>
  <c r="R163" i="9"/>
  <c r="S163" i="9"/>
  <c r="T163" i="9"/>
  <c r="U163" i="9"/>
  <c r="V163" i="9"/>
  <c r="W163" i="9"/>
  <c r="AK163" i="9"/>
  <c r="AP163" i="9"/>
  <c r="AQ163" i="9"/>
  <c r="AR163" i="9"/>
  <c r="AS163" i="9"/>
  <c r="AT163" i="9"/>
  <c r="AU163" i="9"/>
  <c r="AV163" i="9"/>
  <c r="AW163" i="9"/>
  <c r="AX163" i="9"/>
  <c r="AY163" i="9"/>
  <c r="AZ163" i="9"/>
  <c r="BA163" i="9"/>
  <c r="BB163" i="9"/>
  <c r="BC163" i="9"/>
  <c r="BD163" i="9"/>
  <c r="BE163" i="9"/>
  <c r="BF163" i="9"/>
  <c r="BG163" i="9"/>
  <c r="BH163" i="9"/>
  <c r="BI163" i="9"/>
  <c r="BJ163" i="9"/>
  <c r="BK163" i="9"/>
  <c r="BL163" i="9"/>
  <c r="BM163" i="9"/>
  <c r="BN163" i="9"/>
  <c r="BO163" i="9"/>
  <c r="BP163" i="9"/>
  <c r="BQ163" i="9"/>
  <c r="BR163" i="9"/>
  <c r="BS163" i="9"/>
  <c r="BT163" i="9"/>
  <c r="BU163" i="9"/>
  <c r="BV163" i="9"/>
  <c r="BW163" i="9"/>
  <c r="BX163" i="9"/>
  <c r="BY163" i="9"/>
  <c r="BZ163" i="9"/>
  <c r="CA163" i="9"/>
  <c r="CB163" i="9"/>
  <c r="CC163" i="9"/>
  <c r="CD163" i="9"/>
  <c r="CE163" i="9"/>
  <c r="CF163" i="9"/>
  <c r="CG163" i="9"/>
  <c r="CH163" i="9"/>
  <c r="CI163" i="9"/>
  <c r="CJ163" i="9"/>
  <c r="CK163" i="9"/>
  <c r="CL163" i="9"/>
  <c r="CM163" i="9"/>
  <c r="CN163" i="9"/>
  <c r="CO163" i="9"/>
  <c r="CP163" i="9"/>
  <c r="CQ163" i="9"/>
  <c r="AK164" i="9"/>
  <c r="AP164" i="9"/>
  <c r="AQ164" i="9"/>
  <c r="AR164" i="9"/>
  <c r="AS164" i="9"/>
  <c r="AT164" i="9"/>
  <c r="AU164" i="9"/>
  <c r="AV164" i="9"/>
  <c r="AW164" i="9"/>
  <c r="AX164" i="9"/>
  <c r="AY164" i="9"/>
  <c r="AZ164" i="9"/>
  <c r="BA164" i="9"/>
  <c r="BB164" i="9"/>
  <c r="BC164" i="9"/>
  <c r="BD164" i="9"/>
  <c r="BE164" i="9"/>
  <c r="BF164" i="9"/>
  <c r="BG164" i="9"/>
  <c r="BH164" i="9"/>
  <c r="BI164" i="9"/>
  <c r="BJ164" i="9"/>
  <c r="BK164" i="9"/>
  <c r="BL164" i="9"/>
  <c r="BM164" i="9"/>
  <c r="BN164" i="9"/>
  <c r="BO164" i="9"/>
  <c r="BP164" i="9"/>
  <c r="BQ164" i="9"/>
  <c r="BR164" i="9"/>
  <c r="BS164" i="9"/>
  <c r="BT164" i="9"/>
  <c r="BU164" i="9"/>
  <c r="BV164" i="9"/>
  <c r="BW164" i="9"/>
  <c r="BX164" i="9"/>
  <c r="BY164" i="9"/>
  <c r="BZ164" i="9"/>
  <c r="CA164" i="9"/>
  <c r="CB164" i="9"/>
  <c r="CC164" i="9"/>
  <c r="CD164" i="9"/>
  <c r="CE164" i="9"/>
  <c r="CF164" i="9"/>
  <c r="CG164" i="9"/>
  <c r="CH164" i="9"/>
  <c r="CI164" i="9"/>
  <c r="CJ164" i="9"/>
  <c r="CK164" i="9"/>
  <c r="CL164" i="9"/>
  <c r="CM164" i="9"/>
  <c r="CN164" i="9"/>
  <c r="CO164" i="9"/>
  <c r="CP164" i="9"/>
  <c r="CQ164" i="9"/>
  <c r="M165" i="9"/>
  <c r="N165" i="9"/>
  <c r="O165" i="9"/>
  <c r="P165" i="9"/>
  <c r="Q165" i="9"/>
  <c r="R165" i="9"/>
  <c r="S165" i="9"/>
  <c r="T165" i="9"/>
  <c r="U165" i="9"/>
  <c r="V165" i="9"/>
  <c r="W165" i="9"/>
  <c r="AK166" i="9"/>
  <c r="AP166" i="9"/>
  <c r="AQ166" i="9"/>
  <c r="AR166" i="9"/>
  <c r="AS166" i="9"/>
  <c r="AT166" i="9"/>
  <c r="AU166" i="9"/>
  <c r="AV166" i="9"/>
  <c r="AW166" i="9"/>
  <c r="AX166" i="9"/>
  <c r="AY166" i="9"/>
  <c r="AZ166" i="9"/>
  <c r="BA166" i="9"/>
  <c r="BB166" i="9"/>
  <c r="BC166" i="9"/>
  <c r="BD166" i="9"/>
  <c r="BE166" i="9"/>
  <c r="BF166" i="9"/>
  <c r="BG166" i="9"/>
  <c r="BH166" i="9"/>
  <c r="BI166" i="9"/>
  <c r="BJ166" i="9"/>
  <c r="BK166" i="9"/>
  <c r="BL166" i="9"/>
  <c r="BM166" i="9"/>
  <c r="BN166" i="9"/>
  <c r="BO166" i="9"/>
  <c r="BP166" i="9"/>
  <c r="BQ166" i="9"/>
  <c r="BR166" i="9"/>
  <c r="BS166" i="9"/>
  <c r="BT166" i="9"/>
  <c r="BU166" i="9"/>
  <c r="BV166" i="9"/>
  <c r="BW166" i="9"/>
  <c r="BX166" i="9"/>
  <c r="BY166" i="9"/>
  <c r="BZ166" i="9"/>
  <c r="CA166" i="9"/>
  <c r="CB166" i="9"/>
  <c r="CC166" i="9"/>
  <c r="CD166" i="9"/>
  <c r="CE166" i="9"/>
  <c r="CF166" i="9"/>
  <c r="CG166" i="9"/>
  <c r="CH166" i="9"/>
  <c r="CI166" i="9"/>
  <c r="CJ166" i="9"/>
  <c r="CK166" i="9"/>
  <c r="CL166" i="9"/>
  <c r="CM166" i="9"/>
  <c r="CN166" i="9"/>
  <c r="CO166" i="9"/>
  <c r="CP166" i="9"/>
  <c r="CQ166" i="9"/>
  <c r="M167" i="9"/>
  <c r="N167" i="9"/>
  <c r="O167" i="9"/>
  <c r="P167" i="9"/>
  <c r="Q167" i="9"/>
  <c r="R167" i="9"/>
  <c r="S167" i="9"/>
  <c r="T167" i="9"/>
  <c r="U167" i="9"/>
  <c r="V167" i="9"/>
  <c r="W167" i="9"/>
  <c r="M169" i="9"/>
  <c r="N169" i="9"/>
  <c r="O169" i="9"/>
  <c r="P169" i="9"/>
  <c r="Q169" i="9"/>
  <c r="R169" i="9"/>
  <c r="S169" i="9"/>
  <c r="T169" i="9"/>
  <c r="U169" i="9"/>
  <c r="V169" i="9"/>
  <c r="W169" i="9"/>
  <c r="AK170" i="9"/>
  <c r="AP170" i="9"/>
  <c r="AQ170" i="9"/>
  <c r="AR170" i="9"/>
  <c r="AS170" i="9"/>
  <c r="AT170" i="9"/>
  <c r="AU170" i="9"/>
  <c r="AV170" i="9"/>
  <c r="AW170" i="9"/>
  <c r="AX170" i="9"/>
  <c r="AY170" i="9"/>
  <c r="AZ170" i="9"/>
  <c r="BA170" i="9"/>
  <c r="BB170" i="9"/>
  <c r="BC170" i="9"/>
  <c r="BD170" i="9"/>
  <c r="BE170" i="9"/>
  <c r="BF170" i="9"/>
  <c r="BG170" i="9"/>
  <c r="BH170" i="9"/>
  <c r="BI170" i="9"/>
  <c r="BJ170" i="9"/>
  <c r="BK170" i="9"/>
  <c r="BL170" i="9"/>
  <c r="BM170" i="9"/>
  <c r="BN170" i="9"/>
  <c r="BO170" i="9"/>
  <c r="BP170" i="9"/>
  <c r="BQ170" i="9"/>
  <c r="BR170" i="9"/>
  <c r="BS170" i="9"/>
  <c r="BT170" i="9"/>
  <c r="BU170" i="9"/>
  <c r="BV170" i="9"/>
  <c r="BW170" i="9"/>
  <c r="BX170" i="9"/>
  <c r="BY170" i="9"/>
  <c r="BZ170" i="9"/>
  <c r="CA170" i="9"/>
  <c r="CB170" i="9"/>
  <c r="CC170" i="9"/>
  <c r="CD170" i="9"/>
  <c r="CE170" i="9"/>
  <c r="CF170" i="9"/>
  <c r="CG170" i="9"/>
  <c r="CH170" i="9"/>
  <c r="CI170" i="9"/>
  <c r="CJ170" i="9"/>
  <c r="CK170" i="9"/>
  <c r="CL170" i="9"/>
  <c r="CM170" i="9"/>
  <c r="CN170" i="9"/>
  <c r="CO170" i="9"/>
  <c r="CP170" i="9"/>
  <c r="CQ170" i="9"/>
  <c r="M171" i="9"/>
  <c r="O171" i="9"/>
  <c r="P171" i="9"/>
  <c r="R171" i="9"/>
  <c r="S171" i="9"/>
  <c r="T171" i="9"/>
  <c r="U171" i="9"/>
  <c r="V171" i="9"/>
  <c r="W171" i="9"/>
  <c r="AK171" i="9"/>
  <c r="AP171" i="9"/>
  <c r="AQ171" i="9"/>
  <c r="AR171" i="9"/>
  <c r="AS171" i="9"/>
  <c r="AT171" i="9"/>
  <c r="AU171" i="9"/>
  <c r="AV171" i="9"/>
  <c r="AW171" i="9"/>
  <c r="AX171" i="9"/>
  <c r="AY171" i="9"/>
  <c r="AZ171" i="9"/>
  <c r="BA171" i="9"/>
  <c r="BB171" i="9"/>
  <c r="BC171" i="9"/>
  <c r="BD171" i="9"/>
  <c r="BE171" i="9"/>
  <c r="BF171" i="9"/>
  <c r="BG171" i="9"/>
  <c r="BH171" i="9"/>
  <c r="BI171" i="9"/>
  <c r="BJ171" i="9"/>
  <c r="BK171" i="9"/>
  <c r="BL171" i="9"/>
  <c r="BM171" i="9"/>
  <c r="BN171" i="9"/>
  <c r="BO171" i="9"/>
  <c r="BP171" i="9"/>
  <c r="BQ171" i="9"/>
  <c r="BR171" i="9"/>
  <c r="BS171" i="9"/>
  <c r="BT171" i="9"/>
  <c r="BU171" i="9"/>
  <c r="BV171" i="9"/>
  <c r="BW171" i="9"/>
  <c r="BX171" i="9"/>
  <c r="BY171" i="9"/>
  <c r="BZ171" i="9"/>
  <c r="CA171" i="9"/>
  <c r="CB171" i="9"/>
  <c r="CC171" i="9"/>
  <c r="CD171" i="9"/>
  <c r="CE171" i="9"/>
  <c r="CF171" i="9"/>
  <c r="CG171" i="9"/>
  <c r="CH171" i="9"/>
  <c r="CI171" i="9"/>
  <c r="CJ171" i="9"/>
  <c r="CK171" i="9"/>
  <c r="CL171" i="9"/>
  <c r="CM171" i="9"/>
  <c r="CN171" i="9"/>
  <c r="CO171" i="9"/>
  <c r="CP171" i="9"/>
  <c r="CQ171" i="9"/>
  <c r="AK172" i="9"/>
  <c r="AP172" i="9"/>
  <c r="AQ172" i="9"/>
  <c r="AR172" i="9"/>
  <c r="AS172" i="9"/>
  <c r="AT172" i="9"/>
  <c r="AU172" i="9"/>
  <c r="AV172" i="9"/>
  <c r="AW172" i="9"/>
  <c r="AX172" i="9"/>
  <c r="AY172" i="9"/>
  <c r="AZ172" i="9"/>
  <c r="BA172" i="9"/>
  <c r="BB172" i="9"/>
  <c r="BC172" i="9"/>
  <c r="BD172" i="9"/>
  <c r="BE172" i="9"/>
  <c r="BF172" i="9"/>
  <c r="BG172" i="9"/>
  <c r="BH172" i="9"/>
  <c r="BI172" i="9"/>
  <c r="BJ172" i="9"/>
  <c r="BK172" i="9"/>
  <c r="BL172" i="9"/>
  <c r="BM172" i="9"/>
  <c r="BN172" i="9"/>
  <c r="BO172" i="9"/>
  <c r="BP172" i="9"/>
  <c r="BQ172" i="9"/>
  <c r="BR172" i="9"/>
  <c r="BS172" i="9"/>
  <c r="BT172" i="9"/>
  <c r="BU172" i="9"/>
  <c r="BV172" i="9"/>
  <c r="BW172" i="9"/>
  <c r="BX172" i="9"/>
  <c r="BY172" i="9"/>
  <c r="BZ172" i="9"/>
  <c r="CA172" i="9"/>
  <c r="CB172" i="9"/>
  <c r="CC172" i="9"/>
  <c r="CD172" i="9"/>
  <c r="CE172" i="9"/>
  <c r="CF172" i="9"/>
  <c r="CG172" i="9"/>
  <c r="CH172" i="9"/>
  <c r="CI172" i="9"/>
  <c r="CJ172" i="9"/>
  <c r="CK172" i="9"/>
  <c r="CL172" i="9"/>
  <c r="CM172" i="9"/>
  <c r="CN172" i="9"/>
  <c r="CO172" i="9"/>
  <c r="CP172" i="9"/>
  <c r="CQ172" i="9"/>
  <c r="M174" i="9"/>
  <c r="N174" i="9"/>
  <c r="O174" i="9"/>
  <c r="P174" i="9"/>
  <c r="Q174" i="9"/>
  <c r="R174" i="9"/>
  <c r="S174" i="9"/>
  <c r="T174" i="9"/>
  <c r="U174" i="9"/>
  <c r="V174" i="9"/>
  <c r="W174" i="9"/>
  <c r="AK174" i="9"/>
  <c r="AP174" i="9"/>
  <c r="AQ174" i="9"/>
  <c r="AR174" i="9"/>
  <c r="AS174" i="9"/>
  <c r="AT174" i="9"/>
  <c r="AU174" i="9"/>
  <c r="AV174" i="9"/>
  <c r="AW174" i="9"/>
  <c r="AX174" i="9"/>
  <c r="AY174" i="9"/>
  <c r="AZ174" i="9"/>
  <c r="BA174" i="9"/>
  <c r="BB174" i="9"/>
  <c r="BC174" i="9"/>
  <c r="BD174" i="9"/>
  <c r="BE174" i="9"/>
  <c r="BF174" i="9"/>
  <c r="BG174" i="9"/>
  <c r="BH174" i="9"/>
  <c r="BI174" i="9"/>
  <c r="BJ174" i="9"/>
  <c r="BK174" i="9"/>
  <c r="BL174" i="9"/>
  <c r="BM174" i="9"/>
  <c r="BN174" i="9"/>
  <c r="BO174" i="9"/>
  <c r="BP174" i="9"/>
  <c r="BQ174" i="9"/>
  <c r="BR174" i="9"/>
  <c r="BS174" i="9"/>
  <c r="BT174" i="9"/>
  <c r="BU174" i="9"/>
  <c r="BV174" i="9"/>
  <c r="BW174" i="9"/>
  <c r="BX174" i="9"/>
  <c r="BY174" i="9"/>
  <c r="BZ174" i="9"/>
  <c r="CA174" i="9"/>
  <c r="CB174" i="9"/>
  <c r="CC174" i="9"/>
  <c r="CD174" i="9"/>
  <c r="CE174" i="9"/>
  <c r="CF174" i="9"/>
  <c r="CG174" i="9"/>
  <c r="CH174" i="9"/>
  <c r="CI174" i="9"/>
  <c r="CJ174" i="9"/>
  <c r="CK174" i="9"/>
  <c r="CL174" i="9"/>
  <c r="CM174" i="9"/>
  <c r="CN174" i="9"/>
  <c r="CO174" i="9"/>
  <c r="CP174" i="9"/>
  <c r="CQ174" i="9"/>
  <c r="D175" i="9"/>
  <c r="M175" i="9"/>
  <c r="N175" i="9"/>
  <c r="O175" i="9"/>
  <c r="P175" i="9"/>
  <c r="Q175" i="9"/>
  <c r="R175" i="9"/>
  <c r="S175" i="9"/>
  <c r="T175" i="9"/>
  <c r="U175" i="9"/>
  <c r="V175" i="9"/>
  <c r="W175" i="9"/>
  <c r="AK175" i="9"/>
  <c r="AP175" i="9"/>
  <c r="AQ175" i="9"/>
  <c r="AR175" i="9"/>
  <c r="AS175" i="9"/>
  <c r="AT175" i="9"/>
  <c r="AU175" i="9"/>
  <c r="AV175" i="9"/>
  <c r="AW175" i="9"/>
  <c r="AX175" i="9"/>
  <c r="AY175" i="9"/>
  <c r="AZ175" i="9"/>
  <c r="BA175" i="9"/>
  <c r="BB175" i="9"/>
  <c r="BC175" i="9"/>
  <c r="BD175" i="9"/>
  <c r="BE175" i="9"/>
  <c r="BF175" i="9"/>
  <c r="BG175" i="9"/>
  <c r="BH175" i="9"/>
  <c r="BI175" i="9"/>
  <c r="BJ175" i="9"/>
  <c r="BK175" i="9"/>
  <c r="BL175" i="9"/>
  <c r="BM175" i="9"/>
  <c r="BN175" i="9"/>
  <c r="BO175" i="9"/>
  <c r="BP175" i="9"/>
  <c r="BQ175" i="9"/>
  <c r="BR175" i="9"/>
  <c r="BS175" i="9"/>
  <c r="BT175" i="9"/>
  <c r="BU175" i="9"/>
  <c r="BV175" i="9"/>
  <c r="BW175" i="9"/>
  <c r="BX175" i="9"/>
  <c r="BY175" i="9"/>
  <c r="BZ175" i="9"/>
  <c r="CA175" i="9"/>
  <c r="CB175" i="9"/>
  <c r="CC175" i="9"/>
  <c r="CD175" i="9"/>
  <c r="CE175" i="9"/>
  <c r="CF175" i="9"/>
  <c r="CG175" i="9"/>
  <c r="CH175" i="9"/>
  <c r="CI175" i="9"/>
  <c r="CJ175" i="9"/>
  <c r="CK175" i="9"/>
  <c r="CL175" i="9"/>
  <c r="CM175" i="9"/>
  <c r="CN175" i="9"/>
  <c r="M176" i="9"/>
  <c r="N176" i="9"/>
  <c r="O176" i="9"/>
  <c r="P176" i="9"/>
  <c r="Q176" i="9"/>
  <c r="R176" i="9"/>
  <c r="S176" i="9"/>
  <c r="T176" i="9"/>
  <c r="U176" i="9"/>
  <c r="V176" i="9"/>
  <c r="W176" i="9"/>
  <c r="AK176" i="9"/>
  <c r="AP176" i="9"/>
  <c r="AQ176" i="9"/>
  <c r="AR176" i="9"/>
  <c r="AS176" i="9"/>
  <c r="AT176" i="9"/>
  <c r="AU176" i="9"/>
  <c r="AV176" i="9"/>
  <c r="AW176" i="9"/>
  <c r="AX176" i="9"/>
  <c r="AY176" i="9"/>
  <c r="AZ176" i="9"/>
  <c r="BA176" i="9"/>
  <c r="BB176" i="9"/>
  <c r="BC176" i="9"/>
  <c r="BD176" i="9"/>
  <c r="BE176" i="9"/>
  <c r="BF176" i="9"/>
  <c r="BG176" i="9"/>
  <c r="BH176" i="9"/>
  <c r="BI176" i="9"/>
  <c r="BJ176" i="9"/>
  <c r="BK176" i="9"/>
  <c r="BL176" i="9"/>
  <c r="BM176" i="9"/>
  <c r="BN176" i="9"/>
  <c r="BO176" i="9"/>
  <c r="BP176" i="9"/>
  <c r="BQ176" i="9"/>
  <c r="BR176" i="9"/>
  <c r="BS176" i="9"/>
  <c r="BT176" i="9"/>
  <c r="BU176" i="9"/>
  <c r="BV176" i="9"/>
  <c r="BW176" i="9"/>
  <c r="BX176" i="9"/>
  <c r="BY176" i="9"/>
  <c r="BZ176" i="9"/>
  <c r="CA176" i="9"/>
  <c r="CB176" i="9"/>
  <c r="CC176" i="9"/>
  <c r="CD176" i="9"/>
  <c r="CE176" i="9"/>
  <c r="CF176" i="9"/>
  <c r="CG176" i="9"/>
  <c r="CH176" i="9"/>
  <c r="CI176" i="9"/>
  <c r="CJ176" i="9"/>
  <c r="CK176" i="9"/>
  <c r="CL176" i="9"/>
  <c r="CM176" i="9"/>
  <c r="CN176" i="9"/>
  <c r="CO176" i="9"/>
  <c r="AK177" i="9"/>
  <c r="AP177" i="9"/>
  <c r="AQ177" i="9"/>
  <c r="AR177" i="9"/>
  <c r="AS177" i="9"/>
  <c r="AT177" i="9"/>
  <c r="AU177" i="9"/>
  <c r="AV177" i="9"/>
  <c r="AW177" i="9"/>
  <c r="AX177" i="9"/>
  <c r="AY177" i="9"/>
  <c r="AZ177" i="9"/>
  <c r="BA177" i="9"/>
  <c r="BB177" i="9"/>
  <c r="BC177" i="9"/>
  <c r="BD177" i="9"/>
  <c r="BE177" i="9"/>
  <c r="BF177" i="9"/>
  <c r="BG177" i="9"/>
  <c r="BH177" i="9"/>
  <c r="BI177" i="9"/>
  <c r="BJ177" i="9"/>
  <c r="BK177" i="9"/>
  <c r="BL177" i="9"/>
  <c r="BM177" i="9"/>
  <c r="BN177" i="9"/>
  <c r="BO177" i="9"/>
  <c r="BP177" i="9"/>
  <c r="BQ177" i="9"/>
  <c r="BR177" i="9"/>
  <c r="BS177" i="9"/>
  <c r="BT177" i="9"/>
  <c r="BU177" i="9"/>
  <c r="BV177" i="9"/>
  <c r="BW177" i="9"/>
  <c r="BX177" i="9"/>
  <c r="BY177" i="9"/>
  <c r="BZ177" i="9"/>
  <c r="CA177" i="9"/>
  <c r="CB177" i="9"/>
  <c r="CC177" i="9"/>
  <c r="CD177" i="9"/>
  <c r="CE177" i="9"/>
  <c r="CF177" i="9"/>
  <c r="CG177" i="9"/>
  <c r="CH177" i="9"/>
  <c r="CI177" i="9"/>
  <c r="CJ177" i="9"/>
  <c r="CK177" i="9"/>
  <c r="CL177" i="9"/>
  <c r="CM177" i="9"/>
  <c r="CN177" i="9"/>
  <c r="CO177" i="9"/>
</calcChain>
</file>

<file path=xl/comments1.xml><?xml version="1.0" encoding="utf-8"?>
<comments xmlns="http://schemas.openxmlformats.org/spreadsheetml/2006/main">
  <authors>
    <author>George W. Richards</author>
  </authors>
  <commentList>
    <comment ref="C27" authorId="0" shapeId="0">
      <text>
        <r>
          <rPr>
            <b/>
            <sz val="8"/>
            <color indexed="81"/>
            <rFont val="Tahoma"/>
          </rPr>
          <t xml:space="preserve">Gwr: 598sf office + 598 sf fitness @ $0.10 psf+ $150/mo for the pool+$250/mo for exterior lighting
</t>
        </r>
      </text>
    </comment>
  </commentList>
</comments>
</file>

<file path=xl/comments2.xml><?xml version="1.0" encoding="utf-8"?>
<comments xmlns="http://schemas.openxmlformats.org/spreadsheetml/2006/main">
  <authors>
    <author>George W. Richards</author>
  </authors>
  <commentList>
    <comment ref="K11" authorId="0" shapeId="0">
      <text>
        <r>
          <rPr>
            <b/>
            <sz val="8"/>
            <color indexed="81"/>
            <rFont val="Tahoma"/>
          </rPr>
          <t>Office is 598sf . 200sf added per LEL survey of competition</t>
        </r>
      </text>
    </comment>
    <comment ref="R11" authorId="0" shapeId="0">
      <text>
        <r>
          <rPr>
            <b/>
            <sz val="8"/>
            <color indexed="81"/>
            <rFont val="Tahoma"/>
          </rPr>
          <t>280SF  garage &amp; 13 sf porch</t>
        </r>
      </text>
    </comment>
  </commentList>
</comments>
</file>

<file path=xl/sharedStrings.xml><?xml version="1.0" encoding="utf-8"?>
<sst xmlns="http://schemas.openxmlformats.org/spreadsheetml/2006/main" count="1573" uniqueCount="586">
  <si>
    <t>Per SF</t>
  </si>
  <si>
    <t>Total Rental Units</t>
  </si>
  <si>
    <t>TOTALS</t>
  </si>
  <si>
    <t>Permits</t>
  </si>
  <si>
    <t>LTV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</si>
  <si>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</si>
  <si>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</si>
  <si>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</si>
  <si>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</si>
  <si>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</si>
  <si>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</si>
  <si>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</si>
  <si>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</si>
  <si>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</si>
  <si>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</si>
  <si>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</si>
  <si>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</si>
  <si>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</si>
  <si>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</si>
  <si>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</si>
  <si>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</si>
  <si>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</si>
  <si>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</si>
  <si>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</si>
  <si>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</si>
  <si>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</si>
  <si>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</si>
  <si>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</si>
  <si>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</si>
  <si>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</si>
  <si>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</si>
  <si>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</si>
  <si>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</si>
  <si>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</si>
  <si>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</si>
  <si>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</si>
  <si>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</si>
  <si>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</si>
  <si>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</si>
  <si>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</si>
  <si>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</si>
  <si>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</si>
  <si>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</si>
  <si>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</si>
  <si>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</si>
  <si>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</si>
  <si>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</si>
  <si>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</si>
  <si>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</si>
  <si>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</si>
  <si>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</si>
  <si>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</si>
  <si>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</si>
  <si>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</si>
  <si>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</si>
  <si>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</si>
  <si>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</si>
  <si>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</si>
  <si>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</si>
  <si>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</si>
  <si>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</si>
  <si>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</si>
  <si>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</si>
  <si>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</si>
  <si>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</si>
  <si>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</si>
  <si>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</si>
  <si>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</si>
  <si>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</si>
  <si>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</si>
  <si>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</si>
  <si>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</si>
  <si>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</si>
  <si>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</si>
  <si>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</si>
  <si>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</si>
  <si>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</si>
  <si>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</si>
  <si>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</si>
  <si>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</si>
  <si>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</si>
  <si>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</si>
  <si>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</si>
  <si>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</si>
  <si>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</si>
  <si>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</si>
  <si>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</si>
  <si>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</si>
  <si>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</si>
  <si>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</si>
  <si>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</si>
  <si>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</si>
  <si>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</si>
  <si>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</si>
  <si>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</si>
  <si>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</si>
  <si>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</si>
  <si>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</si>
  <si>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</si>
  <si>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</si>
  <si>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</si>
  <si>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</si>
  <si>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</si>
  <si>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</si>
  <si>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</si>
  <si>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</si>
  <si>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</si>
  <si>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</si>
  <si>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</si>
  <si>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</si>
  <si>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</si>
  <si>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</si>
  <si>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</si>
  <si>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</si>
  <si>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</si>
  <si>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</si>
  <si>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</si>
  <si>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</si>
  <si>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</si>
  <si>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</si>
  <si>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</si>
  <si>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</si>
  <si>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</si>
  <si>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</si>
  <si>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</si>
  <si>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</si>
  <si>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</si>
  <si>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</si>
  <si>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</si>
  <si>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</si>
  <si>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</si>
  <si>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</si>
  <si>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</si>
  <si>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</si>
  <si>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</si>
  <si>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</si>
  <si>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</si>
  <si>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</si>
  <si>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</si>
  <si>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</si>
  <si>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</si>
  <si>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</si>
  <si>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</si>
  <si>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</si>
  <si>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</si>
  <si>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</si>
  <si>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</si>
  <si>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</si>
  <si>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</si>
  <si>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</si>
  <si>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</si>
  <si>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</si>
  <si>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</si>
  <si>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</si>
  <si>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</si>
  <si>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</si>
  <si>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</si>
  <si>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</si>
  <si>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</si>
  <si>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</si>
  <si>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</si>
  <si>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</si>
  <si>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</si>
  <si>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</si>
  <si>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</si>
  <si>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</si>
  <si>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</si>
  <si>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</si>
  <si>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</si>
  <si>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</si>
  <si>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</si>
  <si>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</si>
  <si>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</si>
  <si>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</si>
  <si>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</si>
  <si>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</si>
  <si>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</si>
  <si>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</si>
  <si>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</si>
  <si>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</si>
  <si>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</si>
  <si>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</si>
  <si>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</si>
  <si>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</si>
  <si>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</si>
  <si>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</si>
  <si>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</si>
  <si>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</si>
  <si>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</si>
  <si>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</si>
  <si>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</si>
  <si>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</si>
  <si>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</si>
  <si>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</si>
  <si>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</si>
  <si>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</si>
  <si>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</si>
  <si>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</si>
  <si>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</si>
  <si>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</si>
  <si>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</si>
  <si>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</si>
  <si>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</si>
  <si>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</si>
  <si>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</si>
  <si>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</si>
  <si>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</si>
  <si>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</si>
  <si>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</si>
  <si>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</si>
  <si>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</si>
  <si>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</si>
  <si>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</si>
  <si>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</si>
  <si>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</si>
  <si>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</si>
  <si>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</si>
  <si>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</si>
  <si>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</si>
  <si>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</si>
  <si>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</si>
  <si>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</si>
  <si>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</si>
  <si>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</si>
  <si>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</si>
  <si>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</si>
  <si>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</si>
  <si>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</si>
  <si>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</si>
  <si>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</si>
  <si>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</si>
  <si>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</si>
  <si>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</si>
  <si>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</si>
  <si>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</si>
  <si>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</si>
  <si>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</si>
  <si>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</si>
  <si>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</si>
  <si>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</si>
  <si>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</si>
  <si>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</si>
  <si>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</si>
  <si>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</si>
  <si>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</si>
  <si>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</si>
  <si>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</si>
  <si>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</si>
  <si>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</si>
  <si>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</si>
  <si>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</si>
  <si>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</si>
  <si>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</si>
  <si>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</si>
  <si>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</si>
  <si>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</si>
  <si>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</si>
  <si>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</si>
  <si>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</si>
  <si>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</si>
  <si>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</si>
  <si>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</si>
  <si>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</si>
  <si>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</si>
  <si>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</si>
  <si>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</si>
  <si>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</si>
  <si>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</si>
  <si>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</si>
  <si>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</si>
  <si>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</si>
  <si>
    <t>Unit Width</t>
  </si>
  <si>
    <t>LF</t>
  </si>
  <si>
    <t>TOTAL</t>
  </si>
  <si>
    <t>Jefferson</t>
  </si>
  <si>
    <t>Total Units</t>
  </si>
  <si>
    <t>Age</t>
  </si>
  <si>
    <t>Size</t>
  </si>
  <si>
    <t>Rent/SF</t>
  </si>
  <si>
    <t>Rent/Bdrm</t>
  </si>
  <si>
    <t>The Palazzo</t>
  </si>
  <si>
    <t>Hillside Ranch</t>
  </si>
  <si>
    <t>Sterling Univ. Apts.</t>
  </si>
  <si>
    <t>SM134</t>
  </si>
  <si>
    <t>FOUR BEDROOMS</t>
  </si>
  <si>
    <t>THREE BEDROOMS</t>
  </si>
  <si>
    <t>TWO BATH</t>
  </si>
  <si>
    <t>THREE &amp; THREE 1/2 BATH</t>
  </si>
  <si>
    <t>THREE BATH</t>
  </si>
  <si>
    <t>FOUR BATH</t>
  </si>
  <si>
    <t>SMALLER</t>
  </si>
  <si>
    <t>ONE BATH</t>
  </si>
  <si>
    <t>LARGER</t>
  </si>
  <si>
    <t>ONE BEDROOM</t>
  </si>
  <si>
    <t>TWO BEDROOMS</t>
  </si>
  <si>
    <t>$2.50/SF</t>
  </si>
  <si>
    <t>Landscaping &amp; Sprinklers</t>
  </si>
  <si>
    <t>Civil Engineering</t>
  </si>
  <si>
    <t>MIX - %</t>
  </si>
  <si>
    <t>Investor Equity</t>
  </si>
  <si>
    <t>Const Profit</t>
  </si>
  <si>
    <t>Less Excess CMFee</t>
  </si>
  <si>
    <t>Mix - %</t>
  </si>
  <si>
    <t>Mix - Units</t>
  </si>
  <si>
    <t>Two Bedroom Rate</t>
  </si>
  <si>
    <t>Three Bedroom Rate</t>
  </si>
  <si>
    <t>INCOME:</t>
  </si>
  <si>
    <t>TOTAL INCOME:</t>
  </si>
  <si>
    <t>EXPENSES:</t>
  </si>
  <si>
    <t xml:space="preserve">    Utilities</t>
  </si>
  <si>
    <t xml:space="preserve">    Advertising/Promotion</t>
  </si>
  <si>
    <t>TOTAL OPERATING EXPENSES:</t>
  </si>
  <si>
    <t>Equity Required - Based on LTV @ 80%</t>
  </si>
  <si>
    <t>Basketball Court</t>
  </si>
  <si>
    <t>Perimeter Lndscp</t>
  </si>
  <si>
    <t>Int. Courtyard</t>
  </si>
  <si>
    <t>Vollyball &amp; Basketball</t>
  </si>
  <si>
    <t>8" Flex Base</t>
  </si>
  <si>
    <t>1 1/2" HMAC</t>
  </si>
  <si>
    <t>Excavation/Embankment</t>
  </si>
  <si>
    <t>Curb &amp; Gutter</t>
  </si>
  <si>
    <t>8"PVC Watermain</t>
  </si>
  <si>
    <t>Water Services</t>
  </si>
  <si>
    <t>Master Meters</t>
  </si>
  <si>
    <t>Fire Hydrants W/Valve</t>
  </si>
  <si>
    <t>Electrical</t>
  </si>
  <si>
    <t>Lump Sum</t>
  </si>
  <si>
    <t>Wet Tap 8"</t>
  </si>
  <si>
    <t>8" Wastewater Line(all depths)</t>
  </si>
  <si>
    <t>W.W. Manholes</t>
  </si>
  <si>
    <t>2" PVC Watermain</t>
  </si>
  <si>
    <t>Sq Yds</t>
  </si>
  <si>
    <t>Cubic Yds</t>
  </si>
  <si>
    <t>Linear Ft</t>
  </si>
  <si>
    <t>EA</t>
  </si>
  <si>
    <t>Unit</t>
  </si>
  <si>
    <t>Quantity</t>
  </si>
  <si>
    <t>Unit Cost</t>
  </si>
  <si>
    <t>Perimeter Wall-LBJ &amp; Met</t>
  </si>
  <si>
    <t>Sq Ft.</t>
  </si>
  <si>
    <t>Contingency</t>
  </si>
  <si>
    <t>Ammenities</t>
  </si>
  <si>
    <t>Vacancy Allowance-5%</t>
  </si>
  <si>
    <t>Cable TV &amp; T-1</t>
  </si>
  <si>
    <t>250/YR/Unit</t>
  </si>
  <si>
    <t>Rental Commissions</t>
  </si>
  <si>
    <t>Legal</t>
  </si>
  <si>
    <t>VALUE @ 10.5% CAP RATE</t>
  </si>
  <si>
    <t>VALUE @ 10% CAP RATE</t>
  </si>
  <si>
    <t>MONTHLY NOI:</t>
  </si>
  <si>
    <t>MONTHLY NET CASH INCOME:</t>
  </si>
  <si>
    <t>HighSpeed T-1 Line</t>
  </si>
  <si>
    <t>TOTAL UNIT COST</t>
  </si>
  <si>
    <t>Fitness Center</t>
  </si>
  <si>
    <t>COVERED PARKING</t>
  </si>
  <si>
    <t>Replacement Reserve $350/u/y</t>
  </si>
  <si>
    <t>Management Fee - 5% Total Income</t>
  </si>
  <si>
    <t>Security Deposit Forfeit</t>
  </si>
  <si>
    <t>Rental Income</t>
  </si>
  <si>
    <t>Project Office, Mgr &amp; Comp Off</t>
  </si>
  <si>
    <t>Rental Sq. Ft</t>
  </si>
  <si>
    <t>Mgr Apt, Computer &amp; Rental Offices</t>
  </si>
  <si>
    <t>TwoBdrm First Flr</t>
  </si>
  <si>
    <t>ThreeBdrm First Flr</t>
  </si>
  <si>
    <t>MgrOffFirstFlr</t>
  </si>
  <si>
    <t>Property Taxes</t>
  </si>
  <si>
    <t>Property Insurance</t>
  </si>
  <si>
    <t>Liability Insurance</t>
  </si>
  <si>
    <t>Unit Maintenance</t>
  </si>
  <si>
    <t>Closing Loan/Land</t>
  </si>
  <si>
    <t>Utility Design</t>
  </si>
  <si>
    <t>City Submission</t>
  </si>
  <si>
    <t>City Approval</t>
  </si>
  <si>
    <t>Phase 2</t>
  </si>
  <si>
    <t>Phase 3</t>
  </si>
  <si>
    <t>Phase 4</t>
  </si>
  <si>
    <t>Phase 5</t>
  </si>
  <si>
    <t>Phase 6</t>
  </si>
  <si>
    <t>Unit Construction - 33 Bldgs</t>
  </si>
  <si>
    <t>Phase 1</t>
  </si>
  <si>
    <t>Phase 7</t>
  </si>
  <si>
    <t>Phase 8</t>
  </si>
  <si>
    <t>Phase 1 - 4 Bldgs + Mgr Office</t>
  </si>
  <si>
    <t>Phase 2 - 4 Bldgs</t>
  </si>
  <si>
    <t>Phase 3 - 4 Bldgs</t>
  </si>
  <si>
    <t>Phase 4 - 4 Bldgs</t>
  </si>
  <si>
    <t>Phase 5 - 4 Bldgs</t>
  </si>
  <si>
    <t>Phase 6 - 4 Bldgs</t>
  </si>
  <si>
    <t>Phase 7 - 4 Bldgs</t>
  </si>
  <si>
    <t>Phase 8 - 4 Bldgs</t>
  </si>
  <si>
    <t>Pre-Leasing</t>
  </si>
  <si>
    <t>Rent Stabilization</t>
  </si>
  <si>
    <t>Close On Permanent</t>
  </si>
  <si>
    <t>Appraisal for Permanent</t>
  </si>
  <si>
    <t>Units</t>
  </si>
  <si>
    <t>CATEGORIES</t>
  </si>
  <si>
    <t>PROJECT TOTAL</t>
  </si>
  <si>
    <t>IMPROVED LOT COST</t>
  </si>
  <si>
    <t>COMMON AMENITIES</t>
  </si>
  <si>
    <t>UNIT COST</t>
  </si>
  <si>
    <t>FINANCE COST</t>
  </si>
  <si>
    <t>CONSTRUCTION PROFIT</t>
  </si>
  <si>
    <t>CONSTRUCTION COST SUMMARY</t>
  </si>
  <si>
    <t>Man Days</t>
  </si>
  <si>
    <t>Number of Months</t>
  </si>
  <si>
    <t>Perimeter Wall</t>
  </si>
  <si>
    <t>Second Contract Extension</t>
  </si>
  <si>
    <t>Loan Package Final</t>
  </si>
  <si>
    <t>Appraisal Complete</t>
  </si>
  <si>
    <t>Re-Plat 2nd Parcel-Eng</t>
  </si>
  <si>
    <t>Re-Plat 2nd Parcel-Approval</t>
  </si>
  <si>
    <t>MORTGAGE LOAN @ 80%LTV</t>
  </si>
  <si>
    <t>3BGarage</t>
  </si>
  <si>
    <t>Adj2B</t>
  </si>
  <si>
    <t>ADj3B</t>
  </si>
  <si>
    <t>VALUE @ 9.5% CAP RATE</t>
  </si>
  <si>
    <t>MortRate</t>
  </si>
  <si>
    <t>300/YR</t>
  </si>
  <si>
    <t>Grounds Maintenance</t>
  </si>
  <si>
    <t>CATV $13+$10 T-1</t>
  </si>
  <si>
    <t>Interim Construction Loan</t>
  </si>
  <si>
    <t>110% Interest Reserve</t>
  </si>
  <si>
    <t xml:space="preserve">Permanent Loan Fee </t>
  </si>
  <si>
    <t>Interim Int Rate</t>
  </si>
  <si>
    <t>MortPts</t>
  </si>
  <si>
    <t>Misc. Income:  Vending Machines</t>
  </si>
  <si>
    <t>KEY ELEMENTS:</t>
  </si>
  <si>
    <t>Lease Up:  3-6 months Maximum</t>
  </si>
  <si>
    <t>3 Bedroom 3.5 Bath, Townhome with Garage and 1,200 SF for $1530</t>
  </si>
  <si>
    <t>2Bedroom 2.5 Bath, Townhome with covered parking &amp; 1,000 SF for $1180</t>
  </si>
  <si>
    <r>
      <t>Amenities</t>
    </r>
    <r>
      <rPr>
        <sz val="9"/>
        <rFont val="Times New Roman Condensed"/>
      </rPr>
      <t>:  Pool, Cabana, BBQ, Volleyball, Basketball, Business Center, Vending Machines, Fitness Center, Full Perimeter Fence, Security Gates, Pre-Wired For Unit Security, Free Cable Tv, Free High Speed Internet, Oversized Units, Low Density And Townhome Unit Design.</t>
    </r>
  </si>
  <si>
    <t>134 Units Including 1 manager's unit</t>
  </si>
  <si>
    <t>% Value</t>
  </si>
  <si>
    <t>% Cost</t>
  </si>
  <si>
    <t>Category</t>
  </si>
  <si>
    <t>Rates</t>
  </si>
  <si>
    <t>Amounts</t>
  </si>
  <si>
    <t xml:space="preserve">Per Unit </t>
  </si>
  <si>
    <t>10% Cap</t>
  </si>
  <si>
    <t>TOTAL VALUE</t>
  </si>
  <si>
    <t>Interim Loan</t>
  </si>
  <si>
    <t>Technology &amp; Fitness Center</t>
  </si>
  <si>
    <t>Internet</t>
  </si>
  <si>
    <t>INVESTOR SHARE</t>
  </si>
  <si>
    <t>TOTAL ANNUAL NOI</t>
  </si>
  <si>
    <t xml:space="preserve">NET ANNUAL CASH </t>
  </si>
  <si>
    <t>ANNUAL MORTGAGE COST</t>
  </si>
  <si>
    <t>PERMANENT LOAN</t>
  </si>
  <si>
    <t>INTERIM LOAN</t>
  </si>
  <si>
    <t>Construction Cost</t>
  </si>
  <si>
    <t>TOTAL PERMANENT LOAN EQUITY</t>
  </si>
  <si>
    <t>ANNUAL RETURN ON EQUITY</t>
  </si>
  <si>
    <t>Less Construction Profit -To Lender</t>
  </si>
  <si>
    <t>Bank One has stated that they will apply all reasonable construction profit to the interim loan equity.  They have also stated that 25% is typical for a for build to suit, therefore, we have used it here, but it could be reduced to !5-22%.</t>
  </si>
  <si>
    <t>Interim Interest:  8.75% rate, with 75% avg. balance and 9 month term</t>
  </si>
  <si>
    <t>Origination Points - 1.0% of Loan, Closing Costs - 0.25% of Loan</t>
  </si>
  <si>
    <t>Forward Commitment Fee Permanent Loan - 1.25% - Included in total cost for that option.</t>
  </si>
  <si>
    <t>Equity Required With No Forward Commitment</t>
  </si>
  <si>
    <t>No Forward Commitment</t>
  </si>
  <si>
    <t>Total Cost to Lender</t>
  </si>
  <si>
    <t>With Forward Commitment</t>
  </si>
  <si>
    <t>NET CASH LOAN EQUITY</t>
  </si>
  <si>
    <t>EXPECTED LOAN EQUITY</t>
  </si>
  <si>
    <t>MAXIMUM LOAN EQUITY</t>
  </si>
  <si>
    <t>Maximum Loan Equity Reflects the MINIMUM Construction Profit of 15%</t>
  </si>
  <si>
    <t>LAND COST</t>
  </si>
  <si>
    <t>IMPROVEMENTS</t>
  </si>
  <si>
    <t>EQUITY</t>
  </si>
  <si>
    <t>Baths/Stories/Garages</t>
  </si>
  <si>
    <t>2.5/2/0</t>
  </si>
  <si>
    <t>3.5/2/1.5</t>
  </si>
  <si>
    <t>RAW LAND</t>
  </si>
  <si>
    <t>% INCOME</t>
  </si>
  <si>
    <t>PER UNIT</t>
  </si>
  <si>
    <t>COVERAGE RATIO: NOI/MORTGAGE</t>
  </si>
  <si>
    <t>Avg /Unit</t>
  </si>
  <si>
    <t>Avg /SF</t>
  </si>
  <si>
    <t>Stories/Garages</t>
  </si>
  <si>
    <t>2 / 1.5</t>
  </si>
  <si>
    <t>2 / 0</t>
  </si>
  <si>
    <t>PLAN 1213</t>
  </si>
  <si>
    <t>PLAN 1016</t>
  </si>
  <si>
    <t>Mgr's Unit, Office &amp; Tech Center</t>
  </si>
  <si>
    <t>MIX  Rentable Units</t>
  </si>
  <si>
    <t>Survey &amp; Topo</t>
  </si>
  <si>
    <t>Architectural Plans</t>
  </si>
  <si>
    <t>Partnership Agreement</t>
  </si>
  <si>
    <t>PK Review of Plans</t>
  </si>
  <si>
    <t>Creekside Review of Plans</t>
  </si>
  <si>
    <t>Supervisor Start</t>
  </si>
  <si>
    <t>Bidding-Site Improvements</t>
  </si>
  <si>
    <t>Bidding-Unit Construction</t>
  </si>
  <si>
    <t>Bid Review</t>
  </si>
  <si>
    <t>Rental Offices</t>
  </si>
  <si>
    <t>Technology Center</t>
  </si>
  <si>
    <t>1 YEAR</t>
  </si>
  <si>
    <t>MIX  All Units</t>
  </si>
  <si>
    <t>SF</t>
  </si>
  <si>
    <t>PROJECT TOTALS</t>
  </si>
  <si>
    <t>Appliances(W/O Washer &amp; Dryer)</t>
  </si>
  <si>
    <t>Door</t>
  </si>
  <si>
    <t>CSF</t>
  </si>
  <si>
    <t>LS</t>
  </si>
  <si>
    <t>$0.35+$200 for VinCard</t>
  </si>
  <si>
    <t>Month</t>
  </si>
  <si>
    <t>See Amenities</t>
  </si>
  <si>
    <t>See Site Work</t>
  </si>
  <si>
    <t>Optional</t>
  </si>
  <si>
    <t>Mgr. &amp; 3B</t>
  </si>
  <si>
    <t>SQ</t>
  </si>
  <si>
    <t>SF/YR</t>
  </si>
  <si>
    <t>Assume Stone &amp; Stucco Same Price.</t>
  </si>
  <si>
    <t>Foundation Design</t>
  </si>
  <si>
    <t xml:space="preserve">Architecture </t>
  </si>
  <si>
    <t>Less Construction Profit</t>
  </si>
  <si>
    <t>Land Equity</t>
  </si>
  <si>
    <t>Loan Funds</t>
  </si>
  <si>
    <t>Loan Total</t>
  </si>
  <si>
    <t>Loan Total Per Unit</t>
  </si>
  <si>
    <t>Site Cost</t>
  </si>
  <si>
    <t>SM134Units=</t>
  </si>
  <si>
    <t>XX</t>
  </si>
  <si>
    <t>YY</t>
  </si>
  <si>
    <t>ZZ</t>
  </si>
  <si>
    <t>AA</t>
  </si>
  <si>
    <t>BB</t>
  </si>
  <si>
    <t>CC</t>
  </si>
  <si>
    <t>DD</t>
  </si>
  <si>
    <t>EE</t>
  </si>
  <si>
    <t>TOTAL LOAN</t>
  </si>
  <si>
    <t>CUMMULATIVE LOAN</t>
  </si>
  <si>
    <t>Month.Week</t>
  </si>
  <si>
    <t>MONTH</t>
  </si>
  <si>
    <t>MONTH NUMBER</t>
  </si>
  <si>
    <t>LAND</t>
  </si>
  <si>
    <t>AMENITIES</t>
  </si>
  <si>
    <t>TOTAL LOT COST</t>
  </si>
  <si>
    <t>DIRECT UNIT COST</t>
  </si>
  <si>
    <t>CONSTRUCTION PROFIT &amp; OVHD</t>
  </si>
  <si>
    <t>LOT COST</t>
  </si>
  <si>
    <t>ORIGINATION &amp; CLOSING COST</t>
  </si>
  <si>
    <t>INTEREST EXPENSE</t>
  </si>
  <si>
    <t>TOTAL FINANCE COST</t>
  </si>
  <si>
    <t>TOTAL LOAN USE</t>
  </si>
  <si>
    <t>CUMMULATIVE LOAN BAL.</t>
  </si>
  <si>
    <t>LTC - TOTAL COST $13.7MM</t>
  </si>
  <si>
    <t>LTV - $15.5MM VALUE</t>
  </si>
  <si>
    <t>LOAN USE CASH FLOW</t>
  </si>
  <si>
    <t>MAI APPRAISED VALUE</t>
  </si>
  <si>
    <t>TOTAL LOAN REQUEST</t>
  </si>
  <si>
    <t>/Rental Unit</t>
  </si>
  <si>
    <t>/Rental SF</t>
  </si>
  <si>
    <t>Mortgage: 30Y, 7.5%, 80% Value</t>
  </si>
  <si>
    <t>Garage Rate</t>
  </si>
  <si>
    <t>Term</t>
  </si>
  <si>
    <t>MAI Appraisal- 134 Units</t>
  </si>
  <si>
    <t>Including Manager's Unit</t>
  </si>
  <si>
    <t>Per Month</t>
  </si>
  <si>
    <t xml:space="preserve">Annual </t>
  </si>
  <si>
    <t>Monthly</t>
  </si>
  <si>
    <t>Cash Flow Analysis</t>
  </si>
  <si>
    <t>Total Cost in Loan Pkg</t>
  </si>
  <si>
    <t>Less Land</t>
  </si>
  <si>
    <t>Min. Loan 75% LTC</t>
  </si>
  <si>
    <t>Max Loan 80% LTC</t>
  </si>
  <si>
    <t>Equity</t>
  </si>
  <si>
    <t>Total at 80% LTC</t>
  </si>
  <si>
    <t>Total at 75% LTC</t>
  </si>
  <si>
    <t>Less EST Const Profit Allowed</t>
  </si>
  <si>
    <t>Net Cash Equity</t>
  </si>
  <si>
    <t>Net Additional Cash</t>
  </si>
  <si>
    <t>Mortage</t>
  </si>
  <si>
    <t>Less 2% Cost of Loan</t>
  </si>
  <si>
    <t>Less Construction Loan-80% LTC</t>
  </si>
  <si>
    <t>Net Cash at Permanent</t>
  </si>
  <si>
    <t>Limit-90% LTC</t>
  </si>
  <si>
    <t>Less ROE</t>
  </si>
  <si>
    <t>Bal Due CSB</t>
  </si>
  <si>
    <t>Years to Pay Off</t>
  </si>
  <si>
    <t>Alternate CSB</t>
  </si>
  <si>
    <t>CMF 8%</t>
  </si>
  <si>
    <t>True Cost</t>
  </si>
  <si>
    <t>less Cash equity</t>
  </si>
  <si>
    <t>Cash over Cost in Base Loan</t>
  </si>
  <si>
    <t>Less EST Const Profit Allowance 10% Cost</t>
  </si>
  <si>
    <t>%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</si>
</sst>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69" formatCode="0.000%"/>
    <numFmt numFmtId="175" formatCode="_(* #,##0.0000_);_(* \(#,##0.0000\);_(* &quot;-&quot;??_);_(@_)"/>
    <numFmt numFmtId="189" formatCode="#,##0.0_);[Red]\(#,##0.0\)"/>
    <numFmt numFmtId="196" formatCode="#,##0.0000_);[Red]\(#,##0.0000\)"/>
    <numFmt numFmtId="197" formatCode="#,##0.000_);[Red]\(#,##0.000\)"/>
    <numFmt numFmtId="200" formatCode="_(&quot;$&quot;* #,##0.00_);_(&quot;$&quot;* \(#,##0.00\);_(&quot;$&quot;* &quot;-&quot;_);_(@_)"/>
    <numFmt numFmtId="203" formatCode="_(* #,##0.00_);_(* \(#,##0.00\);_(* &quot;-&quot;_);_(@_)"/>
    <numFmt numFmtId="208" formatCode="&quot;$&quot;#,##0.0000_);[Red]\(&quot;$&quot;#,##0.0000\)"/>
    <numFmt numFmtId="210" formatCode="_(* #,##0.000_);_(* \(#,##0.000\);_(* &quot;-&quot;_);_(@_)"/>
  </numFmts>
  <fonts count="68">
    <font>
      <sz val="10"/>
      <name val="Times New Roman"/>
      <family val="1"/>
    </font>
    <font>
      <b/>
      <sz val="10"/>
      <name val="AmeriGarmnd BT"/>
      <family val="1"/>
    </font>
    <font>
      <b/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  <font>
      <b/>
      <sz val="10"/>
      <name val="AGaramond"/>
      <family val="1"/>
    </font>
    <font>
      <sz val="10"/>
      <name val="AGaramond"/>
      <family val="1"/>
    </font>
    <font>
      <b/>
      <sz val="10"/>
      <color indexed="20"/>
      <name val="AGaramond"/>
      <family val="1"/>
    </font>
    <font>
      <b/>
      <sz val="8"/>
      <color indexed="81"/>
      <name val="Tahoma"/>
    </font>
    <font>
      <b/>
      <sz val="9"/>
      <name val="Goudy"/>
      <family val="1"/>
    </font>
    <font>
      <b/>
      <u/>
      <sz val="9"/>
      <name val="Arial"/>
    </font>
    <font>
      <b/>
      <u/>
      <sz val="10"/>
      <name val="Times New Roman"/>
      <family val="1"/>
    </font>
    <font>
      <b/>
      <u/>
      <sz val="9"/>
      <name val="Times New Roman Condensed"/>
      <family val="1"/>
    </font>
    <font>
      <sz val="9"/>
      <name val="Times New Roman Condensed"/>
      <family val="1"/>
    </font>
    <font>
      <b/>
      <sz val="9"/>
      <name val="Times New Roman Condensed"/>
      <family val="1"/>
    </font>
    <font>
      <u/>
      <sz val="9"/>
      <name val="Times New Roman Condensed"/>
    </font>
    <font>
      <sz val="9"/>
      <name val="Times New Roman Condensed"/>
    </font>
    <font>
      <b/>
      <sz val="9"/>
      <name val="Times New Roman Condensed"/>
    </font>
    <font>
      <b/>
      <u/>
      <sz val="9"/>
      <name val="Times New Roman Condensed"/>
    </font>
    <font>
      <i/>
      <sz val="9"/>
      <name val="Times New Roman Condensed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 Condensed"/>
      <family val="1"/>
    </font>
    <font>
      <b/>
      <sz val="10"/>
      <name val="Times New Roman Condensed"/>
      <family val="1"/>
    </font>
    <font>
      <b/>
      <u/>
      <sz val="10"/>
      <name val="Times New Roman Condensed"/>
      <family val="1"/>
    </font>
    <font>
      <b/>
      <i/>
      <sz val="10"/>
      <name val="Times New Roman Condensed"/>
      <family val="1"/>
    </font>
    <font>
      <i/>
      <sz val="10"/>
      <name val="Times New Roman Condensed"/>
      <family val="1"/>
    </font>
    <font>
      <b/>
      <i/>
      <u/>
      <sz val="10"/>
      <name val="Times New Roman Condensed"/>
      <family val="1"/>
    </font>
    <font>
      <b/>
      <u/>
      <sz val="12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 Condensed"/>
    </font>
    <font>
      <sz val="8"/>
      <name val="Times New Roman"/>
      <family val="1"/>
    </font>
    <font>
      <b/>
      <sz val="8"/>
      <name val="Times New Roman"/>
      <family val="1"/>
    </font>
    <font>
      <u/>
      <sz val="8"/>
      <name val="Times New Roman"/>
      <family val="1"/>
    </font>
    <font>
      <b/>
      <u/>
      <sz val="8"/>
      <name val="Times New Roman"/>
      <family val="1"/>
    </font>
    <font>
      <b/>
      <u/>
      <sz val="8"/>
      <name val="Times New Roman Condensed"/>
      <family val="1"/>
    </font>
    <font>
      <b/>
      <sz val="8"/>
      <name val="Times New Roman"/>
    </font>
    <font>
      <sz val="8"/>
      <name val="Times New Roman Condensed"/>
      <family val="1"/>
    </font>
    <font>
      <sz val="8"/>
      <name val="Arial"/>
      <family val="2"/>
    </font>
    <font>
      <b/>
      <sz val="8"/>
      <name val="Times New Roman Condensed"/>
      <family val="1"/>
    </font>
    <font>
      <sz val="8"/>
      <name val="Times New Roman Condensed"/>
    </font>
    <font>
      <u/>
      <sz val="8"/>
      <name val="Times New Roman Condensed"/>
      <family val="1"/>
    </font>
    <font>
      <b/>
      <sz val="8"/>
      <name val="Times New Roman Condensed"/>
    </font>
    <font>
      <b/>
      <u/>
      <sz val="8"/>
      <name val="Arial"/>
      <family val="2"/>
    </font>
    <font>
      <b/>
      <sz val="8"/>
      <name val="Arial"/>
      <family val="2"/>
    </font>
    <font>
      <sz val="11"/>
      <name val="Times New Roman Condensed"/>
    </font>
    <font>
      <sz val="10"/>
      <name val="Times New Roman"/>
      <family val="1"/>
    </font>
    <font>
      <b/>
      <sz val="8"/>
      <name val="Arial"/>
    </font>
    <font>
      <sz val="9"/>
      <name val="Times New Roman"/>
    </font>
    <font>
      <i/>
      <sz val="9"/>
      <name val="Times New Roman"/>
    </font>
    <font>
      <b/>
      <sz val="9"/>
      <name val="Times New Roman"/>
    </font>
    <font>
      <b/>
      <sz val="10"/>
      <name val="Times New Roman"/>
    </font>
    <font>
      <u/>
      <sz val="10"/>
      <name val="Times New Roman"/>
    </font>
  </fonts>
  <fills count="3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lightUp">
        <bgColor indexed="44"/>
      </patternFill>
    </fill>
    <fill>
      <patternFill patternType="lightDown">
        <fgColor indexed="52"/>
      </patternFill>
    </fill>
    <fill>
      <patternFill patternType="solid">
        <fgColor indexed="57"/>
        <bgColor indexed="64"/>
      </patternFill>
    </fill>
    <fill>
      <patternFill patternType="lightVertical">
        <bgColor indexed="14"/>
      </patternFill>
    </fill>
    <fill>
      <patternFill patternType="lightUp">
        <fgColor indexed="9"/>
        <bgColor indexed="20"/>
      </patternFill>
    </fill>
    <fill>
      <patternFill patternType="darkTrellis">
        <bgColor indexed="50"/>
      </patternFill>
    </fill>
    <fill>
      <patternFill patternType="solid">
        <fgColor indexed="51"/>
        <bgColor indexed="64"/>
      </patternFill>
    </fill>
    <fill>
      <patternFill patternType="darkGray">
        <fgColor indexed="9"/>
        <bgColor indexed="12"/>
      </patternFill>
    </fill>
    <fill>
      <patternFill patternType="solid">
        <fgColor indexed="25"/>
        <bgColor indexed="64"/>
      </patternFill>
    </fill>
    <fill>
      <patternFill patternType="lightVertical">
        <bgColor indexed="55"/>
      </patternFill>
    </fill>
    <fill>
      <patternFill patternType="gray125">
        <bgColor indexed="46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Trellis">
        <bgColor indexed="42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38" fontId="0" fillId="0" borderId="0">
      <alignment vertical="center"/>
    </xf>
    <xf numFmtId="38" fontId="23" fillId="0" borderId="0" applyNumberFormat="0" applyFill="0" applyBorder="0" applyAlignment="0" applyProtection="0">
      <alignment vertical="center"/>
    </xf>
    <xf numFmtId="38" fontId="23" fillId="0" borderId="0" applyNumberFormat="0" applyFill="0" applyBorder="0" applyAlignment="0" applyProtection="0">
      <alignment vertical="center"/>
    </xf>
    <xf numFmtId="0" fontId="1" fillId="0" borderId="1" applyNumberFormat="0" applyFill="0" applyBorder="0" applyAlignment="0" applyProtection="0">
      <protection locked="0"/>
    </xf>
    <xf numFmtId="43" fontId="4" fillId="0" borderId="0" applyFill="0" applyBorder="0" applyAlignment="0" applyProtection="0"/>
    <xf numFmtId="41" fontId="4" fillId="0" borderId="0" applyFill="0" applyBorder="0" applyAlignment="0" applyProtection="0"/>
    <xf numFmtId="8" fontId="25" fillId="0" borderId="0" applyAlignment="0">
      <alignment vertical="center"/>
    </xf>
    <xf numFmtId="44" fontId="4" fillId="0" borderId="0" applyFill="0" applyBorder="0" applyAlignment="0" applyProtection="0"/>
    <xf numFmtId="42" fontId="25" fillId="0" borderId="0" applyFill="0" applyBorder="0" applyAlignment="0" applyProtection="0"/>
    <xf numFmtId="0" fontId="3" fillId="0" borderId="2" applyBorder="0">
      <alignment horizontal="center"/>
    </xf>
    <xf numFmtId="0" fontId="18" fillId="0" borderId="0" applyNumberFormat="0" applyFill="0" applyBorder="0" applyProtection="0">
      <alignment horizontal="center"/>
    </xf>
    <xf numFmtId="0" fontId="2" fillId="0" borderId="3"/>
    <xf numFmtId="10" fontId="22" fillId="0" borderId="0">
      <alignment vertical="center"/>
    </xf>
  </cellStyleXfs>
  <cellXfs count="544">
    <xf numFmtId="38" fontId="0" fillId="0" borderId="0" xfId="0">
      <alignment vertical="center"/>
    </xf>
    <xf numFmtId="10" fontId="22" fillId="0" borderId="0" xfId="12">
      <alignment vertical="center"/>
    </xf>
    <xf numFmtId="44" fontId="5" fillId="0" borderId="4" xfId="7" applyFont="1" applyBorder="1"/>
    <xf numFmtId="165" fontId="5" fillId="0" borderId="4" xfId="7" applyNumberFormat="1" applyFont="1" applyBorder="1"/>
    <xf numFmtId="0" fontId="6" fillId="0" borderId="0" xfId="10" applyFont="1" applyFill="1" applyBorder="1" applyProtection="1">
      <alignment horizontal="center"/>
      <protection locked="0"/>
    </xf>
    <xf numFmtId="0" fontId="6" fillId="0" borderId="0" xfId="10" applyFont="1" applyFill="1" applyBorder="1" applyAlignment="1" applyProtection="1">
      <alignment horizontal="center" wrapText="1"/>
      <protection locked="0"/>
    </xf>
    <xf numFmtId="0" fontId="7" fillId="0" borderId="0" xfId="10" applyFont="1" applyFill="1" applyBorder="1" applyAlignment="1" applyProtection="1">
      <alignment horizontal="center" wrapText="1"/>
      <protection locked="0"/>
    </xf>
    <xf numFmtId="167" fontId="7" fillId="0" borderId="0" xfId="4" applyNumberFormat="1" applyFont="1" applyFill="1" applyBorder="1" applyAlignment="1" applyProtection="1">
      <alignment horizontal="center" wrapText="1"/>
      <protection locked="0"/>
    </xf>
    <xf numFmtId="38" fontId="7" fillId="0" borderId="0" xfId="0" applyFont="1">
      <alignment vertical="center"/>
    </xf>
    <xf numFmtId="10" fontId="7" fillId="0" borderId="0" xfId="12" applyNumberFormat="1" applyFont="1">
      <alignment vertical="center"/>
    </xf>
    <xf numFmtId="167" fontId="7" fillId="0" borderId="0" xfId="0" applyNumberFormat="1" applyFont="1">
      <alignment vertical="center"/>
    </xf>
    <xf numFmtId="44" fontId="7" fillId="0" borderId="0" xfId="7" applyFont="1"/>
    <xf numFmtId="43" fontId="7" fillId="0" borderId="0" xfId="4" applyFont="1"/>
    <xf numFmtId="0" fontId="7" fillId="0" borderId="0" xfId="10" applyFont="1" applyFill="1" applyBorder="1" applyProtection="1">
      <alignment horizontal="center"/>
      <protection locked="0"/>
    </xf>
    <xf numFmtId="38" fontId="5" fillId="0" borderId="4" xfId="0" applyFont="1" applyBorder="1">
      <alignment vertical="center"/>
    </xf>
    <xf numFmtId="10" fontId="5" fillId="0" borderId="4" xfId="12" applyNumberFormat="1" applyFont="1" applyBorder="1">
      <alignment vertical="center"/>
    </xf>
    <xf numFmtId="167" fontId="7" fillId="0" borderId="0" xfId="0" applyNumberFormat="1" applyFont="1" applyFill="1">
      <alignment vertical="center"/>
    </xf>
    <xf numFmtId="38" fontId="7" fillId="0" borderId="0" xfId="0" applyFont="1" applyFill="1">
      <alignment vertical="center"/>
    </xf>
    <xf numFmtId="40" fontId="7" fillId="0" borderId="0" xfId="0" applyNumberFormat="1" applyFont="1">
      <alignment vertical="center"/>
    </xf>
    <xf numFmtId="38" fontId="7" fillId="0" borderId="0" xfId="0" applyNumberFormat="1" applyFont="1">
      <alignment vertical="center"/>
    </xf>
    <xf numFmtId="38" fontId="4" fillId="0" borderId="0" xfId="0" applyFont="1">
      <alignment vertical="center"/>
    </xf>
    <xf numFmtId="44" fontId="5" fillId="0" borderId="5" xfId="7" applyFont="1" applyBorder="1"/>
    <xf numFmtId="165" fontId="5" fillId="0" borderId="5" xfId="7" applyNumberFormat="1" applyFont="1" applyBorder="1"/>
    <xf numFmtId="38" fontId="5" fillId="0" borderId="0" xfId="0" applyFont="1">
      <alignment vertical="center"/>
    </xf>
    <xf numFmtId="38" fontId="7" fillId="0" borderId="0" xfId="0" applyFont="1" applyFill="1" applyBorder="1">
      <alignment vertical="center"/>
    </xf>
    <xf numFmtId="38" fontId="5" fillId="0" borderId="0" xfId="0" applyFont="1" applyFill="1">
      <alignment vertical="center"/>
    </xf>
    <xf numFmtId="38" fontId="5" fillId="0" borderId="5" xfId="0" applyFont="1" applyBorder="1">
      <alignment vertical="center"/>
    </xf>
    <xf numFmtId="38" fontId="6" fillId="0" borderId="0" xfId="0" applyFont="1">
      <alignment vertical="center"/>
    </xf>
    <xf numFmtId="38" fontId="7" fillId="0" borderId="6" xfId="0" applyFont="1" applyBorder="1">
      <alignment vertical="center"/>
    </xf>
    <xf numFmtId="38" fontId="6" fillId="0" borderId="0" xfId="0" applyFont="1" applyAlignment="1">
      <alignment horizontal="center"/>
    </xf>
    <xf numFmtId="38" fontId="7" fillId="0" borderId="7" xfId="0" applyFont="1" applyBorder="1">
      <alignment vertical="center"/>
    </xf>
    <xf numFmtId="10" fontId="8" fillId="0" borderId="0" xfId="12" applyFont="1">
      <alignment vertical="center"/>
    </xf>
    <xf numFmtId="43" fontId="9" fillId="0" borderId="0" xfId="4" applyFont="1"/>
    <xf numFmtId="38" fontId="9" fillId="0" borderId="0" xfId="0" applyNumberFormat="1" applyFont="1">
      <alignment vertical="center"/>
    </xf>
    <xf numFmtId="167" fontId="9" fillId="0" borderId="0" xfId="4" applyNumberFormat="1" applyFont="1"/>
    <xf numFmtId="38" fontId="9" fillId="0" borderId="0" xfId="0" applyFont="1">
      <alignment vertical="center"/>
    </xf>
    <xf numFmtId="8" fontId="5" fillId="0" borderId="5" xfId="7" applyNumberFormat="1" applyFont="1" applyBorder="1"/>
    <xf numFmtId="8" fontId="5" fillId="0" borderId="8" xfId="7" applyNumberFormat="1" applyFont="1" applyBorder="1"/>
    <xf numFmtId="165" fontId="7" fillId="0" borderId="0" xfId="7" applyNumberFormat="1" applyFont="1"/>
    <xf numFmtId="41" fontId="7" fillId="0" borderId="0" xfId="5" applyFont="1"/>
    <xf numFmtId="167" fontId="7" fillId="0" borderId="0" xfId="4" applyNumberFormat="1" applyFont="1"/>
    <xf numFmtId="165" fontId="7" fillId="0" borderId="6" xfId="7" applyNumberFormat="1" applyFont="1" applyBorder="1"/>
    <xf numFmtId="44" fontId="7" fillId="0" borderId="6" xfId="7" applyNumberFormat="1" applyFont="1" applyBorder="1"/>
    <xf numFmtId="44" fontId="7" fillId="0" borderId="7" xfId="7" applyFont="1" applyBorder="1"/>
    <xf numFmtId="6" fontId="5" fillId="0" borderId="5" xfId="7" applyNumberFormat="1" applyFont="1" applyBorder="1"/>
    <xf numFmtId="38" fontId="5" fillId="0" borderId="6" xfId="0" applyFont="1" applyBorder="1">
      <alignment vertical="center"/>
    </xf>
    <xf numFmtId="165" fontId="5" fillId="0" borderId="6" xfId="7" applyNumberFormat="1" applyFont="1" applyBorder="1"/>
    <xf numFmtId="44" fontId="5" fillId="0" borderId="6" xfId="7" applyFont="1" applyBorder="1"/>
    <xf numFmtId="8" fontId="5" fillId="0" borderId="6" xfId="7" applyNumberFormat="1" applyFont="1" applyBorder="1"/>
    <xf numFmtId="6" fontId="5" fillId="0" borderId="6" xfId="7" applyNumberFormat="1" applyFont="1" applyBorder="1"/>
    <xf numFmtId="38" fontId="4" fillId="0" borderId="0" xfId="0" applyFont="1" applyFill="1">
      <alignment vertical="center"/>
    </xf>
    <xf numFmtId="38" fontId="9" fillId="0" borderId="0" xfId="0" applyFont="1" applyFill="1">
      <alignment vertical="center"/>
    </xf>
    <xf numFmtId="38" fontId="5" fillId="2" borderId="9" xfId="0" applyFont="1" applyFill="1" applyBorder="1">
      <alignment vertical="center"/>
    </xf>
    <xf numFmtId="38" fontId="7" fillId="2" borderId="10" xfId="0" applyFont="1" applyFill="1" applyBorder="1">
      <alignment vertical="center"/>
    </xf>
    <xf numFmtId="38" fontId="7" fillId="2" borderId="11" xfId="0" applyFont="1" applyFill="1" applyBorder="1">
      <alignment vertical="center"/>
    </xf>
    <xf numFmtId="49" fontId="7" fillId="0" borderId="0" xfId="0" applyNumberFormat="1" applyFont="1" applyAlignment="1">
      <alignment horizontal="center"/>
    </xf>
    <xf numFmtId="0" fontId="10" fillId="0" borderId="0" xfId="10" applyFont="1" applyFill="1" applyBorder="1" applyAlignment="1" applyProtection="1">
      <alignment horizontal="center" wrapText="1"/>
      <protection locked="0"/>
    </xf>
    <xf numFmtId="38" fontId="5" fillId="0" borderId="0" xfId="0" applyFont="1" applyAlignment="1">
      <alignment horizontal="center"/>
    </xf>
    <xf numFmtId="0" fontId="6" fillId="3" borderId="0" xfId="10" applyFont="1" applyFill="1" applyBorder="1" applyAlignment="1" applyProtection="1">
      <alignment horizontal="center" wrapText="1"/>
      <protection locked="0"/>
    </xf>
    <xf numFmtId="168" fontId="7" fillId="0" borderId="0" xfId="0" applyNumberFormat="1" applyFont="1" applyFill="1" applyBorder="1" applyAlignment="1" applyProtection="1">
      <alignment horizontal="center"/>
      <protection locked="0"/>
    </xf>
    <xf numFmtId="167" fontId="7" fillId="0" borderId="0" xfId="4" applyNumberFormat="1" applyFont="1" applyAlignment="1">
      <alignment horizontal="center"/>
    </xf>
    <xf numFmtId="42" fontId="7" fillId="0" borderId="0" xfId="8" applyFont="1"/>
    <xf numFmtId="38" fontId="7" fillId="4" borderId="0" xfId="0" applyNumberFormat="1" applyFont="1" applyFill="1">
      <alignment vertical="center"/>
    </xf>
    <xf numFmtId="49" fontId="7" fillId="0" borderId="0" xfId="0" applyNumberFormat="1" applyFont="1">
      <alignment vertical="center"/>
    </xf>
    <xf numFmtId="167" fontId="7" fillId="5" borderId="12" xfId="4" applyNumberFormat="1" applyFont="1" applyFill="1" applyBorder="1" applyAlignment="1">
      <alignment horizontal="center"/>
    </xf>
    <xf numFmtId="167" fontId="5" fillId="6" borderId="0" xfId="4" applyNumberFormat="1" applyFont="1" applyFill="1" applyAlignment="1">
      <alignment horizontal="center"/>
    </xf>
    <xf numFmtId="38" fontId="7" fillId="0" borderId="0" xfId="0" applyFont="1" applyAlignment="1">
      <alignment horizontal="center"/>
    </xf>
    <xf numFmtId="38" fontId="7" fillId="7" borderId="0" xfId="0" applyNumberFormat="1" applyFont="1" applyFill="1">
      <alignment vertical="center"/>
    </xf>
    <xf numFmtId="38" fontId="7" fillId="8" borderId="0" xfId="0" applyNumberFormat="1" applyFont="1" applyFill="1">
      <alignment vertical="center"/>
    </xf>
    <xf numFmtId="38" fontId="9" fillId="4" borderId="0" xfId="0" applyNumberFormat="1" applyFont="1" applyFill="1">
      <alignment vertical="center"/>
    </xf>
    <xf numFmtId="49" fontId="9" fillId="0" borderId="0" xfId="0" applyNumberFormat="1" applyFont="1">
      <alignment vertical="center"/>
    </xf>
    <xf numFmtId="10" fontId="9" fillId="0" borderId="0" xfId="12" applyNumberFormat="1" applyFont="1">
      <alignment vertical="center"/>
    </xf>
    <xf numFmtId="167" fontId="9" fillId="0" borderId="0" xfId="0" applyNumberFormat="1" applyFont="1">
      <alignment vertical="center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4" applyNumberFormat="1" applyFont="1" applyAlignment="1">
      <alignment horizontal="center"/>
    </xf>
    <xf numFmtId="38" fontId="7" fillId="0" borderId="0" xfId="0" applyNumberFormat="1" applyFont="1" applyFill="1">
      <alignment vertical="center"/>
    </xf>
    <xf numFmtId="175" fontId="7" fillId="0" borderId="0" xfId="4" applyNumberFormat="1" applyFont="1"/>
    <xf numFmtId="167" fontId="7" fillId="6" borderId="12" xfId="4" applyNumberFormat="1" applyFont="1" applyFill="1" applyBorder="1" applyAlignment="1">
      <alignment horizontal="center"/>
    </xf>
    <xf numFmtId="197" fontId="7" fillId="0" borderId="0" xfId="0" applyNumberFormat="1" applyFont="1">
      <alignment vertical="center"/>
    </xf>
    <xf numFmtId="38" fontId="7" fillId="0" borderId="4" xfId="0" applyFont="1" applyFill="1" applyBorder="1">
      <alignment vertical="center"/>
    </xf>
    <xf numFmtId="10" fontId="5" fillId="0" borderId="5" xfId="7" applyNumberFormat="1" applyFont="1" applyBorder="1"/>
    <xf numFmtId="10" fontId="7" fillId="0" borderId="5" xfId="7" applyNumberFormat="1" applyFont="1" applyBorder="1" applyAlignment="1">
      <alignment horizontal="center"/>
    </xf>
    <xf numFmtId="43" fontId="11" fillId="0" borderId="5" xfId="4" applyFont="1" applyFill="1" applyBorder="1"/>
    <xf numFmtId="8" fontId="5" fillId="0" borderId="0" xfId="7" applyNumberFormat="1" applyFont="1" applyBorder="1"/>
    <xf numFmtId="8" fontId="5" fillId="4" borderId="0" xfId="7" applyNumberFormat="1" applyFont="1" applyFill="1" applyBorder="1"/>
    <xf numFmtId="38" fontId="12" fillId="0" borderId="0" xfId="0" applyFont="1" applyAlignment="1">
      <alignment horizontal="center"/>
    </xf>
    <xf numFmtId="38" fontId="13" fillId="0" borderId="0" xfId="0" applyFont="1">
      <alignment vertical="center"/>
    </xf>
    <xf numFmtId="38" fontId="13" fillId="0" borderId="0" xfId="0" applyFont="1" applyFill="1">
      <alignment vertical="center"/>
    </xf>
    <xf numFmtId="10" fontId="5" fillId="0" borderId="6" xfId="7" applyNumberFormat="1" applyFont="1" applyBorder="1"/>
    <xf numFmtId="10" fontId="7" fillId="0" borderId="6" xfId="7" applyNumberFormat="1" applyFont="1" applyBorder="1" applyAlignment="1">
      <alignment horizontal="center"/>
    </xf>
    <xf numFmtId="43" fontId="11" fillId="0" borderId="6" xfId="4" applyFont="1" applyFill="1" applyBorder="1"/>
    <xf numFmtId="165" fontId="7" fillId="0" borderId="7" xfId="7" applyNumberFormat="1" applyFont="1" applyBorder="1"/>
    <xf numFmtId="44" fontId="7" fillId="0" borderId="6" xfId="7" applyFont="1" applyBorder="1"/>
    <xf numFmtId="38" fontId="12" fillId="0" borderId="0" xfId="0" applyFont="1">
      <alignment vertical="center"/>
    </xf>
    <xf numFmtId="38" fontId="14" fillId="0" borderId="0" xfId="0" applyFont="1">
      <alignment vertical="center"/>
    </xf>
    <xf numFmtId="38" fontId="14" fillId="0" borderId="0" xfId="0" applyFont="1" applyAlignment="1">
      <alignment horizontal="centerContinuous"/>
    </xf>
    <xf numFmtId="38" fontId="14" fillId="0" borderId="13" xfId="0" applyFont="1" applyBorder="1" applyAlignment="1">
      <alignment horizontal="left"/>
    </xf>
    <xf numFmtId="38" fontId="14" fillId="0" borderId="0" xfId="0" applyFont="1" applyBorder="1" applyAlignment="1">
      <alignment horizontal="center"/>
    </xf>
    <xf numFmtId="38" fontId="15" fillId="9" borderId="14" xfId="0" applyFont="1" applyFill="1" applyBorder="1">
      <alignment vertical="center"/>
    </xf>
    <xf numFmtId="38" fontId="15" fillId="9" borderId="15" xfId="0" applyFont="1" applyFill="1" applyBorder="1">
      <alignment vertical="center"/>
    </xf>
    <xf numFmtId="165" fontId="15" fillId="9" borderId="15" xfId="0" applyNumberFormat="1" applyFont="1" applyFill="1" applyBorder="1">
      <alignment vertical="center"/>
    </xf>
    <xf numFmtId="8" fontId="15" fillId="9" borderId="15" xfId="0" applyNumberFormat="1" applyFont="1" applyFill="1" applyBorder="1">
      <alignment vertical="center"/>
    </xf>
    <xf numFmtId="38" fontId="15" fillId="9" borderId="0" xfId="0" applyFont="1" applyFill="1">
      <alignment vertical="center"/>
    </xf>
    <xf numFmtId="38" fontId="15" fillId="9" borderId="16" xfId="0" applyFont="1" applyFill="1" applyBorder="1">
      <alignment vertical="center"/>
    </xf>
    <xf numFmtId="38" fontId="15" fillId="9" borderId="17" xfId="0" applyFont="1" applyFill="1" applyBorder="1">
      <alignment vertical="center"/>
    </xf>
    <xf numFmtId="38" fontId="15" fillId="9" borderId="0" xfId="0" applyFont="1" applyFill="1" applyBorder="1">
      <alignment vertical="center"/>
    </xf>
    <xf numFmtId="165" fontId="15" fillId="9" borderId="0" xfId="0" applyNumberFormat="1" applyFont="1" applyFill="1" applyBorder="1">
      <alignment vertical="center"/>
    </xf>
    <xf numFmtId="8" fontId="15" fillId="9" borderId="0" xfId="0" applyNumberFormat="1" applyFont="1" applyFill="1" applyBorder="1">
      <alignment vertical="center"/>
    </xf>
    <xf numFmtId="38" fontId="15" fillId="9" borderId="18" xfId="0" applyFont="1" applyFill="1" applyBorder="1">
      <alignment vertical="center"/>
    </xf>
    <xf numFmtId="38" fontId="14" fillId="9" borderId="19" xfId="0" applyFont="1" applyFill="1" applyBorder="1">
      <alignment vertical="center"/>
    </xf>
    <xf numFmtId="38" fontId="14" fillId="9" borderId="20" xfId="0" applyFont="1" applyFill="1" applyBorder="1">
      <alignment vertical="center"/>
    </xf>
    <xf numFmtId="165" fontId="14" fillId="9" borderId="20" xfId="0" applyNumberFormat="1" applyFont="1" applyFill="1" applyBorder="1">
      <alignment vertical="center"/>
    </xf>
    <xf numFmtId="8" fontId="14" fillId="9" borderId="20" xfId="0" applyNumberFormat="1" applyFont="1" applyFill="1" applyBorder="1">
      <alignment vertical="center"/>
    </xf>
    <xf numFmtId="167" fontId="14" fillId="9" borderId="20" xfId="0" applyNumberFormat="1" applyFont="1" applyFill="1" applyBorder="1">
      <alignment vertical="center"/>
    </xf>
    <xf numFmtId="43" fontId="14" fillId="9" borderId="20" xfId="0" applyNumberFormat="1" applyFont="1" applyFill="1" applyBorder="1">
      <alignment vertical="center"/>
    </xf>
    <xf numFmtId="38" fontId="14" fillId="9" borderId="21" xfId="0" applyFont="1" applyFill="1" applyBorder="1">
      <alignment vertical="center"/>
    </xf>
    <xf numFmtId="38" fontId="14" fillId="9" borderId="0" xfId="0" applyFont="1" applyFill="1">
      <alignment vertical="center"/>
    </xf>
    <xf numFmtId="165" fontId="15" fillId="0" borderId="0" xfId="7" applyNumberFormat="1" applyFont="1"/>
    <xf numFmtId="44" fontId="15" fillId="0" borderId="0" xfId="7" applyFont="1"/>
    <xf numFmtId="165" fontId="14" fillId="0" borderId="0" xfId="0" applyNumberFormat="1" applyFont="1">
      <alignment vertical="center"/>
    </xf>
    <xf numFmtId="38" fontId="16" fillId="0" borderId="14" xfId="0" applyFont="1" applyBorder="1">
      <alignment vertical="center"/>
    </xf>
    <xf numFmtId="38" fontId="16" fillId="0" borderId="15" xfId="0" applyFont="1" applyBorder="1">
      <alignment vertical="center"/>
    </xf>
    <xf numFmtId="165" fontId="16" fillId="0" borderId="15" xfId="7" applyNumberFormat="1" applyFont="1" applyBorder="1"/>
    <xf numFmtId="44" fontId="16" fillId="0" borderId="15" xfId="7" applyFont="1" applyBorder="1"/>
    <xf numFmtId="165" fontId="16" fillId="0" borderId="15" xfId="0" applyNumberFormat="1" applyFont="1" applyBorder="1">
      <alignment vertical="center"/>
    </xf>
    <xf numFmtId="165" fontId="16" fillId="0" borderId="16" xfId="0" applyNumberFormat="1" applyFont="1" applyBorder="1">
      <alignment vertical="center"/>
    </xf>
    <xf numFmtId="38" fontId="16" fillId="0" borderId="19" xfId="0" applyFont="1" applyBorder="1">
      <alignment vertical="center"/>
    </xf>
    <xf numFmtId="38" fontId="16" fillId="0" borderId="20" xfId="0" applyFont="1" applyBorder="1">
      <alignment vertical="center"/>
    </xf>
    <xf numFmtId="165" fontId="16" fillId="0" borderId="20" xfId="7" applyNumberFormat="1" applyFont="1" applyBorder="1"/>
    <xf numFmtId="44" fontId="16" fillId="0" borderId="20" xfId="7" applyFont="1" applyBorder="1"/>
    <xf numFmtId="165" fontId="16" fillId="0" borderId="20" xfId="0" applyNumberFormat="1" applyFont="1" applyBorder="1">
      <alignment vertical="center"/>
    </xf>
    <xf numFmtId="165" fontId="16" fillId="0" borderId="21" xfId="0" applyNumberFormat="1" applyFont="1" applyBorder="1">
      <alignment vertical="center"/>
    </xf>
    <xf numFmtId="40" fontId="14" fillId="0" borderId="0" xfId="0" applyNumberFormat="1" applyFont="1">
      <alignment vertical="center"/>
    </xf>
    <xf numFmtId="38" fontId="7" fillId="0" borderId="0" xfId="4" applyNumberFormat="1" applyFont="1"/>
    <xf numFmtId="38" fontId="7" fillId="0" borderId="0" xfId="5" applyNumberFormat="1" applyFont="1"/>
    <xf numFmtId="38" fontId="8" fillId="0" borderId="0" xfId="12" applyNumberFormat="1" applyFont="1">
      <alignment vertical="center"/>
    </xf>
    <xf numFmtId="38" fontId="9" fillId="0" borderId="0" xfId="4" applyNumberFormat="1" applyFont="1"/>
    <xf numFmtId="38" fontId="9" fillId="0" borderId="0" xfId="5" applyNumberFormat="1" applyFont="1"/>
    <xf numFmtId="4" fontId="7" fillId="0" borderId="0" xfId="4" applyNumberFormat="1" applyFont="1"/>
    <xf numFmtId="4" fontId="9" fillId="0" borderId="0" xfId="4" applyNumberFormat="1" applyFont="1"/>
    <xf numFmtId="38" fontId="4" fillId="0" borderId="0" xfId="0" applyFont="1" applyAlignment="1">
      <alignment wrapText="1"/>
    </xf>
    <xf numFmtId="38" fontId="0" fillId="9" borderId="0" xfId="0" applyFill="1">
      <alignment vertical="center"/>
    </xf>
    <xf numFmtId="167" fontId="4" fillId="0" borderId="0" xfId="4" applyNumberFormat="1"/>
    <xf numFmtId="38" fontId="0" fillId="10" borderId="0" xfId="0" applyFill="1">
      <alignment vertical="center"/>
    </xf>
    <xf numFmtId="38" fontId="0" fillId="5" borderId="0" xfId="0" applyFill="1">
      <alignment vertical="center"/>
    </xf>
    <xf numFmtId="38" fontId="0" fillId="11" borderId="0" xfId="0" applyFill="1">
      <alignment vertical="center"/>
    </xf>
    <xf numFmtId="38" fontId="0" fillId="12" borderId="0" xfId="0" applyFill="1">
      <alignment vertical="center"/>
    </xf>
    <xf numFmtId="38" fontId="0" fillId="13" borderId="0" xfId="0" applyFill="1">
      <alignment vertical="center"/>
    </xf>
    <xf numFmtId="38" fontId="0" fillId="14" borderId="0" xfId="0" applyFill="1">
      <alignment vertical="center"/>
    </xf>
    <xf numFmtId="17" fontId="19" fillId="0" borderId="0" xfId="0" applyNumberFormat="1" applyFont="1" applyAlignment="1">
      <alignment horizontal="center" vertical="center" textRotation="45"/>
    </xf>
    <xf numFmtId="38" fontId="21" fillId="0" borderId="0" xfId="0" applyFont="1">
      <alignment vertical="center"/>
    </xf>
    <xf numFmtId="15" fontId="20" fillId="0" borderId="0" xfId="9" applyNumberFormat="1" applyFont="1" applyBorder="1" applyAlignment="1">
      <alignment horizontal="center" vertical="center" textRotation="45"/>
    </xf>
    <xf numFmtId="40" fontId="0" fillId="0" borderId="0" xfId="0" applyNumberFormat="1">
      <alignment vertical="center"/>
    </xf>
    <xf numFmtId="38" fontId="0" fillId="15" borderId="0" xfId="0" applyFill="1">
      <alignment vertical="center"/>
    </xf>
    <xf numFmtId="38" fontId="0" fillId="16" borderId="0" xfId="0" applyFill="1">
      <alignment vertical="center"/>
    </xf>
    <xf numFmtId="38" fontId="0" fillId="17" borderId="0" xfId="0" applyFill="1">
      <alignment vertical="center"/>
    </xf>
    <xf numFmtId="38" fontId="0" fillId="7" borderId="0" xfId="0" applyFill="1">
      <alignment vertical="center"/>
    </xf>
    <xf numFmtId="42" fontId="25" fillId="0" borderId="0" xfId="8" applyAlignment="1">
      <alignment vertical="center"/>
    </xf>
    <xf numFmtId="38" fontId="0" fillId="0" borderId="0" xfId="0" applyAlignment="1">
      <alignment horizontal="left" vertical="center" indent="1"/>
    </xf>
    <xf numFmtId="38" fontId="25" fillId="0" borderId="0" xfId="0" applyFont="1">
      <alignment vertical="center"/>
    </xf>
    <xf numFmtId="42" fontId="25" fillId="0" borderId="0" xfId="8" applyFont="1" applyAlignment="1">
      <alignment vertical="center"/>
    </xf>
    <xf numFmtId="38" fontId="26" fillId="0" borderId="0" xfId="0" applyFont="1">
      <alignment vertical="center"/>
    </xf>
    <xf numFmtId="38" fontId="27" fillId="0" borderId="0" xfId="0" applyFont="1">
      <alignment vertical="center"/>
    </xf>
    <xf numFmtId="38" fontId="27" fillId="0" borderId="0" xfId="0" applyFont="1" applyAlignment="1">
      <alignment horizontal="center" vertical="center"/>
    </xf>
    <xf numFmtId="168" fontId="22" fillId="0" borderId="0" xfId="12" applyNumberFormat="1">
      <alignment vertical="center"/>
    </xf>
    <xf numFmtId="8" fontId="25" fillId="0" borderId="0" xfId="6">
      <alignment vertical="center"/>
    </xf>
    <xf numFmtId="168" fontId="22" fillId="0" borderId="0" xfId="12" applyNumberFormat="1" applyFont="1">
      <alignment vertical="center"/>
    </xf>
    <xf numFmtId="168" fontId="0" fillId="0" borderId="0" xfId="0" applyNumberFormat="1">
      <alignment vertical="center"/>
    </xf>
    <xf numFmtId="38" fontId="27" fillId="0" borderId="0" xfId="0" applyFont="1" applyAlignment="1">
      <alignment horizontal="left" vertical="center"/>
    </xf>
    <xf numFmtId="38" fontId="22" fillId="0" borderId="0" xfId="0" applyFont="1">
      <alignment vertical="center"/>
    </xf>
    <xf numFmtId="42" fontId="22" fillId="0" borderId="0" xfId="8" applyFont="1" applyAlignment="1">
      <alignment vertical="center"/>
    </xf>
    <xf numFmtId="8" fontId="22" fillId="0" borderId="0" xfId="6" applyFont="1">
      <alignment vertical="center"/>
    </xf>
    <xf numFmtId="38" fontId="23" fillId="0" borderId="0" xfId="0" applyFont="1">
      <alignment vertical="center"/>
    </xf>
    <xf numFmtId="168" fontId="23" fillId="0" borderId="0" xfId="12" applyNumberFormat="1" applyFont="1">
      <alignment vertical="center"/>
    </xf>
    <xf numFmtId="42" fontId="23" fillId="0" borderId="0" xfId="8" applyFont="1" applyAlignment="1">
      <alignment vertical="center"/>
    </xf>
    <xf numFmtId="8" fontId="23" fillId="0" borderId="0" xfId="6" applyFont="1">
      <alignment vertical="center"/>
    </xf>
    <xf numFmtId="38" fontId="26" fillId="0" borderId="22" xfId="0" applyFont="1" applyBorder="1">
      <alignment vertical="center"/>
    </xf>
    <xf numFmtId="38" fontId="26" fillId="0" borderId="7" xfId="0" applyFont="1" applyBorder="1">
      <alignment vertical="center"/>
    </xf>
    <xf numFmtId="6" fontId="26" fillId="0" borderId="7" xfId="6" applyNumberFormat="1" applyFont="1" applyBorder="1">
      <alignment vertical="center"/>
    </xf>
    <xf numFmtId="168" fontId="26" fillId="0" borderId="7" xfId="12" applyNumberFormat="1" applyFont="1" applyBorder="1">
      <alignment vertical="center"/>
    </xf>
    <xf numFmtId="8" fontId="26" fillId="0" borderId="23" xfId="6" applyFont="1" applyBorder="1">
      <alignment vertical="center"/>
    </xf>
    <xf numFmtId="168" fontId="26" fillId="0" borderId="7" xfId="0" applyNumberFormat="1" applyFont="1" applyBorder="1">
      <alignment vertical="center"/>
    </xf>
    <xf numFmtId="42" fontId="26" fillId="0" borderId="7" xfId="8" applyFont="1" applyBorder="1" applyAlignment="1">
      <alignment vertical="center"/>
    </xf>
    <xf numFmtId="38" fontId="0" fillId="0" borderId="7" xfId="0" applyBorder="1">
      <alignment vertical="center"/>
    </xf>
    <xf numFmtId="10" fontId="23" fillId="0" borderId="23" xfId="12" applyFont="1" applyBorder="1">
      <alignment vertical="center"/>
    </xf>
    <xf numFmtId="42" fontId="23" fillId="0" borderId="23" xfId="8" applyFont="1" applyBorder="1" applyAlignment="1">
      <alignment vertical="center"/>
    </xf>
    <xf numFmtId="38" fontId="23" fillId="0" borderId="22" xfId="0" applyFont="1" applyBorder="1">
      <alignment vertical="center"/>
    </xf>
    <xf numFmtId="168" fontId="23" fillId="0" borderId="7" xfId="12" applyNumberFormat="1" applyFont="1" applyBorder="1">
      <alignment vertical="center"/>
    </xf>
    <xf numFmtId="38" fontId="23" fillId="0" borderId="0" xfId="1">
      <alignment vertical="center"/>
    </xf>
    <xf numFmtId="38" fontId="3" fillId="0" borderId="0" xfId="10" applyNumberFormat="1" applyFont="1" applyFill="1" applyBorder="1" applyAlignment="1">
      <alignment horizontal="left" vertical="center"/>
    </xf>
    <xf numFmtId="38" fontId="3" fillId="0" borderId="0" xfId="10" applyNumberFormat="1" applyFont="1" applyFill="1" applyBorder="1" applyAlignment="1">
      <alignment horizontal="center" vertical="center"/>
    </xf>
    <xf numFmtId="38" fontId="3" fillId="0" borderId="0" xfId="0" applyFont="1" applyFill="1" applyBorder="1" applyAlignment="1">
      <alignment vertical="center"/>
    </xf>
    <xf numFmtId="38" fontId="3" fillId="0" borderId="0" xfId="0" applyFont="1">
      <alignment vertical="center"/>
    </xf>
    <xf numFmtId="38" fontId="30" fillId="0" borderId="0" xfId="0" applyFont="1">
      <alignment vertical="center"/>
    </xf>
    <xf numFmtId="38" fontId="30" fillId="0" borderId="0" xfId="0" applyNumberFormat="1" applyFont="1" applyFill="1" applyBorder="1">
      <alignment vertical="center"/>
    </xf>
    <xf numFmtId="38" fontId="31" fillId="0" borderId="0" xfId="0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/>
    </xf>
    <xf numFmtId="38" fontId="31" fillId="0" borderId="0" xfId="0" applyNumberFormat="1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 wrapText="1"/>
    </xf>
    <xf numFmtId="38" fontId="33" fillId="0" borderId="0" xfId="0" applyFont="1" applyBorder="1">
      <alignment vertical="center"/>
    </xf>
    <xf numFmtId="38" fontId="33" fillId="0" borderId="0" xfId="0" applyFont="1">
      <alignment vertical="center"/>
    </xf>
    <xf numFmtId="189" fontId="31" fillId="0" borderId="0" xfId="0" applyNumberFormat="1" applyFont="1" applyFill="1" applyBorder="1" applyAlignment="1">
      <alignment vertical="center"/>
    </xf>
    <xf numFmtId="38" fontId="33" fillId="0" borderId="0" xfId="0" applyFont="1" applyFill="1" applyBorder="1">
      <alignment vertical="center"/>
    </xf>
    <xf numFmtId="38" fontId="31" fillId="0" borderId="0" xfId="0" applyFont="1" applyFill="1" applyBorder="1" applyAlignment="1">
      <alignment horizontal="center" vertical="center"/>
    </xf>
    <xf numFmtId="40" fontId="31" fillId="0" borderId="0" xfId="0" applyNumberFormat="1" applyFont="1" applyFill="1" applyBorder="1" applyAlignment="1">
      <alignment vertical="center"/>
    </xf>
    <xf numFmtId="10" fontId="31" fillId="0" borderId="0" xfId="12" applyFont="1" applyFill="1" applyBorder="1">
      <alignment vertical="center"/>
    </xf>
    <xf numFmtId="38" fontId="32" fillId="0" borderId="0" xfId="0" applyFont="1" applyFill="1" applyBorder="1" applyAlignment="1">
      <alignment vertical="center"/>
    </xf>
    <xf numFmtId="44" fontId="31" fillId="0" borderId="0" xfId="0" applyNumberFormat="1" applyFont="1" applyFill="1" applyBorder="1" applyAlignment="1">
      <alignment vertical="center"/>
    </xf>
    <xf numFmtId="165" fontId="31" fillId="0" borderId="0" xfId="0" applyNumberFormat="1" applyFont="1" applyFill="1" applyBorder="1" applyAlignment="1">
      <alignment vertical="center"/>
    </xf>
    <xf numFmtId="165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horizontal="left" vertical="center" indent="1"/>
    </xf>
    <xf numFmtId="44" fontId="31" fillId="0" borderId="0" xfId="7" applyFont="1" applyFill="1" applyBorder="1" applyAlignment="1">
      <alignment vertical="center"/>
    </xf>
    <xf numFmtId="167" fontId="31" fillId="0" borderId="0" xfId="4" applyNumberFormat="1" applyFont="1" applyFill="1" applyBorder="1" applyAlignment="1">
      <alignment vertical="center"/>
    </xf>
    <xf numFmtId="43" fontId="31" fillId="0" borderId="0" xfId="4" applyFont="1" applyFill="1" applyBorder="1" applyAlignment="1">
      <alignment vertical="center"/>
    </xf>
    <xf numFmtId="10" fontId="31" fillId="0" borderId="0" xfId="12" applyFont="1" applyFill="1" applyBorder="1" applyAlignment="1">
      <alignment vertical="center"/>
    </xf>
    <xf numFmtId="208" fontId="31" fillId="0" borderId="0" xfId="7" applyNumberFormat="1" applyFont="1" applyFill="1" applyBorder="1" applyAlignment="1">
      <alignment vertical="center"/>
    </xf>
    <xf numFmtId="196" fontId="31" fillId="0" borderId="0" xfId="0" applyNumberFormat="1" applyFont="1" applyFill="1" applyBorder="1" applyAlignment="1">
      <alignment vertical="center"/>
    </xf>
    <xf numFmtId="196" fontId="31" fillId="0" borderId="0" xfId="7" applyNumberFormat="1" applyFont="1" applyFill="1" applyBorder="1" applyAlignment="1">
      <alignment vertical="center"/>
    </xf>
    <xf numFmtId="38" fontId="32" fillId="0" borderId="7" xfId="0" applyFont="1" applyFill="1" applyBorder="1" applyAlignment="1">
      <alignment vertical="center"/>
    </xf>
    <xf numFmtId="6" fontId="32" fillId="0" borderId="0" xfId="7" applyNumberFormat="1" applyFont="1" applyFill="1" applyBorder="1" applyAlignment="1">
      <alignment vertical="center"/>
    </xf>
    <xf numFmtId="40" fontId="32" fillId="0" borderId="0" xfId="0" applyNumberFormat="1" applyFont="1" applyFill="1" applyBorder="1" applyAlignment="1">
      <alignment vertical="center"/>
    </xf>
    <xf numFmtId="38" fontId="32" fillId="0" borderId="0" xfId="0" applyNumberFormat="1" applyFont="1" applyFill="1" applyBorder="1" applyAlignment="1">
      <alignment vertical="center"/>
    </xf>
    <xf numFmtId="6" fontId="32" fillId="0" borderId="7" xfId="7" applyNumberFormat="1" applyFont="1" applyFill="1" applyBorder="1" applyAlignment="1">
      <alignment vertical="center"/>
    </xf>
    <xf numFmtId="8" fontId="32" fillId="0" borderId="7" xfId="7" applyNumberFormat="1" applyFont="1" applyFill="1" applyBorder="1" applyAlignment="1">
      <alignment vertical="center"/>
    </xf>
    <xf numFmtId="44" fontId="32" fillId="0" borderId="7" xfId="7" applyFont="1" applyFill="1" applyBorder="1" applyAlignment="1">
      <alignment vertical="center"/>
    </xf>
    <xf numFmtId="10" fontId="32" fillId="0" borderId="0" xfId="12" applyFont="1" applyFill="1" applyBorder="1">
      <alignment vertical="center"/>
    </xf>
    <xf numFmtId="8" fontId="32" fillId="0" borderId="0" xfId="7" applyNumberFormat="1" applyFont="1" applyFill="1" applyBorder="1" applyAlignment="1">
      <alignment vertical="center"/>
    </xf>
    <xf numFmtId="44" fontId="32" fillId="0" borderId="0" xfId="7" applyFont="1" applyFill="1" applyBorder="1" applyAlignment="1">
      <alignment vertical="center"/>
    </xf>
    <xf numFmtId="8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vertical="center" wrapText="1"/>
    </xf>
    <xf numFmtId="169" fontId="31" fillId="0" borderId="0" xfId="12" applyNumberFormat="1" applyFont="1" applyFill="1" applyBorder="1" applyAlignment="1">
      <alignment vertical="center"/>
    </xf>
    <xf numFmtId="197" fontId="32" fillId="0" borderId="0" xfId="0" applyNumberFormat="1" applyFont="1" applyFill="1" applyBorder="1" applyAlignment="1">
      <alignment vertical="center"/>
    </xf>
    <xf numFmtId="6" fontId="32" fillId="0" borderId="7" xfId="0" applyNumberFormat="1" applyFont="1" applyFill="1" applyBorder="1" applyAlignment="1">
      <alignment vertical="center"/>
    </xf>
    <xf numFmtId="8" fontId="32" fillId="0" borderId="7" xfId="0" applyNumberFormat="1" applyFont="1" applyFill="1" applyBorder="1" applyAlignment="1">
      <alignment vertical="center"/>
    </xf>
    <xf numFmtId="10" fontId="31" fillId="0" borderId="0" xfId="12" applyFont="1">
      <alignment vertical="center"/>
    </xf>
    <xf numFmtId="165" fontId="32" fillId="0" borderId="0" xfId="7" applyNumberFormat="1" applyFont="1" applyFill="1" applyBorder="1" applyAlignment="1">
      <alignment vertical="center"/>
    </xf>
    <xf numFmtId="38" fontId="32" fillId="9" borderId="24" xfId="0" applyFont="1" applyFill="1" applyBorder="1" applyAlignment="1">
      <alignment vertical="center"/>
    </xf>
    <xf numFmtId="38" fontId="32" fillId="0" borderId="25" xfId="0" applyFont="1" applyFill="1" applyBorder="1" applyAlignment="1">
      <alignment vertical="center"/>
    </xf>
    <xf numFmtId="38" fontId="32" fillId="0" borderId="26" xfId="0" applyFont="1" applyFill="1" applyBorder="1" applyAlignment="1">
      <alignment vertical="center"/>
    </xf>
    <xf numFmtId="38" fontId="32" fillId="0" borderId="27" xfId="0" applyFont="1" applyFill="1" applyBorder="1" applyAlignment="1">
      <alignment vertical="center"/>
    </xf>
    <xf numFmtId="38" fontId="32" fillId="0" borderId="28" xfId="0" applyFont="1" applyFill="1" applyBorder="1" applyAlignment="1">
      <alignment vertical="center"/>
    </xf>
    <xf numFmtId="38" fontId="35" fillId="0" borderId="0" xfId="0" applyFont="1">
      <alignment vertical="center"/>
    </xf>
    <xf numFmtId="10" fontId="32" fillId="0" borderId="0" xfId="12" applyFont="1">
      <alignment vertical="center"/>
    </xf>
    <xf numFmtId="38" fontId="20" fillId="0" borderId="0" xfId="10" applyNumberFormat="1" applyFont="1" applyFill="1" applyBorder="1" applyAlignment="1">
      <alignment horizontal="left" vertical="center"/>
    </xf>
    <xf numFmtId="168" fontId="32" fillId="0" borderId="0" xfId="12" applyNumberFormat="1" applyFont="1" applyFill="1" applyBorder="1">
      <alignment vertical="center"/>
    </xf>
    <xf numFmtId="167" fontId="31" fillId="0" borderId="29" xfId="4" applyNumberFormat="1" applyFont="1" applyFill="1" applyBorder="1" applyAlignment="1">
      <alignment vertical="center"/>
    </xf>
    <xf numFmtId="38" fontId="31" fillId="0" borderId="29" xfId="0" applyNumberFormat="1" applyFont="1" applyFill="1" applyBorder="1" applyAlignment="1">
      <alignment vertical="center"/>
    </xf>
    <xf numFmtId="196" fontId="31" fillId="0" borderId="29" xfId="0" applyNumberFormat="1" applyFont="1" applyFill="1" applyBorder="1" applyAlignment="1">
      <alignment vertical="center"/>
    </xf>
    <xf numFmtId="40" fontId="31" fillId="0" borderId="29" xfId="0" applyNumberFormat="1" applyFont="1" applyFill="1" applyBorder="1" applyAlignment="1">
      <alignment vertical="center"/>
    </xf>
    <xf numFmtId="38" fontId="31" fillId="0" borderId="29" xfId="0" applyFont="1" applyFill="1" applyBorder="1" applyAlignment="1">
      <alignment horizontal="left" vertical="center" indent="1"/>
    </xf>
    <xf numFmtId="38" fontId="31" fillId="0" borderId="29" xfId="0" applyFont="1" applyFill="1" applyBorder="1" applyAlignment="1">
      <alignment vertical="center"/>
    </xf>
    <xf numFmtId="43" fontId="31" fillId="0" borderId="29" xfId="4" applyFont="1" applyFill="1" applyBorder="1" applyAlignment="1">
      <alignment vertical="center"/>
    </xf>
    <xf numFmtId="10" fontId="31" fillId="0" borderId="29" xfId="12" applyFont="1" applyFill="1" applyBorder="1">
      <alignment vertical="center"/>
    </xf>
    <xf numFmtId="10" fontId="32" fillId="0" borderId="7" xfId="12" applyFont="1" applyFill="1" applyBorder="1">
      <alignment vertical="center"/>
    </xf>
    <xf numFmtId="38" fontId="34" fillId="0" borderId="0" xfId="0" applyFont="1" applyFill="1" applyBorder="1" applyAlignment="1">
      <alignment horizontal="right" vertical="center"/>
    </xf>
    <xf numFmtId="189" fontId="34" fillId="0" borderId="0" xfId="0" applyNumberFormat="1" applyFont="1" applyFill="1" applyBorder="1" applyAlignment="1">
      <alignment horizontal="right" vertical="center"/>
    </xf>
    <xf numFmtId="38" fontId="36" fillId="0" borderId="0" xfId="0" applyFont="1" applyBorder="1" applyAlignment="1">
      <alignment horizontal="right" vertical="center"/>
    </xf>
    <xf numFmtId="49" fontId="34" fillId="0" borderId="0" xfId="0" applyNumberFormat="1" applyFont="1" applyFill="1" applyBorder="1" applyAlignment="1">
      <alignment horizontal="right" vertical="center"/>
    </xf>
    <xf numFmtId="38" fontId="34" fillId="0" borderId="0" xfId="0" applyNumberFormat="1" applyFont="1" applyFill="1" applyBorder="1" applyAlignment="1">
      <alignment horizontal="right" vertical="center"/>
    </xf>
    <xf numFmtId="40" fontId="34" fillId="0" borderId="0" xfId="0" applyNumberFormat="1" applyFont="1" applyFill="1" applyBorder="1" applyAlignment="1">
      <alignment horizontal="right" vertical="center"/>
    </xf>
    <xf numFmtId="9" fontId="34" fillId="0" borderId="0" xfId="12" applyNumberFormat="1" applyFont="1" applyFill="1" applyBorder="1" applyAlignment="1">
      <alignment horizontal="right" vertical="center"/>
    </xf>
    <xf numFmtId="10" fontId="34" fillId="0" borderId="0" xfId="12" applyFont="1" applyFill="1" applyBorder="1" applyAlignment="1">
      <alignment horizontal="right" vertical="center"/>
    </xf>
    <xf numFmtId="38" fontId="37" fillId="0" borderId="0" xfId="0" applyFont="1" applyFill="1">
      <alignment vertical="center"/>
    </xf>
    <xf numFmtId="38" fontId="37" fillId="0" borderId="0" xfId="0" applyFont="1">
      <alignment vertical="center"/>
    </xf>
    <xf numFmtId="10" fontId="37" fillId="0" borderId="0" xfId="12" applyFont="1">
      <alignment vertical="center"/>
    </xf>
    <xf numFmtId="197" fontId="37" fillId="0" borderId="0" xfId="0" applyNumberFormat="1" applyFont="1">
      <alignment vertical="center"/>
    </xf>
    <xf numFmtId="38" fontId="38" fillId="0" borderId="0" xfId="2" applyFont="1">
      <alignment vertical="center"/>
    </xf>
    <xf numFmtId="38" fontId="38" fillId="0" borderId="0" xfId="1" applyFont="1" applyFill="1">
      <alignment vertical="center"/>
    </xf>
    <xf numFmtId="38" fontId="38" fillId="0" borderId="0" xfId="1" applyFont="1">
      <alignment vertical="center"/>
    </xf>
    <xf numFmtId="167" fontId="38" fillId="0" borderId="0" xfId="1" applyNumberFormat="1" applyFont="1" applyAlignment="1"/>
    <xf numFmtId="10" fontId="38" fillId="0" borderId="0" xfId="1" applyNumberFormat="1" applyFont="1">
      <alignment vertical="center"/>
    </xf>
    <xf numFmtId="38" fontId="38" fillId="0" borderId="0" xfId="0" applyFont="1">
      <alignment vertical="center"/>
    </xf>
    <xf numFmtId="0" fontId="39" fillId="0" borderId="0" xfId="10" applyFont="1" applyFill="1" applyBorder="1" applyAlignment="1" applyProtection="1">
      <alignment horizontal="center" wrapText="1"/>
      <protection locked="0"/>
    </xf>
    <xf numFmtId="0" fontId="39" fillId="0" borderId="0" xfId="10" applyFont="1" applyFill="1" applyBorder="1" applyProtection="1">
      <alignment horizontal="center"/>
      <protection locked="0"/>
    </xf>
    <xf numFmtId="0" fontId="38" fillId="0" borderId="0" xfId="2" applyNumberFormat="1" applyFont="1" applyFill="1" applyBorder="1" applyAlignment="1" applyProtection="1">
      <alignment horizontal="center" wrapText="1"/>
      <protection locked="0"/>
    </xf>
    <xf numFmtId="0" fontId="37" fillId="0" borderId="0" xfId="10" applyFont="1" applyFill="1" applyBorder="1" applyAlignment="1" applyProtection="1">
      <alignment horizontal="center" wrapText="1"/>
      <protection locked="0"/>
    </xf>
    <xf numFmtId="167" fontId="38" fillId="0" borderId="0" xfId="2" applyNumberFormat="1" applyFont="1" applyFill="1" applyBorder="1" applyAlignment="1" applyProtection="1">
      <alignment horizontal="center" wrapText="1"/>
      <protection locked="0"/>
    </xf>
    <xf numFmtId="38" fontId="40" fillId="0" borderId="0" xfId="0" applyFont="1">
      <alignment vertical="center"/>
    </xf>
    <xf numFmtId="0" fontId="41" fillId="0" borderId="0" xfId="10" applyFont="1" applyFill="1" applyBorder="1" applyAlignment="1" applyProtection="1">
      <alignment horizontal="center" wrapText="1"/>
      <protection locked="0"/>
    </xf>
    <xf numFmtId="0" fontId="42" fillId="0" borderId="0" xfId="10" applyFont="1" applyFill="1" applyBorder="1" applyAlignment="1" applyProtection="1">
      <alignment horizontal="center" wrapText="1"/>
      <protection locked="0"/>
    </xf>
    <xf numFmtId="38" fontId="41" fillId="0" borderId="0" xfId="0" applyFont="1">
      <alignment vertical="center"/>
    </xf>
    <xf numFmtId="0" fontId="40" fillId="0" borderId="0" xfId="2" applyNumberFormat="1" applyFont="1" applyFill="1" applyBorder="1" applyAlignment="1" applyProtection="1">
      <alignment horizontal="center" wrapText="1"/>
      <protection locked="0"/>
    </xf>
    <xf numFmtId="10" fontId="41" fillId="0" borderId="0" xfId="12" applyFont="1" applyFill="1" applyBorder="1" applyAlignment="1" applyProtection="1">
      <alignment horizontal="center" wrapText="1"/>
      <protection locked="0"/>
    </xf>
    <xf numFmtId="9" fontId="41" fillId="0" borderId="0" xfId="12" applyNumberFormat="1" applyFont="1" applyFill="1" applyBorder="1" applyAlignment="1" applyProtection="1">
      <alignment horizontal="center" wrapText="1"/>
      <protection locked="0"/>
    </xf>
    <xf numFmtId="168" fontId="40" fillId="0" borderId="0" xfId="2" applyNumberFormat="1" applyFont="1" applyFill="1" applyBorder="1" applyAlignment="1" applyProtection="1">
      <alignment horizontal="center" wrapText="1"/>
      <protection locked="0"/>
    </xf>
    <xf numFmtId="167" fontId="41" fillId="0" borderId="0" xfId="4" applyNumberFormat="1" applyFont="1" applyFill="1" applyBorder="1" applyAlignment="1" applyProtection="1">
      <alignment horizontal="center" wrapText="1"/>
      <protection locked="0"/>
    </xf>
    <xf numFmtId="168" fontId="3" fillId="0" borderId="0" xfId="12" applyNumberFormat="1" applyFont="1" applyFill="1" applyBorder="1">
      <alignment vertical="center"/>
    </xf>
    <xf numFmtId="38" fontId="29" fillId="0" borderId="0" xfId="0" applyFont="1">
      <alignment vertical="center"/>
    </xf>
    <xf numFmtId="38" fontId="29" fillId="0" borderId="7" xfId="0" applyFont="1" applyBorder="1">
      <alignment vertical="center"/>
    </xf>
    <xf numFmtId="38" fontId="43" fillId="0" borderId="0" xfId="0" applyFont="1" applyAlignment="1">
      <alignment horizontal="center"/>
    </xf>
    <xf numFmtId="38" fontId="0" fillId="18" borderId="0" xfId="0" applyFill="1">
      <alignment vertical="center"/>
    </xf>
    <xf numFmtId="38" fontId="0" fillId="4" borderId="0" xfId="0" applyFill="1">
      <alignment vertical="center"/>
    </xf>
    <xf numFmtId="38" fontId="0" fillId="19" borderId="0" xfId="0" applyFill="1">
      <alignment vertical="center"/>
    </xf>
    <xf numFmtId="38" fontId="0" fillId="20" borderId="0" xfId="0" applyFill="1">
      <alignment vertical="center"/>
    </xf>
    <xf numFmtId="38" fontId="0" fillId="21" borderId="0" xfId="0" applyFill="1">
      <alignment vertical="center"/>
    </xf>
    <xf numFmtId="38" fontId="0" fillId="22" borderId="0" xfId="0" applyFill="1">
      <alignment vertical="center"/>
    </xf>
    <xf numFmtId="38" fontId="0" fillId="23" borderId="0" xfId="0" applyFill="1">
      <alignment vertical="center"/>
    </xf>
    <xf numFmtId="38" fontId="0" fillId="24" borderId="0" xfId="0" applyFill="1">
      <alignment vertical="center"/>
    </xf>
    <xf numFmtId="38" fontId="0" fillId="25" borderId="0" xfId="0" applyFill="1">
      <alignment vertical="center"/>
    </xf>
    <xf numFmtId="167" fontId="40" fillId="0" borderId="0" xfId="10" applyNumberFormat="1" applyFont="1" applyFill="1" applyBorder="1" applyAlignment="1" applyProtection="1">
      <alignment horizontal="center" wrapText="1"/>
      <protection locked="0"/>
    </xf>
    <xf numFmtId="38" fontId="0" fillId="26" borderId="0" xfId="0" applyFill="1">
      <alignment vertical="center"/>
    </xf>
    <xf numFmtId="15" fontId="20" fillId="7" borderId="0" xfId="9" applyNumberFormat="1" applyFont="1" applyFill="1" applyBorder="1" applyAlignment="1">
      <alignment horizontal="center" vertical="center" textRotation="45"/>
    </xf>
    <xf numFmtId="38" fontId="0" fillId="27" borderId="0" xfId="0" applyFill="1">
      <alignment vertical="center"/>
    </xf>
    <xf numFmtId="15" fontId="20" fillId="28" borderId="0" xfId="9" applyNumberFormat="1" applyFont="1" applyFill="1" applyBorder="1" applyAlignment="1">
      <alignment horizontal="center" vertical="center" textRotation="45"/>
    </xf>
    <xf numFmtId="38" fontId="0" fillId="29" borderId="0" xfId="0" applyFill="1">
      <alignment vertical="center"/>
    </xf>
    <xf numFmtId="15" fontId="44" fillId="15" borderId="0" xfId="9" applyNumberFormat="1" applyFont="1" applyFill="1" applyBorder="1" applyAlignment="1">
      <alignment horizontal="center" vertical="center" textRotation="45"/>
    </xf>
    <xf numFmtId="38" fontId="3" fillId="0" borderId="0" xfId="0" applyFont="1" applyAlignment="1">
      <alignment horizontal="center" vertical="center"/>
    </xf>
    <xf numFmtId="38" fontId="29" fillId="0" borderId="0" xfId="0" applyFont="1" applyBorder="1">
      <alignment vertical="center"/>
    </xf>
    <xf numFmtId="38" fontId="29" fillId="0" borderId="0" xfId="0" applyFont="1" applyBorder="1" applyAlignment="1">
      <alignment horizontal="center"/>
    </xf>
    <xf numFmtId="167" fontId="37" fillId="0" borderId="0" xfId="10" applyNumberFormat="1" applyFont="1" applyFill="1" applyBorder="1" applyAlignment="1" applyProtection="1">
      <alignment horizontal="center" wrapText="1"/>
      <protection locked="0"/>
    </xf>
    <xf numFmtId="0" fontId="39" fillId="0" borderId="6" xfId="10" applyFont="1" applyFill="1" applyBorder="1" applyAlignment="1" applyProtection="1">
      <alignment horizontal="center" wrapText="1"/>
      <protection locked="0"/>
    </xf>
    <xf numFmtId="10" fontId="37" fillId="0" borderId="0" xfId="12" applyFont="1" applyAlignment="1"/>
    <xf numFmtId="10" fontId="37" fillId="0" borderId="0" xfId="12" applyFont="1" applyBorder="1">
      <alignment vertical="center"/>
    </xf>
    <xf numFmtId="10" fontId="45" fillId="0" borderId="0" xfId="12" applyFont="1">
      <alignment vertical="center"/>
    </xf>
    <xf numFmtId="10" fontId="38" fillId="0" borderId="0" xfId="12" applyFont="1" applyBorder="1">
      <alignment vertical="center"/>
    </xf>
    <xf numFmtId="189" fontId="37" fillId="0" borderId="0" xfId="0" applyNumberFormat="1" applyFont="1" applyAlignment="1">
      <alignment horizontal="center" vertical="center"/>
    </xf>
    <xf numFmtId="189" fontId="4" fillId="0" borderId="0" xfId="0" applyNumberFormat="1" applyFont="1" applyAlignment="1">
      <alignment horizontal="center" vertical="center"/>
    </xf>
    <xf numFmtId="38" fontId="38" fillId="0" borderId="0" xfId="0" applyFont="1" applyAlignment="1">
      <alignment vertical="center" wrapText="1"/>
    </xf>
    <xf numFmtId="38" fontId="46" fillId="0" borderId="0" xfId="0" applyFont="1" applyFill="1">
      <alignment vertical="center"/>
    </xf>
    <xf numFmtId="38" fontId="46" fillId="0" borderId="0" xfId="0" applyFont="1">
      <alignment vertical="center"/>
    </xf>
    <xf numFmtId="44" fontId="46" fillId="0" borderId="0" xfId="7" applyFont="1" applyAlignment="1">
      <alignment vertical="center"/>
    </xf>
    <xf numFmtId="38" fontId="46" fillId="0" borderId="0" xfId="0" applyNumberFormat="1" applyFont="1">
      <alignment vertical="center"/>
    </xf>
    <xf numFmtId="43" fontId="46" fillId="0" borderId="0" xfId="4" applyFont="1"/>
    <xf numFmtId="42" fontId="46" fillId="0" borderId="0" xfId="8" applyFont="1"/>
    <xf numFmtId="44" fontId="46" fillId="0" borderId="0" xfId="7" applyFont="1"/>
    <xf numFmtId="42" fontId="47" fillId="0" borderId="0" xfId="2" applyNumberFormat="1" applyFont="1" applyAlignment="1"/>
    <xf numFmtId="10" fontId="46" fillId="0" borderId="0" xfId="12" applyFont="1" applyBorder="1">
      <alignment vertical="center"/>
    </xf>
    <xf numFmtId="10" fontId="46" fillId="0" borderId="0" xfId="12" applyFont="1">
      <alignment vertical="center"/>
    </xf>
    <xf numFmtId="41" fontId="46" fillId="0" borderId="0" xfId="5" applyFont="1"/>
    <xf numFmtId="41" fontId="47" fillId="0" borderId="0" xfId="2" applyNumberFormat="1" applyFont="1" applyAlignment="1"/>
    <xf numFmtId="167" fontId="46" fillId="0" borderId="0" xfId="4" applyNumberFormat="1" applyFont="1"/>
    <xf numFmtId="43" fontId="46" fillId="0" borderId="0" xfId="4" applyFont="1" applyAlignment="1">
      <alignment vertical="center"/>
    </xf>
    <xf numFmtId="38" fontId="47" fillId="0" borderId="0" xfId="0" applyFont="1" applyFill="1">
      <alignment vertical="center"/>
    </xf>
    <xf numFmtId="38" fontId="47" fillId="0" borderId="0" xfId="2" applyFont="1">
      <alignment vertical="center"/>
    </xf>
    <xf numFmtId="203" fontId="46" fillId="0" borderId="0" xfId="5" applyNumberFormat="1" applyFont="1"/>
    <xf numFmtId="8" fontId="46" fillId="0" borderId="0" xfId="4" applyNumberFormat="1" applyFont="1" applyAlignment="1">
      <alignment vertical="center"/>
    </xf>
    <xf numFmtId="38" fontId="46" fillId="0" borderId="0" xfId="0" applyNumberFormat="1" applyFont="1" applyFill="1">
      <alignment vertical="center"/>
    </xf>
    <xf numFmtId="40" fontId="46" fillId="0" borderId="0" xfId="0" applyNumberFormat="1" applyFont="1" applyFill="1">
      <alignment vertical="center"/>
    </xf>
    <xf numFmtId="41" fontId="46" fillId="0" borderId="0" xfId="5" applyNumberFormat="1" applyFont="1"/>
    <xf numFmtId="210" fontId="46" fillId="0" borderId="0" xfId="5" applyNumberFormat="1" applyFont="1"/>
    <xf numFmtId="43" fontId="46" fillId="0" borderId="0" xfId="4" applyFont="1" applyFill="1" applyAlignment="1">
      <alignment vertical="center"/>
    </xf>
    <xf numFmtId="43" fontId="46" fillId="0" borderId="0" xfId="4" applyFont="1" applyFill="1"/>
    <xf numFmtId="38" fontId="47" fillId="0" borderId="0" xfId="0" applyFont="1">
      <alignment vertical="center"/>
    </xf>
    <xf numFmtId="6" fontId="46" fillId="0" borderId="0" xfId="4" applyNumberFormat="1" applyFont="1" applyAlignment="1">
      <alignment vertical="center"/>
    </xf>
    <xf numFmtId="9" fontId="46" fillId="0" borderId="0" xfId="4" applyNumberFormat="1" applyFont="1" applyAlignment="1">
      <alignment vertical="center"/>
    </xf>
    <xf numFmtId="38" fontId="46" fillId="0" borderId="0" xfId="0" applyFont="1" applyFill="1" applyBorder="1">
      <alignment vertical="center"/>
    </xf>
    <xf numFmtId="165" fontId="46" fillId="0" borderId="0" xfId="7" applyNumberFormat="1" applyFont="1"/>
    <xf numFmtId="41" fontId="47" fillId="0" borderId="29" xfId="2" applyNumberFormat="1" applyFont="1" applyBorder="1" applyAlignment="1"/>
    <xf numFmtId="10" fontId="46" fillId="0" borderId="29" xfId="12" applyFont="1" applyBorder="1">
      <alignment vertical="center"/>
    </xf>
    <xf numFmtId="38" fontId="46" fillId="0" borderId="4" xfId="0" applyFont="1" applyFill="1" applyBorder="1">
      <alignment vertical="center"/>
    </xf>
    <xf numFmtId="38" fontId="47" fillId="0" borderId="6" xfId="0" applyFont="1" applyBorder="1">
      <alignment vertical="center"/>
    </xf>
    <xf numFmtId="43" fontId="47" fillId="0" borderId="6" xfId="4" applyFont="1" applyFill="1" applyBorder="1"/>
    <xf numFmtId="165" fontId="47" fillId="0" borderId="6" xfId="7" applyNumberFormat="1" applyFont="1" applyBorder="1"/>
    <xf numFmtId="44" fontId="47" fillId="0" borderId="6" xfId="7" applyNumberFormat="1" applyFont="1" applyBorder="1"/>
    <xf numFmtId="44" fontId="47" fillId="0" borderId="6" xfId="7" applyFont="1" applyBorder="1"/>
    <xf numFmtId="10" fontId="47" fillId="0" borderId="0" xfId="12" applyFont="1" applyBorder="1">
      <alignment vertical="center"/>
    </xf>
    <xf numFmtId="10" fontId="47" fillId="0" borderId="0" xfId="12" applyFont="1">
      <alignment vertical="center"/>
    </xf>
    <xf numFmtId="38" fontId="48" fillId="0" borderId="0" xfId="0" applyFont="1" applyAlignment="1">
      <alignment horizontal="center"/>
    </xf>
    <xf numFmtId="200" fontId="46" fillId="0" borderId="0" xfId="0" applyNumberFormat="1" applyFont="1">
      <alignment vertical="center"/>
    </xf>
    <xf numFmtId="200" fontId="46" fillId="0" borderId="0" xfId="7" applyNumberFormat="1" applyFont="1"/>
    <xf numFmtId="165" fontId="47" fillId="0" borderId="0" xfId="2" applyNumberFormat="1" applyFont="1" applyAlignment="1"/>
    <xf numFmtId="38" fontId="49" fillId="0" borderId="0" xfId="0" applyFont="1">
      <alignment vertical="center"/>
    </xf>
    <xf numFmtId="200" fontId="46" fillId="0" borderId="0" xfId="4" applyNumberFormat="1" applyFont="1"/>
    <xf numFmtId="38" fontId="47" fillId="0" borderId="0" xfId="2" applyNumberFormat="1" applyFont="1">
      <alignment vertical="center"/>
    </xf>
    <xf numFmtId="165" fontId="46" fillId="0" borderId="29" xfId="7" applyNumberFormat="1" applyFont="1" applyBorder="1"/>
    <xf numFmtId="43" fontId="46" fillId="0" borderId="29" xfId="4" applyFont="1" applyBorder="1"/>
    <xf numFmtId="38" fontId="46" fillId="0" borderId="29" xfId="0" applyFont="1" applyBorder="1">
      <alignment vertical="center"/>
    </xf>
    <xf numFmtId="41" fontId="46" fillId="0" borderId="29" xfId="5" applyFont="1" applyBorder="1"/>
    <xf numFmtId="167" fontId="46" fillId="0" borderId="29" xfId="4" applyNumberFormat="1" applyFont="1" applyBorder="1"/>
    <xf numFmtId="38" fontId="46" fillId="0" borderId="6" xfId="0" applyFont="1" applyBorder="1">
      <alignment vertical="center"/>
    </xf>
    <xf numFmtId="38" fontId="46" fillId="0" borderId="0" xfId="0" applyFont="1" applyBorder="1">
      <alignment vertical="center"/>
    </xf>
    <xf numFmtId="165" fontId="46" fillId="0" borderId="6" xfId="7" applyNumberFormat="1" applyFont="1" applyBorder="1"/>
    <xf numFmtId="44" fontId="46" fillId="0" borderId="6" xfId="7" applyFont="1" applyBorder="1"/>
    <xf numFmtId="165" fontId="47" fillId="0" borderId="6" xfId="2" applyNumberFormat="1" applyFont="1" applyBorder="1" applyAlignment="1"/>
    <xf numFmtId="38" fontId="46" fillId="0" borderId="0" xfId="0" applyFont="1" applyAlignment="1">
      <alignment wrapText="1"/>
    </xf>
    <xf numFmtId="165" fontId="46" fillId="0" borderId="0" xfId="7" applyNumberFormat="1" applyFont="1" applyBorder="1"/>
    <xf numFmtId="43" fontId="46" fillId="0" borderId="0" xfId="4" applyFont="1" applyBorder="1"/>
    <xf numFmtId="38" fontId="46" fillId="0" borderId="0" xfId="0" applyFont="1" applyAlignment="1"/>
    <xf numFmtId="38" fontId="47" fillId="0" borderId="0" xfId="2" applyNumberFormat="1" applyFont="1" applyAlignment="1"/>
    <xf numFmtId="10" fontId="46" fillId="0" borderId="0" xfId="12" applyFont="1" applyAlignment="1"/>
    <xf numFmtId="38" fontId="46" fillId="0" borderId="7" xfId="0" applyFont="1" applyBorder="1">
      <alignment vertical="center"/>
    </xf>
    <xf numFmtId="44" fontId="46" fillId="0" borderId="6" xfId="7" applyNumberFormat="1" applyFont="1" applyBorder="1"/>
    <xf numFmtId="10" fontId="46" fillId="0" borderId="7" xfId="12" applyFont="1" applyBorder="1">
      <alignment vertical="center"/>
    </xf>
    <xf numFmtId="6" fontId="47" fillId="0" borderId="6" xfId="2" applyNumberFormat="1" applyFont="1" applyBorder="1" applyAlignment="1"/>
    <xf numFmtId="10" fontId="46" fillId="0" borderId="6" xfId="12" applyFont="1" applyBorder="1">
      <alignment vertical="center"/>
    </xf>
    <xf numFmtId="40" fontId="46" fillId="0" borderId="0" xfId="0" applyNumberFormat="1" applyFont="1">
      <alignment vertical="center"/>
    </xf>
    <xf numFmtId="38" fontId="48" fillId="0" borderId="0" xfId="0" applyFont="1">
      <alignment vertical="center"/>
    </xf>
    <xf numFmtId="38" fontId="46" fillId="0" borderId="0" xfId="0" applyFont="1" applyAlignment="1">
      <alignment horizontal="left" vertical="center" indent="1"/>
    </xf>
    <xf numFmtId="197" fontId="46" fillId="0" borderId="0" xfId="0" applyNumberFormat="1" applyFont="1">
      <alignment vertical="center"/>
    </xf>
    <xf numFmtId="169" fontId="46" fillId="0" borderId="0" xfId="12" applyNumberFormat="1" applyFont="1">
      <alignment vertical="center"/>
    </xf>
    <xf numFmtId="165" fontId="46" fillId="0" borderId="7" xfId="7" applyNumberFormat="1" applyFont="1" applyBorder="1"/>
    <xf numFmtId="44" fontId="46" fillId="0" borderId="7" xfId="7" applyFont="1" applyBorder="1"/>
    <xf numFmtId="165" fontId="47" fillId="0" borderId="7" xfId="2" applyNumberFormat="1" applyFont="1" applyBorder="1" applyAlignment="1"/>
    <xf numFmtId="38" fontId="47" fillId="0" borderId="4" xfId="0" applyFont="1" applyBorder="1">
      <alignment vertical="center"/>
    </xf>
    <xf numFmtId="165" fontId="47" fillId="0" borderId="4" xfId="7" applyNumberFormat="1" applyFont="1" applyBorder="1"/>
    <xf numFmtId="44" fontId="47" fillId="0" borderId="4" xfId="7" applyFont="1" applyBorder="1"/>
    <xf numFmtId="165" fontId="47" fillId="0" borderId="4" xfId="2" applyNumberFormat="1" applyFont="1" applyBorder="1" applyAlignment="1"/>
    <xf numFmtId="10" fontId="47" fillId="0" borderId="4" xfId="12" applyFont="1" applyBorder="1">
      <alignment vertical="center"/>
    </xf>
    <xf numFmtId="38" fontId="49" fillId="0" borderId="0" xfId="0" applyFont="1" applyFill="1" applyBorder="1">
      <alignment vertical="center"/>
    </xf>
    <xf numFmtId="43" fontId="46" fillId="0" borderId="0" xfId="4" applyFont="1" applyFill="1" applyBorder="1"/>
    <xf numFmtId="38" fontId="47" fillId="0" borderId="0" xfId="2" applyFont="1" applyFill="1" applyBorder="1">
      <alignment vertical="center"/>
    </xf>
    <xf numFmtId="38" fontId="47" fillId="0" borderId="0" xfId="0" applyFont="1" applyFill="1" applyBorder="1">
      <alignment vertical="center"/>
    </xf>
    <xf numFmtId="42" fontId="46" fillId="0" borderId="0" xfId="8" applyFont="1" applyBorder="1"/>
    <xf numFmtId="44" fontId="46" fillId="0" borderId="0" xfId="7" applyFont="1" applyBorder="1"/>
    <xf numFmtId="42" fontId="47" fillId="0" borderId="0" xfId="2" applyNumberFormat="1" applyFont="1" applyBorder="1" applyAlignment="1"/>
    <xf numFmtId="168" fontId="46" fillId="0" borderId="0" xfId="12" applyNumberFormat="1" applyFont="1" applyBorder="1">
      <alignment vertical="center"/>
    </xf>
    <xf numFmtId="38" fontId="47" fillId="0" borderId="0" xfId="2" applyFont="1" applyBorder="1">
      <alignment vertical="center"/>
    </xf>
    <xf numFmtId="44" fontId="47" fillId="0" borderId="0" xfId="7" applyFont="1" applyBorder="1"/>
    <xf numFmtId="38" fontId="47" fillId="0" borderId="0" xfId="0" applyFont="1" applyBorder="1">
      <alignment vertical="center"/>
    </xf>
    <xf numFmtId="42" fontId="47" fillId="0" borderId="0" xfId="8" applyFont="1" applyBorder="1"/>
    <xf numFmtId="168" fontId="47" fillId="0" borderId="0" xfId="12" applyNumberFormat="1" applyFont="1" applyBorder="1">
      <alignment vertical="center"/>
    </xf>
    <xf numFmtId="168" fontId="46" fillId="0" borderId="0" xfId="0" applyNumberFormat="1" applyFont="1" applyFill="1" applyBorder="1">
      <alignment vertical="center"/>
    </xf>
    <xf numFmtId="168" fontId="46" fillId="0" borderId="0" xfId="0" applyNumberFormat="1" applyFont="1" applyBorder="1">
      <alignment vertical="center"/>
    </xf>
    <xf numFmtId="38" fontId="47" fillId="0" borderId="7" xfId="0" applyFont="1" applyFill="1" applyBorder="1">
      <alignment vertical="center"/>
    </xf>
    <xf numFmtId="38" fontId="46" fillId="0" borderId="7" xfId="0" applyFont="1" applyFill="1" applyBorder="1">
      <alignment vertical="center"/>
    </xf>
    <xf numFmtId="42" fontId="47" fillId="0" borderId="7" xfId="8" applyFont="1" applyFill="1" applyBorder="1"/>
    <xf numFmtId="44" fontId="47" fillId="0" borderId="7" xfId="7" applyFont="1" applyFill="1" applyBorder="1"/>
    <xf numFmtId="42" fontId="47" fillId="0" borderId="7" xfId="2" applyNumberFormat="1" applyFont="1" applyFill="1" applyBorder="1" applyAlignment="1"/>
    <xf numFmtId="168" fontId="47" fillId="0" borderId="7" xfId="12" applyNumberFormat="1" applyFont="1" applyFill="1" applyBorder="1">
      <alignment vertical="center"/>
    </xf>
    <xf numFmtId="42" fontId="47" fillId="0" borderId="0" xfId="8" applyFont="1" applyFill="1" applyBorder="1"/>
    <xf numFmtId="44" fontId="47" fillId="0" borderId="0" xfId="7" applyFont="1" applyFill="1" applyBorder="1"/>
    <xf numFmtId="42" fontId="47" fillId="0" borderId="0" xfId="2" applyNumberFormat="1" applyFont="1" applyFill="1" applyBorder="1" applyAlignment="1"/>
    <xf numFmtId="168" fontId="47" fillId="0" borderId="0" xfId="12" applyNumberFormat="1" applyFont="1" applyFill="1" applyBorder="1">
      <alignment vertical="center"/>
    </xf>
    <xf numFmtId="165" fontId="47" fillId="0" borderId="7" xfId="7" applyNumberFormat="1" applyFont="1" applyBorder="1"/>
    <xf numFmtId="38" fontId="47" fillId="0" borderId="0" xfId="2" applyFont="1" applyFill="1">
      <alignment vertical="center"/>
    </xf>
    <xf numFmtId="165" fontId="46" fillId="0" borderId="0" xfId="7" applyNumberFormat="1" applyFont="1" applyFill="1" applyBorder="1" applyAlignment="1">
      <alignment vertical="center"/>
    </xf>
    <xf numFmtId="167" fontId="46" fillId="0" borderId="0" xfId="4" applyNumberFormat="1" applyFont="1" applyFill="1" applyBorder="1" applyAlignment="1">
      <alignment vertical="center"/>
    </xf>
    <xf numFmtId="165" fontId="47" fillId="0" borderId="10" xfId="7" applyNumberFormat="1" applyFont="1" applyFill="1" applyBorder="1" applyAlignment="1">
      <alignment vertical="center"/>
    </xf>
    <xf numFmtId="42" fontId="47" fillId="0" borderId="10" xfId="8" applyFont="1" applyBorder="1"/>
    <xf numFmtId="44" fontId="47" fillId="0" borderId="10" xfId="7" applyFont="1" applyBorder="1"/>
    <xf numFmtId="42" fontId="47" fillId="0" borderId="10" xfId="8" applyFont="1" applyFill="1" applyBorder="1"/>
    <xf numFmtId="168" fontId="47" fillId="0" borderId="10" xfId="12" applyNumberFormat="1" applyFont="1" applyFill="1" applyBorder="1">
      <alignment vertical="center"/>
    </xf>
    <xf numFmtId="38" fontId="39" fillId="0" borderId="0" xfId="0" applyFont="1" applyAlignment="1">
      <alignment horizontal="center" vertical="center"/>
    </xf>
    <xf numFmtId="167" fontId="46" fillId="0" borderId="0" xfId="4" applyNumberFormat="1" applyFont="1" applyAlignment="1">
      <alignment vertical="center"/>
    </xf>
    <xf numFmtId="41" fontId="46" fillId="0" borderId="6" xfId="2" applyNumberFormat="1" applyFont="1" applyBorder="1" applyAlignment="1"/>
    <xf numFmtId="41" fontId="46" fillId="0" borderId="0" xfId="12" applyNumberFormat="1" applyFont="1">
      <alignment vertical="center"/>
    </xf>
    <xf numFmtId="41" fontId="46" fillId="0" borderId="29" xfId="2" applyNumberFormat="1" applyFont="1" applyBorder="1" applyAlignment="1"/>
    <xf numFmtId="41" fontId="46" fillId="0" borderId="0" xfId="2" applyNumberFormat="1" applyFont="1" applyBorder="1" applyAlignment="1"/>
    <xf numFmtId="165" fontId="46" fillId="0" borderId="6" xfId="2" applyNumberFormat="1" applyFont="1" applyBorder="1" applyAlignment="1"/>
    <xf numFmtId="6" fontId="46" fillId="0" borderId="6" xfId="2" applyNumberFormat="1" applyFont="1" applyBorder="1" applyAlignment="1"/>
    <xf numFmtId="165" fontId="46" fillId="0" borderId="7" xfId="2" applyNumberFormat="1" applyFont="1" applyBorder="1" applyAlignment="1"/>
    <xf numFmtId="165" fontId="46" fillId="0" borderId="4" xfId="2" applyNumberFormat="1" applyFont="1" applyBorder="1" applyAlignment="1"/>
    <xf numFmtId="41" fontId="46" fillId="0" borderId="4" xfId="2" applyNumberFormat="1" applyFont="1" applyBorder="1" applyAlignment="1"/>
    <xf numFmtId="41" fontId="46" fillId="0" borderId="7" xfId="2" applyNumberFormat="1" applyFont="1" applyBorder="1" applyAlignment="1"/>
    <xf numFmtId="38" fontId="50" fillId="0" borderId="0" xfId="0" applyFont="1" applyAlignment="1">
      <alignment horizontal="center" vertical="center" wrapText="1"/>
    </xf>
    <xf numFmtId="38" fontId="0" fillId="0" borderId="0" xfId="0" applyAlignment="1">
      <alignment vertical="center" wrapText="1"/>
    </xf>
    <xf numFmtId="10" fontId="46" fillId="0" borderId="0" xfId="12" applyFont="1" applyBorder="1" applyAlignment="1">
      <alignment vertical="center" wrapText="1"/>
    </xf>
    <xf numFmtId="43" fontId="4" fillId="0" borderId="0" xfId="4" applyFont="1" applyAlignment="1">
      <alignment vertical="center" wrapText="1"/>
    </xf>
    <xf numFmtId="43" fontId="46" fillId="0" borderId="0" xfId="12" applyNumberFormat="1" applyFont="1" applyAlignment="1">
      <alignment vertical="center" wrapText="1"/>
    </xf>
    <xf numFmtId="0" fontId="51" fillId="0" borderId="0" xfId="10" applyFont="1" applyFill="1" applyBorder="1" applyProtection="1">
      <alignment horizontal="center"/>
      <protection locked="0"/>
    </xf>
    <xf numFmtId="38" fontId="52" fillId="0" borderId="0" xfId="0" applyFont="1">
      <alignment vertical="center"/>
    </xf>
    <xf numFmtId="38" fontId="53" fillId="0" borderId="0" xfId="0" applyFont="1">
      <alignment vertical="center"/>
    </xf>
    <xf numFmtId="10" fontId="52" fillId="0" borderId="0" xfId="12" applyFont="1">
      <alignment vertical="center"/>
    </xf>
    <xf numFmtId="38" fontId="54" fillId="0" borderId="0" xfId="0" applyFont="1" applyFill="1">
      <alignment vertical="center"/>
    </xf>
    <xf numFmtId="38" fontId="53" fillId="0" borderId="0" xfId="0" applyFont="1" applyFill="1">
      <alignment vertical="center"/>
    </xf>
    <xf numFmtId="38" fontId="52" fillId="0" borderId="0" xfId="0" applyFont="1" applyFill="1">
      <alignment vertical="center"/>
    </xf>
    <xf numFmtId="38" fontId="54" fillId="0" borderId="0" xfId="0" applyFont="1">
      <alignment vertical="center"/>
    </xf>
    <xf numFmtId="38" fontId="52" fillId="0" borderId="0" xfId="0" applyFont="1" applyFill="1" applyBorder="1">
      <alignment vertical="center"/>
    </xf>
    <xf numFmtId="10" fontId="52" fillId="0" borderId="0" xfId="12" applyNumberFormat="1" applyFont="1">
      <alignment vertical="center"/>
    </xf>
    <xf numFmtId="10" fontId="52" fillId="0" borderId="29" xfId="12" applyFont="1" applyBorder="1">
      <alignment vertical="center"/>
    </xf>
    <xf numFmtId="38" fontId="54" fillId="0" borderId="6" xfId="0" applyFont="1" applyBorder="1">
      <alignment vertical="center"/>
    </xf>
    <xf numFmtId="165" fontId="52" fillId="0" borderId="6" xfId="7" applyNumberFormat="1" applyFont="1" applyBorder="1"/>
    <xf numFmtId="38" fontId="52" fillId="0" borderId="0" xfId="2" applyFont="1">
      <alignment vertical="center"/>
    </xf>
    <xf numFmtId="38" fontId="50" fillId="0" borderId="0" xfId="0" applyFont="1">
      <alignment vertical="center"/>
    </xf>
    <xf numFmtId="38" fontId="52" fillId="0" borderId="6" xfId="0" applyFont="1" applyBorder="1">
      <alignment vertical="center"/>
    </xf>
    <xf numFmtId="38" fontId="53" fillId="0" borderId="6" xfId="0" applyFont="1" applyBorder="1">
      <alignment vertical="center"/>
    </xf>
    <xf numFmtId="38" fontId="52" fillId="0" borderId="0" xfId="0" applyFont="1" applyAlignment="1">
      <alignment wrapText="1"/>
    </xf>
    <xf numFmtId="10" fontId="52" fillId="0" borderId="7" xfId="12" applyFont="1" applyBorder="1">
      <alignment vertical="center"/>
    </xf>
    <xf numFmtId="38" fontId="53" fillId="0" borderId="7" xfId="0" applyFont="1" applyBorder="1">
      <alignment vertical="center"/>
    </xf>
    <xf numFmtId="167" fontId="4" fillId="0" borderId="0" xfId="4" applyNumberFormat="1" applyBorder="1" applyAlignment="1">
      <alignment vertical="center"/>
    </xf>
    <xf numFmtId="167" fontId="4" fillId="0" borderId="6" xfId="4" applyNumberFormat="1" applyBorder="1" applyAlignment="1">
      <alignment vertical="center"/>
    </xf>
    <xf numFmtId="38" fontId="37" fillId="0" borderId="7" xfId="0" applyFont="1" applyBorder="1">
      <alignment vertical="center"/>
    </xf>
    <xf numFmtId="165" fontId="55" fillId="0" borderId="6" xfId="7" applyNumberFormat="1" applyFont="1" applyBorder="1"/>
    <xf numFmtId="10" fontId="52" fillId="0" borderId="6" xfId="12" applyFont="1" applyBorder="1">
      <alignment vertical="center"/>
    </xf>
    <xf numFmtId="38" fontId="56" fillId="0" borderId="0" xfId="0" applyFont="1">
      <alignment vertical="center"/>
    </xf>
    <xf numFmtId="38" fontId="52" fillId="0" borderId="7" xfId="0" applyFont="1" applyBorder="1">
      <alignment vertical="center"/>
    </xf>
    <xf numFmtId="165" fontId="52" fillId="0" borderId="7" xfId="2" applyNumberFormat="1" applyFont="1" applyBorder="1" applyAlignment="1"/>
    <xf numFmtId="165" fontId="52" fillId="0" borderId="6" xfId="2" applyNumberFormat="1" applyFont="1" applyBorder="1" applyAlignment="1"/>
    <xf numFmtId="38" fontId="57" fillId="0" borderId="4" xfId="0" applyFont="1" applyBorder="1">
      <alignment vertical="center"/>
    </xf>
    <xf numFmtId="165" fontId="52" fillId="0" borderId="4" xfId="2" applyNumberFormat="1" applyFont="1" applyBorder="1" applyAlignment="1"/>
    <xf numFmtId="38" fontId="53" fillId="0" borderId="4" xfId="0" applyFont="1" applyBorder="1">
      <alignment vertical="center"/>
    </xf>
    <xf numFmtId="10" fontId="52" fillId="0" borderId="4" xfId="12" applyFont="1" applyBorder="1">
      <alignment vertical="center"/>
    </xf>
    <xf numFmtId="38" fontId="57" fillId="0" borderId="0" xfId="0" applyFont="1">
      <alignment vertical="center"/>
    </xf>
    <xf numFmtId="38" fontId="54" fillId="0" borderId="0" xfId="2" applyFont="1">
      <alignment vertical="center"/>
    </xf>
    <xf numFmtId="38" fontId="58" fillId="0" borderId="0" xfId="0" applyFont="1">
      <alignment vertical="center"/>
    </xf>
    <xf numFmtId="38" fontId="58" fillId="0" borderId="0" xfId="0" applyFont="1" applyAlignment="1">
      <alignment horizontal="center" vertical="center"/>
    </xf>
    <xf numFmtId="44" fontId="53" fillId="0" borderId="0" xfId="7" applyFont="1" applyAlignment="1">
      <alignment vertical="center"/>
    </xf>
    <xf numFmtId="38" fontId="54" fillId="0" borderId="6" xfId="2" applyFont="1" applyBorder="1">
      <alignment vertical="center"/>
    </xf>
    <xf numFmtId="165" fontId="53" fillId="0" borderId="6" xfId="7" applyNumberFormat="1" applyFont="1" applyBorder="1" applyAlignment="1">
      <alignment vertical="center"/>
    </xf>
    <xf numFmtId="165" fontId="53" fillId="0" borderId="0" xfId="7" applyNumberFormat="1" applyFont="1" applyAlignment="1">
      <alignment vertical="center"/>
    </xf>
    <xf numFmtId="38" fontId="59" fillId="0" borderId="0" xfId="0" applyFont="1">
      <alignment vertical="center"/>
    </xf>
    <xf numFmtId="38" fontId="52" fillId="0" borderId="6" xfId="2" applyFont="1" applyBorder="1">
      <alignment vertical="center"/>
    </xf>
    <xf numFmtId="38" fontId="54" fillId="0" borderId="5" xfId="0" applyFont="1" applyBorder="1">
      <alignment vertical="center"/>
    </xf>
    <xf numFmtId="38" fontId="52" fillId="0" borderId="5" xfId="0" applyFont="1" applyBorder="1">
      <alignment vertical="center"/>
    </xf>
    <xf numFmtId="38" fontId="54" fillId="0" borderId="5" xfId="2" applyFont="1" applyBorder="1">
      <alignment vertical="center"/>
    </xf>
    <xf numFmtId="165" fontId="53" fillId="0" borderId="5" xfId="7" applyNumberFormat="1" applyFont="1" applyBorder="1" applyAlignment="1">
      <alignment vertical="center"/>
    </xf>
    <xf numFmtId="38" fontId="51" fillId="0" borderId="0" xfId="0" applyFont="1" applyAlignment="1">
      <alignment horizontal="center" vertical="center"/>
    </xf>
    <xf numFmtId="16" fontId="60" fillId="0" borderId="0" xfId="10" applyNumberFormat="1" applyFont="1" applyFill="1" applyBorder="1" applyAlignment="1" applyProtection="1">
      <alignment horizontal="center" wrapText="1"/>
      <protection locked="0"/>
    </xf>
    <xf numFmtId="16" fontId="51" fillId="0" borderId="0" xfId="10" applyNumberFormat="1" applyFont="1" applyFill="1" applyBorder="1" applyAlignment="1" applyProtection="1">
      <alignment horizontal="center" wrapText="1"/>
      <protection locked="0"/>
    </xf>
    <xf numFmtId="0" fontId="38" fillId="0" borderId="0" xfId="10" applyFont="1" applyFill="1" applyBorder="1" applyAlignment="1" applyProtection="1">
      <alignment horizontal="center" wrapText="1"/>
      <protection locked="0"/>
    </xf>
    <xf numFmtId="38" fontId="51" fillId="0" borderId="29" xfId="0" applyFont="1" applyBorder="1" applyAlignment="1">
      <alignment horizontal="center" vertical="center"/>
    </xf>
    <xf numFmtId="0" fontId="51" fillId="0" borderId="29" xfId="10" applyFont="1" applyFill="1" applyBorder="1" applyProtection="1">
      <alignment horizontal="center"/>
      <protection locked="0"/>
    </xf>
    <xf numFmtId="165" fontId="62" fillId="0" borderId="5" xfId="7" applyNumberFormat="1" applyFont="1" applyBorder="1" applyAlignment="1">
      <alignment vertical="center"/>
    </xf>
    <xf numFmtId="10" fontId="57" fillId="0" borderId="5" xfId="12" applyFont="1" applyBorder="1">
      <alignment vertical="center"/>
    </xf>
    <xf numFmtId="10" fontId="57" fillId="0" borderId="0" xfId="12" applyFont="1">
      <alignment vertical="center"/>
    </xf>
    <xf numFmtId="38" fontId="63" fillId="0" borderId="0" xfId="0" applyFont="1" applyFill="1" applyBorder="1" applyAlignment="1">
      <alignment vertical="center"/>
    </xf>
    <xf numFmtId="42" fontId="46" fillId="0" borderId="0" xfId="12" applyNumberFormat="1" applyFont="1">
      <alignment vertical="center"/>
    </xf>
    <xf numFmtId="167" fontId="4" fillId="0" borderId="0" xfId="4" applyNumberFormat="1" applyAlignment="1">
      <alignment vertical="center"/>
    </xf>
    <xf numFmtId="167" fontId="4" fillId="0" borderId="29" xfId="4" applyNumberFormat="1" applyBorder="1" applyAlignment="1">
      <alignment vertical="center"/>
    </xf>
    <xf numFmtId="38" fontId="37" fillId="0" borderId="29" xfId="0" applyFont="1" applyBorder="1">
      <alignment vertical="center"/>
    </xf>
    <xf numFmtId="44" fontId="47" fillId="0" borderId="7" xfId="7" applyFont="1" applyBorder="1"/>
    <xf numFmtId="10" fontId="64" fillId="0" borderId="0" xfId="12" applyFont="1" applyFill="1" applyBorder="1" applyAlignment="1">
      <alignment horizontal="center" vertical="center"/>
    </xf>
    <xf numFmtId="38" fontId="65" fillId="0" borderId="0" xfId="10" applyNumberFormat="1" applyFont="1" applyFill="1" applyBorder="1" applyAlignment="1">
      <alignment horizontal="center" vertical="center"/>
    </xf>
    <xf numFmtId="189" fontId="65" fillId="0" borderId="0" xfId="0" applyNumberFormat="1" applyFont="1" applyFill="1" applyBorder="1" applyAlignment="1">
      <alignment horizontal="center" vertical="center"/>
    </xf>
    <xf numFmtId="38" fontId="66" fillId="0" borderId="0" xfId="0" applyFont="1" applyBorder="1" applyAlignment="1">
      <alignment horizontal="center" vertical="center"/>
    </xf>
    <xf numFmtId="38" fontId="65" fillId="0" borderId="0" xfId="0" applyFont="1" applyFill="1" applyBorder="1" applyAlignment="1">
      <alignment horizontal="center" vertical="center"/>
    </xf>
    <xf numFmtId="10" fontId="22" fillId="0" borderId="25" xfId="12" applyBorder="1">
      <alignment vertical="center"/>
    </xf>
    <xf numFmtId="38" fontId="67" fillId="0" borderId="0" xfId="0" applyFont="1">
      <alignment vertical="center"/>
    </xf>
    <xf numFmtId="38" fontId="66" fillId="0" borderId="0" xfId="0" applyFont="1">
      <alignment vertical="center"/>
    </xf>
    <xf numFmtId="40" fontId="33" fillId="0" borderId="0" xfId="0" applyNumberFormat="1" applyFont="1">
      <alignment vertical="center"/>
    </xf>
    <xf numFmtId="10" fontId="23" fillId="0" borderId="7" xfId="12" applyFont="1" applyBorder="1">
      <alignment vertical="center"/>
    </xf>
    <xf numFmtId="10" fontId="22" fillId="0" borderId="29" xfId="12" applyBorder="1">
      <alignment vertical="center"/>
    </xf>
    <xf numFmtId="40" fontId="33" fillId="0" borderId="0" xfId="0" applyNumberFormat="1" applyFont="1" applyBorder="1">
      <alignment vertical="center"/>
    </xf>
    <xf numFmtId="38" fontId="24" fillId="0" borderId="0" xfId="0" applyFont="1" applyAlignment="1">
      <alignment vertical="center" wrapText="1"/>
    </xf>
    <xf numFmtId="38" fontId="0" fillId="0" borderId="0" xfId="0" applyAlignment="1">
      <alignment vertical="center"/>
    </xf>
    <xf numFmtId="38" fontId="0" fillId="0" borderId="0" xfId="0" applyAlignment="1">
      <alignment vertical="center" wrapText="1"/>
    </xf>
    <xf numFmtId="38" fontId="28" fillId="0" borderId="0" xfId="0" applyFont="1" applyAlignment="1">
      <alignment vertical="center" wrapText="1"/>
    </xf>
    <xf numFmtId="38" fontId="3" fillId="0" borderId="0" xfId="10" applyNumberFormat="1" applyFont="1" applyFill="1" applyBorder="1" applyAlignment="1">
      <alignment horizontal="center" vertical="center"/>
    </xf>
    <xf numFmtId="38" fontId="20" fillId="0" borderId="0" xfId="10" applyNumberFormat="1" applyFont="1" applyFill="1" applyBorder="1" applyAlignment="1">
      <alignment horizontal="center" vertical="center"/>
    </xf>
    <xf numFmtId="38" fontId="5" fillId="0" borderId="0" xfId="0" applyFont="1" applyBorder="1" applyAlignment="1">
      <alignment horizontal="center" vertical="center" wrapText="1"/>
    </xf>
    <xf numFmtId="38" fontId="61" fillId="0" borderId="29" xfId="0" applyFont="1" applyBorder="1" applyAlignment="1">
      <alignment horizontal="center" vertical="center" wrapText="1"/>
    </xf>
    <xf numFmtId="38" fontId="45" fillId="0" borderId="7" xfId="0" applyFont="1" applyBorder="1" applyAlignment="1">
      <alignment horizontal="center" vertical="center" wrapText="1"/>
    </xf>
    <xf numFmtId="38" fontId="43" fillId="0" borderId="0" xfId="0" applyFont="1" applyAlignment="1">
      <alignment horizontal="center"/>
    </xf>
    <xf numFmtId="38" fontId="3" fillId="0" borderId="7" xfId="0" applyFont="1" applyBorder="1" applyAlignment="1">
      <alignment horizontal="center"/>
    </xf>
    <xf numFmtId="38" fontId="50" fillId="0" borderId="0" xfId="0" applyFont="1" applyAlignment="1">
      <alignment horizontal="center" vertical="center" wrapText="1"/>
    </xf>
    <xf numFmtId="38" fontId="47" fillId="0" borderId="0" xfId="0" applyFont="1" applyAlignment="1">
      <alignment vertical="center" wrapText="1"/>
    </xf>
    <xf numFmtId="38" fontId="38" fillId="0" borderId="0" xfId="0" applyFont="1" applyAlignment="1">
      <alignment vertical="center" wrapText="1"/>
    </xf>
    <xf numFmtId="38" fontId="3" fillId="0" borderId="0" xfId="0" applyFont="1" applyAlignment="1">
      <alignment vertical="center" wrapText="1"/>
    </xf>
    <xf numFmtId="10" fontId="46" fillId="0" borderId="0" xfId="12" applyFont="1" applyAlignment="1">
      <alignment vertical="center" wrapText="1"/>
    </xf>
    <xf numFmtId="10" fontId="46" fillId="0" borderId="0" xfId="12" applyFont="1" applyBorder="1" applyAlignment="1">
      <alignment vertical="center" wrapText="1"/>
    </xf>
    <xf numFmtId="43" fontId="4" fillId="0" borderId="0" xfId="4" applyFont="1" applyAlignment="1">
      <alignment vertical="center" wrapText="1"/>
    </xf>
    <xf numFmtId="43" fontId="46" fillId="0" borderId="0" xfId="12" applyNumberFormat="1" applyFont="1" applyAlignment="1">
      <alignment vertical="center" wrapText="1"/>
    </xf>
    <xf numFmtId="38" fontId="14" fillId="0" borderId="29" xfId="0" applyFont="1" applyBorder="1" applyAlignment="1">
      <alignment horizontal="center"/>
    </xf>
    <xf numFmtId="38" fontId="6" fillId="0" borderId="0" xfId="0" applyFont="1" applyAlignment="1">
      <alignment horizontal="center"/>
    </xf>
  </cellXfs>
  <cellStyles count="13">
    <cellStyle name="ColLevel_1" xfId="2" builtinId="2" iLevel="0"/>
    <cellStyle name="Column Headings" xfId="3"/>
    <cellStyle name="Comma" xfId="4" builtinId="3"/>
    <cellStyle name="Comma [0]" xfId="5" builtinId="6"/>
    <cellStyle name="curency" xfId="6"/>
    <cellStyle name="Currency" xfId="7" builtinId="4"/>
    <cellStyle name="Currency [0]" xfId="8" builtinId="7"/>
    <cellStyle name="HEADING" xfId="9"/>
    <cellStyle name="Heading 2" xfId="10" builtinId="17" customBuiltin="1"/>
    <cellStyle name="HEADING2" xfId="11"/>
    <cellStyle name="Normal" xfId="0" builtinId="0"/>
    <cellStyle name="Percent" xfId="12" builtinId="5"/>
    <cellStyle name="RowLevel_1" xfId="1" builtinId="1" iLevel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52"/>
  <sheetViews>
    <sheetView workbookViewId="0">
      <selection activeCell="B1" sqref="B1"/>
    </sheetView>
  </sheetViews>
  <sheetFormatPr defaultRowHeight="12.75"/>
  <cols>
    <col min="2" max="2" width="48" customWidth="1"/>
    <col min="4" max="4" width="18" customWidth="1"/>
    <col min="7" max="7" width="15.5" customWidth="1"/>
    <col min="8" max="8" width="10.5" customWidth="1"/>
    <col min="10" max="10" width="10.1640625" customWidth="1"/>
  </cols>
  <sheetData>
    <row r="2" spans="2:8">
      <c r="B2" s="163" t="s">
        <v>434</v>
      </c>
      <c r="C2" s="163" t="s">
        <v>435</v>
      </c>
      <c r="D2" s="163" t="s">
        <v>436</v>
      </c>
      <c r="E2" s="163" t="s">
        <v>432</v>
      </c>
      <c r="F2" s="163" t="s">
        <v>433</v>
      </c>
      <c r="G2" s="163" t="s">
        <v>437</v>
      </c>
      <c r="H2" s="163" t="s">
        <v>0</v>
      </c>
    </row>
    <row r="3" spans="2:8">
      <c r="B3" s="161" t="s">
        <v>439</v>
      </c>
      <c r="C3" s="172" t="s">
        <v>438</v>
      </c>
      <c r="D3" s="174">
        <f>Project_Value</f>
        <v>14991806.527644107</v>
      </c>
      <c r="E3" s="173">
        <f>+D3/D$3</f>
        <v>1</v>
      </c>
      <c r="F3" s="173">
        <f>+D3/D$24</f>
        <v>1.1369650700775331</v>
      </c>
      <c r="G3" s="174">
        <f>+D3/TUnits</f>
        <v>111879.15319137393</v>
      </c>
      <c r="H3" s="175">
        <f>+D3/TotalSF</f>
        <v>101.18591618336882</v>
      </c>
    </row>
    <row r="4" spans="2:8">
      <c r="B4" s="161"/>
      <c r="D4" s="160"/>
      <c r="E4" s="164"/>
      <c r="F4" s="164"/>
      <c r="G4" s="157"/>
      <c r="H4" s="165"/>
    </row>
    <row r="5" spans="2:8">
      <c r="B5" s="169" t="s">
        <v>444</v>
      </c>
      <c r="C5" s="169"/>
      <c r="D5" s="170">
        <f>MonthlyNOI*12</f>
        <v>1499180.6527644109</v>
      </c>
      <c r="E5" s="166">
        <f>+D5/D$3</f>
        <v>0.10000000000000002</v>
      </c>
      <c r="F5" s="166">
        <f>+D5/D$24</f>
        <v>0.11369650700775333</v>
      </c>
      <c r="G5" s="170">
        <f>+D5/TUnits</f>
        <v>11187.915319137395</v>
      </c>
      <c r="H5" s="171">
        <f>+D5/TotalSF</f>
        <v>10.118591618336882</v>
      </c>
    </row>
    <row r="6" spans="2:8">
      <c r="B6" s="169" t="s">
        <v>446</v>
      </c>
      <c r="C6" s="169"/>
      <c r="D6" s="170">
        <f>MortgagePmt*12</f>
        <v>-1006318.9088203199</v>
      </c>
      <c r="E6" s="166">
        <f>+D6/D$3</f>
        <v>-6.7124592821066656E-2</v>
      </c>
      <c r="F6" s="166">
        <f>+D6/D$24</f>
        <v>-7.631831738072993E-2</v>
      </c>
      <c r="G6" s="170">
        <f>+D6/TUnits</f>
        <v>-7509.8426031367162</v>
      </c>
      <c r="H6" s="171">
        <f>+D6/TotalSF</f>
        <v>-6.792063423035211</v>
      </c>
    </row>
    <row r="7" spans="2:8">
      <c r="B7" s="169" t="s">
        <v>445</v>
      </c>
      <c r="C7" s="169"/>
      <c r="D7" s="170">
        <f>+D6+D5</f>
        <v>492861.74394409102</v>
      </c>
      <c r="E7" s="166">
        <f>+D7/D$3</f>
        <v>3.2875407178933357E-2</v>
      </c>
      <c r="F7" s="166">
        <f>+D7/D$24</f>
        <v>3.7378189627023398E-2</v>
      </c>
      <c r="G7" s="170">
        <f>+D7/TUnits</f>
        <v>3678.0727160006791</v>
      </c>
      <c r="H7" s="171">
        <f>+D7/TotalSF</f>
        <v>3.3265281953016719</v>
      </c>
    </row>
    <row r="9" spans="2:8">
      <c r="B9" s="186" t="s">
        <v>443</v>
      </c>
      <c r="C9" s="187">
        <v>0.5</v>
      </c>
      <c r="D9" s="185">
        <f>D7*InvShare</f>
        <v>246430.87197204551</v>
      </c>
      <c r="E9" s="173"/>
      <c r="F9" s="173"/>
      <c r="G9" s="174"/>
      <c r="H9" s="175"/>
    </row>
    <row r="10" spans="2:8">
      <c r="B10" s="161"/>
      <c r="D10" s="160"/>
      <c r="E10" s="164"/>
      <c r="F10" s="164"/>
      <c r="G10" s="157"/>
      <c r="H10" s="165"/>
    </row>
    <row r="11" spans="2:8">
      <c r="B11" s="150" t="s">
        <v>447</v>
      </c>
      <c r="C11" s="173">
        <v>0.8</v>
      </c>
      <c r="D11" s="174">
        <f>C11*Project_Value</f>
        <v>11993445.222115286</v>
      </c>
      <c r="E11" s="164"/>
      <c r="F11" s="164"/>
      <c r="G11" s="157"/>
      <c r="H11" s="165"/>
    </row>
    <row r="12" spans="2:8">
      <c r="B12" s="161"/>
      <c r="D12" s="160"/>
      <c r="E12" s="164"/>
      <c r="F12" s="164"/>
      <c r="G12" s="157"/>
      <c r="H12" s="165"/>
    </row>
    <row r="13" spans="2:8">
      <c r="B13" s="161" t="s">
        <v>449</v>
      </c>
      <c r="D13" s="160">
        <f>TotalCost-ConstProfit</f>
        <v>11321652.870042542</v>
      </c>
      <c r="E13" s="164"/>
      <c r="F13" s="164"/>
      <c r="G13" s="157"/>
      <c r="H13" s="165"/>
    </row>
    <row r="14" spans="2:8">
      <c r="B14" s="161" t="s">
        <v>217</v>
      </c>
      <c r="C14" s="1">
        <v>0.15</v>
      </c>
      <c r="D14" s="160">
        <f>+C14*D13</f>
        <v>1698247.9305063812</v>
      </c>
      <c r="E14" s="164"/>
      <c r="F14" s="164"/>
      <c r="G14" s="157"/>
      <c r="H14" s="165"/>
    </row>
    <row r="15" spans="2:8">
      <c r="B15" s="161" t="s">
        <v>261</v>
      </c>
      <c r="D15" s="160">
        <f>+D13+D14</f>
        <v>13019900.800548922</v>
      </c>
      <c r="E15" s="164"/>
      <c r="F15" s="164"/>
      <c r="G15" s="157"/>
      <c r="H15" s="165"/>
    </row>
    <row r="16" spans="2:8">
      <c r="B16" s="161"/>
      <c r="D16" s="160"/>
      <c r="E16" s="164"/>
      <c r="F16" s="164"/>
      <c r="G16" s="157"/>
      <c r="H16" s="165"/>
    </row>
    <row r="17" spans="2:8">
      <c r="B17" s="176" t="s">
        <v>450</v>
      </c>
      <c r="C17" s="183"/>
      <c r="D17" s="185">
        <f>+D15-D11</f>
        <v>1026455.5784336366</v>
      </c>
      <c r="E17" s="164"/>
      <c r="F17" s="164"/>
      <c r="G17" s="157"/>
      <c r="H17" s="165"/>
    </row>
    <row r="18" spans="2:8">
      <c r="B18" s="161"/>
      <c r="D18" s="174"/>
      <c r="E18" s="164"/>
      <c r="F18" s="164"/>
      <c r="G18" s="157"/>
      <c r="H18" s="165"/>
    </row>
    <row r="19" spans="2:8">
      <c r="B19" s="176" t="s">
        <v>451</v>
      </c>
      <c r="C19" s="183"/>
      <c r="D19" s="184">
        <f>+D9/D17</f>
        <v>0.24007943173546503</v>
      </c>
      <c r="E19" s="164"/>
      <c r="F19" s="164"/>
      <c r="G19" s="157"/>
      <c r="H19" s="165"/>
    </row>
    <row r="20" spans="2:8">
      <c r="B20" s="161"/>
      <c r="D20" s="160"/>
      <c r="E20" s="164"/>
      <c r="F20" s="164"/>
      <c r="G20" s="157"/>
      <c r="H20" s="165"/>
    </row>
    <row r="21" spans="2:8">
      <c r="B21" s="150" t="s">
        <v>448</v>
      </c>
      <c r="D21" s="160"/>
      <c r="E21" s="164"/>
      <c r="F21" s="164"/>
      <c r="G21" s="157"/>
      <c r="H21" s="165"/>
    </row>
    <row r="22" spans="2:8">
      <c r="B22" s="161"/>
      <c r="D22" s="160"/>
      <c r="E22" s="164"/>
      <c r="F22" s="164"/>
      <c r="G22" s="157"/>
      <c r="H22" s="165"/>
    </row>
    <row r="23" spans="2:8">
      <c r="B23" s="168" t="s">
        <v>458</v>
      </c>
      <c r="E23" s="164"/>
      <c r="F23" s="164"/>
      <c r="G23" s="157"/>
      <c r="H23" s="165"/>
    </row>
    <row r="24" spans="2:8">
      <c r="B24" s="169" t="s">
        <v>459</v>
      </c>
      <c r="D24" s="160">
        <v>13185811</v>
      </c>
      <c r="E24" s="164">
        <f>+D24/D$3</f>
        <v>0.87953449610532619</v>
      </c>
      <c r="F24" s="164">
        <f t="shared" ref="F24:F29" si="0">+D24/D$24</f>
        <v>1</v>
      </c>
      <c r="G24" s="157">
        <f t="shared" ref="G24:G29" si="1">+D24/TUnits</f>
        <v>98401.574626865666</v>
      </c>
      <c r="H24" s="165">
        <f t="shared" ref="H24:H29" si="2">+D24/TotalSF</f>
        <v>88.99650380329507</v>
      </c>
    </row>
    <row r="25" spans="2:8">
      <c r="B25" s="158" t="s">
        <v>440</v>
      </c>
      <c r="C25" s="166" t="e">
        <f>LTC</f>
        <v>#REF!</v>
      </c>
      <c r="D25" s="160" t="e">
        <f>C25*D$24</f>
        <v>#REF!</v>
      </c>
      <c r="E25" s="164" t="e">
        <f>+D25/D$3</f>
        <v>#REF!</v>
      </c>
      <c r="F25" s="164" t="e">
        <f t="shared" si="0"/>
        <v>#REF!</v>
      </c>
      <c r="G25" s="157" t="e">
        <f t="shared" si="1"/>
        <v>#REF!</v>
      </c>
      <c r="H25" s="165" t="e">
        <f t="shared" si="2"/>
        <v>#REF!</v>
      </c>
    </row>
    <row r="26" spans="2:8">
      <c r="B26" s="158" t="s">
        <v>457</v>
      </c>
      <c r="C26" s="166"/>
      <c r="D26" s="160" t="e">
        <f>+D24-D25</f>
        <v>#REF!</v>
      </c>
      <c r="E26" s="164" t="e">
        <f t="shared" ref="E26:E36" si="3">+D26/D$3</f>
        <v>#REF!</v>
      </c>
      <c r="F26" s="164" t="e">
        <f t="shared" si="0"/>
        <v>#REF!</v>
      </c>
      <c r="G26" s="157" t="e">
        <f t="shared" si="1"/>
        <v>#REF!</v>
      </c>
      <c r="H26" s="165" t="e">
        <f t="shared" si="2"/>
        <v>#REF!</v>
      </c>
    </row>
    <row r="27" spans="2:8">
      <c r="B27" s="158" t="s">
        <v>452</v>
      </c>
      <c r="C27" s="164">
        <f>Const_Profit</f>
        <v>0.15</v>
      </c>
      <c r="D27" s="160">
        <f>ConstProfit</f>
        <v>1401375.3577638441</v>
      </c>
      <c r="E27" s="164">
        <f t="shared" si="3"/>
        <v>9.3476083431291698E-2</v>
      </c>
      <c r="F27" s="164">
        <f t="shared" si="0"/>
        <v>0.1062790417490319</v>
      </c>
      <c r="G27" s="157">
        <f t="shared" si="1"/>
        <v>10458.025057939134</v>
      </c>
      <c r="H27" s="165">
        <f t="shared" si="2"/>
        <v>9.458463143228272</v>
      </c>
    </row>
    <row r="28" spans="2:8">
      <c r="B28" s="176" t="s">
        <v>462</v>
      </c>
      <c r="C28" s="181"/>
      <c r="D28" s="182" t="e">
        <f>+D26-D27</f>
        <v>#REF!</v>
      </c>
      <c r="E28" s="179" t="e">
        <f t="shared" si="3"/>
        <v>#REF!</v>
      </c>
      <c r="F28" s="179" t="e">
        <f t="shared" si="0"/>
        <v>#REF!</v>
      </c>
      <c r="G28" s="182" t="e">
        <f t="shared" si="1"/>
        <v>#REF!</v>
      </c>
      <c r="H28" s="180" t="e">
        <f t="shared" si="2"/>
        <v>#REF!</v>
      </c>
    </row>
    <row r="29" spans="2:8">
      <c r="B29" s="176" t="s">
        <v>463</v>
      </c>
      <c r="C29" s="181"/>
      <c r="D29" s="182" t="e">
        <f>-(0.75*D15-D14-D25)</f>
        <v>#REF!</v>
      </c>
      <c r="E29" s="179" t="e">
        <f t="shared" si="3"/>
        <v>#REF!</v>
      </c>
      <c r="F29" s="179" t="e">
        <f t="shared" si="0"/>
        <v>#REF!</v>
      </c>
      <c r="G29" s="182" t="e">
        <f t="shared" si="1"/>
        <v>#REF!</v>
      </c>
      <c r="H29" s="180" t="e">
        <f t="shared" si="2"/>
        <v>#REF!</v>
      </c>
    </row>
    <row r="31" spans="2:8">
      <c r="B31" s="168" t="s">
        <v>460</v>
      </c>
    </row>
    <row r="32" spans="2:8">
      <c r="B32" s="169" t="s">
        <v>459</v>
      </c>
      <c r="D32" s="160">
        <f>TotalCost</f>
        <v>12723028.227806386</v>
      </c>
      <c r="E32" s="164">
        <f>+D32/D$3</f>
        <v>0.84866544964716473</v>
      </c>
      <c r="F32" s="164">
        <f>+D32/D$24</f>
        <v>0.96490297243046985</v>
      </c>
      <c r="G32" s="157">
        <f>+D32/TUnits</f>
        <v>94947.971849301379</v>
      </c>
      <c r="H32" s="165">
        <f>+D32/TotalSF</f>
        <v>85.872991055719012</v>
      </c>
    </row>
    <row r="33" spans="2:8">
      <c r="B33" s="158" t="s">
        <v>440</v>
      </c>
      <c r="C33" s="166" t="e">
        <f>_LTC90</f>
        <v>#REF!</v>
      </c>
      <c r="D33" s="160" t="e">
        <f>C33*D$24</f>
        <v>#REF!</v>
      </c>
      <c r="E33" s="164" t="e">
        <f>+D33/D$3</f>
        <v>#REF!</v>
      </c>
      <c r="F33" s="164" t="e">
        <f>+D33/D$24</f>
        <v>#REF!</v>
      </c>
      <c r="G33" s="157" t="e">
        <f>+D33/TUnits</f>
        <v>#REF!</v>
      </c>
      <c r="H33" s="165" t="e">
        <f>+D33/TotalSF</f>
        <v>#REF!</v>
      </c>
    </row>
    <row r="34" spans="2:8">
      <c r="B34" s="158" t="s">
        <v>268</v>
      </c>
      <c r="C34" s="167"/>
      <c r="D34" s="160" t="e">
        <f>+D24-D33</f>
        <v>#REF!</v>
      </c>
      <c r="E34" s="164" t="e">
        <f t="shared" si="3"/>
        <v>#REF!</v>
      </c>
      <c r="F34" s="164" t="e">
        <f>+D34/D$24</f>
        <v>#REF!</v>
      </c>
      <c r="G34" s="157" t="e">
        <f>+D34/TUnits</f>
        <v>#REF!</v>
      </c>
      <c r="H34" s="165" t="e">
        <f>+D34/TotalSF</f>
        <v>#REF!</v>
      </c>
    </row>
    <row r="35" spans="2:8">
      <c r="B35" s="158" t="s">
        <v>452</v>
      </c>
      <c r="C35" s="164">
        <f>Const_Profit</f>
        <v>0.15</v>
      </c>
      <c r="D35" s="160">
        <f>ConstProfit</f>
        <v>1401375.3577638441</v>
      </c>
      <c r="E35" s="164">
        <f t="shared" si="3"/>
        <v>9.3476083431291698E-2</v>
      </c>
      <c r="F35" s="164">
        <f>+D35/D$24</f>
        <v>0.1062790417490319</v>
      </c>
      <c r="G35" s="157">
        <f>+D35/TUnits</f>
        <v>10458.025057939134</v>
      </c>
      <c r="H35" s="165">
        <f>+D35/TotalSF</f>
        <v>9.458463143228272</v>
      </c>
    </row>
    <row r="36" spans="2:8">
      <c r="B36" s="176" t="s">
        <v>461</v>
      </c>
      <c r="C36" s="177"/>
      <c r="D36" s="178" t="e">
        <f>+IF(D34-D35&lt;0,0,D34-D35)</f>
        <v>#REF!</v>
      </c>
      <c r="E36" s="179" t="e">
        <f t="shared" si="3"/>
        <v>#REF!</v>
      </c>
      <c r="F36" s="179" t="e">
        <f>+D36/D$24</f>
        <v>#REF!</v>
      </c>
      <c r="G36" s="178" t="e">
        <f>+D36/TUnits</f>
        <v>#REF!</v>
      </c>
      <c r="H36" s="180" t="e">
        <f>+D36/TotalSF</f>
        <v>#REF!</v>
      </c>
    </row>
    <row r="37" spans="2:8">
      <c r="D37" s="157"/>
    </row>
    <row r="38" spans="2:8">
      <c r="B38" s="162" t="s">
        <v>426</v>
      </c>
      <c r="D38" s="157"/>
    </row>
    <row r="39" spans="2:8">
      <c r="B39" s="525" t="s">
        <v>453</v>
      </c>
      <c r="C39" s="525"/>
      <c r="D39" s="525"/>
      <c r="E39" s="525"/>
      <c r="F39" s="525"/>
      <c r="G39" s="525"/>
      <c r="H39" s="525"/>
    </row>
    <row r="40" spans="2:8">
      <c r="B40" s="525"/>
      <c r="C40" s="525"/>
      <c r="D40" s="525"/>
      <c r="E40" s="525"/>
      <c r="F40" s="525"/>
      <c r="G40" s="525"/>
      <c r="H40" s="525"/>
    </row>
    <row r="41" spans="2:8">
      <c r="B41" s="526" t="s">
        <v>464</v>
      </c>
      <c r="C41" s="526"/>
      <c r="D41" s="526"/>
      <c r="E41" s="526"/>
      <c r="F41" s="526"/>
      <c r="G41" s="526"/>
      <c r="H41" s="526"/>
    </row>
    <row r="42" spans="2:8">
      <c r="B42" t="s">
        <v>454</v>
      </c>
      <c r="D42" s="157"/>
    </row>
    <row r="43" spans="2:8">
      <c r="B43" t="s">
        <v>455</v>
      </c>
      <c r="D43" s="157"/>
    </row>
    <row r="44" spans="2:8">
      <c r="B44" t="s">
        <v>456</v>
      </c>
      <c r="D44" s="157"/>
    </row>
    <row r="46" spans="2:8">
      <c r="B46" s="159" t="s">
        <v>431</v>
      </c>
      <c r="D46" s="157"/>
    </row>
    <row r="47" spans="2:8">
      <c r="B47" s="524" t="s">
        <v>429</v>
      </c>
      <c r="C47" s="524"/>
      <c r="D47" s="524"/>
    </row>
    <row r="48" spans="2:8">
      <c r="B48" s="524" t="s">
        <v>428</v>
      </c>
      <c r="C48" s="524"/>
      <c r="D48" s="524"/>
    </row>
    <row r="49" spans="2:8">
      <c r="B49" t="s">
        <v>427</v>
      </c>
      <c r="D49" s="157"/>
    </row>
    <row r="50" spans="2:8">
      <c r="B50" s="523" t="s">
        <v>430</v>
      </c>
      <c r="C50" s="524"/>
      <c r="D50" s="524"/>
      <c r="E50" s="524"/>
      <c r="F50" s="524"/>
      <c r="G50" s="524"/>
      <c r="H50" s="524"/>
    </row>
    <row r="51" spans="2:8">
      <c r="B51" s="524"/>
      <c r="C51" s="524"/>
      <c r="D51" s="524"/>
      <c r="E51" s="524"/>
      <c r="F51" s="524"/>
      <c r="G51" s="524"/>
      <c r="H51" s="524"/>
    </row>
    <row r="52" spans="2:8">
      <c r="B52" s="524"/>
      <c r="C52" s="524"/>
      <c r="D52" s="524"/>
      <c r="E52" s="524"/>
      <c r="F52" s="524"/>
      <c r="G52" s="524"/>
      <c r="H52" s="524"/>
    </row>
  </sheetData>
  <mergeCells count="5">
    <mergeCell ref="B50:H52"/>
    <mergeCell ref="B39:H40"/>
    <mergeCell ref="B41:H41"/>
    <mergeCell ref="B47:D47"/>
    <mergeCell ref="B48:D48"/>
  </mergeCells>
  <printOptions horizontalCentered="1"/>
  <pageMargins left="0.75" right="0.75" top="1.29" bottom="1" header="0.49" footer="0.5"/>
  <pageSetup orientation="portrait" horizontalDpi="4294967292" verticalDpi="200" r:id="rId1"/>
  <headerFooter alignWithMargins="0">
    <oddHeader xml:space="preserve">&amp;C&amp;"Times New Roman Condensed,Bold"&amp;14&amp;UPROJECT SUMMARY&amp;U
EQUITY &amp;&amp; RETURN ON EQUITY&amp;"Times New Roman Condensed,Regular"&amp;9
</oddHeader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X88"/>
  <sheetViews>
    <sheetView topLeftCell="A2" workbookViewId="0">
      <pane xSplit="3675" ySplit="1275" topLeftCell="P5" activePane="bottomRight"/>
      <selection activeCell="B2" sqref="B2"/>
      <selection pane="topRight" activeCell="C6" sqref="C6"/>
      <selection pane="bottomLeft" activeCell="A10" sqref="A10"/>
      <selection pane="bottomRight" activeCell="V32" sqref="V32"/>
    </sheetView>
  </sheetViews>
  <sheetFormatPr defaultRowHeight="12.75"/>
  <cols>
    <col min="1" max="1" width="9.33203125" style="200"/>
    <col min="2" max="2" width="27.1640625" style="200" customWidth="1"/>
    <col min="3" max="3" width="18.83203125" style="200" customWidth="1"/>
    <col min="4" max="4" width="9.33203125" style="200"/>
    <col min="5" max="5" width="1" style="200" customWidth="1"/>
    <col min="6" max="6" width="11.5" style="200" customWidth="1"/>
    <col min="7" max="7" width="12.1640625" style="200" customWidth="1"/>
    <col min="8" max="8" width="11.5" style="200" customWidth="1"/>
    <col min="9" max="9" width="10.5" style="200" customWidth="1"/>
    <col min="10" max="10" width="1" style="200" customWidth="1"/>
    <col min="11" max="11" width="12.5" style="200" customWidth="1"/>
    <col min="12" max="12" width="12.1640625" style="200" customWidth="1"/>
    <col min="13" max="13" width="11.5" style="200" customWidth="1"/>
    <col min="14" max="14" width="9" style="200" customWidth="1"/>
    <col min="15" max="15" width="1" style="200" customWidth="1"/>
    <col min="16" max="16" width="11.5" style="200" customWidth="1"/>
    <col min="17" max="17" width="12.5" style="200" customWidth="1"/>
    <col min="18" max="19" width="10" style="200" customWidth="1"/>
    <col min="20" max="20" width="7.33203125" style="200" customWidth="1"/>
    <col min="21" max="24" width="12.83203125" style="200" customWidth="1"/>
    <col min="25" max="16384" width="9.33203125" style="200"/>
  </cols>
  <sheetData>
    <row r="1" spans="2:24">
      <c r="B1" s="193" t="s">
        <v>442</v>
      </c>
      <c r="C1" s="193">
        <v>0</v>
      </c>
    </row>
    <row r="2" spans="2:24" s="193" customFormat="1">
      <c r="B2" s="193" t="s">
        <v>304</v>
      </c>
      <c r="C2" s="193">
        <v>575</v>
      </c>
    </row>
    <row r="3" spans="2:24" s="193" customFormat="1">
      <c r="B3" s="193" t="s">
        <v>305</v>
      </c>
      <c r="C3" s="193">
        <f>475</f>
        <v>475</v>
      </c>
      <c r="T3" s="194"/>
    </row>
    <row r="4" spans="2:24" s="193" customFormat="1">
      <c r="B4" s="193" t="s">
        <v>553</v>
      </c>
      <c r="C4" s="193">
        <v>75</v>
      </c>
      <c r="T4" s="194"/>
    </row>
    <row r="5" spans="2:24" s="192" customFormat="1">
      <c r="B5" s="243" t="s">
        <v>395</v>
      </c>
      <c r="C5" s="189"/>
      <c r="D5" s="189"/>
      <c r="E5" s="191"/>
      <c r="F5" s="191"/>
      <c r="G5" s="528" t="s">
        <v>481</v>
      </c>
      <c r="H5" s="528"/>
      <c r="I5" s="528"/>
      <c r="J5" s="190"/>
      <c r="K5" s="190"/>
      <c r="L5" s="528" t="s">
        <v>480</v>
      </c>
      <c r="M5" s="528"/>
      <c r="N5" s="528"/>
      <c r="O5" s="190"/>
      <c r="P5" s="190"/>
      <c r="Q5" s="528" t="s">
        <v>396</v>
      </c>
      <c r="R5" s="528"/>
      <c r="S5" s="528"/>
      <c r="T5" s="190"/>
      <c r="U5" s="190"/>
      <c r="V5" s="527" t="s">
        <v>396</v>
      </c>
      <c r="W5" s="527"/>
      <c r="X5" s="527"/>
    </row>
    <row r="6" spans="2:24">
      <c r="B6" s="195"/>
      <c r="C6" s="195"/>
      <c r="D6" s="195"/>
      <c r="E6" s="195"/>
      <c r="F6" s="512" t="s">
        <v>558</v>
      </c>
      <c r="G6" s="196" t="s">
        <v>559</v>
      </c>
      <c r="H6" s="196" t="s">
        <v>73</v>
      </c>
      <c r="I6" s="196" t="s">
        <v>0</v>
      </c>
      <c r="J6" s="196"/>
      <c r="K6" s="512" t="s">
        <v>558</v>
      </c>
      <c r="L6" s="196" t="s">
        <v>559</v>
      </c>
      <c r="M6" s="196" t="s">
        <v>73</v>
      </c>
      <c r="N6" s="196" t="s">
        <v>0</v>
      </c>
      <c r="O6" s="197"/>
      <c r="P6" s="512" t="s">
        <v>558</v>
      </c>
      <c r="Q6" s="196" t="s">
        <v>559</v>
      </c>
      <c r="R6" s="198" t="s">
        <v>475</v>
      </c>
      <c r="S6" s="198" t="s">
        <v>476</v>
      </c>
      <c r="T6" s="198" t="s">
        <v>585</v>
      </c>
      <c r="U6" s="199"/>
      <c r="V6" s="198" t="s">
        <v>273</v>
      </c>
      <c r="W6" s="198" t="s">
        <v>473</v>
      </c>
      <c r="X6" s="198" t="s">
        <v>472</v>
      </c>
    </row>
    <row r="7" spans="2:24">
      <c r="B7" s="254"/>
      <c r="C7" s="254"/>
      <c r="D7" s="254"/>
      <c r="E7" s="254"/>
      <c r="F7" s="513" t="s">
        <v>253</v>
      </c>
      <c r="G7" s="514" t="s">
        <v>253</v>
      </c>
      <c r="H7" s="515" t="s">
        <v>557</v>
      </c>
      <c r="I7" s="515" t="s">
        <v>557</v>
      </c>
      <c r="J7" s="255"/>
      <c r="K7" s="513" t="s">
        <v>253</v>
      </c>
      <c r="L7" s="514" t="s">
        <v>253</v>
      </c>
      <c r="M7" s="515" t="s">
        <v>557</v>
      </c>
      <c r="N7" s="515" t="s">
        <v>557</v>
      </c>
      <c r="O7" s="254"/>
      <c r="P7" s="513" t="s">
        <v>253</v>
      </c>
      <c r="Q7" s="514" t="s">
        <v>253</v>
      </c>
      <c r="R7" s="195"/>
      <c r="S7" s="199"/>
      <c r="T7" s="199"/>
      <c r="U7" s="199"/>
      <c r="V7" s="199"/>
      <c r="X7" s="202"/>
    </row>
    <row r="8" spans="2:24" ht="12.95" customHeight="1">
      <c r="B8" s="254"/>
      <c r="C8" s="254"/>
      <c r="D8" s="254"/>
      <c r="E8" s="254"/>
      <c r="F8" s="254"/>
      <c r="G8" s="513"/>
      <c r="H8" s="514"/>
      <c r="I8" s="255"/>
      <c r="J8" s="255"/>
      <c r="K8" s="254"/>
      <c r="L8" s="514"/>
      <c r="M8" s="254"/>
      <c r="N8" s="255"/>
      <c r="O8" s="254"/>
      <c r="P8" s="254"/>
      <c r="Q8" s="254"/>
      <c r="R8" s="195"/>
      <c r="S8" s="199"/>
      <c r="T8" s="199"/>
      <c r="U8" s="199"/>
      <c r="V8" s="199"/>
      <c r="X8" s="202"/>
    </row>
    <row r="9" spans="2:24" ht="12.95" customHeight="1">
      <c r="B9" s="254" t="s">
        <v>360</v>
      </c>
      <c r="C9" s="254"/>
      <c r="D9" s="254"/>
      <c r="E9" s="254"/>
      <c r="F9" s="254"/>
      <c r="G9" s="256">
        <f>H9*H12</f>
        <v>74168</v>
      </c>
      <c r="H9" s="254">
        <f>+'UCost Final'!N11</f>
        <v>1016</v>
      </c>
      <c r="I9" s="254"/>
      <c r="J9" s="254"/>
      <c r="K9" s="254"/>
      <c r="L9" s="256">
        <f>M9*M12</f>
        <v>73993</v>
      </c>
      <c r="M9" s="254">
        <f>+'UCost Final'!Q11</f>
        <v>1213</v>
      </c>
      <c r="N9" s="254"/>
      <c r="O9" s="254"/>
      <c r="P9" s="254"/>
      <c r="Q9" s="254">
        <f>+L9+G9</f>
        <v>148161</v>
      </c>
      <c r="R9" s="197"/>
      <c r="S9" s="199"/>
      <c r="T9" s="199"/>
      <c r="U9" s="199">
        <f>1050000/T36/12</f>
        <v>122882.12208468892</v>
      </c>
      <c r="V9" s="199">
        <f>+TotalSF</f>
        <v>148161</v>
      </c>
      <c r="X9" s="202"/>
    </row>
    <row r="10" spans="2:24" ht="12.75" hidden="1" customHeight="1">
      <c r="B10" s="254" t="s">
        <v>477</v>
      </c>
      <c r="C10" s="254"/>
      <c r="D10" s="254"/>
      <c r="E10" s="254"/>
      <c r="F10" s="254"/>
      <c r="G10" s="256"/>
      <c r="H10" s="257" t="s">
        <v>479</v>
      </c>
      <c r="I10" s="254"/>
      <c r="J10" s="254"/>
      <c r="K10" s="254"/>
      <c r="L10" s="256"/>
      <c r="M10" s="257" t="s">
        <v>478</v>
      </c>
      <c r="N10" s="254"/>
      <c r="O10" s="258"/>
      <c r="P10" s="258"/>
      <c r="Q10" s="254"/>
      <c r="R10" s="203"/>
      <c r="T10" s="199"/>
      <c r="U10" s="199"/>
      <c r="V10" s="199"/>
      <c r="X10" s="202"/>
    </row>
    <row r="11" spans="2:24" ht="13.5" hidden="1" customHeight="1">
      <c r="B11" s="254" t="s">
        <v>271</v>
      </c>
      <c r="C11" s="254"/>
      <c r="D11" s="254"/>
      <c r="E11" s="254"/>
      <c r="F11" s="254"/>
      <c r="G11" s="259">
        <v>15.83</v>
      </c>
      <c r="H11" s="254" t="s">
        <v>272</v>
      </c>
      <c r="I11" s="254"/>
      <c r="J11" s="254"/>
      <c r="K11" s="254"/>
      <c r="L11" s="254">
        <v>26</v>
      </c>
      <c r="M11" s="254" t="s">
        <v>272</v>
      </c>
      <c r="N11" s="254"/>
      <c r="O11" s="254"/>
      <c r="P11" s="254"/>
      <c r="Q11" s="254"/>
      <c r="R11" s="195"/>
      <c r="S11" s="199"/>
      <c r="T11" s="199"/>
      <c r="U11" s="199"/>
      <c r="V11" s="199"/>
      <c r="X11" s="202"/>
    </row>
    <row r="12" spans="2:24">
      <c r="B12" s="254" t="s">
        <v>303</v>
      </c>
      <c r="C12" s="254"/>
      <c r="D12" s="254"/>
      <c r="E12" s="254"/>
      <c r="F12" s="254"/>
      <c r="G12" s="256"/>
      <c r="H12" s="254">
        <f>+'UCost Final'!N8+1</f>
        <v>73</v>
      </c>
      <c r="I12" s="254"/>
      <c r="J12" s="254"/>
      <c r="K12" s="254"/>
      <c r="L12" s="256"/>
      <c r="M12" s="254">
        <f>+'UCost Final'!Q8</f>
        <v>61</v>
      </c>
      <c r="N12" s="254"/>
      <c r="O12" s="254"/>
      <c r="P12" s="254"/>
      <c r="Q12" s="254">
        <f>+M12+H12</f>
        <v>134</v>
      </c>
      <c r="R12" s="197"/>
      <c r="S12" s="199"/>
      <c r="T12" s="199"/>
      <c r="U12" s="522">
        <f>+U9/TotalSF</f>
        <v>0.82938237515060587</v>
      </c>
      <c r="V12" s="199">
        <f>+TUnits</f>
        <v>134</v>
      </c>
      <c r="X12" s="202"/>
    </row>
    <row r="13" spans="2:24" hidden="1">
      <c r="B13" s="254" t="s">
        <v>302</v>
      </c>
      <c r="C13" s="254"/>
      <c r="D13" s="254"/>
      <c r="E13" s="254"/>
      <c r="F13" s="254"/>
      <c r="G13" s="256"/>
      <c r="H13" s="260">
        <f>+H12/$Q12</f>
        <v>0.54477611940298509</v>
      </c>
      <c r="I13" s="261"/>
      <c r="J13" s="261"/>
      <c r="K13" s="254"/>
      <c r="L13" s="256"/>
      <c r="M13" s="260">
        <f>+M12/$Q12</f>
        <v>0.45522388059701491</v>
      </c>
      <c r="N13" s="261"/>
      <c r="O13" s="261"/>
      <c r="P13" s="261"/>
      <c r="Q13" s="260">
        <f>+Q12/$Q12</f>
        <v>1</v>
      </c>
      <c r="R13" s="197"/>
      <c r="S13" s="199"/>
      <c r="T13" s="199"/>
      <c r="U13" s="199"/>
      <c r="V13" s="199"/>
      <c r="X13" s="197"/>
    </row>
    <row r="14" spans="2:24">
      <c r="B14" s="195"/>
      <c r="C14" s="195"/>
      <c r="D14" s="195"/>
      <c r="E14" s="195"/>
      <c r="F14" s="195"/>
      <c r="G14" s="199"/>
      <c r="H14" s="511" t="s">
        <v>556</v>
      </c>
      <c r="I14" s="205"/>
      <c r="J14" s="205"/>
      <c r="K14" s="195"/>
      <c r="L14" s="199"/>
      <c r="M14" s="205"/>
      <c r="N14" s="205"/>
      <c r="O14" s="205"/>
      <c r="P14" s="205"/>
      <c r="Q14" s="195"/>
      <c r="R14" s="197"/>
      <c r="S14" s="199"/>
      <c r="T14" s="199"/>
      <c r="U14" s="199"/>
      <c r="V14" s="205"/>
      <c r="X14" s="197"/>
    </row>
    <row r="15" spans="2:24">
      <c r="B15" s="206" t="s">
        <v>306</v>
      </c>
      <c r="C15" s="195"/>
      <c r="D15" s="195"/>
      <c r="E15" s="195"/>
      <c r="F15" s="195"/>
      <c r="G15" s="209"/>
      <c r="H15" s="209"/>
      <c r="I15" s="209"/>
      <c r="J15" s="195"/>
      <c r="K15" s="195"/>
      <c r="L15" s="209"/>
      <c r="M15" s="209"/>
      <c r="N15" s="209"/>
      <c r="O15" s="195"/>
      <c r="P15" s="195"/>
      <c r="Q15" s="209"/>
      <c r="R15" s="208"/>
      <c r="S15" s="208"/>
      <c r="T15" s="199"/>
      <c r="U15" s="199"/>
      <c r="V15" s="195"/>
      <c r="X15" s="208"/>
    </row>
    <row r="16" spans="2:24">
      <c r="B16" s="210" t="s">
        <v>358</v>
      </c>
      <c r="C16" s="195"/>
      <c r="D16" s="195"/>
      <c r="E16" s="195"/>
      <c r="F16" s="208">
        <f>12*G16</f>
        <v>1007400</v>
      </c>
      <c r="G16" s="208">
        <f>H16*H$12</f>
        <v>83950</v>
      </c>
      <c r="H16" s="208">
        <f>2*Two_Bedroom_Rate+Internet</f>
        <v>1150</v>
      </c>
      <c r="I16" s="211">
        <f>+H16/H$9</f>
        <v>1.1318897637795275</v>
      </c>
      <c r="J16" s="195"/>
      <c r="K16" s="208">
        <f>12*L16</f>
        <v>1098000</v>
      </c>
      <c r="L16" s="208">
        <f>M16*M$12</f>
        <v>91500</v>
      </c>
      <c r="M16" s="208">
        <f>3*Three_Bedroom_Rate+Internet+Garage_Rate</f>
        <v>1500</v>
      </c>
      <c r="N16" s="211">
        <f>+M16/M$9</f>
        <v>1.2366034624896949</v>
      </c>
      <c r="O16" s="195"/>
      <c r="P16" s="209">
        <f>+K16+F16</f>
        <v>2105400</v>
      </c>
      <c r="Q16" s="209">
        <f>+L16+G16</f>
        <v>175450</v>
      </c>
      <c r="R16" s="208">
        <f>+Q16/Q$12</f>
        <v>1309.3283582089553</v>
      </c>
      <c r="S16" s="211">
        <f>+Q16/Q$9</f>
        <v>1.1841847719710314</v>
      </c>
      <c r="T16" s="1">
        <f>P16/P$16</f>
        <v>1</v>
      </c>
      <c r="U16" s="199"/>
      <c r="V16" s="209">
        <f>Q16*12</f>
        <v>2105400</v>
      </c>
      <c r="W16" s="209">
        <f>+V16/TUnits</f>
        <v>15711.940298507463</v>
      </c>
      <c r="X16" s="205">
        <f>+Q16/Q$20</f>
        <v>1.0356130402057595</v>
      </c>
    </row>
    <row r="17" spans="2:24">
      <c r="B17" s="210" t="s">
        <v>342</v>
      </c>
      <c r="C17" s="1">
        <v>0.05</v>
      </c>
      <c r="D17" s="195"/>
      <c r="E17" s="195"/>
      <c r="F17" s="195">
        <f t="shared" ref="F17:F40" si="0">12*G17</f>
        <v>-50370</v>
      </c>
      <c r="G17" s="195">
        <f>H17*H$12</f>
        <v>-4197.5</v>
      </c>
      <c r="H17" s="195">
        <f>-$C17*H$16</f>
        <v>-57.5</v>
      </c>
      <c r="I17" s="204">
        <f>+H17/H$9</f>
        <v>-5.6594488188976375E-2</v>
      </c>
      <c r="J17" s="195"/>
      <c r="K17" s="195">
        <f t="shared" ref="K17:K40" si="1">12*L17</f>
        <v>-54900</v>
      </c>
      <c r="L17" s="195">
        <f>M17*M$12</f>
        <v>-4575</v>
      </c>
      <c r="M17" s="195">
        <f>-$C17*M$16</f>
        <v>-75</v>
      </c>
      <c r="N17" s="204">
        <f>+M17/M$9</f>
        <v>-6.1830173124484751E-2</v>
      </c>
      <c r="O17" s="195"/>
      <c r="P17" s="195">
        <f t="shared" ref="P17:Q19" si="2">K17+F17</f>
        <v>-105270</v>
      </c>
      <c r="Q17" s="195">
        <f t="shared" si="2"/>
        <v>-8772.5</v>
      </c>
      <c r="R17" s="195">
        <f>+Q17/Q$12</f>
        <v>-65.46641791044776</v>
      </c>
      <c r="S17" s="204">
        <f>+Q17/Q$9</f>
        <v>-5.9209238598551574E-2</v>
      </c>
      <c r="T17" s="1">
        <f>P17/P$16</f>
        <v>-0.05</v>
      </c>
      <c r="U17" s="199"/>
      <c r="V17" s="195">
        <f>12*Q17</f>
        <v>-105270</v>
      </c>
      <c r="W17" s="195">
        <f t="shared" ref="W17:W45" si="3">+V17/TUnits</f>
        <v>-785.59701492537317</v>
      </c>
      <c r="X17" s="205">
        <f>+Q17/Q$20</f>
        <v>-5.1780652010287975E-2</v>
      </c>
    </row>
    <row r="18" spans="2:24">
      <c r="B18" s="210" t="s">
        <v>357</v>
      </c>
      <c r="C18" s="214">
        <f>1/6</f>
        <v>0.16666666666666666</v>
      </c>
      <c r="D18" s="195"/>
      <c r="E18" s="195"/>
      <c r="F18" s="195">
        <f t="shared" si="0"/>
        <v>13991.666666666666</v>
      </c>
      <c r="G18" s="212">
        <f>H18*H$12</f>
        <v>1165.9722222222222</v>
      </c>
      <c r="H18" s="195">
        <f>($C18*H$16)/12</f>
        <v>15.972222222222221</v>
      </c>
      <c r="I18" s="213">
        <f>+H18/H$9</f>
        <v>1.5720691163604548E-2</v>
      </c>
      <c r="J18" s="195"/>
      <c r="K18" s="195">
        <f t="shared" si="1"/>
        <v>15250</v>
      </c>
      <c r="L18" s="212">
        <f>M18*M$12</f>
        <v>1270.8333333333333</v>
      </c>
      <c r="M18" s="195">
        <f>($C18*M$16)/12</f>
        <v>20.833333333333332</v>
      </c>
      <c r="N18" s="213">
        <f>+M18/M$9</f>
        <v>1.7175048090134652E-2</v>
      </c>
      <c r="O18" s="195"/>
      <c r="P18" s="195">
        <f t="shared" si="2"/>
        <v>29241.666666666664</v>
      </c>
      <c r="Q18" s="195">
        <f t="shared" si="2"/>
        <v>2436.8055555555557</v>
      </c>
      <c r="R18" s="212">
        <f>+Q18/Q$12</f>
        <v>18.185116086235489</v>
      </c>
      <c r="S18" s="204">
        <f>+Q18/Q$9</f>
        <v>1.6447010721819883E-2</v>
      </c>
      <c r="T18" s="1">
        <f>P18/P$16</f>
        <v>1.3888888888888888E-2</v>
      </c>
      <c r="U18" s="199"/>
      <c r="V18" s="195">
        <f>12*Q18</f>
        <v>29241.666666666668</v>
      </c>
      <c r="W18" s="195">
        <f t="shared" si="3"/>
        <v>218.22139303482587</v>
      </c>
      <c r="X18" s="205">
        <f>+Q18/Q$20</f>
        <v>1.4383514447302216E-2</v>
      </c>
    </row>
    <row r="19" spans="2:24">
      <c r="B19" s="249" t="s">
        <v>425</v>
      </c>
      <c r="C19" s="195">
        <v>300</v>
      </c>
      <c r="D19" s="195"/>
      <c r="E19" s="195"/>
      <c r="F19" s="250">
        <f t="shared" si="0"/>
        <v>1975.9398496240601</v>
      </c>
      <c r="G19" s="245">
        <f>H19*H$12</f>
        <v>164.66165413533835</v>
      </c>
      <c r="H19" s="250">
        <f>$C19/SM134Units</f>
        <v>2.255639097744361</v>
      </c>
      <c r="I19" s="251">
        <f>+H19/H$9</f>
        <v>2.2201172221893318E-3</v>
      </c>
      <c r="J19" s="195"/>
      <c r="K19" s="250">
        <f t="shared" si="1"/>
        <v>1651.1278195488721</v>
      </c>
      <c r="L19" s="245">
        <f>M19*M$12</f>
        <v>137.59398496240601</v>
      </c>
      <c r="M19" s="250">
        <f>$C19/SM134Units</f>
        <v>2.255639097744361</v>
      </c>
      <c r="N19" s="251">
        <f>+M19/M$9</f>
        <v>1.8595540789318721E-3</v>
      </c>
      <c r="O19" s="195"/>
      <c r="P19" s="250">
        <f t="shared" si="2"/>
        <v>3627.0676691729323</v>
      </c>
      <c r="Q19" s="250">
        <f t="shared" si="2"/>
        <v>302.25563909774439</v>
      </c>
      <c r="R19" s="245">
        <f>+Q19/Q$12</f>
        <v>2.255639097744361</v>
      </c>
      <c r="S19" s="248">
        <f>+Q19/Q$9</f>
        <v>2.0400485896946187E-3</v>
      </c>
      <c r="T19" s="1">
        <f>P19/P$16</f>
        <v>1.7227451644214553E-3</v>
      </c>
      <c r="U19" s="199"/>
      <c r="V19" s="250">
        <f>12*Q19</f>
        <v>3627.0676691729327</v>
      </c>
      <c r="W19" s="250">
        <f t="shared" si="3"/>
        <v>27.067669172932334</v>
      </c>
      <c r="X19" s="252">
        <f>+Q19/Q$20</f>
        <v>1.7840973572262747E-3</v>
      </c>
    </row>
    <row r="20" spans="2:24">
      <c r="B20" s="206" t="s">
        <v>307</v>
      </c>
      <c r="C20" s="195"/>
      <c r="D20" s="195"/>
      <c r="E20" s="195"/>
      <c r="F20" s="209">
        <f t="shared" si="0"/>
        <v>972997.60651629069</v>
      </c>
      <c r="G20" s="209">
        <f>SUM(G15:G19)</f>
        <v>81083.133876357562</v>
      </c>
      <c r="H20" s="209">
        <f>SUM(H15:H19)</f>
        <v>1110.7278613199665</v>
      </c>
      <c r="I20" s="207">
        <f>+H20/H$9</f>
        <v>1.0932360839763449</v>
      </c>
      <c r="J20" s="195"/>
      <c r="K20" s="209">
        <f t="shared" si="1"/>
        <v>1060001.1278195488</v>
      </c>
      <c r="L20" s="209">
        <f>SUM(L15:L19)</f>
        <v>88333.42731829574</v>
      </c>
      <c r="M20" s="209">
        <f>SUM(M15:M19)</f>
        <v>1448.0889724310775</v>
      </c>
      <c r="N20" s="207">
        <f>+M20/M$9</f>
        <v>1.1938078915342767</v>
      </c>
      <c r="O20" s="195"/>
      <c r="P20" s="209">
        <f>SUM(P15:P19)</f>
        <v>2032998.7343358397</v>
      </c>
      <c r="Q20" s="209">
        <f>SUM(Q15:Q19)</f>
        <v>169416.5611946533</v>
      </c>
      <c r="R20" s="208">
        <f>+Q20/Q$12</f>
        <v>1264.3026954824873</v>
      </c>
      <c r="S20" s="211">
        <f>+Q20/Q$9</f>
        <v>1.1434625926839945</v>
      </c>
      <c r="T20" s="1">
        <f>P20/P$16</f>
        <v>0.96561163405331041</v>
      </c>
      <c r="U20" s="199"/>
      <c r="V20" s="209">
        <f>SUM(V15:V19)</f>
        <v>2032998.7343358397</v>
      </c>
      <c r="W20" s="209">
        <f t="shared" si="3"/>
        <v>15171.632345789849</v>
      </c>
      <c r="X20" s="205">
        <f>+Q20/Q$20</f>
        <v>1</v>
      </c>
    </row>
    <row r="21" spans="2:24">
      <c r="B21" s="206"/>
      <c r="C21" s="206"/>
      <c r="D21" s="206"/>
      <c r="E21" s="195"/>
      <c r="F21" s="195"/>
      <c r="G21" s="206"/>
      <c r="H21" s="206"/>
      <c r="I21" s="206"/>
      <c r="J21" s="195"/>
      <c r="K21" s="195"/>
      <c r="L21" s="206"/>
      <c r="M21" s="206"/>
      <c r="N21" s="206"/>
      <c r="O21" s="195"/>
      <c r="P21" s="206"/>
      <c r="Q21" s="206"/>
      <c r="R21" s="206"/>
      <c r="S21" s="197"/>
      <c r="T21" s="199"/>
      <c r="U21" s="199"/>
      <c r="V21" s="206"/>
      <c r="W21" s="206">
        <f t="shared" si="3"/>
        <v>0</v>
      </c>
      <c r="X21" s="202"/>
    </row>
    <row r="22" spans="2:24">
      <c r="B22" s="206" t="s">
        <v>308</v>
      </c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9"/>
      <c r="U22" s="199"/>
      <c r="V22" s="195"/>
      <c r="W22" s="195">
        <f t="shared" si="3"/>
        <v>0</v>
      </c>
      <c r="X22" s="195"/>
    </row>
    <row r="23" spans="2:24">
      <c r="B23" s="210" t="s">
        <v>356</v>
      </c>
      <c r="C23" s="195">
        <v>0.05</v>
      </c>
      <c r="D23" s="195"/>
      <c r="E23" s="195"/>
      <c r="F23" s="208">
        <f t="shared" si="0"/>
        <v>50370</v>
      </c>
      <c r="G23" s="208">
        <f t="shared" ref="G23:G33" si="4">H$12*H23</f>
        <v>4197.5</v>
      </c>
      <c r="H23" s="209">
        <f>$C23*H$16</f>
        <v>57.5</v>
      </c>
      <c r="I23" s="211">
        <f t="shared" ref="I23:I33" si="5">+H23/H$9</f>
        <v>5.6594488188976375E-2</v>
      </c>
      <c r="J23" s="195"/>
      <c r="K23" s="208">
        <f t="shared" si="1"/>
        <v>54900</v>
      </c>
      <c r="L23" s="209">
        <f t="shared" ref="L23:L33" si="6">M$12*M23</f>
        <v>4575</v>
      </c>
      <c r="M23" s="209">
        <f>$C23*M$16</f>
        <v>75</v>
      </c>
      <c r="N23" s="211">
        <f t="shared" ref="N23:N33" si="7">+M23/M$9</f>
        <v>6.1830173124484751E-2</v>
      </c>
      <c r="O23" s="195"/>
      <c r="P23" s="209">
        <f>+K23+F23</f>
        <v>105270</v>
      </c>
      <c r="Q23" s="209">
        <f>+L23+G23</f>
        <v>8772.5</v>
      </c>
      <c r="R23" s="209">
        <f t="shared" ref="R23:R33" si="8">+Q23/Q$12</f>
        <v>65.46641791044776</v>
      </c>
      <c r="S23" s="215">
        <f t="shared" ref="S23:S33" si="9">+Q23/Q$9</f>
        <v>5.9209238598551574E-2</v>
      </c>
      <c r="T23" s="1">
        <f t="shared" ref="T23:T40" si="10">P23/P$16</f>
        <v>0.05</v>
      </c>
      <c r="U23" s="199"/>
      <c r="V23" s="209">
        <f>Q23*12</f>
        <v>105270</v>
      </c>
      <c r="W23" s="209">
        <f t="shared" si="3"/>
        <v>785.59701492537317</v>
      </c>
      <c r="X23" s="205">
        <f t="shared" ref="X23:X34" si="11">+Q23/Q$20</f>
        <v>5.1780652010287975E-2</v>
      </c>
    </row>
    <row r="24" spans="2:24">
      <c r="B24" s="210" t="s">
        <v>368</v>
      </c>
      <c r="C24" s="195" t="s">
        <v>344</v>
      </c>
      <c r="D24" s="195"/>
      <c r="E24" s="195"/>
      <c r="F24" s="195">
        <f t="shared" si="0"/>
        <v>18250</v>
      </c>
      <c r="G24" s="197">
        <f t="shared" si="4"/>
        <v>1520.8333333333333</v>
      </c>
      <c r="H24" s="195">
        <f>250/12</f>
        <v>20.833333333333332</v>
      </c>
      <c r="I24" s="204">
        <f t="shared" si="5"/>
        <v>2.0505249343832018E-2</v>
      </c>
      <c r="J24" s="195"/>
      <c r="K24" s="195">
        <f t="shared" si="1"/>
        <v>15250</v>
      </c>
      <c r="L24" s="197">
        <f t="shared" si="6"/>
        <v>1270.8333333333333</v>
      </c>
      <c r="M24" s="195">
        <f>250/12</f>
        <v>20.833333333333332</v>
      </c>
      <c r="N24" s="204">
        <f t="shared" si="7"/>
        <v>1.7175048090134652E-2</v>
      </c>
      <c r="O24" s="195"/>
      <c r="P24" s="195">
        <f t="shared" ref="P24:Q33" si="12">K24+F24</f>
        <v>33500</v>
      </c>
      <c r="Q24" s="195">
        <f t="shared" si="12"/>
        <v>2791.6666666666665</v>
      </c>
      <c r="R24" s="197">
        <f t="shared" si="8"/>
        <v>20.833333333333332</v>
      </c>
      <c r="S24" s="216">
        <f t="shared" si="9"/>
        <v>1.8842115446485015E-2</v>
      </c>
      <c r="T24" s="1">
        <f t="shared" si="10"/>
        <v>1.5911465754725941E-2</v>
      </c>
      <c r="U24" s="199"/>
      <c r="V24" s="195">
        <f t="shared" ref="V24:V33" si="13">12*Q24</f>
        <v>33500</v>
      </c>
      <c r="W24" s="195">
        <f t="shared" si="3"/>
        <v>250</v>
      </c>
      <c r="X24" s="205">
        <f t="shared" si="11"/>
        <v>1.6478121424381563E-2</v>
      </c>
    </row>
    <row r="25" spans="2:24">
      <c r="B25" s="210" t="s">
        <v>418</v>
      </c>
      <c r="C25" s="197">
        <f>4800*10.3+2000*8</f>
        <v>65440</v>
      </c>
      <c r="D25" s="195"/>
      <c r="E25" s="195"/>
      <c r="F25" s="195">
        <f t="shared" si="0"/>
        <v>35650.149253731339</v>
      </c>
      <c r="G25" s="197">
        <f t="shared" si="4"/>
        <v>2970.8457711442784</v>
      </c>
      <c r="H25" s="197">
        <f>$C25/12/134</f>
        <v>40.696517412935322</v>
      </c>
      <c r="I25" s="204">
        <f t="shared" si="5"/>
        <v>4.0055627374936342E-2</v>
      </c>
      <c r="J25" s="195"/>
      <c r="K25" s="195">
        <f t="shared" si="1"/>
        <v>29789.850746268654</v>
      </c>
      <c r="L25" s="197">
        <f t="shared" si="6"/>
        <v>2482.4875621890546</v>
      </c>
      <c r="M25" s="197">
        <f>$C25/12/134</f>
        <v>40.696517412935322</v>
      </c>
      <c r="N25" s="204">
        <f t="shared" si="7"/>
        <v>3.3550302896071992E-2</v>
      </c>
      <c r="O25" s="195"/>
      <c r="P25" s="195">
        <f t="shared" si="12"/>
        <v>65439.999999999993</v>
      </c>
      <c r="Q25" s="195">
        <f t="shared" si="12"/>
        <v>5453.333333333333</v>
      </c>
      <c r="R25" s="197">
        <f t="shared" si="8"/>
        <v>40.696517412935322</v>
      </c>
      <c r="S25" s="216">
        <f t="shared" si="9"/>
        <v>3.6806807009491925E-2</v>
      </c>
      <c r="T25" s="1">
        <f t="shared" si="10"/>
        <v>3.1081979671321362E-2</v>
      </c>
      <c r="U25" s="199"/>
      <c r="V25" s="195">
        <f t="shared" si="13"/>
        <v>65440</v>
      </c>
      <c r="W25" s="195">
        <f t="shared" si="3"/>
        <v>488.35820895522386</v>
      </c>
      <c r="X25" s="205">
        <f t="shared" si="11"/>
        <v>3.218890346303073E-2</v>
      </c>
    </row>
    <row r="26" spans="2:24">
      <c r="B26" s="210" t="s">
        <v>343</v>
      </c>
      <c r="C26" s="195" t="s">
        <v>419</v>
      </c>
      <c r="D26" s="195"/>
      <c r="E26" s="195"/>
      <c r="F26" s="195">
        <f t="shared" si="0"/>
        <v>19741.285714285714</v>
      </c>
      <c r="G26" s="197">
        <f t="shared" si="4"/>
        <v>1645.1071428571429</v>
      </c>
      <c r="H26" s="197">
        <f>351/28+10</f>
        <v>22.535714285714285</v>
      </c>
      <c r="I26" s="204">
        <f t="shared" si="5"/>
        <v>2.2180821147356578E-2</v>
      </c>
      <c r="J26" s="195"/>
      <c r="K26" s="195">
        <f t="shared" si="1"/>
        <v>16496.142857142855</v>
      </c>
      <c r="L26" s="197">
        <f t="shared" si="6"/>
        <v>1374.6785714285713</v>
      </c>
      <c r="M26" s="197">
        <f>351/28+10</f>
        <v>22.535714285714285</v>
      </c>
      <c r="N26" s="204">
        <f t="shared" si="7"/>
        <v>1.8578494876928513E-2</v>
      </c>
      <c r="O26" s="195"/>
      <c r="P26" s="195">
        <f t="shared" si="12"/>
        <v>36237.428571428565</v>
      </c>
      <c r="Q26" s="195">
        <f t="shared" si="12"/>
        <v>3019.7857142857142</v>
      </c>
      <c r="R26" s="197">
        <f t="shared" si="8"/>
        <v>22.535714285714285</v>
      </c>
      <c r="S26" s="216">
        <f t="shared" si="9"/>
        <v>2.0381785451540648E-2</v>
      </c>
      <c r="T26" s="1">
        <f t="shared" si="10"/>
        <v>1.7211659813540687E-2</v>
      </c>
      <c r="U26" s="199"/>
      <c r="V26" s="195">
        <f t="shared" si="13"/>
        <v>36237.428571428572</v>
      </c>
      <c r="W26" s="195">
        <f t="shared" si="3"/>
        <v>270.42857142857144</v>
      </c>
      <c r="X26" s="205">
        <f t="shared" si="11"/>
        <v>1.7824619346488171E-2</v>
      </c>
    </row>
    <row r="27" spans="2:24">
      <c r="B27" s="195" t="s">
        <v>309</v>
      </c>
      <c r="C27" s="195">
        <f>(598*2*0.1)+150+250</f>
        <v>519.6</v>
      </c>
      <c r="D27" s="195"/>
      <c r="E27" s="195"/>
      <c r="F27" s="195">
        <f t="shared" si="0"/>
        <v>3396.7880597014923</v>
      </c>
      <c r="G27" s="197">
        <f t="shared" si="4"/>
        <v>283.06567164179103</v>
      </c>
      <c r="H27" s="197">
        <f>$C27/134</f>
        <v>3.8776119402985074</v>
      </c>
      <c r="I27" s="204">
        <f t="shared" si="5"/>
        <v>3.8165471853331768E-3</v>
      </c>
      <c r="J27" s="195"/>
      <c r="K27" s="195">
        <f t="shared" si="1"/>
        <v>2838.411940298507</v>
      </c>
      <c r="L27" s="197">
        <f t="shared" si="6"/>
        <v>236.53432835820894</v>
      </c>
      <c r="M27" s="197">
        <f>$C27/134</f>
        <v>3.8776119402985074</v>
      </c>
      <c r="N27" s="204">
        <f t="shared" si="7"/>
        <v>3.1967122343763456E-3</v>
      </c>
      <c r="O27" s="195"/>
      <c r="P27" s="195">
        <f t="shared" si="12"/>
        <v>6235.1999999999989</v>
      </c>
      <c r="Q27" s="195">
        <f t="shared" si="12"/>
        <v>519.59999999999991</v>
      </c>
      <c r="R27" s="197">
        <f t="shared" si="8"/>
        <v>3.877611940298507</v>
      </c>
      <c r="S27" s="216">
        <f t="shared" si="9"/>
        <v>3.5069957681171152E-3</v>
      </c>
      <c r="T27" s="1">
        <f t="shared" si="10"/>
        <v>2.9615275007124531E-3</v>
      </c>
      <c r="U27" s="199"/>
      <c r="V27" s="195">
        <f t="shared" si="13"/>
        <v>6235.1999999999989</v>
      </c>
      <c r="W27" s="195">
        <f t="shared" si="3"/>
        <v>46.531343283582082</v>
      </c>
      <c r="X27" s="205">
        <f t="shared" si="11"/>
        <v>3.0669964986657881E-3</v>
      </c>
    </row>
    <row r="28" spans="2:24">
      <c r="B28" s="195" t="s">
        <v>310</v>
      </c>
      <c r="C28" s="195" t="s">
        <v>417</v>
      </c>
      <c r="D28" s="195"/>
      <c r="E28" s="195"/>
      <c r="F28" s="195">
        <f t="shared" si="0"/>
        <v>163.43283582089552</v>
      </c>
      <c r="G28" s="197">
        <f t="shared" si="4"/>
        <v>13.619402985074627</v>
      </c>
      <c r="H28" s="204">
        <f>25/$Q$12</f>
        <v>0.18656716417910449</v>
      </c>
      <c r="I28" s="204">
        <f t="shared" si="5"/>
        <v>1.8362909860148081E-4</v>
      </c>
      <c r="J28" s="195"/>
      <c r="K28" s="195">
        <f t="shared" si="1"/>
        <v>136.56716417910451</v>
      </c>
      <c r="L28" s="197">
        <f t="shared" si="6"/>
        <v>11.380597014925375</v>
      </c>
      <c r="M28" s="204">
        <f>25/$Q$12</f>
        <v>0.18656716417910449</v>
      </c>
      <c r="N28" s="204">
        <f t="shared" si="7"/>
        <v>1.5380640080717601E-4</v>
      </c>
      <c r="O28" s="195"/>
      <c r="P28" s="195">
        <f t="shared" si="12"/>
        <v>300</v>
      </c>
      <c r="Q28" s="195">
        <f t="shared" si="12"/>
        <v>25</v>
      </c>
      <c r="R28" s="201">
        <f t="shared" si="8"/>
        <v>0.18656716417910449</v>
      </c>
      <c r="S28" s="216">
        <f t="shared" si="9"/>
        <v>1.6873536220732852E-4</v>
      </c>
      <c r="T28" s="1">
        <f t="shared" si="10"/>
        <v>1.4249073810202338E-4</v>
      </c>
      <c r="U28" s="199"/>
      <c r="V28" s="195">
        <f t="shared" si="13"/>
        <v>300</v>
      </c>
      <c r="W28" s="195">
        <f t="shared" si="3"/>
        <v>2.2388059701492535</v>
      </c>
      <c r="X28" s="205">
        <f t="shared" si="11"/>
        <v>1.4756526648699908E-4</v>
      </c>
    </row>
    <row r="29" spans="2:24">
      <c r="B29" s="210" t="s">
        <v>365</v>
      </c>
      <c r="C29" s="195"/>
      <c r="D29" s="195"/>
      <c r="E29" s="195"/>
      <c r="F29" s="195">
        <f t="shared" si="0"/>
        <v>114812.06399999998</v>
      </c>
      <c r="G29" s="197">
        <f t="shared" si="4"/>
        <v>9567.6719999999987</v>
      </c>
      <c r="H29" s="197">
        <f>0.129*H9</f>
        <v>131.06399999999999</v>
      </c>
      <c r="I29" s="204">
        <f t="shared" si="5"/>
        <v>0.129</v>
      </c>
      <c r="J29" s="195"/>
      <c r="K29" s="195">
        <f t="shared" si="1"/>
        <v>114541.16399999999</v>
      </c>
      <c r="L29" s="197">
        <f t="shared" si="6"/>
        <v>9545.0969999999998</v>
      </c>
      <c r="M29" s="197">
        <f>0.129*M9</f>
        <v>156.477</v>
      </c>
      <c r="N29" s="204">
        <f t="shared" si="7"/>
        <v>0.129</v>
      </c>
      <c r="O29" s="195"/>
      <c r="P29" s="195">
        <f t="shared" si="12"/>
        <v>229353.22799999997</v>
      </c>
      <c r="Q29" s="195">
        <f t="shared" si="12"/>
        <v>19112.769</v>
      </c>
      <c r="R29" s="197">
        <f t="shared" si="8"/>
        <v>142.63260447761195</v>
      </c>
      <c r="S29" s="216">
        <f t="shared" si="9"/>
        <v>0.129</v>
      </c>
      <c r="T29" s="1">
        <f t="shared" si="10"/>
        <v>0.10893570247933883</v>
      </c>
      <c r="U29" s="199"/>
      <c r="V29" s="195">
        <f t="shared" si="13"/>
        <v>229353.228</v>
      </c>
      <c r="W29" s="195">
        <f t="shared" si="3"/>
        <v>1711.5912537313434</v>
      </c>
      <c r="X29" s="205">
        <f t="shared" si="11"/>
        <v>0.11281523403157818</v>
      </c>
    </row>
    <row r="30" spans="2:24">
      <c r="B30" s="210" t="s">
        <v>366</v>
      </c>
      <c r="C30" s="195"/>
      <c r="D30" s="195"/>
      <c r="E30" s="195"/>
      <c r="F30" s="195">
        <f t="shared" si="0"/>
        <v>16687.800000000003</v>
      </c>
      <c r="G30" s="197">
        <f t="shared" si="4"/>
        <v>1390.65</v>
      </c>
      <c r="H30" s="197">
        <f>(75*H$9*0.003)/12</f>
        <v>19.05</v>
      </c>
      <c r="I30" s="204">
        <f t="shared" si="5"/>
        <v>1.8749999999999999E-2</v>
      </c>
      <c r="J30" s="195"/>
      <c r="K30" s="195">
        <f t="shared" si="1"/>
        <v>16648.425000000003</v>
      </c>
      <c r="L30" s="197">
        <f t="shared" si="6"/>
        <v>1387.3687500000001</v>
      </c>
      <c r="M30" s="204">
        <f>(75*M$9*0.003)/12</f>
        <v>22.743750000000002</v>
      </c>
      <c r="N30" s="204">
        <f t="shared" si="7"/>
        <v>1.8750000000000003E-2</v>
      </c>
      <c r="O30" s="195"/>
      <c r="P30" s="195">
        <f t="shared" si="12"/>
        <v>33336.225000000006</v>
      </c>
      <c r="Q30" s="195">
        <f t="shared" si="12"/>
        <v>2778.0187500000002</v>
      </c>
      <c r="R30" s="197">
        <f t="shared" si="8"/>
        <v>20.731483208955225</v>
      </c>
      <c r="S30" s="216">
        <f t="shared" si="9"/>
        <v>1.8750000000000003E-2</v>
      </c>
      <c r="T30" s="1">
        <f t="shared" si="10"/>
        <v>1.5833677685950415E-2</v>
      </c>
      <c r="U30" s="199"/>
      <c r="V30" s="195">
        <f t="shared" si="13"/>
        <v>33336.225000000006</v>
      </c>
      <c r="W30" s="195">
        <f t="shared" si="3"/>
        <v>248.77779850746273</v>
      </c>
      <c r="X30" s="205">
        <f t="shared" si="11"/>
        <v>1.6397563085985202E-2</v>
      </c>
    </row>
    <row r="31" spans="2:24">
      <c r="B31" s="210" t="s">
        <v>367</v>
      </c>
      <c r="C31" s="195"/>
      <c r="D31" s="195"/>
      <c r="E31" s="195"/>
      <c r="F31" s="195">
        <f t="shared" si="0"/>
        <v>3650</v>
      </c>
      <c r="G31" s="197">
        <f t="shared" si="4"/>
        <v>304.16666666666669</v>
      </c>
      <c r="H31" s="204">
        <f>50/12</f>
        <v>4.166666666666667</v>
      </c>
      <c r="I31" s="204">
        <f t="shared" si="5"/>
        <v>4.1010498687664041E-3</v>
      </c>
      <c r="J31" s="195"/>
      <c r="K31" s="195">
        <f t="shared" si="1"/>
        <v>3050</v>
      </c>
      <c r="L31" s="197">
        <f t="shared" si="6"/>
        <v>254.16666666666669</v>
      </c>
      <c r="M31" s="204">
        <f>50/12</f>
        <v>4.166666666666667</v>
      </c>
      <c r="N31" s="204">
        <f t="shared" si="7"/>
        <v>3.4350096180269306E-3</v>
      </c>
      <c r="O31" s="195"/>
      <c r="P31" s="195">
        <f t="shared" si="12"/>
        <v>6700</v>
      </c>
      <c r="Q31" s="195">
        <f t="shared" si="12"/>
        <v>558.33333333333337</v>
      </c>
      <c r="R31" s="197">
        <f t="shared" si="8"/>
        <v>4.166666666666667</v>
      </c>
      <c r="S31" s="216">
        <f t="shared" si="9"/>
        <v>3.7684230892970037E-3</v>
      </c>
      <c r="T31" s="1">
        <f t="shared" si="10"/>
        <v>3.1822931509451887E-3</v>
      </c>
      <c r="U31" s="199"/>
      <c r="V31" s="195">
        <f t="shared" si="13"/>
        <v>6700</v>
      </c>
      <c r="W31" s="195">
        <f t="shared" si="3"/>
        <v>50</v>
      </c>
      <c r="X31" s="205">
        <f t="shared" si="11"/>
        <v>3.2956242848763127E-3</v>
      </c>
    </row>
    <row r="32" spans="2:24">
      <c r="B32" s="210" t="s">
        <v>346</v>
      </c>
      <c r="C32" s="195"/>
      <c r="D32" s="195"/>
      <c r="E32" s="195"/>
      <c r="F32" s="195">
        <f t="shared" si="0"/>
        <v>817.16417910447763</v>
      </c>
      <c r="G32" s="197">
        <f t="shared" si="4"/>
        <v>68.097014925373131</v>
      </c>
      <c r="H32" s="204">
        <f>1500/12/$Q$12</f>
        <v>0.93283582089552242</v>
      </c>
      <c r="I32" s="204">
        <f t="shared" si="5"/>
        <v>9.1814549300740398E-4</v>
      </c>
      <c r="J32" s="195"/>
      <c r="K32" s="195">
        <f t="shared" si="1"/>
        <v>682.83582089552237</v>
      </c>
      <c r="L32" s="197">
        <f t="shared" si="6"/>
        <v>56.902985074626869</v>
      </c>
      <c r="M32" s="204">
        <f>1500/12/$Q$12</f>
        <v>0.93283582089552242</v>
      </c>
      <c r="N32" s="204">
        <f t="shared" si="7"/>
        <v>7.6903200403588003E-4</v>
      </c>
      <c r="O32" s="195"/>
      <c r="P32" s="195">
        <f t="shared" si="12"/>
        <v>1500</v>
      </c>
      <c r="Q32" s="195">
        <f t="shared" si="12"/>
        <v>125</v>
      </c>
      <c r="R32" s="197">
        <f t="shared" si="8"/>
        <v>0.93283582089552242</v>
      </c>
      <c r="S32" s="216">
        <f t="shared" si="9"/>
        <v>8.4367681103664259E-4</v>
      </c>
      <c r="T32" s="1">
        <f t="shared" si="10"/>
        <v>7.1245369051011679E-4</v>
      </c>
      <c r="U32" s="199"/>
      <c r="V32" s="195">
        <f t="shared" si="13"/>
        <v>1500</v>
      </c>
      <c r="W32" s="195">
        <f t="shared" si="3"/>
        <v>11.194029850746269</v>
      </c>
      <c r="X32" s="205">
        <f t="shared" si="11"/>
        <v>7.3782633243499535E-4</v>
      </c>
    </row>
    <row r="33" spans="2:24">
      <c r="B33" s="249" t="s">
        <v>345</v>
      </c>
      <c r="C33" s="195"/>
      <c r="D33" s="195"/>
      <c r="E33" s="195"/>
      <c r="F33" s="250">
        <f t="shared" si="0"/>
        <v>8687</v>
      </c>
      <c r="G33" s="246">
        <f t="shared" si="4"/>
        <v>723.91666666666674</v>
      </c>
      <c r="H33" s="248">
        <f>833/3/28</f>
        <v>9.9166666666666679</v>
      </c>
      <c r="I33" s="248">
        <f t="shared" si="5"/>
        <v>9.7604986876640432E-3</v>
      </c>
      <c r="J33" s="195"/>
      <c r="K33" s="250">
        <f t="shared" si="1"/>
        <v>7259.0000000000009</v>
      </c>
      <c r="L33" s="246">
        <f t="shared" si="6"/>
        <v>604.91666666666674</v>
      </c>
      <c r="M33" s="248">
        <f>833/3/28</f>
        <v>9.9166666666666679</v>
      </c>
      <c r="N33" s="248">
        <f t="shared" si="7"/>
        <v>8.1753228909040958E-3</v>
      </c>
      <c r="O33" s="195"/>
      <c r="P33" s="250">
        <f t="shared" si="12"/>
        <v>15946</v>
      </c>
      <c r="Q33" s="250">
        <f t="shared" si="12"/>
        <v>1328.8333333333335</v>
      </c>
      <c r="R33" s="246">
        <f t="shared" si="8"/>
        <v>9.9166666666666679</v>
      </c>
      <c r="S33" s="247">
        <f t="shared" si="9"/>
        <v>8.9688469525268689E-3</v>
      </c>
      <c r="T33" s="521">
        <f t="shared" si="10"/>
        <v>7.5738576992495487E-3</v>
      </c>
      <c r="U33" s="199"/>
      <c r="V33" s="250">
        <f t="shared" si="13"/>
        <v>15946.000000000002</v>
      </c>
      <c r="W33" s="250">
        <f t="shared" si="3"/>
        <v>119.00000000000001</v>
      </c>
      <c r="X33" s="252">
        <f t="shared" si="11"/>
        <v>7.8435857980056253E-3</v>
      </c>
    </row>
    <row r="34" spans="2:24">
      <c r="B34" s="206" t="s">
        <v>311</v>
      </c>
      <c r="C34" s="195"/>
      <c r="D34" s="195"/>
      <c r="E34" s="195"/>
      <c r="F34" s="209">
        <f t="shared" si="0"/>
        <v>272225.68404264393</v>
      </c>
      <c r="G34" s="209">
        <f>SUM(G23:G33)</f>
        <v>22685.473670220326</v>
      </c>
      <c r="H34" s="209">
        <f>SUM(H23:H33)</f>
        <v>310.75991329068944</v>
      </c>
      <c r="I34" s="211">
        <f>H34/H$9</f>
        <v>0.30586605638847386</v>
      </c>
      <c r="J34" s="195"/>
      <c r="K34" s="209">
        <f t="shared" si="1"/>
        <v>261592.3975287847</v>
      </c>
      <c r="L34" s="209">
        <f>SUM(L23:L33)</f>
        <v>21799.366460732057</v>
      </c>
      <c r="M34" s="209">
        <f>SUM(M23:M33)</f>
        <v>357.36666329068942</v>
      </c>
      <c r="N34" s="211">
        <f>M34/M$9</f>
        <v>0.29461390213577032</v>
      </c>
      <c r="O34" s="195"/>
      <c r="P34" s="209">
        <f>SUM(P23:P33)</f>
        <v>533818.08157142857</v>
      </c>
      <c r="Q34" s="209">
        <f>SUM(Q23:Q33)</f>
        <v>44484.840130952391</v>
      </c>
      <c r="R34" s="209">
        <f>SUM(R23:R33)</f>
        <v>331.97641888770437</v>
      </c>
      <c r="S34" s="217">
        <f>Q34/Q$9</f>
        <v>0.30024662448925421</v>
      </c>
      <c r="T34" s="1">
        <f t="shared" si="10"/>
        <v>0.25354710818439657</v>
      </c>
      <c r="U34" s="199"/>
      <c r="V34" s="209">
        <f>SUM(V23:V33)</f>
        <v>533818.08157142857</v>
      </c>
      <c r="W34" s="209">
        <f t="shared" si="3"/>
        <v>3983.7170266524522</v>
      </c>
      <c r="X34" s="205">
        <f t="shared" si="11"/>
        <v>0.26257669154222163</v>
      </c>
    </row>
    <row r="35" spans="2:24">
      <c r="B35" s="206"/>
      <c r="C35" s="195"/>
      <c r="D35" s="195"/>
      <c r="E35" s="195"/>
      <c r="F35" s="195"/>
      <c r="G35" s="209"/>
      <c r="H35" s="209"/>
      <c r="I35" s="211"/>
      <c r="J35" s="195"/>
      <c r="K35" s="195"/>
      <c r="L35" s="209"/>
      <c r="M35" s="209"/>
      <c r="N35" s="211"/>
      <c r="O35" s="195"/>
      <c r="P35" s="209"/>
      <c r="Q35" s="209"/>
      <c r="R35" s="209"/>
      <c r="S35" s="217"/>
      <c r="T35" s="199"/>
      <c r="U35" s="199"/>
      <c r="V35" s="209"/>
      <c r="W35" s="209"/>
      <c r="X35" s="205"/>
    </row>
    <row r="36" spans="2:24">
      <c r="B36" s="218" t="s">
        <v>349</v>
      </c>
      <c r="C36" s="219"/>
      <c r="D36" s="219"/>
      <c r="E36" s="195"/>
      <c r="F36" s="232">
        <f t="shared" si="0"/>
        <v>700771.92247364693</v>
      </c>
      <c r="G36" s="222">
        <f>+G20-G34</f>
        <v>58397.66020613724</v>
      </c>
      <c r="H36" s="222">
        <f>+H20-H34</f>
        <v>799.96794802927707</v>
      </c>
      <c r="I36" s="223">
        <f>+I20-I34</f>
        <v>0.787370027587871</v>
      </c>
      <c r="J36" s="195"/>
      <c r="K36" s="232">
        <f t="shared" si="1"/>
        <v>798408.73029076424</v>
      </c>
      <c r="L36" s="222">
        <f>+L20-L34</f>
        <v>66534.060857563687</v>
      </c>
      <c r="M36" s="222">
        <f>+M20-M34</f>
        <v>1090.722309140388</v>
      </c>
      <c r="N36" s="224">
        <f>+M36/M$9</f>
        <v>0.89919398939850614</v>
      </c>
      <c r="O36" s="195"/>
      <c r="P36" s="222">
        <f>+P20-P34</f>
        <v>1499180.6527644112</v>
      </c>
      <c r="Q36" s="222">
        <f>+Q20-Q34</f>
        <v>124931.72106370091</v>
      </c>
      <c r="R36" s="222">
        <f>+R20-R34</f>
        <v>932.32627659478294</v>
      </c>
      <c r="S36" s="223">
        <f>Q36/Q$9</f>
        <v>0.84321596819474032</v>
      </c>
      <c r="T36" s="520">
        <f t="shared" si="10"/>
        <v>0.71206452586891378</v>
      </c>
      <c r="U36" s="199"/>
      <c r="V36" s="222">
        <f>+V20-V34</f>
        <v>1499180.6527644112</v>
      </c>
      <c r="W36" s="222">
        <f t="shared" si="3"/>
        <v>11187.915319137397</v>
      </c>
      <c r="X36" s="253">
        <f>+Q36/Q$20</f>
        <v>0.73742330845777837</v>
      </c>
    </row>
    <row r="37" spans="2:24">
      <c r="B37" s="206"/>
      <c r="C37" s="219"/>
      <c r="D37" s="219"/>
      <c r="E37" s="195"/>
      <c r="F37" s="195"/>
      <c r="G37" s="219"/>
      <c r="H37" s="219"/>
      <c r="I37" s="226"/>
      <c r="J37" s="195"/>
      <c r="K37" s="195"/>
      <c r="L37" s="219"/>
      <c r="M37" s="219"/>
      <c r="N37" s="227"/>
      <c r="O37" s="195"/>
      <c r="P37" s="219"/>
      <c r="Q37" s="219"/>
      <c r="R37" s="219"/>
      <c r="S37" s="226"/>
      <c r="T37" s="199"/>
      <c r="U37" s="199"/>
      <c r="V37" s="219"/>
      <c r="W37" s="219"/>
      <c r="X37" s="205"/>
    </row>
    <row r="38" spans="2:24">
      <c r="B38" s="195" t="s">
        <v>355</v>
      </c>
      <c r="C38" s="197" t="s">
        <v>554</v>
      </c>
      <c r="D38" s="204">
        <v>360</v>
      </c>
      <c r="E38" s="195"/>
      <c r="F38" s="195">
        <f t="shared" si="0"/>
        <v>-25550.000000000004</v>
      </c>
      <c r="G38" s="197">
        <f>H$12*H38</f>
        <v>-2129.166666666667</v>
      </c>
      <c r="H38" s="204">
        <f>-350/12</f>
        <v>-29.166666666666668</v>
      </c>
      <c r="I38" s="204">
        <f>+H38/H$9</f>
        <v>-2.8707349081364832E-2</v>
      </c>
      <c r="J38" s="195"/>
      <c r="K38" s="195">
        <f t="shared" si="1"/>
        <v>-21350</v>
      </c>
      <c r="L38" s="197">
        <f>M$12*M38</f>
        <v>-1779.1666666666667</v>
      </c>
      <c r="M38" s="204">
        <f>-350/12</f>
        <v>-29.166666666666668</v>
      </c>
      <c r="N38" s="204">
        <f>+M38/M$9</f>
        <v>-2.4045067326188514E-2</v>
      </c>
      <c r="O38" s="195"/>
      <c r="P38" s="195">
        <f>K38+F38</f>
        <v>-46900</v>
      </c>
      <c r="Q38" s="195">
        <f>L38+G38</f>
        <v>-3908.3333333333339</v>
      </c>
      <c r="R38" s="204">
        <f>+Q38/Q$12</f>
        <v>-29.166666666666671</v>
      </c>
      <c r="S38" s="228">
        <f>+Q38/Q$9</f>
        <v>-2.637896162507903E-2</v>
      </c>
      <c r="T38" s="1">
        <f t="shared" si="10"/>
        <v>-2.227605205661632E-2</v>
      </c>
      <c r="U38" s="199"/>
      <c r="V38" s="195">
        <f>12*Q38</f>
        <v>-46900.000000000007</v>
      </c>
      <c r="W38" s="195">
        <f t="shared" si="3"/>
        <v>-350.00000000000006</v>
      </c>
      <c r="X38" s="205">
        <f>+-Q38/Q$20</f>
        <v>2.3069369994134191E-2</v>
      </c>
    </row>
    <row r="39" spans="2:24" ht="24">
      <c r="B39" s="229" t="s">
        <v>552</v>
      </c>
      <c r="C39" s="195" t="s">
        <v>416</v>
      </c>
      <c r="D39" s="230">
        <f>0.075/12</f>
        <v>6.2499999999999995E-3</v>
      </c>
      <c r="E39" s="195"/>
      <c r="F39" s="195">
        <f t="shared" si="0"/>
        <v>-470390.29956479638</v>
      </c>
      <c r="G39" s="197">
        <f>H$12*H39</f>
        <v>-39199.191630399699</v>
      </c>
      <c r="H39" s="197">
        <f>PMT(MortRate,Term,H50)</f>
        <v>-536.97522781369446</v>
      </c>
      <c r="I39" s="204">
        <f>+H39/H$9</f>
        <v>-0.52851892501347875</v>
      </c>
      <c r="J39" s="195"/>
      <c r="K39" s="195">
        <f t="shared" si="1"/>
        <v>-535928.60925552365</v>
      </c>
      <c r="L39" s="197">
        <f>M$12*M39</f>
        <v>-44660.717437960302</v>
      </c>
      <c r="M39" s="197">
        <f>PMT(MortRate,Term,M50)</f>
        <v>-732.14290881902139</v>
      </c>
      <c r="N39" s="204">
        <f>+M39/M$9</f>
        <v>-0.60358030405525254</v>
      </c>
      <c r="O39" s="195"/>
      <c r="P39" s="197">
        <f>K39+F39</f>
        <v>-1006318.90882032</v>
      </c>
      <c r="Q39" s="197">
        <f>L39+G39</f>
        <v>-83859.909068359993</v>
      </c>
      <c r="R39" s="197">
        <f>+Q39/Q$12</f>
        <v>-625.82021692805961</v>
      </c>
      <c r="S39" s="228">
        <f>+Q39/Q$9</f>
        <v>-0.56600528525293425</v>
      </c>
      <c r="T39" s="1">
        <f t="shared" si="10"/>
        <v>-0.47797041361276721</v>
      </c>
      <c r="U39" s="199"/>
      <c r="V39" s="195">
        <f>12*Q39</f>
        <v>-1006318.9088203199</v>
      </c>
      <c r="W39" s="195">
        <f t="shared" si="3"/>
        <v>-7509.8426031367162</v>
      </c>
      <c r="X39" s="205">
        <f>-+Q39/Q$20</f>
        <v>0.49499239316992211</v>
      </c>
    </row>
    <row r="40" spans="2:24">
      <c r="B40" s="218" t="s">
        <v>350</v>
      </c>
      <c r="C40" s="231"/>
      <c r="D40" s="206"/>
      <c r="E40" s="195"/>
      <c r="F40" s="232">
        <f t="shared" si="0"/>
        <v>230381.62290885049</v>
      </c>
      <c r="G40" s="232">
        <f>+G39+G36</f>
        <v>19198.468575737541</v>
      </c>
      <c r="H40" s="232">
        <f>SUM(H36:H39)</f>
        <v>233.82605354891598</v>
      </c>
      <c r="I40" s="233">
        <f>+I39+I36</f>
        <v>0.25885110257439226</v>
      </c>
      <c r="J40" s="195"/>
      <c r="K40" s="232">
        <f t="shared" si="1"/>
        <v>262480.12103524059</v>
      </c>
      <c r="L40" s="232">
        <f>+L39+L36</f>
        <v>21873.343419603385</v>
      </c>
      <c r="M40" s="232">
        <f>SUM(M36:M39)</f>
        <v>329.41273365469988</v>
      </c>
      <c r="N40" s="233">
        <f>+M40/M$9</f>
        <v>0.271568618017065</v>
      </c>
      <c r="O40" s="195"/>
      <c r="P40" s="232">
        <f>+P39+P36</f>
        <v>492861.74394409114</v>
      </c>
      <c r="Q40" s="232">
        <f>+Q39+Q36</f>
        <v>41071.811995340919</v>
      </c>
      <c r="R40" s="232">
        <f>SUM(R36:R39)</f>
        <v>277.3393930000567</v>
      </c>
      <c r="S40" s="224">
        <f>Q40/Q$9</f>
        <v>0.27721068294180601</v>
      </c>
      <c r="T40" s="520">
        <f t="shared" si="10"/>
        <v>0.23409411225614665</v>
      </c>
      <c r="U40" s="199"/>
      <c r="V40" s="232">
        <f>+V39+V36</f>
        <v>492861.74394409126</v>
      </c>
      <c r="W40" s="232">
        <f t="shared" si="3"/>
        <v>3678.0727160006809</v>
      </c>
      <c r="X40" s="253">
        <f>+Q40/Q$20</f>
        <v>0.24243091528785632</v>
      </c>
    </row>
    <row r="41" spans="2:24">
      <c r="B41" s="206"/>
      <c r="C41" s="206"/>
      <c r="D41" s="206"/>
      <c r="E41" s="195"/>
      <c r="F41" s="195"/>
      <c r="G41" s="206"/>
      <c r="H41" s="206"/>
      <c r="I41" s="206"/>
      <c r="J41" s="195"/>
      <c r="K41" s="195"/>
      <c r="L41" s="206"/>
      <c r="M41" s="206"/>
      <c r="N41" s="206"/>
      <c r="O41" s="195"/>
      <c r="P41" s="195"/>
      <c r="Q41" s="206"/>
      <c r="R41" s="206"/>
      <c r="S41" s="206"/>
      <c r="T41" s="199"/>
      <c r="U41" s="199"/>
      <c r="V41" s="206"/>
      <c r="W41" s="206"/>
      <c r="X41" s="205"/>
    </row>
    <row r="42" spans="2:24">
      <c r="B42" s="206"/>
      <c r="C42" s="206"/>
      <c r="D42" s="206"/>
      <c r="E42" s="195"/>
      <c r="F42" s="195"/>
      <c r="G42" s="206"/>
      <c r="H42" s="206"/>
      <c r="I42" s="206"/>
      <c r="J42" s="195"/>
      <c r="K42" s="195"/>
      <c r="L42" s="206"/>
      <c r="M42" s="206"/>
      <c r="N42" s="206"/>
      <c r="O42" s="195"/>
      <c r="P42" s="197"/>
      <c r="Q42" s="1"/>
      <c r="R42" s="1"/>
      <c r="S42" s="1"/>
      <c r="T42" s="199"/>
      <c r="U42" s="199"/>
      <c r="V42" s="206"/>
      <c r="W42" s="206"/>
      <c r="X42" s="205"/>
    </row>
    <row r="43" spans="2:24">
      <c r="B43" s="206" t="s">
        <v>474</v>
      </c>
      <c r="C43" s="231"/>
      <c r="D43" s="206"/>
      <c r="E43" s="195"/>
      <c r="F43" s="195"/>
      <c r="G43" s="225">
        <f>G36/-G39</f>
        <v>1.4897669512360243</v>
      </c>
      <c r="H43" s="219"/>
      <c r="I43" s="227"/>
      <c r="J43" s="195"/>
      <c r="K43" s="195"/>
      <c r="L43" s="225">
        <f>L36/-L39</f>
        <v>1.4897669512360248</v>
      </c>
      <c r="M43" s="219"/>
      <c r="N43" s="227"/>
      <c r="O43" s="195"/>
      <c r="P43" s="195"/>
      <c r="Q43" s="244">
        <f>Q36/-Q39</f>
        <v>1.4897669512360245</v>
      </c>
      <c r="R43" s="219"/>
      <c r="S43" s="227"/>
      <c r="T43" s="199"/>
      <c r="U43" s="199"/>
      <c r="V43" s="244">
        <f>V36/-V39</f>
        <v>1.4897669512360248</v>
      </c>
      <c r="W43" s="244"/>
      <c r="X43" s="219"/>
    </row>
    <row r="44" spans="2:24">
      <c r="B44" s="206"/>
      <c r="C44" s="231"/>
      <c r="D44" s="206"/>
      <c r="E44" s="195"/>
      <c r="F44" s="195"/>
      <c r="G44" s="234"/>
      <c r="H44" s="234"/>
      <c r="I44" s="227"/>
      <c r="J44" s="195"/>
      <c r="K44" s="195"/>
      <c r="L44" s="234"/>
      <c r="M44" s="219"/>
      <c r="N44" s="227"/>
      <c r="O44" s="195"/>
      <c r="P44" s="195"/>
      <c r="Q44" s="220"/>
      <c r="R44" s="234"/>
      <c r="S44" s="219"/>
      <c r="T44" s="227"/>
      <c r="U44" s="205"/>
    </row>
    <row r="45" spans="2:24">
      <c r="B45" s="206" t="s">
        <v>348</v>
      </c>
      <c r="C45" s="231">
        <v>0.1</v>
      </c>
      <c r="D45" s="206"/>
      <c r="E45" s="195"/>
      <c r="F45" s="195"/>
      <c r="G45" s="219">
        <f>H$12*H45</f>
        <v>7007719.224736467</v>
      </c>
      <c r="H45" s="219">
        <f>(H$36*12)/CapRate</f>
        <v>95996.153763513241</v>
      </c>
      <c r="I45" s="227">
        <f>+H45/H$9</f>
        <v>94.484403310544522</v>
      </c>
      <c r="J45" s="195"/>
      <c r="K45" s="195"/>
      <c r="L45" s="221">
        <f>M$12*M45</f>
        <v>7984087.3029076401</v>
      </c>
      <c r="M45" s="219">
        <f>(M$36*12)/CapRate</f>
        <v>130886.67709684656</v>
      </c>
      <c r="N45" s="227">
        <f>+M45/M$9</f>
        <v>107.90327872782073</v>
      </c>
      <c r="O45" s="195"/>
      <c r="P45" s="195"/>
      <c r="Q45" s="235"/>
      <c r="R45" s="219">
        <f>Project_Value/Q12</f>
        <v>111879.15319137393</v>
      </c>
      <c r="S45" s="227">
        <f>+V45/Q$9</f>
        <v>101.18591618336882</v>
      </c>
      <c r="T45" s="199"/>
      <c r="U45" s="199"/>
      <c r="V45" s="235">
        <f>L45+G45</f>
        <v>14991806.527644107</v>
      </c>
      <c r="W45" s="235">
        <f t="shared" si="3"/>
        <v>111879.15319137393</v>
      </c>
      <c r="X45" s="219"/>
    </row>
    <row r="46" spans="2:24" ht="13.5" thickBot="1"/>
    <row r="47" spans="2:24" ht="14.25" thickTop="1" thickBot="1">
      <c r="B47" s="236" t="s">
        <v>411</v>
      </c>
      <c r="C47" s="237" t="s">
        <v>4</v>
      </c>
      <c r="D47" s="516">
        <v>0.8</v>
      </c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/>
      <c r="U47"/>
    </row>
    <row r="48" spans="2:24">
      <c r="B48" s="238" t="s">
        <v>415</v>
      </c>
      <c r="C48" s="206"/>
      <c r="D48" s="206"/>
      <c r="E48" s="206"/>
      <c r="F48" s="235">
        <f>F$36/0.095*LTV</f>
        <v>5901237.2418833431</v>
      </c>
      <c r="G48" s="235"/>
      <c r="H48" s="235">
        <f>+F48/H$12</f>
        <v>80838.866327169089</v>
      </c>
      <c r="I48" s="227">
        <f>+H48/H$9</f>
        <v>79.565813314142801</v>
      </c>
      <c r="J48" s="206"/>
      <c r="K48" s="235">
        <f>K$36/0.095*LTV</f>
        <v>6723441.9392906465</v>
      </c>
      <c r="L48" s="235"/>
      <c r="M48" s="235">
        <f>+K48/M$12</f>
        <v>110220.35966050241</v>
      </c>
      <c r="N48" s="227">
        <f>+M48/M$9</f>
        <v>90.865918928691187</v>
      </c>
      <c r="O48" s="206"/>
      <c r="P48" s="206">
        <f>+K48+F48</f>
        <v>12624679.18117399</v>
      </c>
      <c r="Q48" s="235">
        <f>+L48+G48</f>
        <v>0</v>
      </c>
      <c r="R48" s="235">
        <f>+Q48/Q$12</f>
        <v>0</v>
      </c>
      <c r="T48"/>
      <c r="U48"/>
    </row>
    <row r="49" spans="1:21">
      <c r="B49" s="238"/>
      <c r="C49" s="206"/>
      <c r="D49" s="206"/>
      <c r="E49" s="206"/>
      <c r="F49" s="206"/>
      <c r="G49" s="206"/>
      <c r="H49" s="235"/>
      <c r="I49" s="206"/>
      <c r="J49" s="206"/>
      <c r="K49" s="206"/>
      <c r="L49" s="235"/>
      <c r="M49" s="235"/>
      <c r="N49" s="206"/>
      <c r="O49" s="206"/>
      <c r="P49" s="206"/>
      <c r="Q49" s="235"/>
      <c r="R49" s="235"/>
      <c r="T49"/>
      <c r="U49"/>
    </row>
    <row r="50" spans="1:21">
      <c r="B50" s="238" t="s">
        <v>555</v>
      </c>
      <c r="D50" s="505">
        <f>72*1016+1638</f>
        <v>74790</v>
      </c>
      <c r="E50" s="206"/>
      <c r="F50" s="235">
        <f>F$36/0.1*LTV</f>
        <v>5606175.3797891755</v>
      </c>
      <c r="G50" s="235"/>
      <c r="H50" s="235">
        <f>+F50/H$12</f>
        <v>76796.923010810628</v>
      </c>
      <c r="I50" s="235">
        <f>+H50/H$9</f>
        <v>75.587522648435652</v>
      </c>
      <c r="J50" s="206"/>
      <c r="K50" s="235">
        <f>K$36/0.1*LTV</f>
        <v>6387269.842326114</v>
      </c>
      <c r="L50" s="235"/>
      <c r="M50" s="235">
        <f>+K50/M$12</f>
        <v>104709.34167747728</v>
      </c>
      <c r="N50" s="227">
        <f>+M50/M$9</f>
        <v>86.322622982256618</v>
      </c>
      <c r="O50" s="206"/>
      <c r="P50" s="206">
        <f>+K50+F50</f>
        <v>11993445.222115289</v>
      </c>
      <c r="Q50" s="235">
        <f>+L50+G50</f>
        <v>0</v>
      </c>
      <c r="R50" s="235">
        <f>+Q50/Q$12</f>
        <v>0</v>
      </c>
      <c r="T50"/>
      <c r="U50"/>
    </row>
    <row r="51" spans="1:21">
      <c r="B51" s="238"/>
      <c r="C51" s="206"/>
      <c r="D51" s="505">
        <f>61*1213</f>
        <v>73993</v>
      </c>
      <c r="E51" s="206"/>
      <c r="F51" s="206"/>
      <c r="G51" s="206"/>
      <c r="H51" s="235"/>
      <c r="I51" s="206"/>
      <c r="J51" s="206"/>
      <c r="K51" s="206"/>
      <c r="L51" s="235"/>
      <c r="M51" s="235"/>
      <c r="N51" s="206"/>
      <c r="O51" s="206"/>
      <c r="P51" s="206"/>
      <c r="Q51" s="235"/>
      <c r="R51" s="235"/>
      <c r="T51"/>
      <c r="U51"/>
    </row>
    <row r="52" spans="1:21">
      <c r="B52" s="238" t="s">
        <v>347</v>
      </c>
      <c r="C52" s="206"/>
      <c r="D52" s="505">
        <f>+D51+D50</f>
        <v>148783</v>
      </c>
      <c r="E52" s="206"/>
      <c r="F52" s="235">
        <f>F$36/0.105*LTV</f>
        <v>5339214.6474182634</v>
      </c>
      <c r="G52" s="235"/>
      <c r="H52" s="235">
        <f>+F52/H$12</f>
        <v>73139.92667696251</v>
      </c>
      <c r="I52" s="227">
        <f>+H52/H$9</f>
        <v>71.988116808033965</v>
      </c>
      <c r="J52" s="206"/>
      <c r="K52" s="235">
        <f>K$36/0.105*LTV</f>
        <v>6083114.135548681</v>
      </c>
      <c r="L52" s="235"/>
      <c r="M52" s="235">
        <f>+K52/M$12</f>
        <v>99723.182549978374</v>
      </c>
      <c r="N52" s="227">
        <f>+M52/M$9</f>
        <v>82.212021887863457</v>
      </c>
      <c r="O52" s="206"/>
      <c r="P52" s="206">
        <f>+K52+F52</f>
        <v>11422328.782966945</v>
      </c>
      <c r="Q52" s="235">
        <f>+L52+G52</f>
        <v>0</v>
      </c>
      <c r="R52" s="235">
        <f>+Q52/Q$12</f>
        <v>0</v>
      </c>
      <c r="T52"/>
      <c r="U52"/>
    </row>
    <row r="53" spans="1:21" ht="13.5" thickBot="1">
      <c r="B53" s="240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T53"/>
      <c r="U53"/>
    </row>
    <row r="54" spans="1:21" ht="13.5" thickTop="1"/>
    <row r="55" spans="1:21">
      <c r="A55"/>
      <c r="B55" t="s">
        <v>560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T55"/>
      <c r="U55"/>
    </row>
    <row r="56" spans="1:21">
      <c r="A56"/>
      <c r="B56"/>
      <c r="C56"/>
      <c r="D56"/>
      <c r="E56"/>
      <c r="F56"/>
      <c r="G56" s="1"/>
      <c r="H56"/>
      <c r="I56"/>
      <c r="J56"/>
      <c r="K56"/>
      <c r="L56"/>
      <c r="M56"/>
      <c r="N56"/>
      <c r="O56"/>
      <c r="P56"/>
      <c r="Q56"/>
      <c r="R56"/>
      <c r="T56"/>
      <c r="U56"/>
    </row>
    <row r="57" spans="1:21">
      <c r="A57"/>
      <c r="B57" t="s">
        <v>561</v>
      </c>
      <c r="C57"/>
      <c r="D57"/>
      <c r="E57"/>
      <c r="F57">
        <f>TotalCost</f>
        <v>12723028.227806386</v>
      </c>
      <c r="G57" s="1"/>
      <c r="H57"/>
      <c r="I57"/>
      <c r="J57"/>
      <c r="K57"/>
      <c r="L57"/>
      <c r="M57"/>
      <c r="N57"/>
      <c r="O57"/>
      <c r="P57"/>
      <c r="Q57"/>
      <c r="R57"/>
      <c r="T57"/>
      <c r="U57"/>
    </row>
    <row r="58" spans="1:21">
      <c r="A58"/>
      <c r="B58" t="s">
        <v>564</v>
      </c>
      <c r="C58"/>
      <c r="D58"/>
      <c r="E58"/>
      <c r="F58">
        <f>F57*0.8</f>
        <v>10178422.58224511</v>
      </c>
      <c r="G58" s="1"/>
      <c r="H58"/>
      <c r="I58"/>
      <c r="J58"/>
      <c r="K58"/>
      <c r="L58"/>
      <c r="M58"/>
      <c r="N58"/>
      <c r="O58"/>
      <c r="P58"/>
      <c r="Q58"/>
      <c r="R58"/>
      <c r="T58"/>
      <c r="U58"/>
    </row>
    <row r="59" spans="1:21">
      <c r="A59"/>
      <c r="B59" t="s">
        <v>563</v>
      </c>
      <c r="C59"/>
      <c r="D59"/>
      <c r="E59"/>
      <c r="F59">
        <f>F57*0.75</f>
        <v>9542271.1708547883</v>
      </c>
      <c r="G59" s="1"/>
      <c r="H59"/>
      <c r="I59"/>
      <c r="J59"/>
      <c r="K59"/>
      <c r="L59"/>
      <c r="M59"/>
      <c r="N59"/>
      <c r="O59"/>
      <c r="P59"/>
      <c r="Q59"/>
      <c r="R59"/>
      <c r="T59"/>
      <c r="U59"/>
    </row>
    <row r="60" spans="1:21">
      <c r="A60"/>
      <c r="B60" s="517" t="s">
        <v>565</v>
      </c>
      <c r="C60"/>
      <c r="D60"/>
      <c r="E60"/>
      <c r="F60"/>
      <c r="G60" s="1"/>
      <c r="H60"/>
      <c r="I60"/>
      <c r="J60"/>
      <c r="K60"/>
      <c r="L60"/>
      <c r="M60"/>
      <c r="N60"/>
      <c r="O60"/>
      <c r="P60"/>
      <c r="Q60"/>
      <c r="R60"/>
      <c r="T60"/>
      <c r="U60"/>
    </row>
    <row r="61" spans="1:21">
      <c r="A61"/>
      <c r="B61" t="s">
        <v>566</v>
      </c>
      <c r="C61"/>
      <c r="D61"/>
      <c r="E61"/>
      <c r="F61">
        <f>F$57-F58</f>
        <v>2544605.645561276</v>
      </c>
      <c r="G61" s="1"/>
      <c r="H61"/>
      <c r="I61"/>
      <c r="J61"/>
      <c r="K61"/>
      <c r="L61"/>
      <c r="M61"/>
      <c r="N61"/>
      <c r="O61"/>
      <c r="P61"/>
      <c r="Q61"/>
      <c r="R61"/>
      <c r="T61"/>
      <c r="U61"/>
    </row>
    <row r="62" spans="1:21">
      <c r="A62"/>
      <c r="B62" t="s">
        <v>584</v>
      </c>
      <c r="C62"/>
      <c r="D62"/>
      <c r="E62"/>
      <c r="F62">
        <f>0.1*F57</f>
        <v>1272302.8227806387</v>
      </c>
      <c r="G62" s="1"/>
      <c r="H62"/>
      <c r="I62"/>
      <c r="J62"/>
      <c r="K62"/>
      <c r="L62"/>
      <c r="M62"/>
      <c r="N62"/>
      <c r="O62"/>
      <c r="P62"/>
      <c r="Q62"/>
      <c r="R62"/>
      <c r="T62"/>
      <c r="U62"/>
    </row>
    <row r="63" spans="1:21">
      <c r="A63"/>
      <c r="B63" t="s">
        <v>569</v>
      </c>
      <c r="C63"/>
      <c r="D63"/>
      <c r="E63"/>
      <c r="F63" s="518">
        <f>F61-F62</f>
        <v>1272302.8227806373</v>
      </c>
      <c r="G63" s="1"/>
      <c r="H63"/>
      <c r="I63"/>
      <c r="J63"/>
      <c r="K63"/>
      <c r="L63"/>
      <c r="M63"/>
      <c r="N63"/>
      <c r="O63"/>
      <c r="P63"/>
      <c r="Q63"/>
      <c r="R63"/>
      <c r="T63"/>
      <c r="U63"/>
    </row>
    <row r="64" spans="1:21">
      <c r="A64"/>
      <c r="B64" t="s">
        <v>562</v>
      </c>
      <c r="C64"/>
      <c r="D64"/>
      <c r="E64"/>
      <c r="F64">
        <f>Land</f>
        <v>1121670.0000000002</v>
      </c>
      <c r="G64" s="1"/>
      <c r="H64"/>
      <c r="I64"/>
      <c r="J64"/>
      <c r="K64"/>
      <c r="L64"/>
      <c r="M64"/>
      <c r="N64"/>
      <c r="O64"/>
      <c r="P64"/>
      <c r="Q64"/>
      <c r="R64"/>
      <c r="T64"/>
      <c r="U64"/>
    </row>
    <row r="65" spans="1:20" s="241" customFormat="1">
      <c r="A65"/>
      <c r="B65" s="241" t="s">
        <v>570</v>
      </c>
      <c r="F65" s="241">
        <f>+F63-F64</f>
        <v>150632.82278063707</v>
      </c>
      <c r="G65" s="1"/>
      <c r="H65"/>
      <c r="I65"/>
      <c r="J65"/>
      <c r="K65"/>
      <c r="L65"/>
      <c r="M65"/>
      <c r="N65"/>
      <c r="O65"/>
      <c r="P65"/>
      <c r="Q65"/>
      <c r="R65"/>
    </row>
    <row r="66" spans="1:20">
      <c r="A66"/>
      <c r="B66" s="241" t="s">
        <v>581</v>
      </c>
      <c r="F66" s="200">
        <f>+F57-TotalCProfit</f>
        <v>11321652.870042542</v>
      </c>
      <c r="G66" s="1"/>
      <c r="H66"/>
      <c r="I66"/>
      <c r="J66"/>
      <c r="K66"/>
      <c r="L66"/>
      <c r="M66"/>
      <c r="N66"/>
      <c r="O66"/>
      <c r="P66"/>
      <c r="Q66"/>
      <c r="R66"/>
      <c r="T66" s="227"/>
    </row>
    <row r="67" spans="1:20">
      <c r="A67"/>
      <c r="B67" s="241" t="s">
        <v>582</v>
      </c>
      <c r="F67" s="200">
        <f>+F66-F63</f>
        <v>10049350.047261905</v>
      </c>
      <c r="G67" s="1"/>
      <c r="H67"/>
      <c r="I67"/>
      <c r="J67"/>
      <c r="K67"/>
      <c r="L67"/>
      <c r="M67"/>
      <c r="N67"/>
      <c r="O67"/>
      <c r="P67"/>
      <c r="Q67"/>
      <c r="R67"/>
      <c r="T67" s="227"/>
    </row>
    <row r="68" spans="1:20">
      <c r="A68"/>
      <c r="B68" s="241" t="s">
        <v>583</v>
      </c>
      <c r="F68" s="200">
        <f>+F58-F67</f>
        <v>129072.53498320468</v>
      </c>
      <c r="G68" s="1"/>
      <c r="H68"/>
      <c r="I68"/>
      <c r="J68"/>
      <c r="K68"/>
      <c r="L68"/>
      <c r="M68"/>
      <c r="N68"/>
      <c r="O68"/>
      <c r="P68"/>
      <c r="Q68"/>
      <c r="R68"/>
      <c r="T68" s="227"/>
    </row>
    <row r="69" spans="1:20">
      <c r="A69"/>
      <c r="B69" s="241"/>
      <c r="G69" s="1"/>
      <c r="H69"/>
      <c r="I69"/>
      <c r="J69"/>
      <c r="K69"/>
      <c r="L69"/>
      <c r="M69"/>
      <c r="N69"/>
      <c r="O69"/>
      <c r="P69"/>
      <c r="Q69"/>
      <c r="R69"/>
      <c r="T69" s="227"/>
    </row>
    <row r="70" spans="1:20">
      <c r="A70"/>
      <c r="B70" s="241"/>
      <c r="G70" s="1"/>
      <c r="H70"/>
      <c r="I70"/>
      <c r="J70"/>
      <c r="K70"/>
      <c r="L70"/>
      <c r="M70"/>
      <c r="N70"/>
      <c r="O70"/>
      <c r="P70"/>
      <c r="Q70"/>
      <c r="R70"/>
      <c r="T70" s="227"/>
    </row>
    <row r="71" spans="1:20">
      <c r="A71"/>
      <c r="B71" t="s">
        <v>567</v>
      </c>
      <c r="C71"/>
      <c r="D71"/>
      <c r="E71"/>
      <c r="F71">
        <f>F$57-F59</f>
        <v>3180757.0569515973</v>
      </c>
      <c r="G71" s="1"/>
      <c r="H71"/>
      <c r="I71"/>
      <c r="J71"/>
      <c r="K71"/>
      <c r="L71"/>
      <c r="M71"/>
      <c r="N71"/>
      <c r="O71"/>
      <c r="P71"/>
      <c r="Q71"/>
      <c r="R71"/>
      <c r="T71" s="227"/>
    </row>
    <row r="72" spans="1:20">
      <c r="B72" t="s">
        <v>568</v>
      </c>
      <c r="C72"/>
      <c r="D72"/>
      <c r="E72"/>
      <c r="F72">
        <f>0.1*F57</f>
        <v>1272302.8227806387</v>
      </c>
      <c r="G72" s="1"/>
      <c r="H72" s="234"/>
      <c r="I72" s="227"/>
      <c r="L72" s="234"/>
      <c r="M72" s="234"/>
      <c r="N72" s="227"/>
      <c r="R72" s="242"/>
      <c r="S72" s="242"/>
      <c r="T72" s="227"/>
    </row>
    <row r="73" spans="1:20">
      <c r="B73" t="s">
        <v>569</v>
      </c>
      <c r="C73"/>
      <c r="D73"/>
      <c r="E73"/>
      <c r="F73">
        <f>F71-F72</f>
        <v>1908454.2341709586</v>
      </c>
    </row>
    <row r="74" spans="1:20">
      <c r="B74" t="s">
        <v>562</v>
      </c>
      <c r="C74"/>
      <c r="D74"/>
      <c r="E74"/>
      <c r="F74">
        <f>Land</f>
        <v>1121670.0000000002</v>
      </c>
    </row>
    <row r="75" spans="1:20">
      <c r="B75" s="241" t="s">
        <v>570</v>
      </c>
      <c r="C75" s="241"/>
      <c r="D75" s="241"/>
      <c r="E75" s="241"/>
      <c r="F75" s="241">
        <f>+F73-F74</f>
        <v>786784.2341709584</v>
      </c>
    </row>
    <row r="77" spans="1:20">
      <c r="B77" s="200" t="s">
        <v>571</v>
      </c>
      <c r="F77" s="200">
        <f>0.8*15500000</f>
        <v>12400000</v>
      </c>
    </row>
    <row r="78" spans="1:20">
      <c r="B78" s="200" t="s">
        <v>572</v>
      </c>
      <c r="F78" s="200">
        <f>F77*0.98</f>
        <v>12152000</v>
      </c>
    </row>
    <row r="79" spans="1:20">
      <c r="B79" s="200" t="s">
        <v>575</v>
      </c>
      <c r="F79" s="200">
        <f>0.9*F57</f>
        <v>11450725.405025747</v>
      </c>
      <c r="G79" s="200">
        <f>Mortg2002/0.8</f>
        <v>14313406.756282182</v>
      </c>
    </row>
    <row r="80" spans="1:20">
      <c r="B80" s="200" t="s">
        <v>573</v>
      </c>
      <c r="F80" s="200">
        <f>F58</f>
        <v>10178422.58224511</v>
      </c>
      <c r="G80" s="200">
        <f>15500000</f>
        <v>15500000</v>
      </c>
    </row>
    <row r="81" spans="2:7">
      <c r="B81" s="200" t="s">
        <v>574</v>
      </c>
      <c r="F81" s="200">
        <f>+F79-F80</f>
        <v>1272302.8227806371</v>
      </c>
      <c r="G81" s="200">
        <f>+G80-G79</f>
        <v>1186593.2437178176</v>
      </c>
    </row>
    <row r="82" spans="2:7">
      <c r="B82" s="200" t="s">
        <v>576</v>
      </c>
      <c r="F82" s="200">
        <f>-F63</f>
        <v>-1272302.8227806373</v>
      </c>
      <c r="G82" s="200">
        <f>PMT(MortRate,Term,G81)</f>
        <v>-8296.8321175820001</v>
      </c>
    </row>
    <row r="83" spans="2:7">
      <c r="F83" s="200">
        <f>+F82+F81</f>
        <v>0</v>
      </c>
    </row>
    <row r="84" spans="2:7">
      <c r="B84" s="200" t="s">
        <v>577</v>
      </c>
      <c r="F84" s="200">
        <v>1000000</v>
      </c>
    </row>
    <row r="85" spans="2:7">
      <c r="B85" s="200" t="s">
        <v>578</v>
      </c>
      <c r="F85" s="519">
        <f>F84/NetCash</f>
        <v>2.0289665657504088</v>
      </c>
    </row>
    <row r="87" spans="2:7">
      <c r="B87" s="200" t="s">
        <v>579</v>
      </c>
    </row>
    <row r="88" spans="2:7">
      <c r="B88" s="200" t="s">
        <v>580</v>
      </c>
      <c r="F88" s="200">
        <f>0.08*TotalCost</f>
        <v>1017842.2582245108</v>
      </c>
    </row>
  </sheetData>
  <mergeCells count="4">
    <mergeCell ref="V5:X5"/>
    <mergeCell ref="G5:I5"/>
    <mergeCell ref="L5:N5"/>
    <mergeCell ref="Q5:S5"/>
  </mergeCells>
  <printOptions horizontalCentered="1"/>
  <pageMargins left="0.5" right="0.5" top="1.04" bottom="1" header="0.5" footer="0.5"/>
  <pageSetup orientation="portrait" horizontalDpi="4294967292" verticalDpi="300" r:id="rId1"/>
  <headerFooter alignWithMargins="0">
    <oddHeader>&amp;C&amp;"Times New Roman,Bold"&amp;12SM134:  MONTHLY PROFORMA</oddHeader>
    <oddFooter>&amp;L&amp;8 &amp;F
 &amp;A&amp;C&amp;8 &amp;R&amp;8 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outlinePr summaryRight="0"/>
    <pageSetUpPr fitToPage="1"/>
  </sheetPr>
  <dimension ref="A1:CQ188"/>
  <sheetViews>
    <sheetView tabSelected="1" topLeftCell="B1" zoomScale="85" workbookViewId="0">
      <pane xSplit="1" ySplit="7" topLeftCell="M152" activePane="bottomRight" state="frozen"/>
      <selection activeCell="B1" sqref="B1"/>
      <selection pane="topRight" activeCell="C1" sqref="C1"/>
      <selection pane="bottomLeft" activeCell="B8" sqref="B8"/>
      <selection pane="bottomRight" activeCell="S175" sqref="S175"/>
    </sheetView>
  </sheetViews>
  <sheetFormatPr defaultColWidth="7.6640625" defaultRowHeight="12"/>
  <cols>
    <col min="1" max="1" width="8.1640625" style="50" hidden="1" customWidth="1"/>
    <col min="2" max="2" width="27" style="20" customWidth="1"/>
    <col min="3" max="3" width="16.5" style="20" customWidth="1"/>
    <col min="4" max="4" width="11.6640625" style="20" customWidth="1"/>
    <col min="5" max="5" width="13.5" style="20" customWidth="1"/>
    <col min="6" max="6" width="14" style="20" customWidth="1"/>
    <col min="7" max="7" width="12" style="20" customWidth="1"/>
    <col min="8" max="8" width="10" style="20" customWidth="1"/>
    <col min="9" max="9" width="1.1640625" style="20" customWidth="1"/>
    <col min="10" max="10" width="15.5" style="20" customWidth="1"/>
    <col min="11" max="11" width="11.83203125" style="20" customWidth="1"/>
    <col min="12" max="12" width="10.5" style="20" customWidth="1"/>
    <col min="13" max="13" width="15.5" style="20" customWidth="1"/>
    <col min="14" max="14" width="12" style="20" customWidth="1"/>
    <col min="15" max="15" width="10.5" style="20" customWidth="1"/>
    <col min="16" max="16" width="14.33203125" style="20" customWidth="1"/>
    <col min="17" max="17" width="12" style="20" customWidth="1"/>
    <col min="18" max="18" width="10.5" style="20" customWidth="1"/>
    <col min="19" max="19" width="15.1640625" style="20" customWidth="1"/>
    <col min="20" max="20" width="12" style="20" customWidth="1"/>
    <col min="21" max="21" width="10.5" style="20" customWidth="1"/>
    <col min="22" max="22" width="11.33203125" style="20" customWidth="1"/>
    <col min="23" max="23" width="10.1640625" style="20" customWidth="1"/>
    <col min="24" max="24" width="12.6640625" style="20" customWidth="1"/>
    <col min="25" max="25" width="11.6640625" style="20" customWidth="1"/>
    <col min="26" max="26" width="60.5" style="20" customWidth="1"/>
    <col min="27" max="27" width="1" style="20" customWidth="1"/>
    <col min="28" max="28" width="13.1640625" style="20" customWidth="1"/>
    <col min="29" max="29" width="11.1640625" style="20" customWidth="1"/>
    <col min="30" max="30" width="60.5" style="20" customWidth="1"/>
    <col min="31" max="31" width="3.1640625" style="20" customWidth="1"/>
    <col min="32" max="32" width="28.83203125" style="20" customWidth="1"/>
    <col min="33" max="33" width="11.5" style="20" hidden="1" customWidth="1"/>
    <col min="34" max="34" width="10.5" style="20" hidden="1" customWidth="1"/>
    <col min="35" max="36" width="10" style="20" hidden="1" customWidth="1"/>
    <col min="37" max="37" width="11.33203125" style="20" customWidth="1"/>
    <col min="38" max="38" width="10" style="20" hidden="1" customWidth="1"/>
    <col min="39" max="39" width="11.5" style="20" hidden="1" customWidth="1"/>
    <col min="40" max="41" width="10" style="20" hidden="1" customWidth="1"/>
    <col min="42" max="42" width="11.33203125" style="20" customWidth="1"/>
    <col min="43" max="46" width="10" style="20" hidden="1" customWidth="1"/>
    <col min="47" max="47" width="13.1640625" style="20" customWidth="1"/>
    <col min="48" max="50" width="10" style="20" hidden="1" customWidth="1"/>
    <col min="51" max="51" width="11" style="20" hidden="1" customWidth="1"/>
    <col min="52" max="52" width="13.1640625" style="20" customWidth="1"/>
    <col min="53" max="56" width="11" style="20" hidden="1" customWidth="1"/>
    <col min="57" max="57" width="13.1640625" style="20" customWidth="1"/>
    <col min="58" max="61" width="11" style="20" hidden="1" customWidth="1"/>
    <col min="62" max="62" width="13.1640625" style="20" customWidth="1"/>
    <col min="63" max="66" width="11" style="20" hidden="1" customWidth="1"/>
    <col min="67" max="67" width="13.1640625" style="20" customWidth="1"/>
    <col min="68" max="71" width="11" style="20" hidden="1" customWidth="1"/>
    <col min="72" max="72" width="13.1640625" style="20" customWidth="1"/>
    <col min="73" max="76" width="11" style="20" hidden="1" customWidth="1"/>
    <col min="77" max="77" width="13.1640625" style="20" customWidth="1"/>
    <col min="78" max="81" width="11" style="20" hidden="1" customWidth="1"/>
    <col min="82" max="82" width="13.1640625" style="20" customWidth="1"/>
    <col min="83" max="86" width="11" style="20" hidden="1" customWidth="1"/>
    <col min="87" max="87" width="13.1640625" style="20" customWidth="1"/>
    <col min="88" max="89" width="11" style="20" hidden="1" customWidth="1"/>
    <col min="90" max="90" width="11.5" style="20" hidden="1" customWidth="1"/>
    <col min="91" max="91" width="11" style="20" hidden="1" customWidth="1"/>
    <col min="92" max="92" width="13.1640625" style="20" customWidth="1"/>
    <col min="93" max="93" width="14.1640625" style="20" customWidth="1"/>
    <col min="94" max="94" width="14.33203125" style="20" customWidth="1"/>
    <col min="95" max="95" width="10" style="20" customWidth="1"/>
    <col min="96" max="16384" width="7.6640625" style="20"/>
  </cols>
  <sheetData>
    <row r="1" spans="1:95" ht="12.75">
      <c r="A1" s="262"/>
      <c r="B1" s="263" t="s">
        <v>220</v>
      </c>
      <c r="C1" s="263"/>
      <c r="D1" s="263"/>
      <c r="E1" s="263"/>
      <c r="F1" s="263"/>
      <c r="G1" s="263"/>
      <c r="H1" s="263"/>
      <c r="I1" s="263"/>
      <c r="J1" s="264">
        <v>1.1000000000000001</v>
      </c>
      <c r="K1" s="263" t="s">
        <v>202</v>
      </c>
      <c r="L1" s="263">
        <v>134</v>
      </c>
      <c r="M1" s="263" t="s">
        <v>314</v>
      </c>
      <c r="N1" s="263">
        <f>SQRT(10.3*43560)*25*4</f>
        <v>66982.684329608644</v>
      </c>
      <c r="O1" s="263"/>
      <c r="P1" s="263" t="s">
        <v>362</v>
      </c>
      <c r="Q1" s="263">
        <f>(15+10/12)*(33+5.5/12)</f>
        <v>529.75694444444446</v>
      </c>
      <c r="R1" s="263"/>
      <c r="S1" s="263"/>
      <c r="T1" s="265">
        <f>75/295</f>
        <v>0.25423728813559321</v>
      </c>
      <c r="U1" s="263"/>
      <c r="V1" s="266" t="s">
        <v>412</v>
      </c>
      <c r="W1" s="263">
        <f>14*20</f>
        <v>280</v>
      </c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6"/>
      <c r="AO1" s="263"/>
      <c r="AP1" s="263"/>
    </row>
    <row r="2" spans="1:95" ht="12.75">
      <c r="A2" s="267"/>
      <c r="B2" s="268" t="s">
        <v>1</v>
      </c>
      <c r="C2" s="268"/>
      <c r="D2" s="268"/>
      <c r="E2" s="268"/>
      <c r="F2" s="268"/>
      <c r="G2" s="268"/>
      <c r="H2" s="268"/>
      <c r="I2" s="268"/>
      <c r="J2" s="269">
        <v>14</v>
      </c>
      <c r="K2" s="268" t="s">
        <v>300</v>
      </c>
      <c r="L2" s="270">
        <v>0.15</v>
      </c>
      <c r="M2" s="268" t="s">
        <v>315</v>
      </c>
      <c r="N2" s="268">
        <f>(670-((25+38+18+20+18+38)*2))*(670-((25+38+18+20+18+38)*2))-Pool-Vollybasketball</f>
        <v>112986</v>
      </c>
      <c r="O2" s="268">
        <f>+N2+N1</f>
        <v>179968.68432960863</v>
      </c>
      <c r="P2" s="268" t="s">
        <v>363</v>
      </c>
      <c r="Q2" s="268">
        <f>280+13+529</f>
        <v>822</v>
      </c>
      <c r="R2" s="268"/>
      <c r="S2" s="268"/>
      <c r="T2" s="268">
        <f>475*3</f>
        <v>1425</v>
      </c>
      <c r="U2" s="268"/>
      <c r="V2" s="268" t="s">
        <v>413</v>
      </c>
      <c r="W2" s="268">
        <v>91</v>
      </c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188"/>
      <c r="AR2" s="188"/>
      <c r="AS2" s="188"/>
      <c r="AT2" s="188"/>
      <c r="AU2" s="188"/>
    </row>
    <row r="3" spans="1:95" ht="12.75">
      <c r="A3" s="262" t="s">
        <v>175</v>
      </c>
      <c r="B3" s="263" t="s">
        <v>181</v>
      </c>
      <c r="C3" s="263"/>
      <c r="D3" s="263"/>
      <c r="E3" s="263"/>
      <c r="F3" s="263"/>
      <c r="G3" s="263"/>
      <c r="H3" s="263"/>
      <c r="I3" s="263"/>
      <c r="J3" s="263" t="s">
        <v>177</v>
      </c>
      <c r="K3" s="263"/>
      <c r="L3" s="263"/>
      <c r="M3" s="263" t="s">
        <v>234</v>
      </c>
      <c r="N3" s="263">
        <f>(45+15*2)*(20+15*2)</f>
        <v>3750</v>
      </c>
      <c r="O3" s="263"/>
      <c r="P3" s="263" t="s">
        <v>364</v>
      </c>
      <c r="Q3" s="263">
        <f>(11/12+30)*((47+5.5/12))</f>
        <v>1467.2534722222224</v>
      </c>
      <c r="R3" s="263"/>
      <c r="S3" s="263"/>
      <c r="T3" s="263">
        <f>75*12</f>
        <v>900</v>
      </c>
      <c r="U3" s="263"/>
      <c r="V3" s="266" t="s">
        <v>414</v>
      </c>
      <c r="W3" s="263">
        <v>74</v>
      </c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6"/>
      <c r="AO3" s="263"/>
      <c r="AP3" s="263"/>
    </row>
    <row r="4" spans="1:95" ht="12.75">
      <c r="A4" s="262"/>
      <c r="B4"/>
      <c r="C4"/>
      <c r="D4"/>
      <c r="E4"/>
      <c r="F4"/>
      <c r="G4"/>
      <c r="H4" s="263"/>
      <c r="I4" s="263"/>
      <c r="J4" s="263"/>
      <c r="K4" s="263"/>
      <c r="L4" s="263"/>
      <c r="M4" s="263" t="s">
        <v>316</v>
      </c>
      <c r="N4" s="263">
        <f>100*50+100*50</f>
        <v>10000</v>
      </c>
      <c r="O4" s="263"/>
      <c r="P4" s="263"/>
      <c r="Q4" s="263"/>
      <c r="R4" s="263"/>
      <c r="S4" s="263"/>
      <c r="T4" s="263"/>
      <c r="U4" s="263"/>
      <c r="V4" s="266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6"/>
      <c r="AO4" s="263"/>
      <c r="AP4" s="263"/>
    </row>
    <row r="5" spans="1:95" ht="15.75">
      <c r="A5" s="262"/>
      <c r="B5" s="288" t="s">
        <v>395</v>
      </c>
      <c r="C5" s="287"/>
      <c r="D5" s="287"/>
      <c r="E5" s="287"/>
      <c r="F5" s="287"/>
      <c r="G5" s="287"/>
      <c r="H5" s="287"/>
      <c r="I5" s="287"/>
      <c r="J5" s="532" t="s">
        <v>482</v>
      </c>
      <c r="K5" s="532"/>
      <c r="L5" s="532"/>
      <c r="M5" s="533" t="s">
        <v>481</v>
      </c>
      <c r="N5" s="533"/>
      <c r="O5" s="533"/>
      <c r="P5" s="533" t="s">
        <v>480</v>
      </c>
      <c r="Q5" s="533"/>
      <c r="R5" s="533"/>
      <c r="S5" s="531" t="s">
        <v>498</v>
      </c>
      <c r="T5" s="531"/>
      <c r="U5" s="531"/>
      <c r="V5" s="531"/>
      <c r="W5" s="531"/>
      <c r="X5" s="534"/>
      <c r="Y5" s="536"/>
      <c r="Z5" s="536"/>
      <c r="AA5" s="317"/>
      <c r="AB5" s="534"/>
      <c r="AC5" s="536"/>
      <c r="AD5" s="536"/>
      <c r="AE5" s="263"/>
      <c r="AF5" s="263"/>
      <c r="AG5" s="263"/>
      <c r="AH5" s="263"/>
      <c r="AI5" s="263"/>
      <c r="AJ5" s="266"/>
      <c r="AK5" s="266"/>
      <c r="AL5" s="263"/>
    </row>
    <row r="6" spans="1:95" ht="15.75">
      <c r="A6" s="262"/>
      <c r="B6" s="307"/>
      <c r="C6" s="287"/>
      <c r="D6" s="287"/>
      <c r="E6" s="287"/>
      <c r="F6" s="287"/>
      <c r="G6" s="287"/>
      <c r="H6" s="287"/>
      <c r="I6" s="287"/>
      <c r="J6" s="289"/>
      <c r="K6" s="289"/>
      <c r="L6" s="289"/>
      <c r="M6" s="308"/>
      <c r="N6" s="308"/>
      <c r="O6" s="308"/>
      <c r="P6" s="308"/>
      <c r="Q6" s="308"/>
      <c r="R6" s="308"/>
      <c r="S6" s="444"/>
      <c r="T6" s="444"/>
      <c r="U6" s="444"/>
      <c r="V6" s="444"/>
      <c r="W6" s="444"/>
      <c r="X6" s="535"/>
      <c r="Y6" s="537"/>
      <c r="Z6" s="525"/>
      <c r="AA6" s="445"/>
      <c r="AB6" s="535"/>
      <c r="AC6" s="537"/>
      <c r="AD6" s="525"/>
      <c r="AE6" s="432"/>
      <c r="AF6" s="449" t="s">
        <v>531</v>
      </c>
      <c r="AG6" s="315">
        <v>1.1000000000000001</v>
      </c>
      <c r="AH6" s="315">
        <v>1.2</v>
      </c>
      <c r="AI6" s="316">
        <v>1.3</v>
      </c>
      <c r="AJ6" s="316">
        <v>1.4</v>
      </c>
      <c r="AK6" s="316"/>
      <c r="AL6" s="316">
        <v>2.1</v>
      </c>
      <c r="AM6" s="316">
        <v>2.2000000000000002</v>
      </c>
      <c r="AN6" s="316">
        <v>2.2999999999999998</v>
      </c>
      <c r="AO6" s="316">
        <v>2.4</v>
      </c>
      <c r="AP6" s="316"/>
      <c r="AQ6" s="316">
        <v>3.1</v>
      </c>
      <c r="AR6" s="316">
        <v>3.2</v>
      </c>
      <c r="AS6" s="316">
        <v>3.3</v>
      </c>
      <c r="AT6" s="316">
        <v>3.4</v>
      </c>
      <c r="AU6" s="316"/>
      <c r="AV6" s="315">
        <v>4.0999999999999996</v>
      </c>
      <c r="AW6" s="315">
        <v>4.2</v>
      </c>
      <c r="AX6" s="316">
        <v>4.3</v>
      </c>
      <c r="AY6" s="316">
        <v>4.4000000000000004</v>
      </c>
      <c r="AZ6" s="316"/>
      <c r="BA6" s="316">
        <v>5.0999999999999996</v>
      </c>
      <c r="BB6" s="316">
        <v>5.2</v>
      </c>
      <c r="BC6" s="316">
        <v>5.3</v>
      </c>
      <c r="BD6" s="316">
        <v>5.4</v>
      </c>
      <c r="BE6" s="316"/>
      <c r="BF6" s="316">
        <v>6.1</v>
      </c>
      <c r="BG6" s="316">
        <v>6.2</v>
      </c>
      <c r="BH6" s="316">
        <v>6.3</v>
      </c>
      <c r="BI6" s="316">
        <v>6.4</v>
      </c>
      <c r="BJ6" s="316"/>
      <c r="BK6" s="315">
        <v>7.1</v>
      </c>
      <c r="BL6" s="315">
        <v>7.2</v>
      </c>
      <c r="BM6" s="316">
        <v>7.3</v>
      </c>
      <c r="BN6" s="316">
        <v>7.4</v>
      </c>
      <c r="BO6" s="316"/>
      <c r="BP6" s="316">
        <f>+BK6+1</f>
        <v>8.1</v>
      </c>
      <c r="BQ6" s="316">
        <f>+BL6+1</f>
        <v>8.1999999999999993</v>
      </c>
      <c r="BR6" s="316">
        <f>+BM6+1</f>
        <v>8.3000000000000007</v>
      </c>
      <c r="BS6" s="316">
        <f>+BN6+1</f>
        <v>8.4</v>
      </c>
      <c r="BT6" s="316"/>
      <c r="BU6" s="316">
        <f>+BP6+1</f>
        <v>9.1</v>
      </c>
      <c r="BV6" s="316">
        <f>+BQ6+1</f>
        <v>9.1999999999999993</v>
      </c>
      <c r="BW6" s="316">
        <f>+BR6+1</f>
        <v>9.3000000000000007</v>
      </c>
      <c r="BX6" s="316">
        <f>+BS6+1</f>
        <v>9.4</v>
      </c>
      <c r="BY6" s="316"/>
      <c r="BZ6" s="316">
        <f>+BU6+1</f>
        <v>10.1</v>
      </c>
      <c r="CA6" s="316">
        <f>+BV6+1</f>
        <v>10.199999999999999</v>
      </c>
      <c r="CB6" s="316">
        <f>+BW6+1</f>
        <v>10.3</v>
      </c>
      <c r="CC6" s="316">
        <f>+BX6+1</f>
        <v>10.4</v>
      </c>
      <c r="CD6" s="316"/>
      <c r="CE6" s="316">
        <f>+BZ6+1</f>
        <v>11.1</v>
      </c>
      <c r="CF6" s="316">
        <f>+CA6+1</f>
        <v>11.2</v>
      </c>
      <c r="CG6" s="316">
        <f>+CB6+1</f>
        <v>11.3</v>
      </c>
      <c r="CH6" s="316">
        <f>+CC6+1</f>
        <v>11.4</v>
      </c>
      <c r="CI6" s="316"/>
      <c r="CJ6" s="316">
        <f>+CE6+1</f>
        <v>12.1</v>
      </c>
      <c r="CK6" s="316">
        <f>+CF6+1</f>
        <v>12.2</v>
      </c>
      <c r="CL6" s="316">
        <f>+CG6+1</f>
        <v>12.3</v>
      </c>
      <c r="CM6" s="316">
        <f>+CH6+1</f>
        <v>12.4</v>
      </c>
      <c r="CN6" s="316"/>
      <c r="CO6" s="316"/>
      <c r="CP6" s="316"/>
      <c r="CQ6" s="316"/>
    </row>
    <row r="7" spans="1:95" ht="26.25">
      <c r="A7" s="262"/>
      <c r="B7" s="277" t="s">
        <v>75</v>
      </c>
      <c r="D7" s="272"/>
      <c r="E7" s="272"/>
      <c r="F7" s="272"/>
      <c r="H7" s="272"/>
      <c r="I7" s="272"/>
      <c r="J7" s="272" t="s">
        <v>74</v>
      </c>
      <c r="K7" s="272" t="s">
        <v>73</v>
      </c>
      <c r="L7" s="272" t="s">
        <v>0</v>
      </c>
      <c r="M7" s="272" t="s">
        <v>74</v>
      </c>
      <c r="N7" s="272" t="s">
        <v>73</v>
      </c>
      <c r="O7" s="272" t="s">
        <v>0</v>
      </c>
      <c r="P7" s="272" t="s">
        <v>74</v>
      </c>
      <c r="Q7" s="272" t="s">
        <v>73</v>
      </c>
      <c r="R7" s="272" t="s">
        <v>0</v>
      </c>
      <c r="S7" s="310" t="s">
        <v>498</v>
      </c>
      <c r="T7" s="272" t="s">
        <v>550</v>
      </c>
      <c r="U7" s="272" t="s">
        <v>551</v>
      </c>
      <c r="V7" s="272" t="s">
        <v>433</v>
      </c>
      <c r="W7" s="272" t="s">
        <v>432</v>
      </c>
      <c r="X7" s="272"/>
      <c r="Y7" s="272"/>
      <c r="Z7" s="272"/>
      <c r="AA7" s="272"/>
      <c r="AB7" s="272"/>
      <c r="AC7" s="272"/>
      <c r="AD7" s="272"/>
      <c r="AE7" s="272"/>
      <c r="AF7" s="449" t="s">
        <v>532</v>
      </c>
      <c r="AG7" s="497">
        <v>37018</v>
      </c>
      <c r="AH7" s="497">
        <f>+AG7+7</f>
        <v>37025</v>
      </c>
      <c r="AI7" s="497">
        <f t="shared" ref="AI7:CM7" si="0">+AH7+7</f>
        <v>37032</v>
      </c>
      <c r="AJ7" s="497">
        <f t="shared" si="0"/>
        <v>37039</v>
      </c>
      <c r="AK7" s="498">
        <v>37012</v>
      </c>
      <c r="AL7" s="498">
        <f>+AJ7+7</f>
        <v>37046</v>
      </c>
      <c r="AM7" s="498">
        <f t="shared" si="0"/>
        <v>37053</v>
      </c>
      <c r="AN7" s="498">
        <f t="shared" si="0"/>
        <v>37060</v>
      </c>
      <c r="AO7" s="498">
        <f t="shared" si="0"/>
        <v>37067</v>
      </c>
      <c r="AP7" s="498">
        <v>37043</v>
      </c>
      <c r="AQ7" s="498">
        <f>+AO7+7</f>
        <v>37074</v>
      </c>
      <c r="AR7" s="498">
        <f t="shared" si="0"/>
        <v>37081</v>
      </c>
      <c r="AS7" s="498">
        <f t="shared" si="0"/>
        <v>37088</v>
      </c>
      <c r="AT7" s="498">
        <f t="shared" si="0"/>
        <v>37095</v>
      </c>
      <c r="AU7" s="498">
        <v>37073</v>
      </c>
      <c r="AV7" s="498">
        <f>+AT7+7</f>
        <v>37102</v>
      </c>
      <c r="AW7" s="498">
        <f t="shared" si="0"/>
        <v>37109</v>
      </c>
      <c r="AX7" s="498">
        <f t="shared" si="0"/>
        <v>37116</v>
      </c>
      <c r="AY7" s="498">
        <f t="shared" si="0"/>
        <v>37123</v>
      </c>
      <c r="AZ7" s="498">
        <f>+AU7+31</f>
        <v>37104</v>
      </c>
      <c r="BA7" s="498">
        <f>+AY7+7</f>
        <v>37130</v>
      </c>
      <c r="BB7" s="498">
        <f t="shared" si="0"/>
        <v>37137</v>
      </c>
      <c r="BC7" s="498">
        <f t="shared" si="0"/>
        <v>37144</v>
      </c>
      <c r="BD7" s="498">
        <f t="shared" si="0"/>
        <v>37151</v>
      </c>
      <c r="BE7" s="498">
        <f>+AZ7+31</f>
        <v>37135</v>
      </c>
      <c r="BF7" s="498">
        <f>+BD7+7</f>
        <v>37158</v>
      </c>
      <c r="BG7" s="498">
        <f t="shared" si="0"/>
        <v>37165</v>
      </c>
      <c r="BH7" s="498">
        <f t="shared" si="0"/>
        <v>37172</v>
      </c>
      <c r="BI7" s="498">
        <f t="shared" si="0"/>
        <v>37179</v>
      </c>
      <c r="BJ7" s="498">
        <f>+BE7+30</f>
        <v>37165</v>
      </c>
      <c r="BK7" s="498">
        <f>+BI7+7</f>
        <v>37186</v>
      </c>
      <c r="BL7" s="498">
        <f t="shared" si="0"/>
        <v>37193</v>
      </c>
      <c r="BM7" s="498">
        <f t="shared" si="0"/>
        <v>37200</v>
      </c>
      <c r="BN7" s="498">
        <f t="shared" si="0"/>
        <v>37207</v>
      </c>
      <c r="BO7" s="498">
        <f>+BJ7+31</f>
        <v>37196</v>
      </c>
      <c r="BP7" s="498">
        <f>+BN7+7</f>
        <v>37214</v>
      </c>
      <c r="BQ7" s="498">
        <f t="shared" si="0"/>
        <v>37221</v>
      </c>
      <c r="BR7" s="498">
        <f t="shared" si="0"/>
        <v>37228</v>
      </c>
      <c r="BS7" s="498">
        <f t="shared" si="0"/>
        <v>37235</v>
      </c>
      <c r="BT7" s="498">
        <f>+BO7+30</f>
        <v>37226</v>
      </c>
      <c r="BU7" s="498">
        <f>+BS7+7</f>
        <v>37242</v>
      </c>
      <c r="BV7" s="498">
        <f t="shared" si="0"/>
        <v>37249</v>
      </c>
      <c r="BW7" s="498">
        <f t="shared" si="0"/>
        <v>37256</v>
      </c>
      <c r="BX7" s="498">
        <f t="shared" si="0"/>
        <v>37263</v>
      </c>
      <c r="BY7" s="498">
        <f>+BT7+31</f>
        <v>37257</v>
      </c>
      <c r="BZ7" s="498">
        <f>+BX7+7</f>
        <v>37270</v>
      </c>
      <c r="CA7" s="498">
        <f t="shared" si="0"/>
        <v>37277</v>
      </c>
      <c r="CB7" s="498">
        <f t="shared" si="0"/>
        <v>37284</v>
      </c>
      <c r="CC7" s="498">
        <f t="shared" si="0"/>
        <v>37291</v>
      </c>
      <c r="CD7" s="498">
        <f>+BY7+31</f>
        <v>37288</v>
      </c>
      <c r="CE7" s="498">
        <f>+CC7+7</f>
        <v>37298</v>
      </c>
      <c r="CF7" s="498">
        <f t="shared" si="0"/>
        <v>37305</v>
      </c>
      <c r="CG7" s="498">
        <f t="shared" si="0"/>
        <v>37312</v>
      </c>
      <c r="CH7" s="498">
        <f t="shared" si="0"/>
        <v>37319</v>
      </c>
      <c r="CI7" s="498">
        <f>+CD7+28</f>
        <v>37316</v>
      </c>
      <c r="CJ7" s="498">
        <f>+CH7+7</f>
        <v>37326</v>
      </c>
      <c r="CK7" s="498">
        <f t="shared" si="0"/>
        <v>37333</v>
      </c>
      <c r="CL7" s="498">
        <f t="shared" si="0"/>
        <v>37340</v>
      </c>
      <c r="CM7" s="498">
        <f t="shared" si="0"/>
        <v>37347</v>
      </c>
      <c r="CN7" s="498">
        <f>+CI7+31</f>
        <v>37347</v>
      </c>
      <c r="CO7" s="529" t="s">
        <v>529</v>
      </c>
      <c r="CP7" s="529" t="s">
        <v>261</v>
      </c>
      <c r="CQ7" s="529" t="s">
        <v>267</v>
      </c>
    </row>
    <row r="8" spans="1:95" ht="18" customHeight="1">
      <c r="A8" s="262"/>
      <c r="B8" s="277" t="s">
        <v>483</v>
      </c>
      <c r="D8" s="278"/>
      <c r="E8" s="279"/>
      <c r="F8" s="279"/>
      <c r="H8" s="279"/>
      <c r="I8" s="279"/>
      <c r="J8" s="278">
        <v>1</v>
      </c>
      <c r="K8" s="279"/>
      <c r="L8" s="279"/>
      <c r="M8" s="280"/>
      <c r="N8" s="278">
        <v>72</v>
      </c>
      <c r="O8" s="279"/>
      <c r="P8" s="280"/>
      <c r="Q8" s="278">
        <v>61</v>
      </c>
      <c r="R8" s="279"/>
      <c r="S8" s="281">
        <f>+N8+Q8</f>
        <v>133</v>
      </c>
      <c r="U8" s="299">
        <f>N11*$N8+Q11*$Q8</f>
        <v>147145</v>
      </c>
      <c r="V8" s="272"/>
      <c r="W8" s="263"/>
      <c r="X8" s="263"/>
      <c r="Y8" s="263"/>
      <c r="Z8" s="263"/>
      <c r="AA8" s="263"/>
      <c r="AB8" s="263"/>
      <c r="AC8" s="263"/>
      <c r="AD8" s="263"/>
      <c r="AE8" s="263"/>
      <c r="AF8" s="501" t="s">
        <v>533</v>
      </c>
      <c r="AG8" s="499"/>
      <c r="AH8" s="499"/>
      <c r="AI8" s="275"/>
      <c r="AJ8" s="276"/>
      <c r="AK8" s="500">
        <v>1</v>
      </c>
      <c r="AL8" s="496"/>
      <c r="AM8" s="496"/>
      <c r="AN8" s="496"/>
      <c r="AO8" s="496"/>
      <c r="AP8" s="500">
        <v>2</v>
      </c>
      <c r="AQ8" s="500"/>
      <c r="AR8" s="500"/>
      <c r="AS8" s="500"/>
      <c r="AT8" s="500"/>
      <c r="AU8" s="500">
        <v>3</v>
      </c>
      <c r="AV8" s="500"/>
      <c r="AW8" s="500"/>
      <c r="AX8" s="500"/>
      <c r="AY8" s="500"/>
      <c r="AZ8" s="500">
        <v>4</v>
      </c>
      <c r="BA8" s="500"/>
      <c r="BB8" s="500"/>
      <c r="BC8" s="500"/>
      <c r="BD8" s="500"/>
      <c r="BE8" s="500">
        <v>5</v>
      </c>
      <c r="BF8" s="500"/>
      <c r="BG8" s="500"/>
      <c r="BH8" s="500"/>
      <c r="BI8" s="500"/>
      <c r="BJ8" s="500">
        <v>6</v>
      </c>
      <c r="BK8" s="500"/>
      <c r="BL8" s="500"/>
      <c r="BM8" s="500"/>
      <c r="BN8" s="500"/>
      <c r="BO8" s="500">
        <v>7</v>
      </c>
      <c r="BP8" s="500"/>
      <c r="BQ8" s="500"/>
      <c r="BR8" s="500"/>
      <c r="BS8" s="500"/>
      <c r="BT8" s="500">
        <v>8</v>
      </c>
      <c r="BU8" s="500"/>
      <c r="BV8" s="500"/>
      <c r="BW8" s="500"/>
      <c r="BX8" s="500"/>
      <c r="BY8" s="500">
        <v>9</v>
      </c>
      <c r="BZ8" s="500"/>
      <c r="CA8" s="500"/>
      <c r="CB8" s="500"/>
      <c r="CC8" s="500"/>
      <c r="CD8" s="500">
        <v>10</v>
      </c>
      <c r="CE8" s="500"/>
      <c r="CF8" s="500"/>
      <c r="CG8" s="500"/>
      <c r="CH8" s="500"/>
      <c r="CI8" s="500">
        <v>11</v>
      </c>
      <c r="CJ8" s="500"/>
      <c r="CK8" s="500"/>
      <c r="CL8" s="500"/>
      <c r="CM8" s="500"/>
      <c r="CN8" s="500">
        <v>12</v>
      </c>
      <c r="CO8" s="530"/>
      <c r="CP8" s="530"/>
      <c r="CQ8" s="530"/>
    </row>
    <row r="9" spans="1:95" ht="13.5">
      <c r="A9" s="262"/>
      <c r="B9" s="277" t="s">
        <v>496</v>
      </c>
      <c r="D9" s="278"/>
      <c r="E9" s="279"/>
      <c r="F9" s="279"/>
      <c r="H9" s="279"/>
      <c r="I9" s="279"/>
      <c r="J9" s="278"/>
      <c r="K9" s="279"/>
      <c r="L9" s="279"/>
      <c r="M9" s="280"/>
      <c r="N9" s="278">
        <v>73</v>
      </c>
      <c r="O9" s="279"/>
      <c r="P9" s="280"/>
      <c r="Q9" s="278">
        <v>61</v>
      </c>
      <c r="R9" s="279"/>
      <c r="S9" s="281">
        <f>+N9+Q9</f>
        <v>134</v>
      </c>
      <c r="U9" s="309">
        <f>+U8+K11</f>
        <v>148783</v>
      </c>
      <c r="V9" s="272"/>
      <c r="W9" s="263"/>
      <c r="X9" s="263"/>
      <c r="Y9" s="263"/>
      <c r="Z9" s="263"/>
      <c r="AA9" s="263"/>
      <c r="AB9" s="263"/>
      <c r="AC9" s="263"/>
      <c r="AD9" s="263"/>
      <c r="AE9" s="263"/>
    </row>
    <row r="10" spans="1:95" ht="13.5">
      <c r="A10" s="262"/>
      <c r="B10" s="277" t="s">
        <v>298</v>
      </c>
      <c r="D10" s="278"/>
      <c r="E10" s="279"/>
      <c r="F10" s="279"/>
      <c r="H10" s="279"/>
      <c r="I10" s="279"/>
      <c r="J10" s="282">
        <f>J8/SM134Units</f>
        <v>7.5187969924812026E-3</v>
      </c>
      <c r="K10" s="279"/>
      <c r="L10" s="279"/>
      <c r="M10" s="280"/>
      <c r="N10" s="283">
        <f>N8/SM134Units</f>
        <v>0.54135338345864659</v>
      </c>
      <c r="O10" s="279"/>
      <c r="P10" s="280"/>
      <c r="Q10" s="283">
        <f>Q8/SM134Units</f>
        <v>0.45864661654135336</v>
      </c>
      <c r="R10" s="279"/>
      <c r="S10" s="284">
        <f>+Q10+N10</f>
        <v>1</v>
      </c>
      <c r="T10" s="279"/>
      <c r="U10" s="279"/>
      <c r="V10" s="272"/>
      <c r="W10" s="263"/>
      <c r="X10" s="263"/>
      <c r="Y10" s="263"/>
      <c r="Z10" s="263"/>
      <c r="AA10" s="263"/>
      <c r="AB10" s="263"/>
      <c r="AC10" s="263"/>
      <c r="AD10" s="263"/>
      <c r="AE10" s="263"/>
      <c r="AF10" s="273"/>
      <c r="AG10" s="272"/>
      <c r="AH10" s="272"/>
      <c r="AI10" s="275"/>
      <c r="AJ10" s="276"/>
      <c r="AK10" s="276"/>
      <c r="AL10" s="263"/>
    </row>
    <row r="11" spans="1:95" ht="13.5">
      <c r="A11" s="262"/>
      <c r="B11" s="277" t="s">
        <v>203</v>
      </c>
      <c r="D11" s="278"/>
      <c r="E11" s="279"/>
      <c r="F11" s="278"/>
      <c r="H11" s="278"/>
      <c r="I11" s="279"/>
      <c r="J11" s="278"/>
      <c r="K11" s="278">
        <f>(186+654)+598+200</f>
        <v>1638</v>
      </c>
      <c r="L11" s="278">
        <f>+K11+517+68</f>
        <v>2223</v>
      </c>
      <c r="M11" s="278"/>
      <c r="N11" s="285">
        <f>1107-Adj2B</f>
        <v>1016</v>
      </c>
      <c r="O11" s="285">
        <f>N11</f>
        <v>1016</v>
      </c>
      <c r="P11" s="285"/>
      <c r="Q11" s="285">
        <f>1287-ADj3B</f>
        <v>1213</v>
      </c>
      <c r="R11" s="285">
        <f>+Q11+13+_3BGarage</f>
        <v>1506</v>
      </c>
      <c r="S11" s="281"/>
      <c r="V11" s="272"/>
      <c r="W11" s="263"/>
      <c r="X11" s="263"/>
      <c r="Y11" s="263"/>
      <c r="Z11" s="263"/>
      <c r="AA11" s="263"/>
      <c r="AB11" s="263"/>
      <c r="AC11" s="263"/>
      <c r="AD11" s="263"/>
      <c r="AE11" s="263"/>
      <c r="AF11" s="273"/>
      <c r="AG11" s="272"/>
      <c r="AH11" s="272"/>
      <c r="AI11" s="272"/>
      <c r="AJ11" s="274"/>
      <c r="AK11" s="274"/>
      <c r="AL11" s="263"/>
    </row>
    <row r="12" spans="1:95" ht="13.5">
      <c r="A12" s="262"/>
      <c r="B12" s="277" t="s">
        <v>468</v>
      </c>
      <c r="D12" s="278"/>
      <c r="E12" s="279"/>
      <c r="F12" s="278"/>
      <c r="H12" s="278"/>
      <c r="I12" s="279"/>
      <c r="J12" s="278"/>
      <c r="K12" s="278"/>
      <c r="L12" s="278"/>
      <c r="M12" s="278"/>
      <c r="N12" s="278" t="s">
        <v>469</v>
      </c>
      <c r="O12" s="278"/>
      <c r="P12" s="278"/>
      <c r="Q12" s="278" t="s">
        <v>470</v>
      </c>
      <c r="R12" s="278"/>
      <c r="S12" s="281"/>
      <c r="T12" s="278"/>
      <c r="U12" s="278"/>
      <c r="V12" s="272"/>
      <c r="W12" s="263"/>
      <c r="X12" s="263"/>
      <c r="Y12" s="263"/>
      <c r="Z12" s="263"/>
      <c r="AA12" s="263"/>
      <c r="AB12" s="263"/>
      <c r="AC12" s="263"/>
      <c r="AD12" s="263"/>
      <c r="AE12" s="263"/>
      <c r="AF12" s="273"/>
      <c r="AG12" s="272"/>
      <c r="AH12" s="272"/>
      <c r="AI12" s="272"/>
      <c r="AJ12" s="274"/>
      <c r="AK12" s="274"/>
      <c r="AL12" s="263"/>
    </row>
    <row r="13" spans="1:95" ht="22.9" customHeight="1">
      <c r="A13" s="262"/>
      <c r="B13" s="271"/>
      <c r="C13" s="20" t="s">
        <v>520</v>
      </c>
      <c r="D13" s="20">
        <f>+Q8+N8</f>
        <v>133</v>
      </c>
      <c r="E13" s="272"/>
      <c r="F13" s="275"/>
      <c r="H13" s="275"/>
      <c r="I13" s="272"/>
      <c r="J13" s="275"/>
      <c r="K13" s="275"/>
      <c r="L13" s="275"/>
      <c r="M13" s="275"/>
      <c r="N13" s="275"/>
      <c r="O13" s="275"/>
      <c r="P13" s="275"/>
      <c r="Q13" s="275"/>
      <c r="R13" s="275"/>
      <c r="S13" s="274"/>
      <c r="T13" s="275"/>
      <c r="U13" s="275"/>
      <c r="V13" s="272"/>
      <c r="W13" s="263"/>
      <c r="X13" s="263"/>
      <c r="Y13" s="263"/>
      <c r="Z13" s="263"/>
      <c r="AA13" s="263"/>
      <c r="AB13" s="263"/>
      <c r="AC13" s="263"/>
      <c r="AD13" s="263"/>
      <c r="AE13" s="263"/>
      <c r="AF13" s="273"/>
      <c r="AG13" s="272"/>
      <c r="AH13" s="272"/>
      <c r="AI13" s="272"/>
      <c r="AJ13" s="274"/>
      <c r="AK13" s="274"/>
      <c r="AL13" s="263"/>
    </row>
    <row r="14" spans="1:95" ht="12.75">
      <c r="A14" s="318" t="s">
        <v>149</v>
      </c>
      <c r="B14" s="319" t="s">
        <v>3</v>
      </c>
      <c r="C14" s="320">
        <v>0.87</v>
      </c>
      <c r="D14" s="321" t="s">
        <v>497</v>
      </c>
      <c r="E14" s="321"/>
      <c r="F14" s="322"/>
      <c r="G14" s="319"/>
      <c r="H14" s="322"/>
      <c r="I14" s="322"/>
      <c r="J14" s="323">
        <f t="shared" ref="J14:J20" si="1">K14*J$8</f>
        <v>1425.06</v>
      </c>
      <c r="K14" s="323">
        <f>K$11*0.87</f>
        <v>1425.06</v>
      </c>
      <c r="L14" s="324">
        <f t="shared" ref="L14:L20" si="2">+K14/K$11</f>
        <v>0.87</v>
      </c>
      <c r="M14" s="323">
        <f t="shared" ref="M14:M20" si="3">N14*N$8</f>
        <v>63642.239999999998</v>
      </c>
      <c r="N14" s="323">
        <f>N$11*0.87</f>
        <v>883.92</v>
      </c>
      <c r="O14" s="324">
        <f t="shared" ref="O14:O20" si="4">+N14/N$11</f>
        <v>0.87</v>
      </c>
      <c r="P14" s="323">
        <f t="shared" ref="P14:P20" si="5">Q14*Q$8</f>
        <v>64373.909999999996</v>
      </c>
      <c r="Q14" s="323">
        <f>Q$11*0.87</f>
        <v>1055.31</v>
      </c>
      <c r="R14" s="324">
        <f t="shared" ref="R14:R20" si="6">+Q14/Q$11</f>
        <v>0.87</v>
      </c>
      <c r="S14" s="325">
        <f>+P14+M14</f>
        <v>128016.15</v>
      </c>
      <c r="T14" s="323">
        <f>S14/S$8</f>
        <v>962.5274436090225</v>
      </c>
      <c r="U14" s="324">
        <f>+S14/U$8</f>
        <v>0.87</v>
      </c>
      <c r="V14" s="326">
        <f t="shared" ref="V14:V20" si="7">+S14/TotalCost</f>
        <v>1.0061767348768322E-2</v>
      </c>
      <c r="W14" s="327">
        <f t="shared" ref="W14:W77" si="8">+$S14/TotalValue</f>
        <v>8.2591067073787879E-3</v>
      </c>
      <c r="X14" s="433"/>
      <c r="Y14" s="437"/>
      <c r="Z14" s="327"/>
      <c r="AA14" s="327"/>
      <c r="AB14" s="506"/>
      <c r="AC14" s="263"/>
      <c r="AD14" s="263"/>
      <c r="AE14" s="264"/>
      <c r="AF14" s="450" t="s">
        <v>3</v>
      </c>
      <c r="AG14" s="319">
        <f>+S14</f>
        <v>128016.15</v>
      </c>
      <c r="AH14" s="319"/>
      <c r="AI14" s="319"/>
      <c r="AJ14" s="319"/>
      <c r="AK14" s="319">
        <f>SUM(AG14:AJ14)</f>
        <v>128016.15</v>
      </c>
      <c r="AL14" s="319"/>
      <c r="AM14" s="451"/>
      <c r="AN14" s="451"/>
      <c r="AO14" s="451"/>
      <c r="AP14" s="319">
        <f>SUM(AL14:AO14)</f>
        <v>0</v>
      </c>
      <c r="AQ14" s="451"/>
      <c r="AR14" s="451"/>
      <c r="AS14" s="451"/>
      <c r="AT14" s="451"/>
      <c r="AU14" s="319">
        <f>SUM(AQ14:AT14)</f>
        <v>0</v>
      </c>
      <c r="AV14" s="451"/>
      <c r="AW14" s="451"/>
      <c r="AX14" s="451"/>
      <c r="AY14" s="451"/>
      <c r="AZ14" s="319">
        <f>SUM(AV14:AY14)</f>
        <v>0</v>
      </c>
      <c r="BA14" s="451"/>
      <c r="BB14" s="451"/>
      <c r="BC14" s="451"/>
      <c r="BD14" s="451"/>
      <c r="BE14" s="319">
        <f>SUM(BA14:BD14)</f>
        <v>0</v>
      </c>
      <c r="BF14" s="451"/>
      <c r="BG14" s="451"/>
      <c r="BH14" s="451"/>
      <c r="BI14" s="451"/>
      <c r="BJ14" s="319">
        <f>SUM(BF14:BI14)</f>
        <v>0</v>
      </c>
      <c r="BK14" s="451"/>
      <c r="BL14" s="451"/>
      <c r="BM14" s="451"/>
      <c r="BN14" s="451"/>
      <c r="BO14" s="319">
        <f>SUM(BK14:BN14)</f>
        <v>0</v>
      </c>
      <c r="BP14" s="451"/>
      <c r="BQ14" s="451"/>
      <c r="BR14" s="451"/>
      <c r="BS14" s="451"/>
      <c r="BT14" s="319">
        <f>SUM(BP14:BS14)</f>
        <v>0</v>
      </c>
      <c r="BU14" s="451"/>
      <c r="BV14" s="451"/>
      <c r="BW14" s="451"/>
      <c r="BX14" s="451"/>
      <c r="BY14" s="319">
        <f>SUM(BU14:BX14)</f>
        <v>0</v>
      </c>
      <c r="BZ14" s="451"/>
      <c r="CA14" s="451"/>
      <c r="CB14" s="451"/>
      <c r="CC14" s="451"/>
      <c r="CD14" s="319">
        <f>SUM(BZ14:CC14)</f>
        <v>0</v>
      </c>
      <c r="CE14" s="451"/>
      <c r="CF14" s="451"/>
      <c r="CG14" s="451"/>
      <c r="CH14" s="451"/>
      <c r="CI14" s="319">
        <f>SUM(CE14:CH14)</f>
        <v>0</v>
      </c>
      <c r="CJ14" s="451"/>
      <c r="CK14" s="451"/>
      <c r="CL14" s="451"/>
      <c r="CM14" s="451"/>
      <c r="CN14" s="319">
        <f>SUM(CJ14:CM14)</f>
        <v>0</v>
      </c>
      <c r="CO14" s="451">
        <f>+CN14+CI14+CD14+BY14+BT14+BO14+BJ14+BE14+AZ14+AU14+AP14+AK14</f>
        <v>128016.15</v>
      </c>
      <c r="CP14" s="451">
        <f t="shared" ref="CP14:CP77" si="9">S14</f>
        <v>128016.15</v>
      </c>
      <c r="CQ14" s="452">
        <f t="shared" ref="CQ14:CQ77" si="10">+CO14/CP14</f>
        <v>1</v>
      </c>
    </row>
    <row r="15" spans="1:95" ht="12.75">
      <c r="A15" s="318" t="s">
        <v>206</v>
      </c>
      <c r="B15" s="319" t="s">
        <v>513</v>
      </c>
      <c r="C15" s="328"/>
      <c r="D15" s="321"/>
      <c r="E15" s="321"/>
      <c r="F15" s="322"/>
      <c r="G15" s="319"/>
      <c r="H15" s="322"/>
      <c r="I15" s="322"/>
      <c r="J15" s="328">
        <f t="shared" si="1"/>
        <v>585.82089552238801</v>
      </c>
      <c r="K15" s="328">
        <f>((68000+10500)/134)</f>
        <v>585.82089552238801</v>
      </c>
      <c r="L15" s="322">
        <f t="shared" si="2"/>
        <v>0.35764401436043225</v>
      </c>
      <c r="M15" s="328">
        <f t="shared" si="3"/>
        <v>42179.104477611938</v>
      </c>
      <c r="N15" s="328">
        <f>((68000+10500)/134)</f>
        <v>585.82089552238801</v>
      </c>
      <c r="O15" s="322">
        <f t="shared" si="4"/>
        <v>0.57659536960864965</v>
      </c>
      <c r="P15" s="328">
        <f t="shared" si="5"/>
        <v>35735.074626865666</v>
      </c>
      <c r="Q15" s="328">
        <f>((68000+10500)/134)</f>
        <v>585.82089552238801</v>
      </c>
      <c r="R15" s="322">
        <f t="shared" si="6"/>
        <v>0.48295209853453258</v>
      </c>
      <c r="S15" s="329">
        <f>+P15+M15</f>
        <v>77914.179104477604</v>
      </c>
      <c r="T15" s="330">
        <f t="shared" ref="T15:T20" si="11">+S15/S$8</f>
        <v>585.82089552238801</v>
      </c>
      <c r="U15" s="322">
        <f>+S15/U$8</f>
        <v>0.52950612731983826</v>
      </c>
      <c r="V15" s="326">
        <f t="shared" si="7"/>
        <v>6.123870646941967E-3</v>
      </c>
      <c r="W15" s="327">
        <f t="shared" si="8"/>
        <v>5.0267213882131531E-3</v>
      </c>
      <c r="X15" s="433"/>
      <c r="Y15" s="437"/>
      <c r="Z15" s="327"/>
      <c r="AA15" s="327"/>
      <c r="AB15" s="507"/>
      <c r="AC15" s="263"/>
      <c r="AD15" s="327"/>
      <c r="AE15" s="264"/>
      <c r="AF15" s="450" t="s">
        <v>513</v>
      </c>
      <c r="AG15" s="319">
        <f>+S15</f>
        <v>77914.179104477604</v>
      </c>
      <c r="AH15" s="319"/>
      <c r="AI15" s="319"/>
      <c r="AJ15" s="319"/>
      <c r="AK15" s="319">
        <f t="shared" ref="AK15:AK78" si="12">SUM(AG15:AJ15)</f>
        <v>77914.179104477604</v>
      </c>
      <c r="AL15" s="319"/>
      <c r="AM15" s="451"/>
      <c r="AN15" s="451"/>
      <c r="AO15" s="451"/>
      <c r="AP15" s="319">
        <f t="shared" ref="AP15:AP78" si="13">SUM(AL15:AO15)</f>
        <v>0</v>
      </c>
      <c r="AQ15" s="451"/>
      <c r="AR15" s="451"/>
      <c r="AS15" s="451"/>
      <c r="AT15" s="451"/>
      <c r="AU15" s="319">
        <f t="shared" ref="AU15:AU78" si="14">SUM(AQ15:AT15)</f>
        <v>0</v>
      </c>
      <c r="AV15" s="451"/>
      <c r="AW15" s="451"/>
      <c r="AX15" s="451"/>
      <c r="AY15" s="451"/>
      <c r="AZ15" s="319">
        <f t="shared" ref="AZ15:AZ78" si="15">SUM(AV15:AY15)</f>
        <v>0</v>
      </c>
      <c r="BA15" s="451"/>
      <c r="BB15" s="451"/>
      <c r="BC15" s="451"/>
      <c r="BD15" s="451"/>
      <c r="BE15" s="319">
        <f t="shared" ref="BE15:BE78" si="16">SUM(BA15:BD15)</f>
        <v>0</v>
      </c>
      <c r="BF15" s="451"/>
      <c r="BG15" s="451"/>
      <c r="BH15" s="451"/>
      <c r="BI15" s="451"/>
      <c r="BJ15" s="319">
        <f t="shared" ref="BJ15:BJ78" si="17">SUM(BF15:BI15)</f>
        <v>0</v>
      </c>
      <c r="BK15" s="451"/>
      <c r="BL15" s="451"/>
      <c r="BM15" s="451"/>
      <c r="BN15" s="451"/>
      <c r="BO15" s="319">
        <f t="shared" ref="BO15:BO78" si="18">SUM(BK15:BN15)</f>
        <v>0</v>
      </c>
      <c r="BP15" s="451"/>
      <c r="BQ15" s="451"/>
      <c r="BR15" s="451"/>
      <c r="BS15" s="451"/>
      <c r="BT15" s="319">
        <f t="shared" ref="BT15:BT78" si="19">SUM(BP15:BS15)</f>
        <v>0</v>
      </c>
      <c r="BU15" s="451"/>
      <c r="BV15" s="451"/>
      <c r="BW15" s="451"/>
      <c r="BX15" s="451"/>
      <c r="BY15" s="319">
        <f t="shared" ref="BY15:BY78" si="20">SUM(BU15:BX15)</f>
        <v>0</v>
      </c>
      <c r="BZ15" s="451"/>
      <c r="CA15" s="451"/>
      <c r="CB15" s="451"/>
      <c r="CC15" s="451"/>
      <c r="CD15" s="319">
        <f t="shared" ref="CD15:CD78" si="21">SUM(BZ15:CC15)</f>
        <v>0</v>
      </c>
      <c r="CE15" s="451"/>
      <c r="CF15" s="451"/>
      <c r="CG15" s="451"/>
      <c r="CH15" s="451"/>
      <c r="CI15" s="319">
        <f t="shared" ref="CI15:CI78" si="22">SUM(CE15:CH15)</f>
        <v>0</v>
      </c>
      <c r="CJ15" s="451"/>
      <c r="CK15" s="451"/>
      <c r="CL15" s="451"/>
      <c r="CM15" s="451"/>
      <c r="CN15" s="319">
        <f t="shared" ref="CN15:CN78" si="23">SUM(CJ15:CM15)</f>
        <v>0</v>
      </c>
      <c r="CO15" s="451">
        <f t="shared" ref="CO15:CO78" si="24">+CN15+CI15+CD15+BY15+BT15+BO15+BJ15+BE15+AZ15+AU15+AP15+AK15</f>
        <v>77914.179104477604</v>
      </c>
      <c r="CP15" s="451">
        <f t="shared" si="9"/>
        <v>77914.179104477604</v>
      </c>
      <c r="CQ15" s="452">
        <f t="shared" si="10"/>
        <v>1</v>
      </c>
    </row>
    <row r="16" spans="1:95" ht="12.75">
      <c r="A16" s="318"/>
      <c r="B16" s="319" t="s">
        <v>512</v>
      </c>
      <c r="C16" s="320">
        <v>0.15</v>
      </c>
      <c r="D16" s="321" t="s">
        <v>497</v>
      </c>
      <c r="E16" s="321"/>
      <c r="F16" s="322"/>
      <c r="G16" s="319"/>
      <c r="H16" s="322"/>
      <c r="I16" s="322"/>
      <c r="J16" s="328">
        <f t="shared" si="1"/>
        <v>220.08802083333336</v>
      </c>
      <c r="K16" s="328">
        <f>$C16*MgrOffFirstFlr</f>
        <v>220.08802083333336</v>
      </c>
      <c r="L16" s="322">
        <f t="shared" si="2"/>
        <v>0.1343638710826211</v>
      </c>
      <c r="M16" s="328">
        <f t="shared" si="3"/>
        <v>5721.375</v>
      </c>
      <c r="N16" s="328">
        <f>$C16*TwoBdrm_First_Flr</f>
        <v>79.463541666666671</v>
      </c>
      <c r="O16" s="322">
        <f t="shared" si="4"/>
        <v>7.8212147309711294E-2</v>
      </c>
      <c r="P16" s="328">
        <f>Q16*Q$8</f>
        <v>7521.3</v>
      </c>
      <c r="Q16" s="328">
        <f>$C16*ThreeBdrm_First_Flr</f>
        <v>123.3</v>
      </c>
      <c r="R16" s="322">
        <f t="shared" si="6"/>
        <v>0.10164880461665292</v>
      </c>
      <c r="S16" s="329">
        <f>+P16+M16</f>
        <v>13242.674999999999</v>
      </c>
      <c r="T16" s="330">
        <f t="shared" si="11"/>
        <v>99.568984962406006</v>
      </c>
      <c r="U16" s="322">
        <f t="shared" ref="U16:U79" si="25">+S16/U$8</f>
        <v>8.9997451493424849E-2</v>
      </c>
      <c r="V16" s="326">
        <f t="shared" si="7"/>
        <v>1.0408430102401185E-3</v>
      </c>
      <c r="W16" s="327">
        <f t="shared" si="8"/>
        <v>8.5436615549004864E-4</v>
      </c>
      <c r="X16" s="433"/>
      <c r="Y16" s="437"/>
      <c r="Z16" s="435"/>
      <c r="AA16" s="435"/>
      <c r="AB16" s="507"/>
      <c r="AC16" s="263"/>
      <c r="AD16" s="435"/>
      <c r="AE16" s="264"/>
      <c r="AF16" s="450" t="s">
        <v>512</v>
      </c>
      <c r="AG16" s="319">
        <f>+S16</f>
        <v>13242.674999999999</v>
      </c>
      <c r="AH16" s="319"/>
      <c r="AI16" s="319"/>
      <c r="AJ16" s="319"/>
      <c r="AK16" s="319">
        <f t="shared" si="12"/>
        <v>13242.674999999999</v>
      </c>
      <c r="AL16" s="319"/>
      <c r="AM16" s="451"/>
      <c r="AN16" s="451"/>
      <c r="AO16" s="451"/>
      <c r="AP16" s="319">
        <f t="shared" si="13"/>
        <v>0</v>
      </c>
      <c r="AQ16" s="451"/>
      <c r="AR16" s="451"/>
      <c r="AS16" s="451"/>
      <c r="AT16" s="451"/>
      <c r="AU16" s="319">
        <f t="shared" si="14"/>
        <v>0</v>
      </c>
      <c r="AV16" s="451"/>
      <c r="AW16" s="451"/>
      <c r="AX16" s="451"/>
      <c r="AY16" s="451"/>
      <c r="AZ16" s="319">
        <f t="shared" si="15"/>
        <v>0</v>
      </c>
      <c r="BA16" s="451"/>
      <c r="BB16" s="451"/>
      <c r="BC16" s="451"/>
      <c r="BD16" s="451"/>
      <c r="BE16" s="319">
        <f t="shared" si="16"/>
        <v>0</v>
      </c>
      <c r="BF16" s="451"/>
      <c r="BG16" s="451"/>
      <c r="BH16" s="451"/>
      <c r="BI16" s="451"/>
      <c r="BJ16" s="319">
        <f t="shared" si="17"/>
        <v>0</v>
      </c>
      <c r="BK16" s="451"/>
      <c r="BL16" s="451"/>
      <c r="BM16" s="451"/>
      <c r="BN16" s="451"/>
      <c r="BO16" s="319">
        <f t="shared" si="18"/>
        <v>0</v>
      </c>
      <c r="BP16" s="451"/>
      <c r="BQ16" s="451"/>
      <c r="BR16" s="451"/>
      <c r="BS16" s="451"/>
      <c r="BT16" s="319">
        <f t="shared" si="19"/>
        <v>0</v>
      </c>
      <c r="BU16" s="451"/>
      <c r="BV16" s="451"/>
      <c r="BW16" s="451"/>
      <c r="BX16" s="451"/>
      <c r="BY16" s="319">
        <f t="shared" si="20"/>
        <v>0</v>
      </c>
      <c r="BZ16" s="451"/>
      <c r="CA16" s="451"/>
      <c r="CB16" s="451"/>
      <c r="CC16" s="451"/>
      <c r="CD16" s="319">
        <f t="shared" si="21"/>
        <v>0</v>
      </c>
      <c r="CE16" s="451"/>
      <c r="CF16" s="451"/>
      <c r="CG16" s="451"/>
      <c r="CH16" s="451"/>
      <c r="CI16" s="319">
        <f t="shared" si="22"/>
        <v>0</v>
      </c>
      <c r="CJ16" s="451"/>
      <c r="CK16" s="451"/>
      <c r="CL16" s="451"/>
      <c r="CM16" s="451"/>
      <c r="CN16" s="319">
        <f t="shared" si="23"/>
        <v>0</v>
      </c>
      <c r="CO16" s="451">
        <f t="shared" si="24"/>
        <v>13242.674999999999</v>
      </c>
      <c r="CP16" s="451">
        <f t="shared" si="9"/>
        <v>13242.674999999999</v>
      </c>
      <c r="CQ16" s="452">
        <f t="shared" si="10"/>
        <v>1</v>
      </c>
    </row>
    <row r="17" spans="1:95" ht="12.75">
      <c r="A17" s="318" t="s">
        <v>151</v>
      </c>
      <c r="B17" s="319" t="s">
        <v>146</v>
      </c>
      <c r="C17" s="320">
        <f>0.42/100*60</f>
        <v>0.252</v>
      </c>
      <c r="D17" s="321" t="s">
        <v>510</v>
      </c>
      <c r="E17" s="321"/>
      <c r="F17" s="322"/>
      <c r="G17" s="319"/>
      <c r="H17" s="322"/>
      <c r="I17" s="322"/>
      <c r="J17" s="328">
        <f t="shared" si="1"/>
        <v>412.77600000000001</v>
      </c>
      <c r="K17" s="328">
        <f>0.42/100*60*K11</f>
        <v>412.77600000000001</v>
      </c>
      <c r="L17" s="322">
        <f t="shared" si="2"/>
        <v>0.252</v>
      </c>
      <c r="M17" s="328">
        <f t="shared" si="3"/>
        <v>18434.304</v>
      </c>
      <c r="N17" s="328">
        <f>0.42/100*60*N11</f>
        <v>256.03199999999998</v>
      </c>
      <c r="O17" s="322">
        <f t="shared" si="4"/>
        <v>0.252</v>
      </c>
      <c r="P17" s="328">
        <f t="shared" si="5"/>
        <v>18646.236000000001</v>
      </c>
      <c r="Q17" s="328">
        <f>0.42/100*60*Q11</f>
        <v>305.67599999999999</v>
      </c>
      <c r="R17" s="322">
        <f t="shared" si="6"/>
        <v>0.252</v>
      </c>
      <c r="S17" s="329">
        <f t="shared" ref="S17:S80" si="26">+P17+M17</f>
        <v>37080.54</v>
      </c>
      <c r="T17" s="330">
        <f t="shared" si="11"/>
        <v>278.80105263157895</v>
      </c>
      <c r="U17" s="322">
        <f t="shared" si="25"/>
        <v>0.252</v>
      </c>
      <c r="V17" s="326">
        <f t="shared" si="7"/>
        <v>2.9144429561949628E-3</v>
      </c>
      <c r="W17" s="327">
        <f t="shared" si="8"/>
        <v>2.3922929773097183E-3</v>
      </c>
      <c r="X17" s="433"/>
      <c r="Y17" s="437"/>
      <c r="Z17" s="327"/>
      <c r="AA17" s="327"/>
      <c r="AB17" s="507"/>
      <c r="AC17" s="263"/>
      <c r="AD17" s="327"/>
      <c r="AE17" s="264"/>
      <c r="AF17" s="450" t="s">
        <v>146</v>
      </c>
      <c r="AG17" s="319">
        <f>+S17</f>
        <v>37080.54</v>
      </c>
      <c r="AH17" s="319"/>
      <c r="AI17" s="319"/>
      <c r="AJ17" s="319"/>
      <c r="AK17" s="319">
        <f t="shared" si="12"/>
        <v>37080.54</v>
      </c>
      <c r="AL17" s="319"/>
      <c r="AM17" s="451"/>
      <c r="AN17" s="451"/>
      <c r="AO17" s="451"/>
      <c r="AP17" s="319">
        <f t="shared" si="13"/>
        <v>0</v>
      </c>
      <c r="AQ17" s="451"/>
      <c r="AR17" s="451"/>
      <c r="AS17" s="451"/>
      <c r="AT17" s="451"/>
      <c r="AU17" s="319">
        <f t="shared" si="14"/>
        <v>0</v>
      </c>
      <c r="AV17" s="451"/>
      <c r="AW17" s="451"/>
      <c r="AX17" s="451"/>
      <c r="AY17" s="451"/>
      <c r="AZ17" s="319">
        <f t="shared" si="15"/>
        <v>0</v>
      </c>
      <c r="BA17" s="451"/>
      <c r="BB17" s="451"/>
      <c r="BC17" s="451"/>
      <c r="BD17" s="451"/>
      <c r="BE17" s="319">
        <f t="shared" si="16"/>
        <v>0</v>
      </c>
      <c r="BF17" s="451"/>
      <c r="BG17" s="451"/>
      <c r="BH17" s="451"/>
      <c r="BI17" s="451"/>
      <c r="BJ17" s="319">
        <f t="shared" si="17"/>
        <v>0</v>
      </c>
      <c r="BK17" s="451"/>
      <c r="BL17" s="451"/>
      <c r="BM17" s="451"/>
      <c r="BN17" s="451"/>
      <c r="BO17" s="319">
        <f t="shared" si="18"/>
        <v>0</v>
      </c>
      <c r="BP17" s="451"/>
      <c r="BQ17" s="451"/>
      <c r="BR17" s="451"/>
      <c r="BS17" s="451"/>
      <c r="BT17" s="319">
        <f t="shared" si="19"/>
        <v>0</v>
      </c>
      <c r="BU17" s="451"/>
      <c r="BV17" s="451"/>
      <c r="BW17" s="451"/>
      <c r="BX17" s="451"/>
      <c r="BY17" s="319">
        <f t="shared" si="20"/>
        <v>0</v>
      </c>
      <c r="BZ17" s="451"/>
      <c r="CA17" s="451"/>
      <c r="CB17" s="451"/>
      <c r="CC17" s="451"/>
      <c r="CD17" s="319">
        <f t="shared" si="21"/>
        <v>0</v>
      </c>
      <c r="CE17" s="451"/>
      <c r="CF17" s="451"/>
      <c r="CG17" s="451"/>
      <c r="CH17" s="451"/>
      <c r="CI17" s="319">
        <f t="shared" si="22"/>
        <v>0</v>
      </c>
      <c r="CJ17" s="451"/>
      <c r="CK17" s="451"/>
      <c r="CL17" s="451"/>
      <c r="CM17" s="451"/>
      <c r="CN17" s="319">
        <f t="shared" si="23"/>
        <v>0</v>
      </c>
      <c r="CO17" s="451">
        <f t="shared" si="24"/>
        <v>37080.54</v>
      </c>
      <c r="CP17" s="451">
        <f t="shared" si="9"/>
        <v>37080.54</v>
      </c>
      <c r="CQ17" s="452">
        <f t="shared" si="10"/>
        <v>1</v>
      </c>
    </row>
    <row r="18" spans="1:95" ht="12.75">
      <c r="A18" s="318" t="s">
        <v>150</v>
      </c>
      <c r="B18" s="319" t="s">
        <v>147</v>
      </c>
      <c r="C18" s="320">
        <v>88</v>
      </c>
      <c r="D18" s="321" t="s">
        <v>335</v>
      </c>
      <c r="E18" s="321"/>
      <c r="F18" s="322"/>
      <c r="G18" s="319"/>
      <c r="H18" s="322"/>
      <c r="I18" s="322"/>
      <c r="J18" s="328">
        <f t="shared" si="1"/>
        <v>96.800000000000011</v>
      </c>
      <c r="K18" s="328">
        <f>88*CMF</f>
        <v>96.800000000000011</v>
      </c>
      <c r="L18" s="322">
        <f t="shared" si="2"/>
        <v>5.9096459096459102E-2</v>
      </c>
      <c r="M18" s="328">
        <f t="shared" si="3"/>
        <v>6969.6</v>
      </c>
      <c r="N18" s="328">
        <f>88*CMF</f>
        <v>96.800000000000011</v>
      </c>
      <c r="O18" s="322">
        <f t="shared" si="4"/>
        <v>9.5275590551181108E-2</v>
      </c>
      <c r="P18" s="328">
        <f t="shared" si="5"/>
        <v>5904.8000000000011</v>
      </c>
      <c r="Q18" s="328">
        <f>88*CMF</f>
        <v>96.800000000000011</v>
      </c>
      <c r="R18" s="322">
        <f t="shared" si="6"/>
        <v>7.9802143446001658E-2</v>
      </c>
      <c r="S18" s="329">
        <f t="shared" si="26"/>
        <v>12874.400000000001</v>
      </c>
      <c r="T18" s="330">
        <f t="shared" si="11"/>
        <v>96.800000000000011</v>
      </c>
      <c r="U18" s="322">
        <f t="shared" si="25"/>
        <v>8.7494648136192205E-2</v>
      </c>
      <c r="V18" s="326">
        <f t="shared" si="7"/>
        <v>1.0118974641479448E-3</v>
      </c>
      <c r="W18" s="327">
        <f t="shared" si="8"/>
        <v>8.3060647733491043E-4</v>
      </c>
      <c r="X18" s="433"/>
      <c r="Y18" s="437"/>
      <c r="Z18" s="327"/>
      <c r="AA18" s="327"/>
      <c r="AB18" s="507"/>
      <c r="AC18" s="263"/>
      <c r="AD18" s="327"/>
      <c r="AE18" s="264"/>
      <c r="AF18" s="450" t="s">
        <v>147</v>
      </c>
      <c r="AG18" s="319"/>
      <c r="AH18" s="319"/>
      <c r="AI18" s="319"/>
      <c r="AJ18" s="319"/>
      <c r="AK18" s="319">
        <f t="shared" si="12"/>
        <v>0</v>
      </c>
      <c r="AL18" s="319"/>
      <c r="AM18" s="319"/>
      <c r="AN18" s="319"/>
      <c r="AO18" s="319">
        <f>$S18/10</f>
        <v>1287.44</v>
      </c>
      <c r="AP18" s="319">
        <f t="shared" si="13"/>
        <v>1287.44</v>
      </c>
      <c r="AQ18" s="319"/>
      <c r="AR18" s="319"/>
      <c r="AS18" s="319"/>
      <c r="AT18" s="319">
        <f>$S18/10</f>
        <v>1287.44</v>
      </c>
      <c r="AU18" s="319">
        <f t="shared" si="14"/>
        <v>1287.44</v>
      </c>
      <c r="AV18" s="319"/>
      <c r="AW18" s="319"/>
      <c r="AX18" s="319"/>
      <c r="AY18" s="319">
        <f>$S18/10</f>
        <v>1287.44</v>
      </c>
      <c r="AZ18" s="319">
        <f t="shared" si="15"/>
        <v>1287.44</v>
      </c>
      <c r="BA18" s="319"/>
      <c r="BB18" s="319"/>
      <c r="BC18" s="319"/>
      <c r="BD18" s="319">
        <f>$S18/10</f>
        <v>1287.44</v>
      </c>
      <c r="BE18" s="319">
        <f t="shared" si="16"/>
        <v>1287.44</v>
      </c>
      <c r="BF18" s="319"/>
      <c r="BG18" s="451"/>
      <c r="BH18" s="451"/>
      <c r="BI18" s="319">
        <f>$S18/10</f>
        <v>1287.44</v>
      </c>
      <c r="BJ18" s="319">
        <f t="shared" si="17"/>
        <v>1287.44</v>
      </c>
      <c r="BK18" s="319"/>
      <c r="BL18" s="319"/>
      <c r="BM18" s="319"/>
      <c r="BN18" s="319">
        <f>$S18/10</f>
        <v>1287.44</v>
      </c>
      <c r="BO18" s="319">
        <f t="shared" si="18"/>
        <v>1287.44</v>
      </c>
      <c r="BP18" s="319"/>
      <c r="BQ18" s="319"/>
      <c r="BR18" s="319"/>
      <c r="BS18" s="319">
        <f>$S18/10</f>
        <v>1287.44</v>
      </c>
      <c r="BT18" s="319">
        <f t="shared" si="19"/>
        <v>1287.44</v>
      </c>
      <c r="BU18" s="319"/>
      <c r="BV18" s="319"/>
      <c r="BW18" s="319"/>
      <c r="BX18" s="319">
        <f>$S18/10</f>
        <v>1287.44</v>
      </c>
      <c r="BY18" s="319">
        <f t="shared" si="20"/>
        <v>1287.44</v>
      </c>
      <c r="BZ18" s="451"/>
      <c r="CA18" s="319"/>
      <c r="CB18" s="451"/>
      <c r="CC18" s="319">
        <f>$S18/10</f>
        <v>1287.44</v>
      </c>
      <c r="CD18" s="319">
        <f t="shared" si="21"/>
        <v>1287.44</v>
      </c>
      <c r="CE18" s="319"/>
      <c r="CF18" s="319"/>
      <c r="CG18" s="319"/>
      <c r="CH18" s="319">
        <f>$S18/10</f>
        <v>1287.44</v>
      </c>
      <c r="CI18" s="319">
        <f t="shared" si="22"/>
        <v>1287.44</v>
      </c>
      <c r="CJ18" s="319"/>
      <c r="CK18" s="319"/>
      <c r="CL18" s="451"/>
      <c r="CM18" s="451"/>
      <c r="CN18" s="319">
        <f t="shared" si="23"/>
        <v>0</v>
      </c>
      <c r="CO18" s="451">
        <f t="shared" si="24"/>
        <v>12874.400000000003</v>
      </c>
      <c r="CP18" s="451">
        <f t="shared" si="9"/>
        <v>12874.400000000001</v>
      </c>
      <c r="CQ18" s="452">
        <f t="shared" si="10"/>
        <v>1.0000000000000002</v>
      </c>
    </row>
    <row r="19" spans="1:95" ht="12.75">
      <c r="A19" s="318" t="s">
        <v>150</v>
      </c>
      <c r="B19" s="319" t="s">
        <v>148</v>
      </c>
      <c r="C19" s="331"/>
      <c r="D19" s="321"/>
      <c r="E19" s="321"/>
      <c r="F19" s="322"/>
      <c r="G19" s="319"/>
      <c r="H19" s="322"/>
      <c r="I19" s="322"/>
      <c r="J19" s="328">
        <f t="shared" si="1"/>
        <v>1432.2</v>
      </c>
      <c r="K19" s="328">
        <f>1302*CMF</f>
        <v>1432.2</v>
      </c>
      <c r="L19" s="322">
        <f t="shared" si="2"/>
        <v>0.87435897435897436</v>
      </c>
      <c r="M19" s="328">
        <f t="shared" si="3"/>
        <v>103118.40000000001</v>
      </c>
      <c r="N19" s="328">
        <f>1302*CMF</f>
        <v>1432.2</v>
      </c>
      <c r="O19" s="322">
        <f t="shared" si="4"/>
        <v>1.4096456692913386</v>
      </c>
      <c r="P19" s="328">
        <f t="shared" si="5"/>
        <v>87364.2</v>
      </c>
      <c r="Q19" s="328">
        <f>1302*CMF</f>
        <v>1432.2</v>
      </c>
      <c r="R19" s="322">
        <f t="shared" si="6"/>
        <v>1.1807089859851607</v>
      </c>
      <c r="S19" s="329">
        <f t="shared" si="26"/>
        <v>190482.6</v>
      </c>
      <c r="T19" s="330">
        <f t="shared" si="11"/>
        <v>1432.2</v>
      </c>
      <c r="U19" s="322">
        <f t="shared" si="25"/>
        <v>1.294523089469571</v>
      </c>
      <c r="V19" s="326">
        <f t="shared" si="7"/>
        <v>1.4971482935461636E-2</v>
      </c>
      <c r="W19" s="327">
        <f t="shared" si="8"/>
        <v>1.2289200380568787E-2</v>
      </c>
      <c r="X19" s="433"/>
      <c r="Y19" s="437"/>
      <c r="Z19" s="327"/>
      <c r="AA19" s="327"/>
      <c r="AB19" s="507"/>
      <c r="AC19" s="263"/>
      <c r="AD19" s="327"/>
      <c r="AE19" s="264"/>
      <c r="AF19" s="450" t="s">
        <v>148</v>
      </c>
      <c r="AG19" s="319"/>
      <c r="AH19" s="319"/>
      <c r="AI19" s="319"/>
      <c r="AJ19" s="319"/>
      <c r="AK19" s="319">
        <f t="shared" si="12"/>
        <v>0</v>
      </c>
      <c r="AL19" s="319"/>
      <c r="AM19" s="451"/>
      <c r="AN19" s="318">
        <f>$S19/8</f>
        <v>23810.325000000001</v>
      </c>
      <c r="AO19" s="451"/>
      <c r="AP19" s="319">
        <f t="shared" si="13"/>
        <v>23810.325000000001</v>
      </c>
      <c r="AQ19" s="451"/>
      <c r="AR19" s="318">
        <f>$S19/8</f>
        <v>23810.325000000001</v>
      </c>
      <c r="AS19" s="451"/>
      <c r="AT19" s="451"/>
      <c r="AU19" s="319">
        <f t="shared" si="14"/>
        <v>23810.325000000001</v>
      </c>
      <c r="AV19" s="318">
        <f>$S19/8</f>
        <v>23810.325000000001</v>
      </c>
      <c r="AW19" s="451"/>
      <c r="AX19" s="451"/>
      <c r="AY19" s="318">
        <f>$S19/8</f>
        <v>23810.325000000001</v>
      </c>
      <c r="AZ19" s="319">
        <f t="shared" si="15"/>
        <v>47620.65</v>
      </c>
      <c r="BA19" s="451"/>
      <c r="BB19" s="451"/>
      <c r="BC19" s="318">
        <f>$S19/8</f>
        <v>23810.325000000001</v>
      </c>
      <c r="BD19" s="451"/>
      <c r="BE19" s="319">
        <f t="shared" si="16"/>
        <v>23810.325000000001</v>
      </c>
      <c r="BF19" s="451"/>
      <c r="BG19" s="318">
        <f>$S19/8</f>
        <v>23810.325000000001</v>
      </c>
      <c r="BH19" s="451"/>
      <c r="BI19" s="451"/>
      <c r="BJ19" s="319">
        <f t="shared" si="17"/>
        <v>23810.325000000001</v>
      </c>
      <c r="BK19" s="318">
        <f>$S19/8</f>
        <v>23810.325000000001</v>
      </c>
      <c r="BL19" s="451"/>
      <c r="BM19" s="451"/>
      <c r="BN19" s="318">
        <f>$S19/8</f>
        <v>23810.325000000001</v>
      </c>
      <c r="BO19" s="319">
        <f t="shared" si="18"/>
        <v>47620.65</v>
      </c>
      <c r="BP19" s="451"/>
      <c r="BQ19" s="451"/>
      <c r="BR19" s="451"/>
      <c r="BS19" s="451"/>
      <c r="BT19" s="319">
        <f t="shared" si="19"/>
        <v>0</v>
      </c>
      <c r="BU19" s="451"/>
      <c r="BV19" s="451"/>
      <c r="BW19" s="451"/>
      <c r="BX19" s="451"/>
      <c r="BY19" s="319">
        <f t="shared" si="20"/>
        <v>0</v>
      </c>
      <c r="BZ19" s="451"/>
      <c r="CA19" s="451"/>
      <c r="CB19" s="451"/>
      <c r="CC19" s="451"/>
      <c r="CD19" s="319">
        <f t="shared" si="21"/>
        <v>0</v>
      </c>
      <c r="CE19" s="451"/>
      <c r="CF19" s="451"/>
      <c r="CG19" s="451"/>
      <c r="CH19" s="451"/>
      <c r="CI19" s="319">
        <f t="shared" si="22"/>
        <v>0</v>
      </c>
      <c r="CJ19" s="451"/>
      <c r="CK19" s="451"/>
      <c r="CL19" s="451"/>
      <c r="CM19" s="451"/>
      <c r="CN19" s="319">
        <f t="shared" si="23"/>
        <v>0</v>
      </c>
      <c r="CO19" s="451">
        <f t="shared" si="24"/>
        <v>190482.60000000003</v>
      </c>
      <c r="CP19" s="451">
        <f t="shared" si="9"/>
        <v>190482.6</v>
      </c>
      <c r="CQ19" s="452">
        <f t="shared" si="10"/>
        <v>1.0000000000000002</v>
      </c>
    </row>
    <row r="20" spans="1:95" ht="12.75">
      <c r="A20" s="318"/>
      <c r="B20" s="332" t="s">
        <v>5</v>
      </c>
      <c r="C20" s="331">
        <v>5.5</v>
      </c>
      <c r="D20" s="321" t="s">
        <v>497</v>
      </c>
      <c r="E20" s="321"/>
      <c r="F20" s="322"/>
      <c r="G20" s="319"/>
      <c r="H20" s="322"/>
      <c r="I20" s="322"/>
      <c r="J20" s="328">
        <f t="shared" si="1"/>
        <v>8876.8835069444467</v>
      </c>
      <c r="K20" s="328">
        <f>5.5*MgrOffFirstFlr*CMF</f>
        <v>8876.8835069444467</v>
      </c>
      <c r="L20" s="322">
        <f t="shared" si="2"/>
        <v>5.4193428003323847</v>
      </c>
      <c r="M20" s="328">
        <f t="shared" si="3"/>
        <v>230762.12500000003</v>
      </c>
      <c r="N20" s="328">
        <f>5.5*TwoBdrm_First_Flr*CMF</f>
        <v>3205.0295138888891</v>
      </c>
      <c r="O20" s="322">
        <f t="shared" si="4"/>
        <v>3.1545566081583556</v>
      </c>
      <c r="P20" s="328">
        <f t="shared" si="5"/>
        <v>303359.10000000003</v>
      </c>
      <c r="Q20" s="328">
        <f>5.5*ThreeBdrm_First_Flr*CMF</f>
        <v>4973.1000000000004</v>
      </c>
      <c r="R20" s="322">
        <f t="shared" si="6"/>
        <v>4.0998351195383353</v>
      </c>
      <c r="S20" s="329">
        <f t="shared" si="26"/>
        <v>534121.22500000009</v>
      </c>
      <c r="T20" s="330">
        <f t="shared" si="11"/>
        <v>4015.9490601503767</v>
      </c>
      <c r="U20" s="322">
        <f t="shared" si="25"/>
        <v>3.6298972102348031</v>
      </c>
      <c r="V20" s="326">
        <f t="shared" si="7"/>
        <v>4.1980668079684792E-2</v>
      </c>
      <c r="W20" s="327">
        <f t="shared" si="8"/>
        <v>3.4459434938098638E-2</v>
      </c>
      <c r="X20" s="433"/>
      <c r="Y20" s="437"/>
      <c r="Z20" s="327"/>
      <c r="AA20" s="327"/>
      <c r="AB20" s="507"/>
      <c r="AC20" s="263"/>
      <c r="AD20" s="327"/>
      <c r="AE20" s="264"/>
      <c r="AF20" s="453" t="s">
        <v>5</v>
      </c>
      <c r="AG20" s="319"/>
      <c r="AH20" s="319"/>
      <c r="AI20" s="319"/>
      <c r="AJ20" s="319"/>
      <c r="AK20" s="319">
        <f t="shared" si="12"/>
        <v>0</v>
      </c>
      <c r="AL20" s="319"/>
      <c r="AM20" s="319"/>
      <c r="AN20" s="319"/>
      <c r="AO20" s="318">
        <f>$S20/8/2</f>
        <v>33382.576562500006</v>
      </c>
      <c r="AP20" s="319">
        <f t="shared" si="13"/>
        <v>33382.576562500006</v>
      </c>
      <c r="AQ20" s="318"/>
      <c r="AR20" s="318">
        <f>$S20/8/2</f>
        <v>33382.576562500006</v>
      </c>
      <c r="AS20" s="318">
        <f>$S20/8/2</f>
        <v>33382.576562500006</v>
      </c>
      <c r="AT20" s="454"/>
      <c r="AU20" s="319">
        <f t="shared" si="14"/>
        <v>66765.153125000012</v>
      </c>
      <c r="AV20" s="318">
        <f>$S20/8/2</f>
        <v>33382.576562500006</v>
      </c>
      <c r="AW20" s="319">
        <f>$S20/8/2</f>
        <v>33382.576562500006</v>
      </c>
      <c r="AX20" s="319"/>
      <c r="AY20" s="319">
        <f>$S20/8/2</f>
        <v>33382.576562500006</v>
      </c>
      <c r="AZ20" s="319">
        <f t="shared" si="15"/>
        <v>100147.72968750002</v>
      </c>
      <c r="BA20" s="319">
        <f>$S20/8/2</f>
        <v>33382.576562500006</v>
      </c>
      <c r="BB20" s="451"/>
      <c r="BC20" s="319">
        <f>$S20/8/2</f>
        <v>33382.576562500006</v>
      </c>
      <c r="BD20" s="319">
        <f>$S20/8/2</f>
        <v>33382.576562500006</v>
      </c>
      <c r="BE20" s="319">
        <f t="shared" si="16"/>
        <v>100147.72968750002</v>
      </c>
      <c r="BF20" s="451"/>
      <c r="BG20" s="319">
        <f>$S20/8/2</f>
        <v>33382.576562500006</v>
      </c>
      <c r="BH20" s="319">
        <f>$S20/8/2</f>
        <v>33382.576562500006</v>
      </c>
      <c r="BI20" s="451"/>
      <c r="BJ20" s="319">
        <f t="shared" si="17"/>
        <v>66765.153125000012</v>
      </c>
      <c r="BK20" s="319">
        <f>$S20/8/2</f>
        <v>33382.576562500006</v>
      </c>
      <c r="BL20" s="319">
        <f>$S20/8/2</f>
        <v>33382.576562500006</v>
      </c>
      <c r="BM20" s="451"/>
      <c r="BN20" s="319">
        <f>$S20/8/2</f>
        <v>33382.576562500006</v>
      </c>
      <c r="BO20" s="319">
        <f t="shared" si="18"/>
        <v>100147.72968750002</v>
      </c>
      <c r="BP20" s="319">
        <f>$S20/8/2</f>
        <v>33382.576562500006</v>
      </c>
      <c r="BQ20" s="451"/>
      <c r="BR20" s="319">
        <f>$S20/8/2</f>
        <v>33382.576562500006</v>
      </c>
      <c r="BS20" s="451"/>
      <c r="BT20" s="319">
        <f t="shared" si="19"/>
        <v>66765.153125000012</v>
      </c>
      <c r="BU20" s="451"/>
      <c r="BV20" s="451"/>
      <c r="BW20" s="451"/>
      <c r="BX20" s="451"/>
      <c r="BY20" s="319">
        <f t="shared" si="20"/>
        <v>0</v>
      </c>
      <c r="BZ20" s="451"/>
      <c r="CA20" s="451"/>
      <c r="CB20" s="451"/>
      <c r="CC20" s="451"/>
      <c r="CD20" s="319">
        <f t="shared" si="21"/>
        <v>0</v>
      </c>
      <c r="CE20" s="451"/>
      <c r="CF20" s="451"/>
      <c r="CG20" s="451"/>
      <c r="CH20" s="451"/>
      <c r="CI20" s="319">
        <f t="shared" si="22"/>
        <v>0</v>
      </c>
      <c r="CJ20" s="451"/>
      <c r="CK20" s="451"/>
      <c r="CL20" s="451"/>
      <c r="CM20" s="451"/>
      <c r="CN20" s="319">
        <f t="shared" si="23"/>
        <v>0</v>
      </c>
      <c r="CO20" s="451">
        <f t="shared" si="24"/>
        <v>534121.22500000009</v>
      </c>
      <c r="CP20" s="451">
        <f t="shared" si="9"/>
        <v>534121.22500000009</v>
      </c>
      <c r="CQ20" s="452">
        <f t="shared" si="10"/>
        <v>1</v>
      </c>
    </row>
    <row r="21" spans="1:95" ht="12.75">
      <c r="A21" s="318" t="s">
        <v>161</v>
      </c>
      <c r="B21" s="318" t="s">
        <v>6</v>
      </c>
      <c r="C21" s="331"/>
      <c r="D21" s="321"/>
      <c r="E21" s="321"/>
      <c r="F21" s="322"/>
      <c r="G21" s="319"/>
      <c r="H21" s="322"/>
      <c r="I21" s="322"/>
      <c r="J21" s="319"/>
      <c r="K21" s="319"/>
      <c r="L21" s="319"/>
      <c r="M21" s="319"/>
      <c r="N21" s="319"/>
      <c r="O21" s="319"/>
      <c r="P21" s="319"/>
      <c r="Q21" s="319"/>
      <c r="R21" s="319"/>
      <c r="S21" s="333"/>
      <c r="T21" s="319"/>
      <c r="U21" s="322"/>
      <c r="V21" s="327"/>
      <c r="W21" s="327"/>
      <c r="X21" s="433"/>
      <c r="Y21" s="437"/>
      <c r="Z21" s="327"/>
      <c r="AA21" s="327"/>
      <c r="AB21" s="507"/>
      <c r="AC21" s="263"/>
      <c r="AD21" s="327"/>
      <c r="AE21" s="264"/>
      <c r="AF21" s="455" t="s">
        <v>6</v>
      </c>
      <c r="AG21" s="319"/>
      <c r="AH21" s="319"/>
      <c r="AI21" s="319"/>
      <c r="AJ21" s="319"/>
      <c r="AK21" s="319">
        <f t="shared" si="12"/>
        <v>0</v>
      </c>
      <c r="AL21" s="319"/>
      <c r="AM21" s="451"/>
      <c r="AN21" s="451" t="s">
        <v>521</v>
      </c>
      <c r="AO21" s="451" t="s">
        <v>521</v>
      </c>
      <c r="AP21" s="319">
        <f t="shared" si="13"/>
        <v>0</v>
      </c>
      <c r="AQ21" s="451" t="s">
        <v>521</v>
      </c>
      <c r="AR21" s="451" t="s">
        <v>522</v>
      </c>
      <c r="AS21" s="451" t="s">
        <v>522</v>
      </c>
      <c r="AT21" s="451" t="s">
        <v>522</v>
      </c>
      <c r="AU21" s="319">
        <f t="shared" si="14"/>
        <v>0</v>
      </c>
      <c r="AV21" s="451" t="s">
        <v>523</v>
      </c>
      <c r="AW21" s="451" t="s">
        <v>523</v>
      </c>
      <c r="AX21" s="451" t="s">
        <v>523</v>
      </c>
      <c r="AY21" s="451" t="s">
        <v>524</v>
      </c>
      <c r="AZ21" s="319">
        <f t="shared" si="15"/>
        <v>0</v>
      </c>
      <c r="BA21" s="451" t="s">
        <v>524</v>
      </c>
      <c r="BB21" s="451" t="s">
        <v>524</v>
      </c>
      <c r="BC21" s="451" t="s">
        <v>525</v>
      </c>
      <c r="BD21" s="451" t="s">
        <v>525</v>
      </c>
      <c r="BE21" s="319">
        <f t="shared" si="16"/>
        <v>0</v>
      </c>
      <c r="BF21" s="451" t="s">
        <v>525</v>
      </c>
      <c r="BG21" s="451" t="s">
        <v>526</v>
      </c>
      <c r="BH21" s="451" t="s">
        <v>526</v>
      </c>
      <c r="BI21" s="451" t="s">
        <v>526</v>
      </c>
      <c r="BJ21" s="319">
        <f t="shared" si="17"/>
        <v>0</v>
      </c>
      <c r="BK21" s="451" t="s">
        <v>527</v>
      </c>
      <c r="BL21" s="451" t="s">
        <v>527</v>
      </c>
      <c r="BM21" s="451" t="s">
        <v>527</v>
      </c>
      <c r="BN21" s="451" t="s">
        <v>528</v>
      </c>
      <c r="BO21" s="319">
        <f t="shared" si="18"/>
        <v>0</v>
      </c>
      <c r="BP21" s="451" t="s">
        <v>528</v>
      </c>
      <c r="BQ21" s="451" t="s">
        <v>528</v>
      </c>
      <c r="BR21" s="451"/>
      <c r="BS21" s="451"/>
      <c r="BT21" s="319">
        <f t="shared" si="19"/>
        <v>0</v>
      </c>
      <c r="BU21" s="451"/>
      <c r="BV21" s="451"/>
      <c r="BW21" s="451"/>
      <c r="BX21" s="451"/>
      <c r="BY21" s="319">
        <f t="shared" si="20"/>
        <v>0</v>
      </c>
      <c r="BZ21" s="451"/>
      <c r="CA21" s="451"/>
      <c r="CB21" s="451"/>
      <c r="CC21" s="451"/>
      <c r="CD21" s="319">
        <f t="shared" si="21"/>
        <v>0</v>
      </c>
      <c r="CE21" s="451"/>
      <c r="CF21" s="451"/>
      <c r="CG21" s="451"/>
      <c r="CH21" s="451"/>
      <c r="CI21" s="319">
        <f t="shared" si="22"/>
        <v>0</v>
      </c>
      <c r="CJ21" s="451"/>
      <c r="CK21" s="451"/>
      <c r="CL21" s="451"/>
      <c r="CM21" s="451"/>
      <c r="CN21" s="319">
        <f t="shared" si="23"/>
        <v>0</v>
      </c>
      <c r="CO21" s="451">
        <f t="shared" si="24"/>
        <v>0</v>
      </c>
      <c r="CP21" s="451"/>
      <c r="CQ21" s="452"/>
    </row>
    <row r="22" spans="1:95" ht="12.75">
      <c r="A22" s="318" t="s">
        <v>161</v>
      </c>
      <c r="B22" s="318" t="s">
        <v>7</v>
      </c>
      <c r="C22" s="331"/>
      <c r="D22" s="321"/>
      <c r="E22" s="321"/>
      <c r="F22" s="322"/>
      <c r="G22" s="319"/>
      <c r="H22" s="322"/>
      <c r="I22" s="322"/>
      <c r="J22" s="328"/>
      <c r="K22" s="328"/>
      <c r="L22" s="322"/>
      <c r="M22" s="328"/>
      <c r="N22" s="328"/>
      <c r="O22" s="322"/>
      <c r="P22" s="328"/>
      <c r="Q22" s="328"/>
      <c r="R22" s="322"/>
      <c r="S22" s="329"/>
      <c r="T22" s="330"/>
      <c r="U22" s="322"/>
      <c r="V22" s="327"/>
      <c r="W22" s="327"/>
      <c r="X22" s="433"/>
      <c r="Y22" s="437"/>
      <c r="Z22" s="327"/>
      <c r="AA22" s="327"/>
      <c r="AB22" s="507"/>
      <c r="AC22" s="263"/>
      <c r="AD22" s="327"/>
      <c r="AE22" s="264"/>
      <c r="AF22" s="455" t="s">
        <v>7</v>
      </c>
      <c r="AG22" s="319"/>
      <c r="AH22" s="319"/>
      <c r="AI22" s="319"/>
      <c r="AJ22" s="319"/>
      <c r="AK22" s="319">
        <f t="shared" si="12"/>
        <v>0</v>
      </c>
      <c r="AL22" s="319"/>
      <c r="AM22" s="451"/>
      <c r="AN22" s="451"/>
      <c r="AO22" s="451"/>
      <c r="AP22" s="319">
        <f t="shared" si="13"/>
        <v>0</v>
      </c>
      <c r="AQ22" s="451"/>
      <c r="AR22" s="451"/>
      <c r="AS22" s="451"/>
      <c r="AT22" s="451"/>
      <c r="AU22" s="319">
        <f t="shared" si="14"/>
        <v>0</v>
      </c>
      <c r="AV22" s="451"/>
      <c r="AW22" s="451"/>
      <c r="AX22" s="451"/>
      <c r="AY22" s="451"/>
      <c r="AZ22" s="319">
        <f t="shared" si="15"/>
        <v>0</v>
      </c>
      <c r="BA22" s="451"/>
      <c r="BB22" s="451"/>
      <c r="BC22" s="451"/>
      <c r="BD22" s="451"/>
      <c r="BE22" s="319">
        <f t="shared" si="16"/>
        <v>0</v>
      </c>
      <c r="BF22" s="451"/>
      <c r="BG22" s="451"/>
      <c r="BH22" s="451"/>
      <c r="BI22" s="451"/>
      <c r="BJ22" s="319">
        <f t="shared" si="17"/>
        <v>0</v>
      </c>
      <c r="BK22" s="451"/>
      <c r="BL22" s="451"/>
      <c r="BM22" s="451"/>
      <c r="BN22" s="451"/>
      <c r="BO22" s="319">
        <f t="shared" si="18"/>
        <v>0</v>
      </c>
      <c r="BP22" s="451"/>
      <c r="BQ22" s="451"/>
      <c r="BR22" s="451"/>
      <c r="BS22" s="451"/>
      <c r="BT22" s="319">
        <f t="shared" si="19"/>
        <v>0</v>
      </c>
      <c r="BU22" s="451"/>
      <c r="BV22" s="451"/>
      <c r="BW22" s="451"/>
      <c r="BX22" s="451"/>
      <c r="BY22" s="319">
        <f t="shared" si="20"/>
        <v>0</v>
      </c>
      <c r="BZ22" s="451"/>
      <c r="CA22" s="451"/>
      <c r="CB22" s="451"/>
      <c r="CC22" s="451"/>
      <c r="CD22" s="319">
        <f t="shared" si="21"/>
        <v>0</v>
      </c>
      <c r="CE22" s="451"/>
      <c r="CF22" s="451"/>
      <c r="CG22" s="451"/>
      <c r="CH22" s="451"/>
      <c r="CI22" s="319">
        <f t="shared" si="22"/>
        <v>0</v>
      </c>
      <c r="CJ22" s="451"/>
      <c r="CK22" s="451"/>
      <c r="CL22" s="451"/>
      <c r="CM22" s="451"/>
      <c r="CN22" s="319">
        <f t="shared" si="23"/>
        <v>0</v>
      </c>
      <c r="CO22" s="451">
        <f t="shared" si="24"/>
        <v>0</v>
      </c>
      <c r="CP22" s="451"/>
      <c r="CQ22" s="452"/>
    </row>
    <row r="23" spans="1:95" ht="12.75">
      <c r="A23" s="318" t="s">
        <v>161</v>
      </c>
      <c r="B23" s="318" t="s">
        <v>8</v>
      </c>
      <c r="C23" s="331"/>
      <c r="D23" s="321"/>
      <c r="E23" s="321"/>
      <c r="F23" s="322"/>
      <c r="G23" s="319"/>
      <c r="H23" s="322"/>
      <c r="I23" s="322"/>
      <c r="J23" s="328"/>
      <c r="K23" s="328"/>
      <c r="L23" s="322"/>
      <c r="M23" s="328"/>
      <c r="N23" s="328"/>
      <c r="O23" s="322"/>
      <c r="P23" s="328"/>
      <c r="Q23" s="328"/>
      <c r="R23" s="322"/>
      <c r="S23" s="329"/>
      <c r="T23" s="330"/>
      <c r="U23" s="322"/>
      <c r="V23" s="327"/>
      <c r="W23" s="327"/>
      <c r="X23" s="433"/>
      <c r="Y23" s="437"/>
      <c r="Z23" s="327"/>
      <c r="AA23" s="327"/>
      <c r="AB23" s="507"/>
      <c r="AC23" s="263"/>
      <c r="AD23" s="327"/>
      <c r="AE23" s="264"/>
      <c r="AF23" s="455" t="s">
        <v>8</v>
      </c>
      <c r="AG23" s="319"/>
      <c r="AH23" s="319"/>
      <c r="AI23" s="319"/>
      <c r="AJ23" s="319"/>
      <c r="AK23" s="319">
        <f t="shared" si="12"/>
        <v>0</v>
      </c>
      <c r="AL23" s="319"/>
      <c r="AM23" s="451"/>
      <c r="AN23" s="451"/>
      <c r="AO23" s="451"/>
      <c r="AP23" s="319">
        <f t="shared" si="13"/>
        <v>0</v>
      </c>
      <c r="AQ23" s="451"/>
      <c r="AR23" s="451"/>
      <c r="AS23" s="451"/>
      <c r="AT23" s="451"/>
      <c r="AU23" s="319">
        <f t="shared" si="14"/>
        <v>0</v>
      </c>
      <c r="AV23" s="451"/>
      <c r="AW23" s="451"/>
      <c r="AX23" s="451"/>
      <c r="AY23" s="451"/>
      <c r="AZ23" s="319">
        <f t="shared" si="15"/>
        <v>0</v>
      </c>
      <c r="BA23" s="451"/>
      <c r="BB23" s="451"/>
      <c r="BC23" s="451"/>
      <c r="BD23" s="451"/>
      <c r="BE23" s="319">
        <f t="shared" si="16"/>
        <v>0</v>
      </c>
      <c r="BF23" s="451"/>
      <c r="BG23" s="451"/>
      <c r="BH23" s="451"/>
      <c r="BI23" s="451"/>
      <c r="BJ23" s="319">
        <f t="shared" si="17"/>
        <v>0</v>
      </c>
      <c r="BK23" s="451"/>
      <c r="BL23" s="451"/>
      <c r="BM23" s="451"/>
      <c r="BN23" s="451"/>
      <c r="BO23" s="319">
        <f t="shared" si="18"/>
        <v>0</v>
      </c>
      <c r="BP23" s="451"/>
      <c r="BQ23" s="451"/>
      <c r="BR23" s="451"/>
      <c r="BS23" s="451"/>
      <c r="BT23" s="319">
        <f t="shared" si="19"/>
        <v>0</v>
      </c>
      <c r="BU23" s="451"/>
      <c r="BV23" s="451"/>
      <c r="BW23" s="451"/>
      <c r="BX23" s="451"/>
      <c r="BY23" s="319">
        <f t="shared" si="20"/>
        <v>0</v>
      </c>
      <c r="BZ23" s="451"/>
      <c r="CA23" s="451"/>
      <c r="CB23" s="451"/>
      <c r="CC23" s="451"/>
      <c r="CD23" s="319">
        <f t="shared" si="21"/>
        <v>0</v>
      </c>
      <c r="CE23" s="451"/>
      <c r="CF23" s="451"/>
      <c r="CG23" s="451"/>
      <c r="CH23" s="451"/>
      <c r="CI23" s="319">
        <f t="shared" si="22"/>
        <v>0</v>
      </c>
      <c r="CJ23" s="451"/>
      <c r="CK23" s="451"/>
      <c r="CL23" s="451"/>
      <c r="CM23" s="451"/>
      <c r="CN23" s="319">
        <f t="shared" si="23"/>
        <v>0</v>
      </c>
      <c r="CO23" s="451">
        <f t="shared" si="24"/>
        <v>0</v>
      </c>
      <c r="CP23" s="451"/>
      <c r="CQ23" s="452"/>
    </row>
    <row r="24" spans="1:95" ht="12.75">
      <c r="A24" s="318"/>
      <c r="B24" s="332" t="s">
        <v>9</v>
      </c>
      <c r="C24" s="331"/>
      <c r="D24" s="321"/>
      <c r="E24" s="321"/>
      <c r="F24" s="322"/>
      <c r="G24" s="319"/>
      <c r="H24" s="322"/>
      <c r="I24" s="322"/>
      <c r="J24" s="328"/>
      <c r="K24" s="328"/>
      <c r="L24" s="322"/>
      <c r="M24" s="328"/>
      <c r="N24" s="328"/>
      <c r="O24" s="322"/>
      <c r="P24" s="328"/>
      <c r="Q24" s="328"/>
      <c r="R24" s="322"/>
      <c r="S24" s="329"/>
      <c r="T24" s="330"/>
      <c r="U24" s="322"/>
      <c r="V24" s="327"/>
      <c r="W24" s="327"/>
      <c r="X24" s="433"/>
      <c r="Y24" s="437"/>
      <c r="Z24" s="327"/>
      <c r="AA24" s="327"/>
      <c r="AB24" s="507"/>
      <c r="AC24" s="263"/>
      <c r="AD24" s="327"/>
      <c r="AE24" s="264"/>
      <c r="AF24" s="453" t="s">
        <v>9</v>
      </c>
      <c r="AG24" s="319"/>
      <c r="AH24" s="319"/>
      <c r="AI24" s="319"/>
      <c r="AJ24" s="319"/>
      <c r="AK24" s="319">
        <f t="shared" si="12"/>
        <v>0</v>
      </c>
      <c r="AL24" s="319"/>
      <c r="AM24" s="451"/>
      <c r="AN24" s="451"/>
      <c r="AO24" s="451"/>
      <c r="AP24" s="319">
        <f t="shared" si="13"/>
        <v>0</v>
      </c>
      <c r="AQ24" s="451"/>
      <c r="AR24" s="451"/>
      <c r="AS24" s="451"/>
      <c r="AT24" s="451"/>
      <c r="AU24" s="319">
        <f t="shared" si="14"/>
        <v>0</v>
      </c>
      <c r="AV24" s="451"/>
      <c r="AW24" s="451"/>
      <c r="AX24" s="451"/>
      <c r="AY24" s="451"/>
      <c r="AZ24" s="319">
        <f t="shared" si="15"/>
        <v>0</v>
      </c>
      <c r="BA24" s="451"/>
      <c r="BB24" s="451"/>
      <c r="BC24" s="451"/>
      <c r="BD24" s="451"/>
      <c r="BE24" s="319">
        <f t="shared" si="16"/>
        <v>0</v>
      </c>
      <c r="BF24" s="451"/>
      <c r="BG24" s="451"/>
      <c r="BH24" s="451"/>
      <c r="BI24" s="451"/>
      <c r="BJ24" s="319">
        <f t="shared" si="17"/>
        <v>0</v>
      </c>
      <c r="BK24" s="451"/>
      <c r="BL24" s="451"/>
      <c r="BM24" s="451"/>
      <c r="BN24" s="451"/>
      <c r="BO24" s="319">
        <f t="shared" si="18"/>
        <v>0</v>
      </c>
      <c r="BP24" s="451"/>
      <c r="BQ24" s="451"/>
      <c r="BR24" s="451"/>
      <c r="BS24" s="451"/>
      <c r="BT24" s="319">
        <f t="shared" si="19"/>
        <v>0</v>
      </c>
      <c r="BU24" s="451"/>
      <c r="BV24" s="451"/>
      <c r="BW24" s="451"/>
      <c r="BX24" s="451"/>
      <c r="BY24" s="319">
        <f t="shared" si="20"/>
        <v>0</v>
      </c>
      <c r="BZ24" s="451"/>
      <c r="CA24" s="451"/>
      <c r="CB24" s="451"/>
      <c r="CC24" s="451"/>
      <c r="CD24" s="319">
        <f t="shared" si="21"/>
        <v>0</v>
      </c>
      <c r="CE24" s="451"/>
      <c r="CF24" s="451"/>
      <c r="CG24" s="451"/>
      <c r="CH24" s="451"/>
      <c r="CI24" s="319">
        <f t="shared" si="22"/>
        <v>0</v>
      </c>
      <c r="CJ24" s="451"/>
      <c r="CK24" s="451"/>
      <c r="CL24" s="451"/>
      <c r="CM24" s="451"/>
      <c r="CN24" s="319">
        <f t="shared" si="23"/>
        <v>0</v>
      </c>
      <c r="CO24" s="451">
        <f t="shared" si="24"/>
        <v>0</v>
      </c>
      <c r="CP24" s="451"/>
      <c r="CQ24" s="452"/>
    </row>
    <row r="25" spans="1:95" ht="12.75">
      <c r="A25" s="318" t="s">
        <v>162</v>
      </c>
      <c r="B25" s="318" t="s">
        <v>10</v>
      </c>
      <c r="C25" s="328"/>
      <c r="D25" s="321"/>
      <c r="E25" s="321"/>
      <c r="F25" s="322"/>
      <c r="G25" s="319"/>
      <c r="H25" s="322"/>
      <c r="I25" s="322"/>
      <c r="J25" s="328">
        <f>K25*J$8</f>
        <v>2232.4500000000003</v>
      </c>
      <c r="K25" s="328">
        <f>(13500+300-1500)/2*0.33*CMF</f>
        <v>2232.4500000000003</v>
      </c>
      <c r="L25" s="322">
        <f>+K25/K$11</f>
        <v>1.3629120879120882</v>
      </c>
      <c r="M25" s="328">
        <f>N25*N$8</f>
        <v>165963.6</v>
      </c>
      <c r="N25" s="328">
        <f>(13500+300-1100)/2*0.33*CMF</f>
        <v>2305.0500000000002</v>
      </c>
      <c r="O25" s="322">
        <f>+N25/N$11</f>
        <v>2.2687500000000003</v>
      </c>
      <c r="P25" s="328">
        <f>Q25*Q$8</f>
        <v>152786.70000000001</v>
      </c>
      <c r="Q25" s="328">
        <f>(13500+300)/2*0.33*CMF</f>
        <v>2504.7000000000003</v>
      </c>
      <c r="R25" s="322">
        <f>+Q25/Q$11</f>
        <v>2.0648804616652927</v>
      </c>
      <c r="S25" s="329">
        <f t="shared" si="26"/>
        <v>318750.30000000005</v>
      </c>
      <c r="T25" s="330">
        <f>+S25/S$8</f>
        <v>2396.6187969924817</v>
      </c>
      <c r="U25" s="322">
        <f t="shared" si="25"/>
        <v>2.1662326276801798</v>
      </c>
      <c r="V25" s="326">
        <f>+S25/TotalCost</f>
        <v>2.5053021520723036E-2</v>
      </c>
      <c r="W25" s="327">
        <f t="shared" si="8"/>
        <v>2.0564536120708219E-2</v>
      </c>
      <c r="X25" s="433"/>
      <c r="Y25" s="437"/>
      <c r="Z25" s="327"/>
      <c r="AA25" s="327"/>
      <c r="AB25" s="507"/>
      <c r="AC25" s="263"/>
      <c r="AD25" s="327"/>
      <c r="AE25" s="264"/>
      <c r="AF25" s="455" t="s">
        <v>10</v>
      </c>
      <c r="AG25" s="319"/>
      <c r="AH25" s="319"/>
      <c r="AI25" s="319"/>
      <c r="AJ25" s="319"/>
      <c r="AK25" s="319">
        <f t="shared" si="12"/>
        <v>0</v>
      </c>
      <c r="AL25" s="319"/>
      <c r="AM25" s="319"/>
      <c r="AN25" s="319"/>
      <c r="AO25" s="319"/>
      <c r="AP25" s="319">
        <f t="shared" si="13"/>
        <v>0</v>
      </c>
      <c r="AQ25" s="319"/>
      <c r="AR25" s="319">
        <f>$S25/8</f>
        <v>39843.787500000006</v>
      </c>
      <c r="AS25" s="451"/>
      <c r="AT25" s="451"/>
      <c r="AU25" s="319">
        <f t="shared" si="14"/>
        <v>39843.787500000006</v>
      </c>
      <c r="AV25" s="319">
        <f>$S25/8</f>
        <v>39843.787500000006</v>
      </c>
      <c r="AW25" s="451"/>
      <c r="AX25" s="451"/>
      <c r="AY25" s="319">
        <f>$S25/8</f>
        <v>39843.787500000006</v>
      </c>
      <c r="AZ25" s="319">
        <f t="shared" si="15"/>
        <v>79687.575000000012</v>
      </c>
      <c r="BA25" s="451"/>
      <c r="BB25" s="451"/>
      <c r="BC25" s="319">
        <f>$S25/8</f>
        <v>39843.787500000006</v>
      </c>
      <c r="BD25" s="451"/>
      <c r="BE25" s="319">
        <f t="shared" si="16"/>
        <v>39843.787500000006</v>
      </c>
      <c r="BF25" s="451"/>
      <c r="BG25" s="319">
        <f>$S25/8</f>
        <v>39843.787500000006</v>
      </c>
      <c r="BH25" s="451"/>
      <c r="BI25" s="451"/>
      <c r="BJ25" s="319">
        <f t="shared" si="17"/>
        <v>39843.787500000006</v>
      </c>
      <c r="BK25" s="319">
        <f>$S25/8</f>
        <v>39843.787500000006</v>
      </c>
      <c r="BL25" s="451"/>
      <c r="BM25" s="451"/>
      <c r="BN25" s="319">
        <f>$S25/8</f>
        <v>39843.787500000006</v>
      </c>
      <c r="BO25" s="319">
        <f t="shared" si="18"/>
        <v>79687.575000000012</v>
      </c>
      <c r="BP25" s="451"/>
      <c r="BQ25" s="451"/>
      <c r="BR25" s="319">
        <f>$S25/8</f>
        <v>39843.787500000006</v>
      </c>
      <c r="BS25" s="451"/>
      <c r="BT25" s="319">
        <f t="shared" si="19"/>
        <v>39843.787500000006</v>
      </c>
      <c r="BU25" s="451"/>
      <c r="BV25" s="451"/>
      <c r="BW25" s="451"/>
      <c r="BX25" s="451"/>
      <c r="BY25" s="319">
        <f t="shared" si="20"/>
        <v>0</v>
      </c>
      <c r="BZ25" s="451"/>
      <c r="CA25" s="451"/>
      <c r="CB25" s="451"/>
      <c r="CC25" s="451"/>
      <c r="CD25" s="319">
        <f t="shared" si="21"/>
        <v>0</v>
      </c>
      <c r="CE25" s="451"/>
      <c r="CF25" s="451"/>
      <c r="CG25" s="451"/>
      <c r="CH25" s="451"/>
      <c r="CI25" s="319">
        <f t="shared" si="22"/>
        <v>0</v>
      </c>
      <c r="CJ25" s="451"/>
      <c r="CK25" s="451"/>
      <c r="CL25" s="451"/>
      <c r="CM25" s="451"/>
      <c r="CN25" s="319">
        <f t="shared" si="23"/>
        <v>0</v>
      </c>
      <c r="CO25" s="451">
        <f t="shared" si="24"/>
        <v>318750.30000000005</v>
      </c>
      <c r="CP25" s="451">
        <f t="shared" si="9"/>
        <v>318750.30000000005</v>
      </c>
      <c r="CQ25" s="452">
        <f t="shared" si="10"/>
        <v>1</v>
      </c>
    </row>
    <row r="26" spans="1:95" ht="12.75">
      <c r="A26" s="318" t="s">
        <v>163</v>
      </c>
      <c r="B26" s="318" t="s">
        <v>11</v>
      </c>
      <c r="C26" s="328"/>
      <c r="D26" s="321"/>
      <c r="E26" s="321"/>
      <c r="F26" s="322"/>
      <c r="G26" s="319"/>
      <c r="H26" s="322"/>
      <c r="I26" s="322"/>
      <c r="J26" s="328">
        <f>K26*J$8</f>
        <v>2232.4500000000003</v>
      </c>
      <c r="K26" s="328">
        <f>(13500+300-1500)/2*0.33*CMF</f>
        <v>2232.4500000000003</v>
      </c>
      <c r="L26" s="322">
        <f>+K26/K$11</f>
        <v>1.3629120879120882</v>
      </c>
      <c r="M26" s="328">
        <f>N26*N$8</f>
        <v>165963.6</v>
      </c>
      <c r="N26" s="328">
        <f>(13500+300-1100)/2*0.33*CMF</f>
        <v>2305.0500000000002</v>
      </c>
      <c r="O26" s="322">
        <f>+N26/N$11</f>
        <v>2.2687500000000003</v>
      </c>
      <c r="P26" s="328">
        <f>Q26*Q$8</f>
        <v>152786.70000000001</v>
      </c>
      <c r="Q26" s="328">
        <f>(13500+300)/2*0.33*CMF</f>
        <v>2504.7000000000003</v>
      </c>
      <c r="R26" s="322">
        <f>+Q26/Q$11</f>
        <v>2.0648804616652927</v>
      </c>
      <c r="S26" s="329">
        <f t="shared" si="26"/>
        <v>318750.30000000005</v>
      </c>
      <c r="T26" s="330">
        <f>+S26/S$8</f>
        <v>2396.6187969924817</v>
      </c>
      <c r="U26" s="322">
        <f t="shared" si="25"/>
        <v>2.1662326276801798</v>
      </c>
      <c r="V26" s="326">
        <f>+S26/TotalCost</f>
        <v>2.5053021520723036E-2</v>
      </c>
      <c r="W26" s="327">
        <f t="shared" si="8"/>
        <v>2.0564536120708219E-2</v>
      </c>
      <c r="X26" s="433"/>
      <c r="Y26" s="437"/>
      <c r="Z26" s="327"/>
      <c r="AA26" s="327"/>
      <c r="AB26" s="507"/>
      <c r="AC26" s="263"/>
      <c r="AD26" s="327"/>
      <c r="AE26" s="264"/>
      <c r="AF26" s="455" t="s">
        <v>11</v>
      </c>
      <c r="AG26" s="319"/>
      <c r="AH26" s="319"/>
      <c r="AI26" s="319"/>
      <c r="AJ26" s="319"/>
      <c r="AK26" s="319">
        <f t="shared" si="12"/>
        <v>0</v>
      </c>
      <c r="AL26" s="319"/>
      <c r="AM26" s="319"/>
      <c r="AN26" s="319"/>
      <c r="AO26" s="319"/>
      <c r="AP26" s="319">
        <f t="shared" si="13"/>
        <v>0</v>
      </c>
      <c r="AQ26" s="319"/>
      <c r="AR26" s="319"/>
      <c r="AS26" s="319"/>
      <c r="AT26" s="319"/>
      <c r="AU26" s="319">
        <f t="shared" si="14"/>
        <v>0</v>
      </c>
      <c r="AV26" s="319"/>
      <c r="AW26" s="319"/>
      <c r="AX26" s="319"/>
      <c r="AY26" s="319">
        <f>$S26/8</f>
        <v>39843.787500000006</v>
      </c>
      <c r="AZ26" s="319">
        <f t="shared" si="15"/>
        <v>39843.787500000006</v>
      </c>
      <c r="BA26" s="319"/>
      <c r="BB26" s="319"/>
      <c r="BC26" s="319">
        <f>$S26/8</f>
        <v>39843.787500000006</v>
      </c>
      <c r="BD26" s="319"/>
      <c r="BE26" s="319">
        <f t="shared" si="16"/>
        <v>39843.787500000006</v>
      </c>
      <c r="BF26" s="319"/>
      <c r="BG26" s="319">
        <f>$S26/8</f>
        <v>39843.787500000006</v>
      </c>
      <c r="BH26" s="319"/>
      <c r="BI26" s="319"/>
      <c r="BJ26" s="319">
        <f t="shared" si="17"/>
        <v>39843.787500000006</v>
      </c>
      <c r="BK26" s="319">
        <f>$S26/8</f>
        <v>39843.787500000006</v>
      </c>
      <c r="BL26" s="319"/>
      <c r="BM26" s="319"/>
      <c r="BN26" s="319">
        <f>$S26/8</f>
        <v>39843.787500000006</v>
      </c>
      <c r="BO26" s="319">
        <f t="shared" si="18"/>
        <v>79687.575000000012</v>
      </c>
      <c r="BP26" s="319"/>
      <c r="BQ26" s="319"/>
      <c r="BR26" s="319">
        <f>$S26/8</f>
        <v>39843.787500000006</v>
      </c>
      <c r="BS26" s="319"/>
      <c r="BT26" s="319">
        <f t="shared" si="19"/>
        <v>39843.787500000006</v>
      </c>
      <c r="BU26" s="319"/>
      <c r="BV26" s="319">
        <f>$S26/8</f>
        <v>39843.787500000006</v>
      </c>
      <c r="BW26" s="319"/>
      <c r="BX26" s="319"/>
      <c r="BY26" s="319">
        <f t="shared" si="20"/>
        <v>39843.787500000006</v>
      </c>
      <c r="BZ26" s="319">
        <f>$S26/8</f>
        <v>39843.787500000006</v>
      </c>
      <c r="CA26" s="319"/>
      <c r="CB26" s="319"/>
      <c r="CC26" s="319"/>
      <c r="CD26" s="319">
        <f t="shared" si="21"/>
        <v>39843.787500000006</v>
      </c>
      <c r="CE26" s="319"/>
      <c r="CF26" s="319"/>
      <c r="CG26" s="319"/>
      <c r="CH26" s="319"/>
      <c r="CI26" s="319">
        <f t="shared" si="22"/>
        <v>0</v>
      </c>
      <c r="CJ26" s="319"/>
      <c r="CK26" s="319"/>
      <c r="CL26" s="451"/>
      <c r="CM26" s="451"/>
      <c r="CN26" s="319">
        <f t="shared" si="23"/>
        <v>0</v>
      </c>
      <c r="CO26" s="451">
        <f t="shared" si="24"/>
        <v>318750.30000000005</v>
      </c>
      <c r="CP26" s="451">
        <f t="shared" si="9"/>
        <v>318750.30000000005</v>
      </c>
      <c r="CQ26" s="452">
        <f t="shared" si="10"/>
        <v>1</v>
      </c>
    </row>
    <row r="27" spans="1:95" ht="12.75">
      <c r="A27" s="318" t="s">
        <v>163</v>
      </c>
      <c r="B27" s="318" t="s">
        <v>12</v>
      </c>
      <c r="C27" s="328"/>
      <c r="D27" s="321"/>
      <c r="E27" s="321"/>
      <c r="F27" s="322"/>
      <c r="G27" s="319"/>
      <c r="H27" s="322"/>
      <c r="I27" s="322"/>
      <c r="J27" s="328">
        <f>K27*J$8</f>
        <v>2232.4500000000003</v>
      </c>
      <c r="K27" s="328">
        <f>(13500+300-1500)/2*0.33*CMF</f>
        <v>2232.4500000000003</v>
      </c>
      <c r="L27" s="322">
        <f>+K27/K$11</f>
        <v>1.3629120879120882</v>
      </c>
      <c r="M27" s="328">
        <f>N27*N$8</f>
        <v>165963.6</v>
      </c>
      <c r="N27" s="328">
        <f>(13500+300-1100)/2*0.33*CMF</f>
        <v>2305.0500000000002</v>
      </c>
      <c r="O27" s="322">
        <f>+N27/N$11</f>
        <v>2.2687500000000003</v>
      </c>
      <c r="P27" s="328">
        <f>Q27*Q$8</f>
        <v>152786.70000000001</v>
      </c>
      <c r="Q27" s="328">
        <f>(13500+300)/2*0.33*CMF</f>
        <v>2504.7000000000003</v>
      </c>
      <c r="R27" s="322">
        <f>+Q27/Q$11</f>
        <v>2.0648804616652927</v>
      </c>
      <c r="S27" s="329">
        <f t="shared" si="26"/>
        <v>318750.30000000005</v>
      </c>
      <c r="T27" s="330">
        <f>+S27/S$8</f>
        <v>2396.6187969924817</v>
      </c>
      <c r="U27" s="322">
        <f t="shared" si="25"/>
        <v>2.1662326276801798</v>
      </c>
      <c r="V27" s="326">
        <f>+S27/TotalCost</f>
        <v>2.5053021520723036E-2</v>
      </c>
      <c r="W27" s="327">
        <f t="shared" si="8"/>
        <v>2.0564536120708219E-2</v>
      </c>
      <c r="X27" s="433"/>
      <c r="Y27" s="437"/>
      <c r="Z27" s="327"/>
      <c r="AA27" s="327"/>
      <c r="AB27" s="507"/>
      <c r="AC27" s="263"/>
      <c r="AD27" s="327"/>
      <c r="AE27" s="264"/>
      <c r="AF27" s="455" t="s">
        <v>12</v>
      </c>
      <c r="AG27" s="319"/>
      <c r="AH27" s="319"/>
      <c r="AI27" s="319"/>
      <c r="AJ27" s="319"/>
      <c r="AK27" s="319">
        <f t="shared" si="12"/>
        <v>0</v>
      </c>
      <c r="AL27" s="319"/>
      <c r="AM27" s="319"/>
      <c r="AN27" s="319"/>
      <c r="AO27" s="319"/>
      <c r="AP27" s="319">
        <f t="shared" si="13"/>
        <v>0</v>
      </c>
      <c r="AQ27" s="319"/>
      <c r="AR27" s="319"/>
      <c r="AS27" s="319"/>
      <c r="AT27" s="319"/>
      <c r="AU27" s="319">
        <f t="shared" si="14"/>
        <v>0</v>
      </c>
      <c r="AV27" s="319"/>
      <c r="AW27" s="319"/>
      <c r="AX27" s="319"/>
      <c r="AY27" s="319"/>
      <c r="AZ27" s="319">
        <f t="shared" si="15"/>
        <v>0</v>
      </c>
      <c r="BA27" s="319"/>
      <c r="BB27" s="319"/>
      <c r="BC27" s="319"/>
      <c r="BD27" s="319"/>
      <c r="BE27" s="319">
        <f t="shared" si="16"/>
        <v>0</v>
      </c>
      <c r="BF27" s="318">
        <f>$S27/8</f>
        <v>39843.787500000006</v>
      </c>
      <c r="BG27" s="451"/>
      <c r="BH27" s="451"/>
      <c r="BI27" s="318">
        <f>$S27/8</f>
        <v>39843.787500000006</v>
      </c>
      <c r="BJ27" s="319">
        <f t="shared" si="17"/>
        <v>79687.575000000012</v>
      </c>
      <c r="BK27" s="451"/>
      <c r="BL27" s="451"/>
      <c r="BM27" s="318">
        <f>$S27/8</f>
        <v>39843.787500000006</v>
      </c>
      <c r="BN27" s="451"/>
      <c r="BO27" s="319">
        <f t="shared" si="18"/>
        <v>39843.787500000006</v>
      </c>
      <c r="BP27" s="451"/>
      <c r="BQ27" s="318">
        <f>$S27/8</f>
        <v>39843.787500000006</v>
      </c>
      <c r="BR27" s="451"/>
      <c r="BS27" s="451"/>
      <c r="BT27" s="319">
        <f t="shared" si="19"/>
        <v>39843.787500000006</v>
      </c>
      <c r="BU27" s="318">
        <f>$S27/8</f>
        <v>39843.787500000006</v>
      </c>
      <c r="BV27" s="451"/>
      <c r="BW27" s="451"/>
      <c r="BX27" s="318">
        <f>$S27/8</f>
        <v>39843.787500000006</v>
      </c>
      <c r="BY27" s="319">
        <f t="shared" si="20"/>
        <v>79687.575000000012</v>
      </c>
      <c r="BZ27" s="451"/>
      <c r="CA27" s="451"/>
      <c r="CB27" s="318">
        <f>$S27/8</f>
        <v>39843.787500000006</v>
      </c>
      <c r="CC27" s="451"/>
      <c r="CD27" s="319">
        <f t="shared" si="21"/>
        <v>39843.787500000006</v>
      </c>
      <c r="CE27" s="451"/>
      <c r="CF27" s="318">
        <f>$S27/8</f>
        <v>39843.787500000006</v>
      </c>
      <c r="CG27" s="319"/>
      <c r="CH27" s="319"/>
      <c r="CI27" s="319">
        <f t="shared" si="22"/>
        <v>39843.787500000006</v>
      </c>
      <c r="CJ27" s="319"/>
      <c r="CK27" s="319"/>
      <c r="CL27" s="451"/>
      <c r="CM27" s="451"/>
      <c r="CN27" s="319">
        <f t="shared" si="23"/>
        <v>0</v>
      </c>
      <c r="CO27" s="451">
        <f t="shared" si="24"/>
        <v>318750.30000000005</v>
      </c>
      <c r="CP27" s="451">
        <f t="shared" si="9"/>
        <v>318750.30000000005</v>
      </c>
      <c r="CQ27" s="452">
        <f t="shared" si="10"/>
        <v>1</v>
      </c>
    </row>
    <row r="28" spans="1:95" ht="12.75">
      <c r="A28" s="318"/>
      <c r="B28" s="332" t="s">
        <v>13</v>
      </c>
      <c r="C28" s="331">
        <f>SUM(C29:C32)</f>
        <v>3.4</v>
      </c>
      <c r="D28" s="321" t="s">
        <v>497</v>
      </c>
      <c r="E28" s="321"/>
      <c r="F28" s="322">
        <f>E28/1376</f>
        <v>0</v>
      </c>
      <c r="G28" s="319"/>
      <c r="H28" s="322"/>
      <c r="I28" s="322"/>
      <c r="J28" s="328"/>
      <c r="K28" s="328"/>
      <c r="L28" s="322"/>
      <c r="M28" s="328"/>
      <c r="N28" s="328"/>
      <c r="O28" s="322"/>
      <c r="P28" s="328"/>
      <c r="Q28" s="328"/>
      <c r="R28" s="322"/>
      <c r="S28" s="329"/>
      <c r="T28" s="330"/>
      <c r="U28" s="322">
        <f t="shared" si="25"/>
        <v>0</v>
      </c>
      <c r="V28" s="327"/>
      <c r="W28" s="327"/>
      <c r="X28" s="433"/>
      <c r="Y28" s="437"/>
      <c r="Z28" s="327"/>
      <c r="AA28" s="327"/>
      <c r="AB28" s="507"/>
      <c r="AC28" s="263"/>
      <c r="AD28" s="327"/>
      <c r="AE28" s="264"/>
      <c r="AF28" s="453" t="s">
        <v>13</v>
      </c>
      <c r="AG28" s="319"/>
      <c r="AH28" s="319"/>
      <c r="AI28" s="319"/>
      <c r="AJ28" s="319"/>
      <c r="AK28" s="319">
        <f t="shared" si="12"/>
        <v>0</v>
      </c>
      <c r="AL28" s="319"/>
      <c r="AM28" s="451"/>
      <c r="AN28" s="451"/>
      <c r="AO28" s="451"/>
      <c r="AP28" s="319">
        <f t="shared" si="13"/>
        <v>0</v>
      </c>
      <c r="AQ28" s="451"/>
      <c r="AR28" s="451"/>
      <c r="AS28" s="451"/>
      <c r="AT28" s="451"/>
      <c r="AU28" s="319">
        <f t="shared" si="14"/>
        <v>0</v>
      </c>
      <c r="AV28" s="451"/>
      <c r="AW28" s="451"/>
      <c r="AX28" s="451"/>
      <c r="AY28" s="451"/>
      <c r="AZ28" s="319">
        <f t="shared" si="15"/>
        <v>0</v>
      </c>
      <c r="BA28" s="451"/>
      <c r="BB28" s="451"/>
      <c r="BC28" s="451"/>
      <c r="BD28" s="451"/>
      <c r="BE28" s="319">
        <f t="shared" si="16"/>
        <v>0</v>
      </c>
      <c r="BF28" s="451"/>
      <c r="BG28" s="451"/>
      <c r="BH28" s="451"/>
      <c r="BI28" s="451"/>
      <c r="BJ28" s="319">
        <f t="shared" si="17"/>
        <v>0</v>
      </c>
      <c r="BK28" s="451"/>
      <c r="BL28" s="451"/>
      <c r="BM28" s="451"/>
      <c r="BN28" s="451"/>
      <c r="BO28" s="319">
        <f t="shared" si="18"/>
        <v>0</v>
      </c>
      <c r="BP28" s="451"/>
      <c r="BQ28" s="451"/>
      <c r="BR28" s="451"/>
      <c r="BS28" s="451"/>
      <c r="BT28" s="319">
        <f t="shared" si="19"/>
        <v>0</v>
      </c>
      <c r="BU28" s="451"/>
      <c r="BV28" s="451"/>
      <c r="BW28" s="451"/>
      <c r="BX28" s="451"/>
      <c r="BY28" s="319">
        <f t="shared" si="20"/>
        <v>0</v>
      </c>
      <c r="BZ28" s="451"/>
      <c r="CA28" s="451"/>
      <c r="CB28" s="451"/>
      <c r="CC28" s="451"/>
      <c r="CD28" s="319">
        <f t="shared" si="21"/>
        <v>0</v>
      </c>
      <c r="CE28" s="451"/>
      <c r="CF28" s="451"/>
      <c r="CG28" s="451"/>
      <c r="CH28" s="451"/>
      <c r="CI28" s="319">
        <f t="shared" si="22"/>
        <v>0</v>
      </c>
      <c r="CJ28" s="451"/>
      <c r="CK28" s="451"/>
      <c r="CL28" s="451"/>
      <c r="CM28" s="451"/>
      <c r="CN28" s="319">
        <f t="shared" si="23"/>
        <v>0</v>
      </c>
      <c r="CO28" s="451">
        <f t="shared" si="24"/>
        <v>0</v>
      </c>
      <c r="CP28" s="451"/>
      <c r="CQ28" s="452"/>
    </row>
    <row r="29" spans="1:95" ht="12.75">
      <c r="A29" s="318" t="s">
        <v>164</v>
      </c>
      <c r="B29" s="318" t="s">
        <v>14</v>
      </c>
      <c r="C29" s="320">
        <v>0.88</v>
      </c>
      <c r="D29" s="321"/>
      <c r="E29" s="321"/>
      <c r="F29" s="322"/>
      <c r="G29" s="319"/>
      <c r="H29" s="322"/>
      <c r="I29" s="322"/>
      <c r="J29" s="328">
        <f>K29*J$8</f>
        <v>2151.864</v>
      </c>
      <c r="K29" s="328">
        <f>L$11*$C29*CMF</f>
        <v>2151.864</v>
      </c>
      <c r="L29" s="322">
        <f>+K29/K$11</f>
        <v>1.3137142857142858</v>
      </c>
      <c r="M29" s="328">
        <f>N29*N$8</f>
        <v>70811.136000000013</v>
      </c>
      <c r="N29" s="328">
        <f>O$11*$C29*CMF</f>
        <v>983.48800000000017</v>
      </c>
      <c r="O29" s="322">
        <f>+N29/N$11</f>
        <v>0.96800000000000019</v>
      </c>
      <c r="P29" s="328">
        <f>Q29*Q$8</f>
        <v>88926.288</v>
      </c>
      <c r="Q29" s="328">
        <f>R$11*$C29*CMF</f>
        <v>1457.808</v>
      </c>
      <c r="R29" s="322">
        <f>+Q29/Q$11</f>
        <v>1.2018202802967848</v>
      </c>
      <c r="S29" s="329">
        <f t="shared" si="26"/>
        <v>159737.424</v>
      </c>
      <c r="T29" s="330">
        <f>+S29/S$8</f>
        <v>1201.0332631578947</v>
      </c>
      <c r="U29" s="322">
        <f t="shared" si="25"/>
        <v>1.0855783342961025</v>
      </c>
      <c r="V29" s="326">
        <f>+S29/TotalCost</f>
        <v>1.2554984642012447E-2</v>
      </c>
      <c r="W29" s="327">
        <f t="shared" si="8"/>
        <v>1.0305640577206935E-2</v>
      </c>
      <c r="X29" s="433"/>
      <c r="Y29" s="437"/>
      <c r="Z29" s="541"/>
      <c r="AA29" s="448"/>
      <c r="AB29" s="507"/>
      <c r="AC29" s="263"/>
      <c r="AD29" s="448"/>
      <c r="AE29" s="264"/>
      <c r="AF29" s="455" t="s">
        <v>14</v>
      </c>
      <c r="AG29" s="319"/>
      <c r="AH29" s="319"/>
      <c r="AI29" s="319"/>
      <c r="AJ29" s="319"/>
      <c r="AK29" s="319">
        <f t="shared" si="12"/>
        <v>0</v>
      </c>
      <c r="AL29" s="319"/>
      <c r="AM29" s="319"/>
      <c r="AN29" s="319"/>
      <c r="AO29" s="319"/>
      <c r="AP29" s="319">
        <f t="shared" si="13"/>
        <v>0</v>
      </c>
      <c r="AQ29" s="319"/>
      <c r="AR29" s="319"/>
      <c r="AS29" s="319">
        <f>$S29/8</f>
        <v>19967.178</v>
      </c>
      <c r="AT29" s="319"/>
      <c r="AU29" s="319">
        <f t="shared" si="14"/>
        <v>19967.178</v>
      </c>
      <c r="AV29" s="451"/>
      <c r="AW29" s="319">
        <f>$S29/8</f>
        <v>19967.178</v>
      </c>
      <c r="AX29" s="451"/>
      <c r="AY29" s="451"/>
      <c r="AZ29" s="319">
        <f t="shared" si="15"/>
        <v>19967.178</v>
      </c>
      <c r="BA29" s="319">
        <f>$S29/8</f>
        <v>19967.178</v>
      </c>
      <c r="BB29" s="451"/>
      <c r="BC29" s="451"/>
      <c r="BD29" s="319">
        <f>$S29/8</f>
        <v>19967.178</v>
      </c>
      <c r="BE29" s="319">
        <f t="shared" si="16"/>
        <v>39934.356</v>
      </c>
      <c r="BF29" s="451"/>
      <c r="BG29" s="451"/>
      <c r="BH29" s="319">
        <f>$S29/8</f>
        <v>19967.178</v>
      </c>
      <c r="BI29" s="451"/>
      <c r="BJ29" s="319">
        <f t="shared" si="17"/>
        <v>19967.178</v>
      </c>
      <c r="BK29" s="451"/>
      <c r="BL29" s="319">
        <f>$S29/8</f>
        <v>19967.178</v>
      </c>
      <c r="BM29" s="451"/>
      <c r="BN29" s="451"/>
      <c r="BO29" s="319">
        <f t="shared" si="18"/>
        <v>19967.178</v>
      </c>
      <c r="BP29" s="319">
        <f>$S29/8</f>
        <v>19967.178</v>
      </c>
      <c r="BQ29" s="451"/>
      <c r="BR29" s="451"/>
      <c r="BS29" s="319">
        <f>$S29/8</f>
        <v>19967.178</v>
      </c>
      <c r="BT29" s="319">
        <f t="shared" si="19"/>
        <v>39934.356</v>
      </c>
      <c r="BU29" s="451"/>
      <c r="BV29" s="451"/>
      <c r="BW29" s="451"/>
      <c r="BX29" s="451"/>
      <c r="BY29" s="319">
        <f t="shared" si="20"/>
        <v>0</v>
      </c>
      <c r="BZ29" s="451"/>
      <c r="CA29" s="451"/>
      <c r="CB29" s="451"/>
      <c r="CC29" s="451"/>
      <c r="CD29" s="319">
        <f t="shared" si="21"/>
        <v>0</v>
      </c>
      <c r="CE29" s="451"/>
      <c r="CF29" s="451"/>
      <c r="CG29" s="451"/>
      <c r="CH29" s="451"/>
      <c r="CI29" s="319">
        <f t="shared" si="22"/>
        <v>0</v>
      </c>
      <c r="CJ29" s="451"/>
      <c r="CK29" s="451"/>
      <c r="CL29" s="451"/>
      <c r="CM29" s="451"/>
      <c r="CN29" s="319">
        <f t="shared" si="23"/>
        <v>0</v>
      </c>
      <c r="CO29" s="451">
        <f t="shared" si="24"/>
        <v>159737.424</v>
      </c>
      <c r="CP29" s="451">
        <f t="shared" si="9"/>
        <v>159737.424</v>
      </c>
      <c r="CQ29" s="452">
        <f t="shared" si="10"/>
        <v>1</v>
      </c>
    </row>
    <row r="30" spans="1:95" ht="12.75">
      <c r="A30" s="318" t="s">
        <v>164</v>
      </c>
      <c r="B30" s="318" t="s">
        <v>15</v>
      </c>
      <c r="C30" s="320">
        <v>0.88</v>
      </c>
      <c r="D30" s="321"/>
      <c r="E30" s="321"/>
      <c r="F30" s="322"/>
      <c r="G30" s="319"/>
      <c r="H30" s="322"/>
      <c r="I30" s="322"/>
      <c r="J30" s="328">
        <f>K30*J$8</f>
        <v>2151.864</v>
      </c>
      <c r="K30" s="328">
        <f>L$11*$C30*CMF</f>
        <v>2151.864</v>
      </c>
      <c r="L30" s="322">
        <f>+K30/K$11</f>
        <v>1.3137142857142858</v>
      </c>
      <c r="M30" s="328">
        <f>N30*N$8</f>
        <v>70811.136000000013</v>
      </c>
      <c r="N30" s="328">
        <f>O$11*$C30*CMF</f>
        <v>983.48800000000017</v>
      </c>
      <c r="O30" s="322">
        <f>+N30/N$11</f>
        <v>0.96800000000000019</v>
      </c>
      <c r="P30" s="328">
        <f>Q30*Q$8</f>
        <v>88926.288</v>
      </c>
      <c r="Q30" s="328">
        <f>R$11*$C30*CMF</f>
        <v>1457.808</v>
      </c>
      <c r="R30" s="322">
        <f>+Q30/Q$11</f>
        <v>1.2018202802967848</v>
      </c>
      <c r="S30" s="329">
        <f t="shared" si="26"/>
        <v>159737.424</v>
      </c>
      <c r="T30" s="330">
        <f>+S30/S$8</f>
        <v>1201.0332631578947</v>
      </c>
      <c r="U30" s="322">
        <f t="shared" si="25"/>
        <v>1.0855783342961025</v>
      </c>
      <c r="V30" s="326">
        <f>+S30/TotalCost</f>
        <v>1.2554984642012447E-2</v>
      </c>
      <c r="W30" s="327">
        <f t="shared" si="8"/>
        <v>1.0305640577206935E-2</v>
      </c>
      <c r="X30" s="433"/>
      <c r="Y30" s="437"/>
      <c r="Z30" s="525"/>
      <c r="AA30" s="445"/>
      <c r="AB30" s="507"/>
      <c r="AC30" s="263"/>
      <c r="AD30" s="448"/>
      <c r="AE30" s="264"/>
      <c r="AF30" s="455" t="s">
        <v>15</v>
      </c>
      <c r="AG30" s="319"/>
      <c r="AH30" s="319"/>
      <c r="AI30" s="319"/>
      <c r="AJ30" s="319"/>
      <c r="AK30" s="319">
        <f t="shared" si="12"/>
        <v>0</v>
      </c>
      <c r="AL30" s="319"/>
      <c r="AM30" s="319"/>
      <c r="AN30" s="319"/>
      <c r="AO30" s="319"/>
      <c r="AP30" s="319">
        <f t="shared" si="13"/>
        <v>0</v>
      </c>
      <c r="AQ30" s="319"/>
      <c r="AR30" s="319"/>
      <c r="AS30" s="451"/>
      <c r="AT30" s="319">
        <f>$S30/8</f>
        <v>19967.178</v>
      </c>
      <c r="AU30" s="319">
        <f t="shared" si="14"/>
        <v>19967.178</v>
      </c>
      <c r="AV30" s="451"/>
      <c r="AW30" s="451"/>
      <c r="AX30" s="319">
        <f>$S30/8</f>
        <v>19967.178</v>
      </c>
      <c r="AY30" s="451"/>
      <c r="AZ30" s="319">
        <f t="shared" si="15"/>
        <v>19967.178</v>
      </c>
      <c r="BA30" s="451"/>
      <c r="BB30" s="319">
        <f>$S30/8</f>
        <v>19967.178</v>
      </c>
      <c r="BC30" s="451"/>
      <c r="BD30" s="451"/>
      <c r="BE30" s="319">
        <f t="shared" si="16"/>
        <v>19967.178</v>
      </c>
      <c r="BF30" s="319">
        <f>$S30/8</f>
        <v>19967.178</v>
      </c>
      <c r="BG30" s="451"/>
      <c r="BH30" s="451"/>
      <c r="BI30" s="319">
        <f>$S30/8</f>
        <v>19967.178</v>
      </c>
      <c r="BJ30" s="319">
        <f t="shared" si="17"/>
        <v>39934.356</v>
      </c>
      <c r="BK30" s="451"/>
      <c r="BL30" s="451"/>
      <c r="BM30" s="319">
        <f>$S30/8</f>
        <v>19967.178</v>
      </c>
      <c r="BN30" s="451"/>
      <c r="BO30" s="319">
        <f t="shared" si="18"/>
        <v>19967.178</v>
      </c>
      <c r="BP30" s="451"/>
      <c r="BQ30" s="319">
        <f>$S30/8</f>
        <v>19967.178</v>
      </c>
      <c r="BR30" s="451"/>
      <c r="BS30" s="451"/>
      <c r="BT30" s="319">
        <f t="shared" si="19"/>
        <v>19967.178</v>
      </c>
      <c r="BU30" s="319">
        <f>$S30/8</f>
        <v>19967.178</v>
      </c>
      <c r="BV30" s="451"/>
      <c r="BW30" s="451"/>
      <c r="BX30" s="451"/>
      <c r="BY30" s="319">
        <f t="shared" si="20"/>
        <v>19967.178</v>
      </c>
      <c r="BZ30" s="451"/>
      <c r="CA30" s="451"/>
      <c r="CB30" s="451"/>
      <c r="CC30" s="451"/>
      <c r="CD30" s="319">
        <f t="shared" si="21"/>
        <v>0</v>
      </c>
      <c r="CE30" s="451"/>
      <c r="CF30" s="451"/>
      <c r="CG30" s="451"/>
      <c r="CH30" s="451"/>
      <c r="CI30" s="319">
        <f t="shared" si="22"/>
        <v>0</v>
      </c>
      <c r="CJ30" s="451"/>
      <c r="CK30" s="451"/>
      <c r="CL30" s="451"/>
      <c r="CM30" s="451"/>
      <c r="CN30" s="319">
        <f t="shared" si="23"/>
        <v>0</v>
      </c>
      <c r="CO30" s="451">
        <f t="shared" si="24"/>
        <v>159737.424</v>
      </c>
      <c r="CP30" s="451">
        <f t="shared" si="9"/>
        <v>159737.424</v>
      </c>
      <c r="CQ30" s="452">
        <f t="shared" si="10"/>
        <v>1</v>
      </c>
    </row>
    <row r="31" spans="1:95" ht="12.75">
      <c r="A31" s="318" t="s">
        <v>164</v>
      </c>
      <c r="B31" s="318" t="s">
        <v>16</v>
      </c>
      <c r="C31" s="320">
        <v>0.35</v>
      </c>
      <c r="D31" s="321"/>
      <c r="E31" s="321"/>
      <c r="F31" s="322"/>
      <c r="G31" s="319"/>
      <c r="H31" s="322"/>
      <c r="I31" s="322"/>
      <c r="J31" s="328">
        <f>K31*J$8</f>
        <v>855.85500000000002</v>
      </c>
      <c r="K31" s="328">
        <f>L$11*$C31*CMF</f>
        <v>855.85500000000002</v>
      </c>
      <c r="L31" s="322">
        <f>+K31/K$11</f>
        <v>0.52249999999999996</v>
      </c>
      <c r="M31" s="328">
        <f>N31*N$8</f>
        <v>28163.519999999997</v>
      </c>
      <c r="N31" s="328">
        <f>O$11*$C31*CMF</f>
        <v>391.15999999999997</v>
      </c>
      <c r="O31" s="322">
        <f>+N31/N$11</f>
        <v>0.38499999999999995</v>
      </c>
      <c r="P31" s="328">
        <f>Q31*Q$8</f>
        <v>35368.410000000003</v>
      </c>
      <c r="Q31" s="328">
        <f>R$11*$C31*CMF</f>
        <v>579.81000000000006</v>
      </c>
      <c r="R31" s="322">
        <f>+Q31/Q$11</f>
        <v>0.47799670239076675</v>
      </c>
      <c r="S31" s="329">
        <f t="shared" si="26"/>
        <v>63531.93</v>
      </c>
      <c r="T31" s="330">
        <f>+S31/S$8</f>
        <v>477.68368421052634</v>
      </c>
      <c r="U31" s="322">
        <f t="shared" si="25"/>
        <v>0.43176411023140437</v>
      </c>
      <c r="V31" s="326">
        <f>+S31/TotalCost</f>
        <v>4.9934598008004047E-3</v>
      </c>
      <c r="W31" s="327">
        <f t="shared" si="8"/>
        <v>4.0988343204800305E-3</v>
      </c>
      <c r="X31" s="433"/>
      <c r="Y31" s="437"/>
      <c r="Z31" s="540"/>
      <c r="AA31" s="447"/>
      <c r="AB31" s="507"/>
      <c r="AC31" s="263"/>
      <c r="AD31" s="445"/>
      <c r="AE31" s="264"/>
      <c r="AF31" s="455" t="s">
        <v>16</v>
      </c>
      <c r="AG31" s="319"/>
      <c r="AH31" s="319"/>
      <c r="AI31" s="319"/>
      <c r="AJ31" s="319"/>
      <c r="AK31" s="319">
        <f t="shared" si="12"/>
        <v>0</v>
      </c>
      <c r="AL31" s="319"/>
      <c r="AM31" s="319"/>
      <c r="AN31" s="319"/>
      <c r="AO31" s="319"/>
      <c r="AP31" s="319">
        <f t="shared" si="13"/>
        <v>0</v>
      </c>
      <c r="AQ31" s="319"/>
      <c r="AR31" s="319"/>
      <c r="AS31" s="319"/>
      <c r="AT31" s="451"/>
      <c r="AU31" s="319">
        <f t="shared" si="14"/>
        <v>0</v>
      </c>
      <c r="AV31" s="319">
        <f>$S31/8</f>
        <v>7941.49125</v>
      </c>
      <c r="AW31" s="451"/>
      <c r="AX31" s="451"/>
      <c r="AY31" s="319">
        <f>$S31/8</f>
        <v>7941.49125</v>
      </c>
      <c r="AZ31" s="319">
        <f t="shared" si="15"/>
        <v>15882.9825</v>
      </c>
      <c r="BA31" s="451"/>
      <c r="BB31" s="451"/>
      <c r="BC31" s="319">
        <f>$S31/8</f>
        <v>7941.49125</v>
      </c>
      <c r="BD31" s="451"/>
      <c r="BE31" s="319">
        <f t="shared" si="16"/>
        <v>7941.49125</v>
      </c>
      <c r="BF31" s="451"/>
      <c r="BG31" s="319">
        <f>$S31/8</f>
        <v>7941.49125</v>
      </c>
      <c r="BH31" s="451"/>
      <c r="BI31" s="451"/>
      <c r="BJ31" s="319">
        <f t="shared" si="17"/>
        <v>7941.49125</v>
      </c>
      <c r="BK31" s="319">
        <f>$S31/8</f>
        <v>7941.49125</v>
      </c>
      <c r="BL31" s="451"/>
      <c r="BM31" s="451"/>
      <c r="BN31" s="319">
        <f>$S31/8</f>
        <v>7941.49125</v>
      </c>
      <c r="BO31" s="319">
        <f t="shared" si="18"/>
        <v>15882.9825</v>
      </c>
      <c r="BP31" s="451"/>
      <c r="BQ31" s="451"/>
      <c r="BR31" s="319">
        <f>$S31/8</f>
        <v>7941.49125</v>
      </c>
      <c r="BS31" s="451"/>
      <c r="BT31" s="319">
        <f t="shared" si="19"/>
        <v>7941.49125</v>
      </c>
      <c r="BU31" s="451"/>
      <c r="BV31" s="319">
        <f>$S31/8</f>
        <v>7941.49125</v>
      </c>
      <c r="BW31" s="451"/>
      <c r="BX31" s="451"/>
      <c r="BY31" s="319">
        <f t="shared" si="20"/>
        <v>7941.49125</v>
      </c>
      <c r="BZ31" s="451"/>
      <c r="CA31" s="451"/>
      <c r="CB31" s="451"/>
      <c r="CC31" s="451"/>
      <c r="CD31" s="319">
        <f t="shared" si="21"/>
        <v>0</v>
      </c>
      <c r="CE31" s="451"/>
      <c r="CF31" s="451"/>
      <c r="CG31" s="451"/>
      <c r="CH31" s="451"/>
      <c r="CI31" s="319">
        <f t="shared" si="22"/>
        <v>0</v>
      </c>
      <c r="CJ31" s="451"/>
      <c r="CK31" s="451"/>
      <c r="CL31" s="451"/>
      <c r="CM31" s="451"/>
      <c r="CN31" s="319">
        <f t="shared" si="23"/>
        <v>0</v>
      </c>
      <c r="CO31" s="451">
        <f t="shared" si="24"/>
        <v>63531.93</v>
      </c>
      <c r="CP31" s="451">
        <f t="shared" si="9"/>
        <v>63531.93</v>
      </c>
      <c r="CQ31" s="452">
        <f t="shared" si="10"/>
        <v>1</v>
      </c>
    </row>
    <row r="32" spans="1:95" ht="12.75">
      <c r="A32" s="318" t="s">
        <v>165</v>
      </c>
      <c r="B32" s="318" t="s">
        <v>17</v>
      </c>
      <c r="C32" s="320">
        <v>1.29</v>
      </c>
      <c r="D32" s="321"/>
      <c r="E32" s="321"/>
      <c r="F32" s="322"/>
      <c r="G32" s="319"/>
      <c r="H32" s="322"/>
      <c r="I32" s="322"/>
      <c r="J32" s="328">
        <f>K32*J$8</f>
        <v>2113.4727900000003</v>
      </c>
      <c r="K32" s="328">
        <f>L$11*$C32*CMF*0.67</f>
        <v>2113.4727900000003</v>
      </c>
      <c r="L32" s="322">
        <f>+K32/K$11</f>
        <v>1.2902764285714288</v>
      </c>
      <c r="M32" s="328">
        <f>N32*N$8</f>
        <v>69547.800960000008</v>
      </c>
      <c r="N32" s="328">
        <f>O$11*$C32*CMF*0.67</f>
        <v>965.94168000000013</v>
      </c>
      <c r="O32" s="322">
        <f>+N32/N$11</f>
        <v>0.95073000000000019</v>
      </c>
      <c r="P32" s="328">
        <f>Q32*Q$8</f>
        <v>87339.762180000005</v>
      </c>
      <c r="Q32" s="328">
        <f>R$11*$C32*CMF*0.67</f>
        <v>1431.7993800000002</v>
      </c>
      <c r="R32" s="322">
        <f>+Q32/Q$11</f>
        <v>1.1803787139323991</v>
      </c>
      <c r="S32" s="329">
        <f t="shared" si="26"/>
        <v>156887.56314000001</v>
      </c>
      <c r="T32" s="330">
        <f>+S32/S$8</f>
        <v>1179.6057378947369</v>
      </c>
      <c r="U32" s="322">
        <f t="shared" si="25"/>
        <v>1.0662106299228653</v>
      </c>
      <c r="V32" s="326">
        <f>+S32/TotalCost</f>
        <v>1.2330992302376543E-2</v>
      </c>
      <c r="W32" s="327">
        <f t="shared" si="8"/>
        <v>1.0121778580545403E-2</v>
      </c>
      <c r="X32" s="433"/>
      <c r="Y32" s="437"/>
      <c r="Z32" s="525"/>
      <c r="AA32" s="445"/>
      <c r="AB32" s="507"/>
      <c r="AC32" s="263"/>
      <c r="AD32" s="445"/>
      <c r="AE32" s="264"/>
      <c r="AF32" s="455" t="s">
        <v>17</v>
      </c>
      <c r="AG32" s="319"/>
      <c r="AH32" s="319"/>
      <c r="AI32" s="319"/>
      <c r="AJ32" s="319"/>
      <c r="AK32" s="319">
        <f t="shared" si="12"/>
        <v>0</v>
      </c>
      <c r="AL32" s="319"/>
      <c r="AM32" s="319"/>
      <c r="AN32" s="319"/>
      <c r="AO32" s="319"/>
      <c r="AP32" s="319">
        <f t="shared" si="13"/>
        <v>0</v>
      </c>
      <c r="AQ32" s="319"/>
      <c r="AR32" s="319"/>
      <c r="AS32" s="319"/>
      <c r="AT32" s="451"/>
      <c r="AU32" s="319">
        <f t="shared" si="14"/>
        <v>0</v>
      </c>
      <c r="AV32" s="319">
        <f>$S32/8</f>
        <v>19610.945392500002</v>
      </c>
      <c r="AW32" s="451"/>
      <c r="AX32" s="451"/>
      <c r="AY32" s="319">
        <f>$S32/8</f>
        <v>19610.945392500002</v>
      </c>
      <c r="AZ32" s="319">
        <f t="shared" si="15"/>
        <v>39221.890785000003</v>
      </c>
      <c r="BA32" s="451"/>
      <c r="BB32" s="451"/>
      <c r="BC32" s="319">
        <f>$S32/8</f>
        <v>19610.945392500002</v>
      </c>
      <c r="BD32" s="451"/>
      <c r="BE32" s="319">
        <f t="shared" si="16"/>
        <v>19610.945392500002</v>
      </c>
      <c r="BF32" s="451"/>
      <c r="BG32" s="319">
        <f>$S32/8</f>
        <v>19610.945392500002</v>
      </c>
      <c r="BH32" s="451"/>
      <c r="BI32" s="451"/>
      <c r="BJ32" s="319">
        <f t="shared" si="17"/>
        <v>19610.945392500002</v>
      </c>
      <c r="BK32" s="319">
        <f>$S32/8</f>
        <v>19610.945392500002</v>
      </c>
      <c r="BL32" s="451"/>
      <c r="BM32" s="451"/>
      <c r="BN32" s="319">
        <f>$S32/8</f>
        <v>19610.945392500002</v>
      </c>
      <c r="BO32" s="319">
        <f t="shared" si="18"/>
        <v>39221.890785000003</v>
      </c>
      <c r="BP32" s="451"/>
      <c r="BQ32" s="451"/>
      <c r="BR32" s="319">
        <f>$S32/8</f>
        <v>19610.945392500002</v>
      </c>
      <c r="BS32" s="451"/>
      <c r="BT32" s="319">
        <f t="shared" si="19"/>
        <v>19610.945392500002</v>
      </c>
      <c r="BU32" s="451"/>
      <c r="BV32" s="319">
        <f>$S32/8</f>
        <v>19610.945392500002</v>
      </c>
      <c r="BW32" s="451"/>
      <c r="BX32" s="451"/>
      <c r="BY32" s="319">
        <f t="shared" si="20"/>
        <v>19610.945392500002</v>
      </c>
      <c r="BZ32" s="451"/>
      <c r="CA32" s="451"/>
      <c r="CB32" s="451"/>
      <c r="CC32" s="451"/>
      <c r="CD32" s="319">
        <f t="shared" si="21"/>
        <v>0</v>
      </c>
      <c r="CE32" s="451"/>
      <c r="CF32" s="451"/>
      <c r="CG32" s="451"/>
      <c r="CH32" s="451"/>
      <c r="CI32" s="319">
        <f t="shared" si="22"/>
        <v>0</v>
      </c>
      <c r="CJ32" s="451"/>
      <c r="CK32" s="451"/>
      <c r="CL32" s="451"/>
      <c r="CM32" s="451"/>
      <c r="CN32" s="319">
        <f t="shared" si="23"/>
        <v>0</v>
      </c>
      <c r="CO32" s="451">
        <f t="shared" si="24"/>
        <v>156887.56314000001</v>
      </c>
      <c r="CP32" s="451">
        <f t="shared" si="9"/>
        <v>156887.56314000001</v>
      </c>
      <c r="CQ32" s="452">
        <f t="shared" si="10"/>
        <v>1</v>
      </c>
    </row>
    <row r="33" spans="1:95" ht="12.75">
      <c r="A33" s="318"/>
      <c r="B33" s="332" t="s">
        <v>18</v>
      </c>
      <c r="C33" s="331"/>
      <c r="D33" s="321"/>
      <c r="E33" s="321"/>
      <c r="F33" s="322"/>
      <c r="G33" s="319"/>
      <c r="H33" s="322"/>
      <c r="I33" s="322"/>
      <c r="J33" s="328"/>
      <c r="K33" s="334"/>
      <c r="L33" s="322"/>
      <c r="M33" s="328"/>
      <c r="N33" s="328"/>
      <c r="O33" s="322"/>
      <c r="P33" s="328">
        <f>Q33*Q$8</f>
        <v>0</v>
      </c>
      <c r="Q33" s="327"/>
      <c r="R33" s="322">
        <f>+Q33/Q$11</f>
        <v>0</v>
      </c>
      <c r="S33" s="330"/>
      <c r="T33" s="330"/>
      <c r="U33" s="322"/>
      <c r="V33" s="327"/>
      <c r="W33" s="327"/>
      <c r="X33" s="433"/>
      <c r="Y33" s="437"/>
      <c r="Z33" s="327"/>
      <c r="AA33" s="327"/>
      <c r="AB33" s="507"/>
      <c r="AC33" s="263"/>
      <c r="AD33" s="327"/>
      <c r="AE33" s="264"/>
      <c r="AF33" s="453" t="s">
        <v>18</v>
      </c>
      <c r="AG33" s="319"/>
      <c r="AH33" s="319"/>
      <c r="AI33" s="319"/>
      <c r="AJ33" s="319"/>
      <c r="AK33" s="319">
        <f t="shared" si="12"/>
        <v>0</v>
      </c>
      <c r="AL33" s="319"/>
      <c r="AM33" s="451"/>
      <c r="AN33" s="451"/>
      <c r="AO33" s="451"/>
      <c r="AP33" s="319">
        <f t="shared" si="13"/>
        <v>0</v>
      </c>
      <c r="AQ33" s="451"/>
      <c r="AR33" s="451"/>
      <c r="AS33" s="451"/>
      <c r="AT33" s="451"/>
      <c r="AU33" s="319">
        <f t="shared" si="14"/>
        <v>0</v>
      </c>
      <c r="AV33" s="451"/>
      <c r="AW33" s="451"/>
      <c r="AX33" s="451"/>
      <c r="AY33" s="451"/>
      <c r="AZ33" s="319">
        <f t="shared" si="15"/>
        <v>0</v>
      </c>
      <c r="BA33" s="451"/>
      <c r="BB33" s="451"/>
      <c r="BC33" s="451"/>
      <c r="BD33" s="451"/>
      <c r="BE33" s="319">
        <f t="shared" si="16"/>
        <v>0</v>
      </c>
      <c r="BF33" s="451"/>
      <c r="BG33" s="451"/>
      <c r="BH33" s="451"/>
      <c r="BI33" s="451"/>
      <c r="BJ33" s="319">
        <f t="shared" si="17"/>
        <v>0</v>
      </c>
      <c r="BK33" s="451"/>
      <c r="BL33" s="451"/>
      <c r="BM33" s="451"/>
      <c r="BN33" s="451"/>
      <c r="BO33" s="319">
        <f t="shared" si="18"/>
        <v>0</v>
      </c>
      <c r="BP33" s="451"/>
      <c r="BQ33" s="451"/>
      <c r="BR33" s="451"/>
      <c r="BS33" s="451"/>
      <c r="BT33" s="319">
        <f t="shared" si="19"/>
        <v>0</v>
      </c>
      <c r="BU33" s="451"/>
      <c r="BV33" s="451"/>
      <c r="BW33" s="451"/>
      <c r="BX33" s="451"/>
      <c r="BY33" s="319">
        <f t="shared" si="20"/>
        <v>0</v>
      </c>
      <c r="BZ33" s="451"/>
      <c r="CA33" s="451"/>
      <c r="CB33" s="451"/>
      <c r="CC33" s="451"/>
      <c r="CD33" s="319">
        <f t="shared" si="21"/>
        <v>0</v>
      </c>
      <c r="CE33" s="451"/>
      <c r="CF33" s="451"/>
      <c r="CG33" s="451"/>
      <c r="CH33" s="451"/>
      <c r="CI33" s="319">
        <f t="shared" si="22"/>
        <v>0</v>
      </c>
      <c r="CJ33" s="451"/>
      <c r="CK33" s="451"/>
      <c r="CL33" s="451"/>
      <c r="CM33" s="451"/>
      <c r="CN33" s="319">
        <f t="shared" si="23"/>
        <v>0</v>
      </c>
      <c r="CO33" s="451">
        <f t="shared" si="24"/>
        <v>0</v>
      </c>
      <c r="CP33" s="451"/>
      <c r="CQ33" s="452"/>
    </row>
    <row r="34" spans="1:95" ht="12.75">
      <c r="A34" s="318" t="s">
        <v>164</v>
      </c>
      <c r="B34" s="318" t="s">
        <v>67</v>
      </c>
      <c r="C34" s="335">
        <v>2.37</v>
      </c>
      <c r="D34" s="321" t="s">
        <v>497</v>
      </c>
      <c r="E34" s="336"/>
      <c r="F34" s="322"/>
      <c r="G34" s="319"/>
      <c r="H34" s="322"/>
      <c r="I34" s="322"/>
      <c r="J34" s="328">
        <f t="shared" ref="J34:J41" si="27">K34*J$8</f>
        <v>4270.2660000000005</v>
      </c>
      <c r="K34" s="328">
        <f>K$11*2.37*CMF</f>
        <v>4270.2660000000005</v>
      </c>
      <c r="L34" s="322">
        <f t="shared" ref="L34:L41" si="28">+K34/K$11</f>
        <v>2.6070000000000002</v>
      </c>
      <c r="M34" s="328">
        <f t="shared" ref="M34:M41" si="29">N34*N$8</f>
        <v>190707.26400000002</v>
      </c>
      <c r="N34" s="328">
        <f>N$11*2.37*CMF</f>
        <v>2648.7120000000004</v>
      </c>
      <c r="O34" s="322">
        <f t="shared" ref="O34:O41" si="30">+N34/N$11</f>
        <v>2.6070000000000007</v>
      </c>
      <c r="P34" s="328">
        <f t="shared" ref="P34:P41" si="31">Q34*Q$8</f>
        <v>192899.75100000002</v>
      </c>
      <c r="Q34" s="328">
        <f>Q$11*2.37*CMF</f>
        <v>3162.2910000000002</v>
      </c>
      <c r="R34" s="322">
        <f t="shared" ref="R34:R41" si="32">+Q34/Q$11</f>
        <v>2.6070000000000002</v>
      </c>
      <c r="S34" s="329">
        <f t="shared" si="26"/>
        <v>383607.01500000001</v>
      </c>
      <c r="T34" s="330">
        <f t="shared" ref="T34:T41" si="33">+S34/S$8</f>
        <v>2884.2632706766917</v>
      </c>
      <c r="U34" s="322">
        <f t="shared" si="25"/>
        <v>2.6070000000000002</v>
      </c>
      <c r="V34" s="326">
        <f t="shared" ref="V34:V41" si="34">+S34/TotalCost</f>
        <v>3.0150606296826459E-2</v>
      </c>
      <c r="W34" s="327">
        <f t="shared" si="8"/>
        <v>2.474884044383506E-2</v>
      </c>
      <c r="X34" s="433"/>
      <c r="Y34" s="437"/>
      <c r="Z34" s="327"/>
      <c r="AA34" s="327"/>
      <c r="AB34" s="507"/>
      <c r="AC34" s="263"/>
      <c r="AD34" s="327"/>
      <c r="AE34" s="264"/>
      <c r="AF34" s="455" t="s">
        <v>67</v>
      </c>
      <c r="AG34" s="319"/>
      <c r="AH34" s="319"/>
      <c r="AI34" s="319"/>
      <c r="AJ34" s="319"/>
      <c r="AK34" s="319">
        <f t="shared" si="12"/>
        <v>0</v>
      </c>
      <c r="AL34" s="319"/>
      <c r="AM34" s="319"/>
      <c r="AN34" s="319"/>
      <c r="AO34" s="319"/>
      <c r="AP34" s="319">
        <f t="shared" si="13"/>
        <v>0</v>
      </c>
      <c r="AQ34" s="319"/>
      <c r="AR34" s="451"/>
      <c r="AS34" s="451"/>
      <c r="AT34" s="451"/>
      <c r="AU34" s="319">
        <f t="shared" si="14"/>
        <v>0</v>
      </c>
      <c r="AV34" s="319">
        <f>$S34/8</f>
        <v>47950.876875000002</v>
      </c>
      <c r="AW34" s="319"/>
      <c r="AX34" s="451"/>
      <c r="AY34" s="319">
        <f>$S34/8</f>
        <v>47950.876875000002</v>
      </c>
      <c r="AZ34" s="319">
        <f t="shared" si="15"/>
        <v>95901.753750000003</v>
      </c>
      <c r="BA34" s="319"/>
      <c r="BB34" s="451"/>
      <c r="BC34" s="319">
        <f>$S34/8</f>
        <v>47950.876875000002</v>
      </c>
      <c r="BD34" s="451"/>
      <c r="BE34" s="319">
        <f t="shared" si="16"/>
        <v>47950.876875000002</v>
      </c>
      <c r="BF34" s="451"/>
      <c r="BG34" s="319">
        <f>$S34/8</f>
        <v>47950.876875000002</v>
      </c>
      <c r="BH34" s="451"/>
      <c r="BI34" s="451"/>
      <c r="BJ34" s="319">
        <f t="shared" si="17"/>
        <v>47950.876875000002</v>
      </c>
      <c r="BK34" s="319">
        <f>$S34/8</f>
        <v>47950.876875000002</v>
      </c>
      <c r="BL34" s="451"/>
      <c r="BM34" s="451"/>
      <c r="BN34" s="319">
        <f>$S34/8</f>
        <v>47950.876875000002</v>
      </c>
      <c r="BO34" s="319">
        <f t="shared" si="18"/>
        <v>95901.753750000003</v>
      </c>
      <c r="BP34" s="451"/>
      <c r="BQ34" s="451"/>
      <c r="BR34" s="319">
        <f>$S34/8</f>
        <v>47950.876875000002</v>
      </c>
      <c r="BS34" s="451"/>
      <c r="BT34" s="319">
        <f t="shared" si="19"/>
        <v>47950.876875000002</v>
      </c>
      <c r="BU34" s="451"/>
      <c r="BV34" s="319">
        <f>$S34/8</f>
        <v>47950.876875000002</v>
      </c>
      <c r="BW34" s="451"/>
      <c r="BX34" s="451"/>
      <c r="BY34" s="319">
        <f t="shared" si="20"/>
        <v>47950.876875000002</v>
      </c>
      <c r="BZ34" s="451"/>
      <c r="CA34" s="451"/>
      <c r="CB34" s="451"/>
      <c r="CC34" s="451"/>
      <c r="CD34" s="319">
        <f t="shared" si="21"/>
        <v>0</v>
      </c>
      <c r="CE34" s="451"/>
      <c r="CF34" s="451"/>
      <c r="CG34" s="451"/>
      <c r="CH34" s="451"/>
      <c r="CI34" s="319">
        <f t="shared" si="22"/>
        <v>0</v>
      </c>
      <c r="CJ34" s="451"/>
      <c r="CK34" s="451"/>
      <c r="CL34" s="451"/>
      <c r="CM34" s="451"/>
      <c r="CN34" s="319">
        <f t="shared" si="23"/>
        <v>0</v>
      </c>
      <c r="CO34" s="451">
        <f t="shared" si="24"/>
        <v>383607.01500000001</v>
      </c>
      <c r="CP34" s="451">
        <f t="shared" si="9"/>
        <v>383607.01500000001</v>
      </c>
      <c r="CQ34" s="452">
        <f t="shared" si="10"/>
        <v>1</v>
      </c>
    </row>
    <row r="35" spans="1:95" ht="12.75">
      <c r="A35" s="318" t="s">
        <v>164</v>
      </c>
      <c r="B35" s="318" t="s">
        <v>200</v>
      </c>
      <c r="C35" s="335">
        <v>2.12</v>
      </c>
      <c r="D35" s="321" t="s">
        <v>497</v>
      </c>
      <c r="E35" s="336"/>
      <c r="F35" s="322"/>
      <c r="G35" s="319"/>
      <c r="H35" s="322"/>
      <c r="I35" s="322"/>
      <c r="J35" s="328">
        <f t="shared" si="27"/>
        <v>3819.8160000000007</v>
      </c>
      <c r="K35" s="328">
        <f>K$11*2.12*CMF</f>
        <v>3819.8160000000007</v>
      </c>
      <c r="L35" s="322">
        <f>+K35/K$11</f>
        <v>2.3320000000000003</v>
      </c>
      <c r="M35" s="328">
        <f t="shared" si="29"/>
        <v>170590.46400000004</v>
      </c>
      <c r="N35" s="328">
        <f>N$11*2.12*CMF</f>
        <v>2369.3120000000004</v>
      </c>
      <c r="O35" s="322">
        <f t="shared" si="30"/>
        <v>2.3320000000000003</v>
      </c>
      <c r="P35" s="328">
        <f t="shared" si="31"/>
        <v>172551.67600000004</v>
      </c>
      <c r="Q35" s="328">
        <f>Q$11*2.12*CMF</f>
        <v>2828.7160000000003</v>
      </c>
      <c r="R35" s="322">
        <f t="shared" si="32"/>
        <v>2.3320000000000003</v>
      </c>
      <c r="S35" s="329">
        <f t="shared" si="26"/>
        <v>343142.14000000007</v>
      </c>
      <c r="T35" s="330">
        <f t="shared" si="33"/>
        <v>2580.0160902255643</v>
      </c>
      <c r="U35" s="322">
        <f t="shared" si="25"/>
        <v>2.3320000000000003</v>
      </c>
      <c r="V35" s="326">
        <f t="shared" si="34"/>
        <v>2.6970162594629581E-2</v>
      </c>
      <c r="W35" s="327">
        <f t="shared" si="8"/>
        <v>2.2138203266215333E-2</v>
      </c>
      <c r="X35" s="433"/>
      <c r="Y35" s="437"/>
      <c r="Z35" s="327"/>
      <c r="AA35" s="327"/>
      <c r="AB35" s="507"/>
      <c r="AC35" s="263"/>
      <c r="AD35" s="327"/>
      <c r="AE35" s="264"/>
      <c r="AF35" s="455" t="s">
        <v>200</v>
      </c>
      <c r="AG35" s="319"/>
      <c r="AH35" s="319"/>
      <c r="AI35" s="319"/>
      <c r="AJ35" s="319"/>
      <c r="AK35" s="319">
        <f t="shared" si="12"/>
        <v>0</v>
      </c>
      <c r="AL35" s="319"/>
      <c r="AM35" s="319"/>
      <c r="AN35" s="319"/>
      <c r="AO35" s="319"/>
      <c r="AP35" s="319">
        <f t="shared" si="13"/>
        <v>0</v>
      </c>
      <c r="AQ35" s="319"/>
      <c r="AR35" s="451"/>
      <c r="AS35" s="319"/>
      <c r="AT35" s="319">
        <f>$S35/8</f>
        <v>42892.767500000009</v>
      </c>
      <c r="AU35" s="319">
        <f t="shared" si="14"/>
        <v>42892.767500000009</v>
      </c>
      <c r="AV35" s="451"/>
      <c r="AW35" s="319"/>
      <c r="AX35" s="319">
        <f>$S35/8</f>
        <v>42892.767500000009</v>
      </c>
      <c r="AY35" s="451"/>
      <c r="AZ35" s="319">
        <f t="shared" si="15"/>
        <v>42892.767500000009</v>
      </c>
      <c r="BA35" s="319"/>
      <c r="BB35" s="319">
        <f>$S35/8</f>
        <v>42892.767500000009</v>
      </c>
      <c r="BC35" s="451"/>
      <c r="BD35" s="319"/>
      <c r="BE35" s="319">
        <f t="shared" si="16"/>
        <v>42892.767500000009</v>
      </c>
      <c r="BF35" s="319">
        <f>$S35/8</f>
        <v>42892.767500000009</v>
      </c>
      <c r="BG35" s="451"/>
      <c r="BH35" s="319"/>
      <c r="BI35" s="319">
        <f>$S35/8</f>
        <v>42892.767500000009</v>
      </c>
      <c r="BJ35" s="319">
        <f t="shared" si="17"/>
        <v>85785.535000000018</v>
      </c>
      <c r="BK35" s="451"/>
      <c r="BL35" s="319"/>
      <c r="BM35" s="319">
        <f>$S35/8</f>
        <v>42892.767500000009</v>
      </c>
      <c r="BN35" s="451"/>
      <c r="BO35" s="319">
        <f t="shared" si="18"/>
        <v>42892.767500000009</v>
      </c>
      <c r="BP35" s="451"/>
      <c r="BQ35" s="319">
        <f>$S35/8</f>
        <v>42892.767500000009</v>
      </c>
      <c r="BR35" s="451"/>
      <c r="BS35" s="319"/>
      <c r="BT35" s="319">
        <f t="shared" si="19"/>
        <v>42892.767500000009</v>
      </c>
      <c r="BU35" s="319">
        <f>$S35/8</f>
        <v>42892.767500000009</v>
      </c>
      <c r="BV35" s="451"/>
      <c r="BW35" s="451"/>
      <c r="BX35" s="451"/>
      <c r="BY35" s="319">
        <f t="shared" si="20"/>
        <v>42892.767500000009</v>
      </c>
      <c r="BZ35" s="451"/>
      <c r="CA35" s="451"/>
      <c r="CB35" s="451"/>
      <c r="CC35" s="451"/>
      <c r="CD35" s="319">
        <f t="shared" si="21"/>
        <v>0</v>
      </c>
      <c r="CE35" s="451"/>
      <c r="CF35" s="451"/>
      <c r="CG35" s="451"/>
      <c r="CH35" s="451"/>
      <c r="CI35" s="319">
        <f t="shared" si="22"/>
        <v>0</v>
      </c>
      <c r="CJ35" s="451"/>
      <c r="CK35" s="451"/>
      <c r="CL35" s="451"/>
      <c r="CM35" s="451"/>
      <c r="CN35" s="319">
        <f t="shared" si="23"/>
        <v>0</v>
      </c>
      <c r="CO35" s="451">
        <f t="shared" si="24"/>
        <v>343142.14000000007</v>
      </c>
      <c r="CP35" s="451">
        <f t="shared" si="9"/>
        <v>343142.14000000007</v>
      </c>
      <c r="CQ35" s="452">
        <f t="shared" si="10"/>
        <v>1</v>
      </c>
    </row>
    <row r="36" spans="1:95" ht="12.75">
      <c r="A36" s="318" t="s">
        <v>164</v>
      </c>
      <c r="B36" s="318" t="s">
        <v>19</v>
      </c>
      <c r="C36" s="331">
        <f>5.5*0.3</f>
        <v>1.65</v>
      </c>
      <c r="D36" s="321" t="s">
        <v>497</v>
      </c>
      <c r="E36" s="336"/>
      <c r="F36" s="322"/>
      <c r="G36" s="319"/>
      <c r="H36" s="322"/>
      <c r="I36" s="322"/>
      <c r="J36" s="328">
        <f t="shared" si="27"/>
        <v>2972.9700000000003</v>
      </c>
      <c r="K36" s="328">
        <f>K$11*5.5*CMF*0.3</f>
        <v>2972.9700000000003</v>
      </c>
      <c r="L36" s="322">
        <f t="shared" si="28"/>
        <v>1.8150000000000002</v>
      </c>
      <c r="M36" s="328">
        <f t="shared" si="29"/>
        <v>132770.88</v>
      </c>
      <c r="N36" s="328">
        <f>N$11*5.5*CMF*0.3</f>
        <v>1844.04</v>
      </c>
      <c r="O36" s="322">
        <f t="shared" si="30"/>
        <v>1.8149999999999999</v>
      </c>
      <c r="P36" s="328">
        <f t="shared" si="31"/>
        <v>134297.29500000001</v>
      </c>
      <c r="Q36" s="328">
        <f>Q$11*5.5*CMF*0.3</f>
        <v>2201.5950000000003</v>
      </c>
      <c r="R36" s="322">
        <f t="shared" si="32"/>
        <v>1.8150000000000002</v>
      </c>
      <c r="S36" s="329">
        <f t="shared" si="26"/>
        <v>267068.17500000005</v>
      </c>
      <c r="T36" s="330">
        <f t="shared" si="33"/>
        <v>2008.0313909774441</v>
      </c>
      <c r="U36" s="322">
        <f t="shared" si="25"/>
        <v>1.8150000000000004</v>
      </c>
      <c r="V36" s="326">
        <f t="shared" si="34"/>
        <v>2.0990928434499439E-2</v>
      </c>
      <c r="W36" s="327">
        <f t="shared" si="8"/>
        <v>1.7230205372290235E-2</v>
      </c>
      <c r="X36" s="433"/>
      <c r="Y36" s="437"/>
      <c r="Z36" s="327"/>
      <c r="AA36" s="327"/>
      <c r="AB36" s="507"/>
      <c r="AC36" s="263"/>
      <c r="AD36" s="327"/>
      <c r="AE36" s="264"/>
      <c r="AF36" s="455" t="s">
        <v>19</v>
      </c>
      <c r="AG36" s="319"/>
      <c r="AH36" s="319"/>
      <c r="AI36" s="319"/>
      <c r="AJ36" s="319"/>
      <c r="AK36" s="319">
        <f t="shared" si="12"/>
        <v>0</v>
      </c>
      <c r="AL36" s="319"/>
      <c r="AM36" s="319"/>
      <c r="AN36" s="319"/>
      <c r="AO36" s="319"/>
      <c r="AP36" s="319">
        <f t="shared" si="13"/>
        <v>0</v>
      </c>
      <c r="AQ36" s="319"/>
      <c r="AR36" s="451"/>
      <c r="AS36" s="319">
        <f>$S36/8</f>
        <v>33383.521875000006</v>
      </c>
      <c r="AT36" s="451"/>
      <c r="AU36" s="319">
        <f t="shared" si="14"/>
        <v>33383.521875000006</v>
      </c>
      <c r="AV36" s="451"/>
      <c r="AW36" s="319">
        <f>$S36/8</f>
        <v>33383.521875000006</v>
      </c>
      <c r="AX36" s="451"/>
      <c r="AY36" s="451"/>
      <c r="AZ36" s="319">
        <f t="shared" si="15"/>
        <v>33383.521875000006</v>
      </c>
      <c r="BA36" s="319">
        <f>$S36/8</f>
        <v>33383.521875000006</v>
      </c>
      <c r="BB36" s="451"/>
      <c r="BC36" s="451"/>
      <c r="BD36" s="319">
        <f>$S36/8</f>
        <v>33383.521875000006</v>
      </c>
      <c r="BE36" s="319">
        <f t="shared" si="16"/>
        <v>66767.043750000012</v>
      </c>
      <c r="BF36" s="451"/>
      <c r="BG36" s="451"/>
      <c r="BH36" s="319">
        <f>$S36/8</f>
        <v>33383.521875000006</v>
      </c>
      <c r="BI36" s="451"/>
      <c r="BJ36" s="319">
        <f t="shared" si="17"/>
        <v>33383.521875000006</v>
      </c>
      <c r="BK36" s="451"/>
      <c r="BL36" s="319">
        <f>$S36/8</f>
        <v>33383.521875000006</v>
      </c>
      <c r="BM36" s="451"/>
      <c r="BN36" s="451"/>
      <c r="BO36" s="319">
        <f t="shared" si="18"/>
        <v>33383.521875000006</v>
      </c>
      <c r="BP36" s="319">
        <f>$S36/8</f>
        <v>33383.521875000006</v>
      </c>
      <c r="BQ36" s="451"/>
      <c r="BR36" s="451"/>
      <c r="BS36" s="319">
        <f>$S36/8</f>
        <v>33383.521875000006</v>
      </c>
      <c r="BT36" s="319">
        <f t="shared" si="19"/>
        <v>66767.043750000012</v>
      </c>
      <c r="BU36" s="451"/>
      <c r="BV36" s="451"/>
      <c r="BW36" s="451"/>
      <c r="BX36" s="451"/>
      <c r="BY36" s="319">
        <f t="shared" si="20"/>
        <v>0</v>
      </c>
      <c r="BZ36" s="451"/>
      <c r="CA36" s="451"/>
      <c r="CB36" s="451"/>
      <c r="CC36" s="451"/>
      <c r="CD36" s="319">
        <f t="shared" si="21"/>
        <v>0</v>
      </c>
      <c r="CE36" s="451"/>
      <c r="CF36" s="451"/>
      <c r="CG36" s="451"/>
      <c r="CH36" s="451"/>
      <c r="CI36" s="319">
        <f t="shared" si="22"/>
        <v>0</v>
      </c>
      <c r="CJ36" s="451"/>
      <c r="CK36" s="451"/>
      <c r="CL36" s="451"/>
      <c r="CM36" s="451"/>
      <c r="CN36" s="319">
        <f t="shared" si="23"/>
        <v>0</v>
      </c>
      <c r="CO36" s="451">
        <f t="shared" si="24"/>
        <v>267068.17500000005</v>
      </c>
      <c r="CP36" s="451">
        <f t="shared" si="9"/>
        <v>267068.17500000005</v>
      </c>
      <c r="CQ36" s="452">
        <f t="shared" si="10"/>
        <v>1</v>
      </c>
    </row>
    <row r="37" spans="1:95" ht="12.75">
      <c r="A37" s="318" t="s">
        <v>164</v>
      </c>
      <c r="B37" s="318" t="s">
        <v>20</v>
      </c>
      <c r="C37" s="331">
        <f>5.5*0.3</f>
        <v>1.65</v>
      </c>
      <c r="D37" s="321" t="s">
        <v>497</v>
      </c>
      <c r="E37" s="336"/>
      <c r="F37" s="322"/>
      <c r="G37" s="319"/>
      <c r="H37" s="322"/>
      <c r="I37" s="322"/>
      <c r="J37" s="328">
        <f t="shared" si="27"/>
        <v>2972.9700000000003</v>
      </c>
      <c r="K37" s="328">
        <f>K$11*5.5*CMF*0.3</f>
        <v>2972.9700000000003</v>
      </c>
      <c r="L37" s="322">
        <f t="shared" si="28"/>
        <v>1.8150000000000002</v>
      </c>
      <c r="M37" s="328">
        <f t="shared" si="29"/>
        <v>132770.88</v>
      </c>
      <c r="N37" s="328">
        <f>N$11*5.5*CMF*0.3</f>
        <v>1844.04</v>
      </c>
      <c r="O37" s="322">
        <f t="shared" si="30"/>
        <v>1.8149999999999999</v>
      </c>
      <c r="P37" s="328">
        <f t="shared" si="31"/>
        <v>134297.29500000001</v>
      </c>
      <c r="Q37" s="328">
        <f>Q$11*5.5*CMF*0.3</f>
        <v>2201.5950000000003</v>
      </c>
      <c r="R37" s="322">
        <f t="shared" si="32"/>
        <v>1.8150000000000002</v>
      </c>
      <c r="S37" s="329">
        <f t="shared" si="26"/>
        <v>267068.17500000005</v>
      </c>
      <c r="T37" s="330">
        <f t="shared" si="33"/>
        <v>2008.0313909774441</v>
      </c>
      <c r="U37" s="322">
        <f t="shared" si="25"/>
        <v>1.8150000000000004</v>
      </c>
      <c r="V37" s="326">
        <f t="shared" si="34"/>
        <v>2.0990928434499439E-2</v>
      </c>
      <c r="W37" s="327">
        <f t="shared" si="8"/>
        <v>1.7230205372290235E-2</v>
      </c>
      <c r="X37" s="433"/>
      <c r="Y37" s="437"/>
      <c r="Z37" s="327"/>
      <c r="AA37" s="327"/>
      <c r="AB37" s="507"/>
      <c r="AC37" s="263"/>
      <c r="AD37" s="447"/>
      <c r="AE37" s="264"/>
      <c r="AF37" s="455" t="s">
        <v>20</v>
      </c>
      <c r="AG37" s="319"/>
      <c r="AH37" s="319"/>
      <c r="AI37" s="319"/>
      <c r="AJ37" s="319"/>
      <c r="AK37" s="319">
        <f t="shared" si="12"/>
        <v>0</v>
      </c>
      <c r="AL37" s="319"/>
      <c r="AM37" s="319"/>
      <c r="AN37" s="319"/>
      <c r="AO37" s="319"/>
      <c r="AP37" s="319">
        <f t="shared" si="13"/>
        <v>0</v>
      </c>
      <c r="AQ37" s="319"/>
      <c r="AR37" s="451"/>
      <c r="AS37" s="451"/>
      <c r="AT37" s="319">
        <f>$S37/8</f>
        <v>33383.521875000006</v>
      </c>
      <c r="AU37" s="319">
        <f t="shared" si="14"/>
        <v>33383.521875000006</v>
      </c>
      <c r="AV37" s="451"/>
      <c r="AW37" s="451"/>
      <c r="AX37" s="319">
        <f>$S37/8</f>
        <v>33383.521875000006</v>
      </c>
      <c r="AY37" s="451"/>
      <c r="AZ37" s="319">
        <f t="shared" si="15"/>
        <v>33383.521875000006</v>
      </c>
      <c r="BA37" s="451"/>
      <c r="BB37" s="319">
        <f>$S37/8</f>
        <v>33383.521875000006</v>
      </c>
      <c r="BC37" s="451"/>
      <c r="BD37" s="451"/>
      <c r="BE37" s="319">
        <f t="shared" si="16"/>
        <v>33383.521875000006</v>
      </c>
      <c r="BF37" s="319">
        <f>$S37/8</f>
        <v>33383.521875000006</v>
      </c>
      <c r="BG37" s="451"/>
      <c r="BH37" s="451"/>
      <c r="BI37" s="319">
        <f>$S37/8</f>
        <v>33383.521875000006</v>
      </c>
      <c r="BJ37" s="319">
        <f t="shared" si="17"/>
        <v>66767.043750000012</v>
      </c>
      <c r="BK37" s="451"/>
      <c r="BL37" s="451"/>
      <c r="BM37" s="319">
        <f>$S37/8</f>
        <v>33383.521875000006</v>
      </c>
      <c r="BN37" s="451"/>
      <c r="BO37" s="319">
        <f t="shared" si="18"/>
        <v>33383.521875000006</v>
      </c>
      <c r="BP37" s="451"/>
      <c r="BQ37" s="319">
        <f>$S37/8</f>
        <v>33383.521875000006</v>
      </c>
      <c r="BR37" s="451"/>
      <c r="BS37" s="451"/>
      <c r="BT37" s="319">
        <f t="shared" si="19"/>
        <v>33383.521875000006</v>
      </c>
      <c r="BU37" s="319">
        <f>$S37/8</f>
        <v>33383.521875000006</v>
      </c>
      <c r="BV37" s="451"/>
      <c r="BW37" s="451"/>
      <c r="BX37" s="451"/>
      <c r="BY37" s="319">
        <f t="shared" si="20"/>
        <v>33383.521875000006</v>
      </c>
      <c r="BZ37" s="451"/>
      <c r="CA37" s="451"/>
      <c r="CB37" s="451"/>
      <c r="CC37" s="451"/>
      <c r="CD37" s="319">
        <f t="shared" si="21"/>
        <v>0</v>
      </c>
      <c r="CE37" s="451"/>
      <c r="CF37" s="451"/>
      <c r="CG37" s="451"/>
      <c r="CH37" s="451"/>
      <c r="CI37" s="319">
        <f t="shared" si="22"/>
        <v>0</v>
      </c>
      <c r="CJ37" s="451"/>
      <c r="CK37" s="451"/>
      <c r="CL37" s="451"/>
      <c r="CM37" s="451"/>
      <c r="CN37" s="319">
        <f t="shared" si="23"/>
        <v>0</v>
      </c>
      <c r="CO37" s="451">
        <f t="shared" si="24"/>
        <v>267068.17500000005</v>
      </c>
      <c r="CP37" s="451">
        <f t="shared" si="9"/>
        <v>267068.17500000005</v>
      </c>
      <c r="CQ37" s="452">
        <f t="shared" si="10"/>
        <v>1</v>
      </c>
    </row>
    <row r="38" spans="1:95" ht="12.75">
      <c r="A38" s="318" t="s">
        <v>164</v>
      </c>
      <c r="B38" s="318" t="s">
        <v>21</v>
      </c>
      <c r="C38" s="331">
        <f>5.5*0.1</f>
        <v>0.55000000000000004</v>
      </c>
      <c r="D38" s="321" t="s">
        <v>497</v>
      </c>
      <c r="E38" s="337"/>
      <c r="F38" s="322"/>
      <c r="G38" s="319"/>
      <c r="H38" s="322"/>
      <c r="I38" s="322"/>
      <c r="J38" s="328">
        <f t="shared" si="27"/>
        <v>990.99000000000024</v>
      </c>
      <c r="K38" s="328">
        <f>K$11*5.5*CMF*0.1</f>
        <v>990.99000000000024</v>
      </c>
      <c r="L38" s="322">
        <f t="shared" si="28"/>
        <v>0.60500000000000009</v>
      </c>
      <c r="M38" s="328">
        <f t="shared" si="29"/>
        <v>44256.960000000006</v>
      </c>
      <c r="N38" s="328">
        <f>N$11*5.5*CMF*0.1</f>
        <v>614.68000000000006</v>
      </c>
      <c r="O38" s="322">
        <f t="shared" si="30"/>
        <v>0.60500000000000009</v>
      </c>
      <c r="P38" s="328">
        <f t="shared" si="31"/>
        <v>44765.765000000007</v>
      </c>
      <c r="Q38" s="328">
        <f>Q$11*5.5*CMF*0.1</f>
        <v>733.86500000000012</v>
      </c>
      <c r="R38" s="322">
        <f t="shared" si="32"/>
        <v>0.60500000000000009</v>
      </c>
      <c r="S38" s="329">
        <f t="shared" si="26"/>
        <v>89022.725000000006</v>
      </c>
      <c r="T38" s="330">
        <f t="shared" si="33"/>
        <v>669.3437969924812</v>
      </c>
      <c r="U38" s="322">
        <f t="shared" si="25"/>
        <v>0.60500000000000009</v>
      </c>
      <c r="V38" s="326">
        <f t="shared" si="34"/>
        <v>6.9969761448331448E-3</v>
      </c>
      <c r="W38" s="327">
        <f t="shared" si="8"/>
        <v>5.7434017907634109E-3</v>
      </c>
      <c r="X38" s="433"/>
      <c r="Y38" s="437"/>
      <c r="Z38" s="327"/>
      <c r="AA38" s="327"/>
      <c r="AB38" s="507"/>
      <c r="AC38" s="263"/>
      <c r="AD38" s="327"/>
      <c r="AE38" s="264"/>
      <c r="AF38" s="455" t="s">
        <v>21</v>
      </c>
      <c r="AG38" s="319"/>
      <c r="AH38" s="319"/>
      <c r="AI38" s="319"/>
      <c r="AJ38" s="319"/>
      <c r="AK38" s="319">
        <f t="shared" si="12"/>
        <v>0</v>
      </c>
      <c r="AL38" s="319"/>
      <c r="AM38" s="319"/>
      <c r="AN38" s="319"/>
      <c r="AO38" s="319"/>
      <c r="AP38" s="319">
        <f t="shared" si="13"/>
        <v>0</v>
      </c>
      <c r="AQ38" s="319"/>
      <c r="AR38" s="451"/>
      <c r="AS38" s="451"/>
      <c r="AT38" s="451"/>
      <c r="AU38" s="319">
        <f t="shared" si="14"/>
        <v>0</v>
      </c>
      <c r="AV38" s="319">
        <f>$S38/8</f>
        <v>11127.840625000001</v>
      </c>
      <c r="AW38" s="451"/>
      <c r="AX38" s="451"/>
      <c r="AY38" s="319">
        <f>$S38/8</f>
        <v>11127.840625000001</v>
      </c>
      <c r="AZ38" s="319">
        <f t="shared" si="15"/>
        <v>22255.681250000001</v>
      </c>
      <c r="BA38" s="451"/>
      <c r="BB38" s="451"/>
      <c r="BC38" s="319">
        <f>$S38/8</f>
        <v>11127.840625000001</v>
      </c>
      <c r="BD38" s="451"/>
      <c r="BE38" s="319">
        <f t="shared" si="16"/>
        <v>11127.840625000001</v>
      </c>
      <c r="BF38" s="451"/>
      <c r="BG38" s="319">
        <f>$S38/8</f>
        <v>11127.840625000001</v>
      </c>
      <c r="BH38" s="451"/>
      <c r="BI38" s="451"/>
      <c r="BJ38" s="319">
        <f t="shared" si="17"/>
        <v>11127.840625000001</v>
      </c>
      <c r="BK38" s="319">
        <f>$S38/8</f>
        <v>11127.840625000001</v>
      </c>
      <c r="BL38" s="451"/>
      <c r="BM38" s="451"/>
      <c r="BN38" s="319">
        <f>$S38/8</f>
        <v>11127.840625000001</v>
      </c>
      <c r="BO38" s="319">
        <f t="shared" si="18"/>
        <v>22255.681250000001</v>
      </c>
      <c r="BP38" s="451"/>
      <c r="BQ38" s="451"/>
      <c r="BR38" s="319">
        <f>$S38/8</f>
        <v>11127.840625000001</v>
      </c>
      <c r="BS38" s="451"/>
      <c r="BT38" s="319">
        <f t="shared" si="19"/>
        <v>11127.840625000001</v>
      </c>
      <c r="BU38" s="451"/>
      <c r="BV38" s="319">
        <f>$S38/8</f>
        <v>11127.840625000001</v>
      </c>
      <c r="BW38" s="451"/>
      <c r="BX38" s="451"/>
      <c r="BY38" s="319">
        <f t="shared" si="20"/>
        <v>11127.840625000001</v>
      </c>
      <c r="BZ38" s="451"/>
      <c r="CA38" s="451"/>
      <c r="CB38" s="451"/>
      <c r="CC38" s="451"/>
      <c r="CD38" s="319">
        <f t="shared" si="21"/>
        <v>0</v>
      </c>
      <c r="CE38" s="451"/>
      <c r="CF38" s="451"/>
      <c r="CG38" s="451"/>
      <c r="CH38" s="451"/>
      <c r="CI38" s="319">
        <f t="shared" si="22"/>
        <v>0</v>
      </c>
      <c r="CJ38" s="451"/>
      <c r="CK38" s="451"/>
      <c r="CL38" s="451"/>
      <c r="CM38" s="451"/>
      <c r="CN38" s="319">
        <f t="shared" si="23"/>
        <v>0</v>
      </c>
      <c r="CO38" s="451">
        <f t="shared" si="24"/>
        <v>89022.725000000006</v>
      </c>
      <c r="CP38" s="451">
        <f t="shared" si="9"/>
        <v>89022.725000000006</v>
      </c>
      <c r="CQ38" s="452">
        <f t="shared" si="10"/>
        <v>1</v>
      </c>
    </row>
    <row r="39" spans="1:95" ht="12.75">
      <c r="A39" s="318" t="s">
        <v>165</v>
      </c>
      <c r="B39" s="318" t="s">
        <v>22</v>
      </c>
      <c r="C39" s="331">
        <f>5.5*0.3</f>
        <v>1.65</v>
      </c>
      <c r="D39" s="321" t="s">
        <v>497</v>
      </c>
      <c r="E39" s="318"/>
      <c r="F39" s="322"/>
      <c r="G39" s="319"/>
      <c r="H39" s="322"/>
      <c r="I39" s="322"/>
      <c r="J39" s="328">
        <f t="shared" si="27"/>
        <v>156.08092500000004</v>
      </c>
      <c r="K39" s="328">
        <f>K$11*5.5*CMF*0.3*0.525*0.1</f>
        <v>156.08092500000004</v>
      </c>
      <c r="L39" s="322">
        <f t="shared" si="28"/>
        <v>9.5287500000000025E-2</v>
      </c>
      <c r="M39" s="328">
        <f t="shared" si="29"/>
        <v>6970.4712</v>
      </c>
      <c r="N39" s="328">
        <f>N$11*5.5*CMF*0.3*0.525*0.1</f>
        <v>96.812100000000001</v>
      </c>
      <c r="O39" s="322">
        <f t="shared" si="30"/>
        <v>9.5287499999999997E-2</v>
      </c>
      <c r="P39" s="328">
        <f t="shared" si="31"/>
        <v>7050.6079875000023</v>
      </c>
      <c r="Q39" s="328">
        <f>Q$11*5.5*CMF*0.3*0.525*0.1</f>
        <v>115.58373750000004</v>
      </c>
      <c r="R39" s="322">
        <f t="shared" si="32"/>
        <v>9.5287500000000039E-2</v>
      </c>
      <c r="S39" s="329">
        <f t="shared" si="26"/>
        <v>14021.079187500003</v>
      </c>
      <c r="T39" s="330">
        <f t="shared" si="33"/>
        <v>105.42164802631581</v>
      </c>
      <c r="U39" s="322">
        <f t="shared" si="25"/>
        <v>9.5287500000000025E-2</v>
      </c>
      <c r="V39" s="326">
        <f t="shared" si="34"/>
        <v>1.1020237428112205E-3</v>
      </c>
      <c r="W39" s="327">
        <f t="shared" si="8"/>
        <v>9.0458578204523734E-4</v>
      </c>
      <c r="X39" s="433"/>
      <c r="Y39" s="437"/>
      <c r="Z39" s="327"/>
      <c r="AA39" s="327"/>
      <c r="AB39" s="507"/>
      <c r="AC39" s="263"/>
      <c r="AD39" s="327"/>
      <c r="AE39" s="264"/>
      <c r="AF39" s="455" t="s">
        <v>22</v>
      </c>
      <c r="AG39" s="319"/>
      <c r="AH39" s="319"/>
      <c r="AI39" s="319"/>
      <c r="AJ39" s="319"/>
      <c r="AK39" s="319">
        <f t="shared" si="12"/>
        <v>0</v>
      </c>
      <c r="AL39" s="319"/>
      <c r="AM39" s="319"/>
      <c r="AN39" s="319"/>
      <c r="AO39" s="319"/>
      <c r="AP39" s="319">
        <f t="shared" si="13"/>
        <v>0</v>
      </c>
      <c r="AQ39" s="319"/>
      <c r="AR39" s="451"/>
      <c r="AS39" s="451"/>
      <c r="AT39" s="451"/>
      <c r="AU39" s="319">
        <f t="shared" si="14"/>
        <v>0</v>
      </c>
      <c r="AV39" s="319">
        <f>$S39/8</f>
        <v>1752.6348984375004</v>
      </c>
      <c r="AW39" s="451"/>
      <c r="AX39" s="451"/>
      <c r="AY39" s="319">
        <f>$S39/8</f>
        <v>1752.6348984375004</v>
      </c>
      <c r="AZ39" s="319">
        <f t="shared" si="15"/>
        <v>3505.2697968750008</v>
      </c>
      <c r="BA39" s="451"/>
      <c r="BB39" s="451"/>
      <c r="BC39" s="319">
        <f>$S39/8</f>
        <v>1752.6348984375004</v>
      </c>
      <c r="BD39" s="451"/>
      <c r="BE39" s="319">
        <f t="shared" si="16"/>
        <v>1752.6348984375004</v>
      </c>
      <c r="BF39" s="451"/>
      <c r="BG39" s="319">
        <f>$S39/8</f>
        <v>1752.6348984375004</v>
      </c>
      <c r="BH39" s="451"/>
      <c r="BI39" s="451"/>
      <c r="BJ39" s="319">
        <f t="shared" si="17"/>
        <v>1752.6348984375004</v>
      </c>
      <c r="BK39" s="319">
        <f>$S39/8</f>
        <v>1752.6348984375004</v>
      </c>
      <c r="BL39" s="451"/>
      <c r="BM39" s="451"/>
      <c r="BN39" s="319">
        <f>$S39/8</f>
        <v>1752.6348984375004</v>
      </c>
      <c r="BO39" s="319">
        <f t="shared" si="18"/>
        <v>3505.2697968750008</v>
      </c>
      <c r="BP39" s="451"/>
      <c r="BQ39" s="451"/>
      <c r="BR39" s="319">
        <f>$S39/8</f>
        <v>1752.6348984375004</v>
      </c>
      <c r="BS39" s="451"/>
      <c r="BT39" s="319">
        <f t="shared" si="19"/>
        <v>1752.6348984375004</v>
      </c>
      <c r="BU39" s="451"/>
      <c r="BV39" s="319">
        <f>$S39/8</f>
        <v>1752.6348984375004</v>
      </c>
      <c r="BW39" s="451"/>
      <c r="BX39" s="451"/>
      <c r="BY39" s="319">
        <f t="shared" si="20"/>
        <v>1752.6348984375004</v>
      </c>
      <c r="BZ39" s="451"/>
      <c r="CA39" s="451"/>
      <c r="CB39" s="451"/>
      <c r="CC39" s="451"/>
      <c r="CD39" s="319">
        <f t="shared" si="21"/>
        <v>0</v>
      </c>
      <c r="CE39" s="451"/>
      <c r="CF39" s="451"/>
      <c r="CG39" s="451"/>
      <c r="CH39" s="451"/>
      <c r="CI39" s="319">
        <f t="shared" si="22"/>
        <v>0</v>
      </c>
      <c r="CJ39" s="451"/>
      <c r="CK39" s="451"/>
      <c r="CL39" s="451"/>
      <c r="CM39" s="451"/>
      <c r="CN39" s="319">
        <f t="shared" si="23"/>
        <v>0</v>
      </c>
      <c r="CO39" s="451">
        <f t="shared" si="24"/>
        <v>14021.079187500003</v>
      </c>
      <c r="CP39" s="451">
        <f t="shared" si="9"/>
        <v>14021.079187500003</v>
      </c>
      <c r="CQ39" s="452">
        <f t="shared" si="10"/>
        <v>1</v>
      </c>
    </row>
    <row r="40" spans="1:95" ht="12.75">
      <c r="A40" s="318" t="s">
        <v>166</v>
      </c>
      <c r="B40" s="318" t="s">
        <v>23</v>
      </c>
      <c r="C40" s="328">
        <f>(120+80+70+40)</f>
        <v>310</v>
      </c>
      <c r="D40" s="321" t="s">
        <v>502</v>
      </c>
      <c r="E40" s="336"/>
      <c r="F40" s="322"/>
      <c r="G40" s="319"/>
      <c r="H40" s="322"/>
      <c r="I40" s="322"/>
      <c r="J40" s="328">
        <f>(120+4*80+70+4*40)*CMF</f>
        <v>737.00000000000011</v>
      </c>
      <c r="K40" s="328">
        <f>(120+80+70+40)*CMF</f>
        <v>341</v>
      </c>
      <c r="L40" s="322">
        <f t="shared" si="28"/>
        <v>0.20818070818070819</v>
      </c>
      <c r="M40" s="328">
        <f t="shared" si="29"/>
        <v>53064.000000000007</v>
      </c>
      <c r="N40" s="328">
        <f>(120+4*80+70+4*40)*CMF</f>
        <v>737.00000000000011</v>
      </c>
      <c r="O40" s="322">
        <f t="shared" si="30"/>
        <v>0.72539370078740173</v>
      </c>
      <c r="P40" s="328">
        <f t="shared" si="31"/>
        <v>44957.000000000007</v>
      </c>
      <c r="Q40" s="328">
        <f>(120+4*80+70+4*40)*CMF</f>
        <v>737.00000000000011</v>
      </c>
      <c r="R40" s="322">
        <f t="shared" si="32"/>
        <v>0.60758450123660357</v>
      </c>
      <c r="S40" s="329">
        <f t="shared" si="26"/>
        <v>98021.000000000015</v>
      </c>
      <c r="T40" s="330">
        <f t="shared" si="33"/>
        <v>737.00000000000011</v>
      </c>
      <c r="U40" s="322">
        <f t="shared" si="25"/>
        <v>0.66615243467328156</v>
      </c>
      <c r="V40" s="326">
        <f t="shared" si="34"/>
        <v>7.7042193293082161E-3</v>
      </c>
      <c r="W40" s="327">
        <f t="shared" si="8"/>
        <v>6.3239356797089767E-3</v>
      </c>
      <c r="X40" s="433"/>
      <c r="Y40" s="437"/>
      <c r="Z40" s="327"/>
      <c r="AA40" s="327"/>
      <c r="AB40" s="507"/>
      <c r="AC40" s="263"/>
      <c r="AD40" s="327"/>
      <c r="AE40" s="264"/>
      <c r="AF40" s="455" t="s">
        <v>23</v>
      </c>
      <c r="AG40" s="319"/>
      <c r="AH40" s="319"/>
      <c r="AI40" s="319"/>
      <c r="AJ40" s="319"/>
      <c r="AK40" s="319">
        <f t="shared" si="12"/>
        <v>0</v>
      </c>
      <c r="AL40" s="319"/>
      <c r="AM40" s="319"/>
      <c r="AN40" s="319"/>
      <c r="AO40" s="319"/>
      <c r="AP40" s="319">
        <f t="shared" si="13"/>
        <v>0</v>
      </c>
      <c r="AQ40" s="319"/>
      <c r="AR40" s="451"/>
      <c r="AS40" s="319">
        <f>$S40/8</f>
        <v>12252.625000000002</v>
      </c>
      <c r="AT40" s="451"/>
      <c r="AU40" s="319">
        <f t="shared" si="14"/>
        <v>12252.625000000002</v>
      </c>
      <c r="AV40" s="451"/>
      <c r="AW40" s="319">
        <f>$S40/8</f>
        <v>12252.625000000002</v>
      </c>
      <c r="AX40" s="451"/>
      <c r="AY40" s="451"/>
      <c r="AZ40" s="319">
        <f t="shared" si="15"/>
        <v>12252.625000000002</v>
      </c>
      <c r="BA40" s="319">
        <f>$S40/8</f>
        <v>12252.625000000002</v>
      </c>
      <c r="BB40" s="451"/>
      <c r="BC40" s="451"/>
      <c r="BD40" s="319">
        <f>$S40/8</f>
        <v>12252.625000000002</v>
      </c>
      <c r="BE40" s="319">
        <f t="shared" si="16"/>
        <v>24505.250000000004</v>
      </c>
      <c r="BF40" s="451"/>
      <c r="BG40" s="451"/>
      <c r="BH40" s="319">
        <f>$S40/8</f>
        <v>12252.625000000002</v>
      </c>
      <c r="BI40" s="451"/>
      <c r="BJ40" s="319">
        <f t="shared" si="17"/>
        <v>12252.625000000002</v>
      </c>
      <c r="BK40" s="451"/>
      <c r="BL40" s="319">
        <f>$S40/8</f>
        <v>12252.625000000002</v>
      </c>
      <c r="BM40" s="451"/>
      <c r="BN40" s="451"/>
      <c r="BO40" s="319">
        <f t="shared" si="18"/>
        <v>12252.625000000002</v>
      </c>
      <c r="BP40" s="319">
        <f>$S40/8</f>
        <v>12252.625000000002</v>
      </c>
      <c r="BQ40" s="451"/>
      <c r="BR40" s="451"/>
      <c r="BS40" s="319">
        <f>$S40/8</f>
        <v>12252.625000000002</v>
      </c>
      <c r="BT40" s="319">
        <f t="shared" si="19"/>
        <v>24505.250000000004</v>
      </c>
      <c r="BU40" s="451"/>
      <c r="BV40" s="451"/>
      <c r="BW40" s="451"/>
      <c r="BX40" s="451"/>
      <c r="BY40" s="319">
        <f t="shared" si="20"/>
        <v>0</v>
      </c>
      <c r="BZ40" s="451"/>
      <c r="CA40" s="451"/>
      <c r="CB40" s="451"/>
      <c r="CC40" s="451"/>
      <c r="CD40" s="319">
        <f t="shared" si="21"/>
        <v>0</v>
      </c>
      <c r="CE40" s="451"/>
      <c r="CF40" s="451"/>
      <c r="CG40" s="451"/>
      <c r="CH40" s="451"/>
      <c r="CI40" s="319">
        <f t="shared" si="22"/>
        <v>0</v>
      </c>
      <c r="CJ40" s="451"/>
      <c r="CK40" s="451"/>
      <c r="CL40" s="451"/>
      <c r="CM40" s="451"/>
      <c r="CN40" s="319">
        <f t="shared" si="23"/>
        <v>0</v>
      </c>
      <c r="CO40" s="451">
        <f t="shared" si="24"/>
        <v>98021.000000000015</v>
      </c>
      <c r="CP40" s="451">
        <f t="shared" si="9"/>
        <v>98021.000000000015</v>
      </c>
      <c r="CQ40" s="452">
        <f t="shared" si="10"/>
        <v>1</v>
      </c>
    </row>
    <row r="41" spans="1:95" ht="12.75">
      <c r="A41" s="318" t="s">
        <v>164</v>
      </c>
      <c r="B41" s="318" t="s">
        <v>24</v>
      </c>
      <c r="C41" s="338">
        <f>((75+46+13)*2+180+70)</f>
        <v>518</v>
      </c>
      <c r="D41" s="321" t="s">
        <v>502</v>
      </c>
      <c r="E41" s="336"/>
      <c r="F41" s="322"/>
      <c r="G41" s="319"/>
      <c r="H41" s="322"/>
      <c r="I41" s="322"/>
      <c r="J41" s="328">
        <f t="shared" si="27"/>
        <v>569.80000000000007</v>
      </c>
      <c r="K41" s="338">
        <f>((75+46+13)*2+180+70)*CMF</f>
        <v>569.80000000000007</v>
      </c>
      <c r="L41" s="322">
        <f t="shared" si="28"/>
        <v>0.3478632478632479</v>
      </c>
      <c r="M41" s="328">
        <f t="shared" si="29"/>
        <v>41025.600000000006</v>
      </c>
      <c r="N41" s="338">
        <f>((75+46+13)*2+180+70)*CMF</f>
        <v>569.80000000000007</v>
      </c>
      <c r="O41" s="322">
        <f t="shared" si="30"/>
        <v>0.56082677165354333</v>
      </c>
      <c r="P41" s="328">
        <f t="shared" si="31"/>
        <v>34757.800000000003</v>
      </c>
      <c r="Q41" s="338">
        <f>((75+46+13)*2+180+70)*CMF</f>
        <v>569.80000000000007</v>
      </c>
      <c r="R41" s="322">
        <f t="shared" si="32"/>
        <v>0.46974443528441884</v>
      </c>
      <c r="S41" s="329">
        <f t="shared" si="26"/>
        <v>75783.400000000009</v>
      </c>
      <c r="T41" s="330">
        <f t="shared" si="33"/>
        <v>569.80000000000007</v>
      </c>
      <c r="U41" s="322">
        <f t="shared" si="25"/>
        <v>0.51502531516531314</v>
      </c>
      <c r="V41" s="326">
        <f t="shared" si="34"/>
        <v>5.9563964366890383E-3</v>
      </c>
      <c r="W41" s="327">
        <f t="shared" si="8"/>
        <v>4.8892517643123138E-3</v>
      </c>
      <c r="X41" s="433"/>
      <c r="Y41" s="437"/>
      <c r="Z41" s="327"/>
      <c r="AA41" s="327"/>
      <c r="AB41" s="507"/>
      <c r="AC41" s="263"/>
      <c r="AD41" s="327"/>
      <c r="AE41" s="264"/>
      <c r="AF41" s="455" t="s">
        <v>24</v>
      </c>
      <c r="AG41" s="319"/>
      <c r="AH41" s="319"/>
      <c r="AI41" s="319"/>
      <c r="AJ41" s="319"/>
      <c r="AK41" s="319">
        <f t="shared" si="12"/>
        <v>0</v>
      </c>
      <c r="AL41" s="319"/>
      <c r="AM41" s="319"/>
      <c r="AN41" s="319"/>
      <c r="AO41" s="319"/>
      <c r="AP41" s="319">
        <f t="shared" si="13"/>
        <v>0</v>
      </c>
      <c r="AQ41" s="319"/>
      <c r="AR41" s="451"/>
      <c r="AS41" s="451"/>
      <c r="AT41" s="319">
        <f>$S41/8</f>
        <v>9472.9250000000011</v>
      </c>
      <c r="AU41" s="319">
        <f t="shared" si="14"/>
        <v>9472.9250000000011</v>
      </c>
      <c r="AV41" s="451"/>
      <c r="AW41" s="451"/>
      <c r="AX41" s="319">
        <f>$S41/8</f>
        <v>9472.9250000000011</v>
      </c>
      <c r="AY41" s="451"/>
      <c r="AZ41" s="319">
        <f t="shared" si="15"/>
        <v>9472.9250000000011</v>
      </c>
      <c r="BA41" s="451"/>
      <c r="BB41" s="319">
        <f>$S41/8</f>
        <v>9472.9250000000011</v>
      </c>
      <c r="BC41" s="451"/>
      <c r="BD41" s="451"/>
      <c r="BE41" s="319">
        <f t="shared" si="16"/>
        <v>9472.9250000000011</v>
      </c>
      <c r="BF41" s="319">
        <f>$S41/8</f>
        <v>9472.9250000000011</v>
      </c>
      <c r="BG41" s="451"/>
      <c r="BH41" s="451"/>
      <c r="BI41" s="319">
        <f>$S41/8</f>
        <v>9472.9250000000011</v>
      </c>
      <c r="BJ41" s="319">
        <f t="shared" si="17"/>
        <v>18945.850000000002</v>
      </c>
      <c r="BK41" s="451"/>
      <c r="BL41" s="451"/>
      <c r="BM41" s="319">
        <f>$S41/8</f>
        <v>9472.9250000000011</v>
      </c>
      <c r="BN41" s="451"/>
      <c r="BO41" s="319">
        <f t="shared" si="18"/>
        <v>9472.9250000000011</v>
      </c>
      <c r="BP41" s="451"/>
      <c r="BQ41" s="319">
        <f>$S41/8</f>
        <v>9472.9250000000011</v>
      </c>
      <c r="BR41" s="451"/>
      <c r="BS41" s="451"/>
      <c r="BT41" s="319">
        <f t="shared" si="19"/>
        <v>9472.9250000000011</v>
      </c>
      <c r="BU41" s="319">
        <f>$S41/8</f>
        <v>9472.9250000000011</v>
      </c>
      <c r="BV41" s="451"/>
      <c r="BW41" s="451"/>
      <c r="BX41" s="451"/>
      <c r="BY41" s="319">
        <f t="shared" si="20"/>
        <v>9472.9250000000011</v>
      </c>
      <c r="BZ41" s="451"/>
      <c r="CA41" s="451"/>
      <c r="CB41" s="451"/>
      <c r="CC41" s="451"/>
      <c r="CD41" s="319">
        <f t="shared" si="21"/>
        <v>0</v>
      </c>
      <c r="CE41" s="451"/>
      <c r="CF41" s="451"/>
      <c r="CG41" s="451"/>
      <c r="CH41" s="451"/>
      <c r="CI41" s="319">
        <f t="shared" si="22"/>
        <v>0</v>
      </c>
      <c r="CJ41" s="451"/>
      <c r="CK41" s="451"/>
      <c r="CL41" s="451"/>
      <c r="CM41" s="451"/>
      <c r="CN41" s="319">
        <f t="shared" si="23"/>
        <v>0</v>
      </c>
      <c r="CO41" s="451">
        <f t="shared" si="24"/>
        <v>75783.400000000009</v>
      </c>
      <c r="CP41" s="451">
        <f t="shared" si="9"/>
        <v>75783.400000000009</v>
      </c>
      <c r="CQ41" s="452">
        <f t="shared" si="10"/>
        <v>1</v>
      </c>
    </row>
    <row r="42" spans="1:95" ht="12.75">
      <c r="A42" s="318"/>
      <c r="B42" s="332" t="s">
        <v>218</v>
      </c>
      <c r="C42" s="331" t="s">
        <v>511</v>
      </c>
      <c r="D42" s="321"/>
      <c r="E42" s="321"/>
      <c r="F42" s="322"/>
      <c r="G42" s="319"/>
      <c r="H42" s="322"/>
      <c r="I42" s="322"/>
      <c r="J42" s="328"/>
      <c r="K42" s="334"/>
      <c r="L42" s="322"/>
      <c r="M42" s="328"/>
      <c r="N42" s="339"/>
      <c r="O42" s="322"/>
      <c r="P42" s="328"/>
      <c r="Q42" s="328"/>
      <c r="R42" s="322"/>
      <c r="S42" s="329">
        <f t="shared" si="26"/>
        <v>0</v>
      </c>
      <c r="T42" s="330"/>
      <c r="U42" s="322">
        <f t="shared" si="25"/>
        <v>0</v>
      </c>
      <c r="V42" s="327"/>
      <c r="W42" s="327"/>
      <c r="X42" s="433"/>
      <c r="Y42" s="437"/>
      <c r="Z42" s="327"/>
      <c r="AA42" s="327"/>
      <c r="AB42" s="507"/>
      <c r="AC42" s="263"/>
      <c r="AD42" s="327"/>
      <c r="AE42" s="264"/>
      <c r="AF42" s="453" t="s">
        <v>218</v>
      </c>
      <c r="AG42" s="319"/>
      <c r="AH42" s="319"/>
      <c r="AI42" s="319"/>
      <c r="AJ42" s="319"/>
      <c r="AK42" s="319">
        <f t="shared" si="12"/>
        <v>0</v>
      </c>
      <c r="AL42" s="319"/>
      <c r="AM42" s="451"/>
      <c r="AN42" s="451"/>
      <c r="AO42" s="451"/>
      <c r="AP42" s="319">
        <f t="shared" si="13"/>
        <v>0</v>
      </c>
      <c r="AQ42" s="451"/>
      <c r="AR42" s="451"/>
      <c r="AS42" s="451"/>
      <c r="AT42" s="451"/>
      <c r="AU42" s="319">
        <f t="shared" si="14"/>
        <v>0</v>
      </c>
      <c r="AV42" s="451"/>
      <c r="AW42" s="451"/>
      <c r="AX42" s="451"/>
      <c r="AY42" s="451"/>
      <c r="AZ42" s="319">
        <f t="shared" si="15"/>
        <v>0</v>
      </c>
      <c r="BA42" s="451"/>
      <c r="BB42" s="451"/>
      <c r="BC42" s="451"/>
      <c r="BD42" s="451"/>
      <c r="BE42" s="319">
        <f t="shared" si="16"/>
        <v>0</v>
      </c>
      <c r="BF42" s="451"/>
      <c r="BG42" s="451"/>
      <c r="BH42" s="451"/>
      <c r="BI42" s="451"/>
      <c r="BJ42" s="319">
        <f t="shared" si="17"/>
        <v>0</v>
      </c>
      <c r="BK42" s="451"/>
      <c r="BL42" s="451"/>
      <c r="BM42" s="451"/>
      <c r="BN42" s="451"/>
      <c r="BO42" s="319">
        <f t="shared" si="18"/>
        <v>0</v>
      </c>
      <c r="BP42" s="451"/>
      <c r="BQ42" s="451"/>
      <c r="BR42" s="451"/>
      <c r="BS42" s="451"/>
      <c r="BT42" s="319">
        <f t="shared" si="19"/>
        <v>0</v>
      </c>
      <c r="BU42" s="451"/>
      <c r="BV42" s="451"/>
      <c r="BW42" s="451"/>
      <c r="BX42" s="451"/>
      <c r="BY42" s="319">
        <f t="shared" si="20"/>
        <v>0</v>
      </c>
      <c r="BZ42" s="451"/>
      <c r="CA42" s="451"/>
      <c r="CB42" s="451"/>
      <c r="CC42" s="451"/>
      <c r="CD42" s="319">
        <f t="shared" si="21"/>
        <v>0</v>
      </c>
      <c r="CE42" s="451"/>
      <c r="CF42" s="451"/>
      <c r="CG42" s="451"/>
      <c r="CH42" s="451"/>
      <c r="CI42" s="319">
        <f t="shared" si="22"/>
        <v>0</v>
      </c>
      <c r="CJ42" s="451"/>
      <c r="CK42" s="451"/>
      <c r="CL42" s="451"/>
      <c r="CM42" s="451"/>
      <c r="CN42" s="319">
        <f t="shared" si="23"/>
        <v>0</v>
      </c>
      <c r="CO42" s="451">
        <f t="shared" si="24"/>
        <v>0</v>
      </c>
      <c r="CP42" s="451"/>
      <c r="CQ42" s="452"/>
    </row>
    <row r="43" spans="1:95" ht="12.75">
      <c r="A43" s="318" t="s">
        <v>219</v>
      </c>
      <c r="B43" s="318" t="s">
        <v>26</v>
      </c>
      <c r="C43" s="340">
        <v>2</v>
      </c>
      <c r="D43" s="336" t="s">
        <v>497</v>
      </c>
      <c r="E43" s="336"/>
      <c r="F43" s="341"/>
      <c r="G43" s="318"/>
      <c r="H43" s="341"/>
      <c r="I43" s="322"/>
      <c r="J43" s="328">
        <f>K43*J$8</f>
        <v>900</v>
      </c>
      <c r="K43" s="328">
        <f>(26-8+15+26-14)*10*$C43</f>
        <v>900</v>
      </c>
      <c r="L43" s="322">
        <f>+K43/K$11</f>
        <v>0.5494505494505495</v>
      </c>
      <c r="M43" s="328">
        <f>N43*N$8</f>
        <v>43200</v>
      </c>
      <c r="N43" s="328">
        <f>15*20*$C43</f>
        <v>600</v>
      </c>
      <c r="O43" s="322">
        <f>+N43/N$11</f>
        <v>0.59055118110236215</v>
      </c>
      <c r="P43" s="328">
        <f>Q43*Q$8</f>
        <v>54900</v>
      </c>
      <c r="Q43" s="328">
        <f>(26-8+15+26-14)*10*$C43</f>
        <v>900</v>
      </c>
      <c r="R43" s="322">
        <f>+Q43/Q$11</f>
        <v>0.74196207749381693</v>
      </c>
      <c r="S43" s="329">
        <f t="shared" si="26"/>
        <v>98100</v>
      </c>
      <c r="T43" s="330">
        <f>+S43/S$8</f>
        <v>737.59398496240601</v>
      </c>
      <c r="U43" s="322">
        <f t="shared" si="25"/>
        <v>0.66668932005844572</v>
      </c>
      <c r="V43" s="326">
        <f>+S43/TotalCost</f>
        <v>7.7104285429156596E-3</v>
      </c>
      <c r="W43" s="327">
        <f t="shared" si="8"/>
        <v>6.3290324540603597E-3</v>
      </c>
      <c r="X43" s="433"/>
      <c r="Y43" s="437"/>
      <c r="Z43" s="327"/>
      <c r="AA43" s="327"/>
      <c r="AB43" s="507"/>
      <c r="AC43" s="263"/>
      <c r="AD43" s="327"/>
      <c r="AE43" s="264"/>
      <c r="AF43" s="455" t="s">
        <v>26</v>
      </c>
      <c r="AG43" s="319"/>
      <c r="AH43" s="319"/>
      <c r="AI43" s="319"/>
      <c r="AJ43" s="319"/>
      <c r="AK43" s="319">
        <f t="shared" si="12"/>
        <v>0</v>
      </c>
      <c r="AL43" s="319"/>
      <c r="AM43" s="319"/>
      <c r="AN43" s="319"/>
      <c r="AO43" s="319"/>
      <c r="AP43" s="319">
        <f t="shared" si="13"/>
        <v>0</v>
      </c>
      <c r="AQ43" s="319"/>
      <c r="AR43" s="319"/>
      <c r="AS43" s="319"/>
      <c r="AT43" s="451"/>
      <c r="AU43" s="319">
        <f t="shared" si="14"/>
        <v>0</v>
      </c>
      <c r="AV43" s="451"/>
      <c r="AW43" s="451"/>
      <c r="AX43" s="319">
        <f>$S43/8</f>
        <v>12262.5</v>
      </c>
      <c r="AY43" s="451"/>
      <c r="AZ43" s="319">
        <f t="shared" si="15"/>
        <v>12262.5</v>
      </c>
      <c r="BA43" s="451"/>
      <c r="BB43" s="319">
        <f>$S43/8</f>
        <v>12262.5</v>
      </c>
      <c r="BC43" s="451"/>
      <c r="BD43" s="451"/>
      <c r="BE43" s="319">
        <f t="shared" si="16"/>
        <v>12262.5</v>
      </c>
      <c r="BF43" s="319">
        <f>$S43/8</f>
        <v>12262.5</v>
      </c>
      <c r="BG43" s="451"/>
      <c r="BH43" s="451"/>
      <c r="BI43" s="319">
        <f>$S43/8</f>
        <v>12262.5</v>
      </c>
      <c r="BJ43" s="319">
        <f t="shared" si="17"/>
        <v>24525</v>
      </c>
      <c r="BK43" s="451"/>
      <c r="BL43" s="451"/>
      <c r="BM43" s="319">
        <f>$S43/8</f>
        <v>12262.5</v>
      </c>
      <c r="BN43" s="451"/>
      <c r="BO43" s="319">
        <f t="shared" si="18"/>
        <v>12262.5</v>
      </c>
      <c r="BP43" s="451"/>
      <c r="BQ43" s="319">
        <f>$S43/8</f>
        <v>12262.5</v>
      </c>
      <c r="BR43" s="451"/>
      <c r="BS43" s="451"/>
      <c r="BT43" s="319">
        <f t="shared" si="19"/>
        <v>12262.5</v>
      </c>
      <c r="BU43" s="319">
        <f>$S43/8</f>
        <v>12262.5</v>
      </c>
      <c r="BV43" s="451"/>
      <c r="BW43" s="451"/>
      <c r="BX43" s="319">
        <f>$S43/8</f>
        <v>12262.5</v>
      </c>
      <c r="BY43" s="319">
        <f t="shared" si="20"/>
        <v>24525</v>
      </c>
      <c r="BZ43" s="451"/>
      <c r="CA43" s="451"/>
      <c r="CB43" s="451"/>
      <c r="CC43" s="451"/>
      <c r="CD43" s="319">
        <f t="shared" si="21"/>
        <v>0</v>
      </c>
      <c r="CE43" s="451"/>
      <c r="CF43" s="451"/>
      <c r="CG43" s="451"/>
      <c r="CH43" s="451"/>
      <c r="CI43" s="319">
        <f t="shared" si="22"/>
        <v>0</v>
      </c>
      <c r="CJ43" s="451"/>
      <c r="CK43" s="451"/>
      <c r="CL43" s="451"/>
      <c r="CM43" s="451"/>
      <c r="CN43" s="319">
        <f t="shared" si="23"/>
        <v>0</v>
      </c>
      <c r="CO43" s="451">
        <f t="shared" si="24"/>
        <v>98100</v>
      </c>
      <c r="CP43" s="451">
        <f t="shared" si="9"/>
        <v>98100</v>
      </c>
      <c r="CQ43" s="452">
        <f t="shared" si="10"/>
        <v>1</v>
      </c>
    </row>
    <row r="44" spans="1:95" ht="12.75">
      <c r="A44" s="318" t="s">
        <v>219</v>
      </c>
      <c r="B44" s="318" t="s">
        <v>27</v>
      </c>
      <c r="C44" s="340">
        <v>3.5</v>
      </c>
      <c r="D44" s="336" t="s">
        <v>497</v>
      </c>
      <c r="E44" s="336"/>
      <c r="F44" s="341"/>
      <c r="G44" s="318"/>
      <c r="H44" s="341"/>
      <c r="I44" s="322"/>
      <c r="J44" s="328">
        <f>K44*J$8</f>
        <v>1575</v>
      </c>
      <c r="K44" s="328">
        <f>(26-8+15+26-14)*10*$C44</f>
        <v>1575</v>
      </c>
      <c r="L44" s="322">
        <f>+K44/K$11</f>
        <v>0.96153846153846156</v>
      </c>
      <c r="M44" s="328">
        <f>N44*N$8</f>
        <v>75600</v>
      </c>
      <c r="N44" s="328">
        <f>15*20*$C44</f>
        <v>1050</v>
      </c>
      <c r="O44" s="322">
        <f>+N44/N$11</f>
        <v>1.0334645669291338</v>
      </c>
      <c r="P44" s="328">
        <f>Q44*Q$8</f>
        <v>96075</v>
      </c>
      <c r="Q44" s="328">
        <f>(26-8+15+26-14)*10*$C44</f>
        <v>1575</v>
      </c>
      <c r="R44" s="322">
        <f>+Q44/Q$11</f>
        <v>1.2984336356141797</v>
      </c>
      <c r="S44" s="329">
        <f t="shared" si="26"/>
        <v>171675</v>
      </c>
      <c r="T44" s="330">
        <f>+S44/S$8</f>
        <v>1290.7894736842106</v>
      </c>
      <c r="U44" s="322">
        <f t="shared" si="25"/>
        <v>1.1667063101022801</v>
      </c>
      <c r="V44" s="326">
        <f>+S44/TotalCost</f>
        <v>1.3493249950102405E-2</v>
      </c>
      <c r="W44" s="327">
        <f t="shared" si="8"/>
        <v>1.107580679460563E-2</v>
      </c>
      <c r="X44" s="433"/>
      <c r="Y44" s="437"/>
      <c r="Z44" s="327"/>
      <c r="AA44" s="327"/>
      <c r="AB44" s="507"/>
      <c r="AC44" s="263"/>
      <c r="AD44" s="327"/>
      <c r="AE44" s="264"/>
      <c r="AF44" s="455" t="s">
        <v>27</v>
      </c>
      <c r="AG44" s="319"/>
      <c r="AH44" s="319"/>
      <c r="AI44" s="319"/>
      <c r="AJ44" s="319"/>
      <c r="AK44" s="319">
        <f t="shared" si="12"/>
        <v>0</v>
      </c>
      <c r="AL44" s="319"/>
      <c r="AM44" s="319"/>
      <c r="AN44" s="319"/>
      <c r="AO44" s="319"/>
      <c r="AP44" s="319">
        <f t="shared" si="13"/>
        <v>0</v>
      </c>
      <c r="AQ44" s="319"/>
      <c r="AR44" s="319"/>
      <c r="AS44" s="319"/>
      <c r="AT44" s="451"/>
      <c r="AU44" s="319">
        <f t="shared" si="14"/>
        <v>0</v>
      </c>
      <c r="AV44" s="451"/>
      <c r="AW44" s="451"/>
      <c r="AX44" s="319">
        <f>$S44/8</f>
        <v>21459.375</v>
      </c>
      <c r="AY44" s="451"/>
      <c r="AZ44" s="319">
        <f t="shared" si="15"/>
        <v>21459.375</v>
      </c>
      <c r="BA44" s="451"/>
      <c r="BB44" s="319">
        <f>$S44/8</f>
        <v>21459.375</v>
      </c>
      <c r="BC44" s="451"/>
      <c r="BD44" s="451"/>
      <c r="BE44" s="319">
        <f t="shared" si="16"/>
        <v>21459.375</v>
      </c>
      <c r="BF44" s="319">
        <f>$S44/8</f>
        <v>21459.375</v>
      </c>
      <c r="BG44" s="451"/>
      <c r="BH44" s="451"/>
      <c r="BI44" s="319">
        <f>$S44/8</f>
        <v>21459.375</v>
      </c>
      <c r="BJ44" s="319">
        <f t="shared" si="17"/>
        <v>42918.75</v>
      </c>
      <c r="BK44" s="451"/>
      <c r="BL44" s="451"/>
      <c r="BM44" s="319">
        <f>$S44/8</f>
        <v>21459.375</v>
      </c>
      <c r="BN44" s="451"/>
      <c r="BO44" s="319">
        <f t="shared" si="18"/>
        <v>21459.375</v>
      </c>
      <c r="BP44" s="451"/>
      <c r="BQ44" s="319">
        <f>$S44/8</f>
        <v>21459.375</v>
      </c>
      <c r="BR44" s="451"/>
      <c r="BS44" s="451"/>
      <c r="BT44" s="319">
        <f t="shared" si="19"/>
        <v>21459.375</v>
      </c>
      <c r="BU44" s="319">
        <f>$S44/8</f>
        <v>21459.375</v>
      </c>
      <c r="BV44" s="451"/>
      <c r="BW44" s="451"/>
      <c r="BX44" s="319">
        <f>$S44/8</f>
        <v>21459.375</v>
      </c>
      <c r="BY44" s="319">
        <f t="shared" si="20"/>
        <v>42918.75</v>
      </c>
      <c r="BZ44" s="451"/>
      <c r="CA44" s="451"/>
      <c r="CB44" s="451"/>
      <c r="CC44" s="451"/>
      <c r="CD44" s="319">
        <f t="shared" si="21"/>
        <v>0</v>
      </c>
      <c r="CE44" s="451"/>
      <c r="CF44" s="451"/>
      <c r="CG44" s="451"/>
      <c r="CH44" s="451"/>
      <c r="CI44" s="319">
        <f t="shared" si="22"/>
        <v>0</v>
      </c>
      <c r="CJ44" s="451"/>
      <c r="CK44" s="451"/>
      <c r="CL44" s="451"/>
      <c r="CM44" s="451"/>
      <c r="CN44" s="319">
        <f t="shared" si="23"/>
        <v>0</v>
      </c>
      <c r="CO44" s="451">
        <f t="shared" si="24"/>
        <v>171675</v>
      </c>
      <c r="CP44" s="451">
        <f t="shared" si="9"/>
        <v>171675</v>
      </c>
      <c r="CQ44" s="452">
        <f t="shared" si="10"/>
        <v>1</v>
      </c>
    </row>
    <row r="45" spans="1:95" ht="12.75">
      <c r="A45" s="318"/>
      <c r="B45" s="342" t="s">
        <v>25</v>
      </c>
      <c r="C45" s="331"/>
      <c r="D45" s="321"/>
      <c r="E45" s="321"/>
      <c r="F45" s="322"/>
      <c r="G45" s="319"/>
      <c r="H45" s="322"/>
      <c r="I45" s="322"/>
      <c r="J45" s="328"/>
      <c r="K45" s="328"/>
      <c r="L45" s="322"/>
      <c r="M45" s="328"/>
      <c r="N45" s="328"/>
      <c r="O45" s="322"/>
      <c r="P45" s="328"/>
      <c r="Q45" s="328"/>
      <c r="R45" s="322"/>
      <c r="S45" s="329"/>
      <c r="T45" s="330"/>
      <c r="U45" s="322"/>
      <c r="V45" s="327"/>
      <c r="W45" s="327"/>
      <c r="X45" s="433"/>
      <c r="Y45" s="437"/>
      <c r="Z45" s="327"/>
      <c r="AA45" s="327"/>
      <c r="AB45" s="507"/>
      <c r="AC45" s="263"/>
      <c r="AD45" s="327"/>
      <c r="AE45" s="264"/>
      <c r="AF45" s="456" t="s">
        <v>25</v>
      </c>
      <c r="AG45" s="319"/>
      <c r="AH45" s="319"/>
      <c r="AI45" s="319"/>
      <c r="AJ45" s="319"/>
      <c r="AK45" s="319">
        <f t="shared" si="12"/>
        <v>0</v>
      </c>
      <c r="AL45" s="319"/>
      <c r="AM45" s="451"/>
      <c r="AN45" s="451"/>
      <c r="AO45" s="451"/>
      <c r="AP45" s="319">
        <f t="shared" si="13"/>
        <v>0</v>
      </c>
      <c r="AQ45" s="451"/>
      <c r="AR45" s="451"/>
      <c r="AS45" s="451"/>
      <c r="AT45" s="451"/>
      <c r="AU45" s="319">
        <f t="shared" si="14"/>
        <v>0</v>
      </c>
      <c r="AV45" s="451"/>
      <c r="AW45" s="451"/>
      <c r="AX45" s="451"/>
      <c r="AY45" s="451"/>
      <c r="AZ45" s="319">
        <f t="shared" si="15"/>
        <v>0</v>
      </c>
      <c r="BA45" s="451"/>
      <c r="BB45" s="451"/>
      <c r="BC45" s="451"/>
      <c r="BD45" s="451"/>
      <c r="BE45" s="319">
        <f t="shared" si="16"/>
        <v>0</v>
      </c>
      <c r="BF45" s="451"/>
      <c r="BG45" s="451"/>
      <c r="BH45" s="451"/>
      <c r="BI45" s="451"/>
      <c r="BJ45" s="319">
        <f t="shared" si="17"/>
        <v>0</v>
      </c>
      <c r="BK45" s="451"/>
      <c r="BL45" s="451"/>
      <c r="BM45" s="451"/>
      <c r="BN45" s="451"/>
      <c r="BO45" s="319">
        <f t="shared" si="18"/>
        <v>0</v>
      </c>
      <c r="BP45" s="451"/>
      <c r="BQ45" s="451"/>
      <c r="BR45" s="451"/>
      <c r="BS45" s="451"/>
      <c r="BT45" s="319">
        <f t="shared" si="19"/>
        <v>0</v>
      </c>
      <c r="BU45" s="451"/>
      <c r="BV45" s="451"/>
      <c r="BW45" s="451"/>
      <c r="BX45" s="451"/>
      <c r="BY45" s="319">
        <f t="shared" si="20"/>
        <v>0</v>
      </c>
      <c r="BZ45" s="451"/>
      <c r="CA45" s="451"/>
      <c r="CB45" s="451"/>
      <c r="CC45" s="451"/>
      <c r="CD45" s="319">
        <f t="shared" si="21"/>
        <v>0</v>
      </c>
      <c r="CE45" s="451"/>
      <c r="CF45" s="451"/>
      <c r="CG45" s="451"/>
      <c r="CH45" s="451"/>
      <c r="CI45" s="319">
        <f t="shared" si="22"/>
        <v>0</v>
      </c>
      <c r="CJ45" s="451"/>
      <c r="CK45" s="451"/>
      <c r="CL45" s="451"/>
      <c r="CM45" s="451"/>
      <c r="CN45" s="319">
        <f t="shared" si="23"/>
        <v>0</v>
      </c>
      <c r="CO45" s="451">
        <f t="shared" si="24"/>
        <v>0</v>
      </c>
      <c r="CP45" s="451"/>
      <c r="CQ45" s="452"/>
    </row>
    <row r="46" spans="1:95" ht="14.45" customHeight="1">
      <c r="A46" s="318" t="s">
        <v>167</v>
      </c>
      <c r="B46" s="319" t="s">
        <v>26</v>
      </c>
      <c r="C46" s="331">
        <v>23.5</v>
      </c>
      <c r="D46" s="321" t="s">
        <v>509</v>
      </c>
      <c r="E46" s="321"/>
      <c r="F46" s="322"/>
      <c r="G46" s="319"/>
      <c r="H46" s="322"/>
      <c r="I46" s="322"/>
      <c r="J46" s="328">
        <f>K46*J$8</f>
        <v>689.57460000000003</v>
      </c>
      <c r="K46" s="328">
        <f>((L$11*1.2)/100*23.5)*CMF</f>
        <v>689.57460000000003</v>
      </c>
      <c r="L46" s="322">
        <f>+K46/K$11</f>
        <v>0.4209857142857143</v>
      </c>
      <c r="M46" s="328">
        <f>N46*N$8</f>
        <v>22691.750400000001</v>
      </c>
      <c r="N46" s="328">
        <f>((O$11*1.2)/100*23.5)*CMF</f>
        <v>315.16320000000002</v>
      </c>
      <c r="O46" s="322">
        <f>+N46/N$11</f>
        <v>0.31020000000000003</v>
      </c>
      <c r="P46" s="328">
        <f>Q46*Q$8</f>
        <v>28496.833200000005</v>
      </c>
      <c r="Q46" s="328">
        <f>((R$11*1.2)/100*23.5)*CMF</f>
        <v>467.16120000000006</v>
      </c>
      <c r="R46" s="322">
        <f>+Q46/Q$11</f>
        <v>0.38512877164056064</v>
      </c>
      <c r="S46" s="329">
        <f t="shared" si="26"/>
        <v>51188.583600000005</v>
      </c>
      <c r="T46" s="330">
        <f>+S46/S$8</f>
        <v>384.8765684210527</v>
      </c>
      <c r="U46" s="322">
        <f t="shared" si="25"/>
        <v>0.34787851167216016</v>
      </c>
      <c r="V46" s="326">
        <f>+S46/TotalCost</f>
        <v>4.023301896644898E-3</v>
      </c>
      <c r="W46" s="327">
        <f t="shared" si="8"/>
        <v>3.3024893667867681E-3</v>
      </c>
      <c r="X46" s="433"/>
      <c r="Y46" s="437"/>
      <c r="Z46" s="327"/>
      <c r="AA46" s="327"/>
      <c r="AB46" s="507"/>
      <c r="AC46" s="263"/>
      <c r="AD46" s="327"/>
      <c r="AE46" s="264"/>
      <c r="AF46" s="450" t="s">
        <v>26</v>
      </c>
      <c r="AG46" s="319"/>
      <c r="AH46" s="319"/>
      <c r="AI46" s="319"/>
      <c r="AJ46" s="319"/>
      <c r="AK46" s="319">
        <f t="shared" si="12"/>
        <v>0</v>
      </c>
      <c r="AL46" s="319"/>
      <c r="AM46" s="319"/>
      <c r="AN46" s="319"/>
      <c r="AO46" s="319"/>
      <c r="AP46" s="319">
        <f t="shared" si="13"/>
        <v>0</v>
      </c>
      <c r="AQ46" s="319"/>
      <c r="AR46" s="451"/>
      <c r="AS46" s="451"/>
      <c r="AT46" s="451"/>
      <c r="AU46" s="319">
        <f t="shared" si="14"/>
        <v>0</v>
      </c>
      <c r="AV46" s="451"/>
      <c r="AW46" s="451"/>
      <c r="AX46" s="319">
        <f>$S46/8</f>
        <v>6398.5729500000007</v>
      </c>
      <c r="AY46" s="451"/>
      <c r="AZ46" s="319">
        <f t="shared" si="15"/>
        <v>6398.5729500000007</v>
      </c>
      <c r="BA46" s="451"/>
      <c r="BB46" s="319">
        <f>$S46/8</f>
        <v>6398.5729500000007</v>
      </c>
      <c r="BC46" s="451"/>
      <c r="BD46" s="451"/>
      <c r="BE46" s="319">
        <f t="shared" si="16"/>
        <v>6398.5729500000007</v>
      </c>
      <c r="BF46" s="319">
        <f>$S46/8</f>
        <v>6398.5729500000007</v>
      </c>
      <c r="BG46" s="451"/>
      <c r="BH46" s="451"/>
      <c r="BI46" s="319">
        <f>$S46/8</f>
        <v>6398.5729500000007</v>
      </c>
      <c r="BJ46" s="319">
        <f t="shared" si="17"/>
        <v>12797.145900000001</v>
      </c>
      <c r="BK46" s="451"/>
      <c r="BL46" s="451"/>
      <c r="BM46" s="319">
        <f>$S46/8</f>
        <v>6398.5729500000007</v>
      </c>
      <c r="BN46" s="451"/>
      <c r="BO46" s="319">
        <f t="shared" si="18"/>
        <v>6398.5729500000007</v>
      </c>
      <c r="BP46" s="451"/>
      <c r="BQ46" s="319">
        <f>$S46/8</f>
        <v>6398.5729500000007</v>
      </c>
      <c r="BR46" s="451"/>
      <c r="BS46" s="451"/>
      <c r="BT46" s="319">
        <f t="shared" si="19"/>
        <v>6398.5729500000007</v>
      </c>
      <c r="BU46" s="319">
        <f>$S46/8</f>
        <v>6398.5729500000007</v>
      </c>
      <c r="BV46" s="451"/>
      <c r="BW46" s="451"/>
      <c r="BX46" s="319">
        <f>$S46/8</f>
        <v>6398.5729500000007</v>
      </c>
      <c r="BY46" s="319">
        <f t="shared" si="20"/>
        <v>12797.145900000001</v>
      </c>
      <c r="BZ46" s="451"/>
      <c r="CA46" s="451"/>
      <c r="CB46" s="451"/>
      <c r="CC46" s="451"/>
      <c r="CD46" s="319">
        <f t="shared" si="21"/>
        <v>0</v>
      </c>
      <c r="CE46" s="451"/>
      <c r="CF46" s="451"/>
      <c r="CG46" s="451"/>
      <c r="CH46" s="451"/>
      <c r="CI46" s="319">
        <f t="shared" si="22"/>
        <v>0</v>
      </c>
      <c r="CJ46" s="451"/>
      <c r="CK46" s="451"/>
      <c r="CL46" s="451"/>
      <c r="CM46" s="451"/>
      <c r="CN46" s="319">
        <f t="shared" si="23"/>
        <v>0</v>
      </c>
      <c r="CO46" s="451">
        <f t="shared" si="24"/>
        <v>51188.583600000005</v>
      </c>
      <c r="CP46" s="451">
        <f t="shared" si="9"/>
        <v>51188.583600000005</v>
      </c>
      <c r="CQ46" s="452">
        <f t="shared" si="10"/>
        <v>1</v>
      </c>
    </row>
    <row r="47" spans="1:95" ht="12.75">
      <c r="A47" s="318" t="s">
        <v>167</v>
      </c>
      <c r="B47" s="319" t="s">
        <v>27</v>
      </c>
      <c r="C47" s="331">
        <v>21</v>
      </c>
      <c r="D47" s="321" t="s">
        <v>509</v>
      </c>
      <c r="E47" s="321"/>
      <c r="F47" s="322"/>
      <c r="G47" s="319"/>
      <c r="H47" s="322"/>
      <c r="I47" s="322"/>
      <c r="J47" s="328">
        <f>K47*J$8</f>
        <v>616.21559999999999</v>
      </c>
      <c r="K47" s="328">
        <f>((L$11*1.2)/100*21)*CMF</f>
        <v>616.21559999999999</v>
      </c>
      <c r="L47" s="322">
        <f>+K47/K$11</f>
        <v>0.37619999999999998</v>
      </c>
      <c r="M47" s="328">
        <f>N47*N$8</f>
        <v>20277.734400000001</v>
      </c>
      <c r="N47" s="328">
        <f>((O$11*1.2)/100*21)*CMF</f>
        <v>281.6352</v>
      </c>
      <c r="O47" s="322">
        <f>+N47/N$11</f>
        <v>0.2772</v>
      </c>
      <c r="P47" s="328">
        <f>Q47*Q$8</f>
        <v>25465.255200000003</v>
      </c>
      <c r="Q47" s="328">
        <f>((R$11*1.2)/100*21)*CMF</f>
        <v>417.46320000000003</v>
      </c>
      <c r="R47" s="322">
        <f>+Q47/Q$11</f>
        <v>0.34415762572135206</v>
      </c>
      <c r="S47" s="329">
        <f t="shared" si="26"/>
        <v>45742.989600000001</v>
      </c>
      <c r="T47" s="330">
        <f>+S47/S$8</f>
        <v>343.93225263157893</v>
      </c>
      <c r="U47" s="322">
        <f t="shared" si="25"/>
        <v>0.31087015936661117</v>
      </c>
      <c r="V47" s="326">
        <f>+S47/TotalCost</f>
        <v>3.5952910565762914E-3</v>
      </c>
      <c r="W47" s="327">
        <f t="shared" si="8"/>
        <v>2.9511607107456221E-3</v>
      </c>
      <c r="X47" s="433"/>
      <c r="Y47" s="437"/>
      <c r="Z47" s="327"/>
      <c r="AA47" s="327"/>
      <c r="AB47" s="507"/>
      <c r="AC47" s="263"/>
      <c r="AD47" s="327"/>
      <c r="AE47" s="264"/>
      <c r="AF47" s="450" t="s">
        <v>27</v>
      </c>
      <c r="AG47" s="319"/>
      <c r="AH47" s="319"/>
      <c r="AI47" s="319"/>
      <c r="AJ47" s="319"/>
      <c r="AK47" s="319">
        <f t="shared" si="12"/>
        <v>0</v>
      </c>
      <c r="AL47" s="319"/>
      <c r="AM47" s="319"/>
      <c r="AN47" s="319"/>
      <c r="AO47" s="319"/>
      <c r="AP47" s="319">
        <f t="shared" si="13"/>
        <v>0</v>
      </c>
      <c r="AQ47" s="319"/>
      <c r="AR47" s="319"/>
      <c r="AS47" s="451"/>
      <c r="AT47" s="451"/>
      <c r="AU47" s="319">
        <f t="shared" si="14"/>
        <v>0</v>
      </c>
      <c r="AV47" s="451"/>
      <c r="AW47" s="451"/>
      <c r="AX47" s="319">
        <f>$S47/8</f>
        <v>5717.8737000000001</v>
      </c>
      <c r="AY47" s="451"/>
      <c r="AZ47" s="319">
        <f t="shared" si="15"/>
        <v>5717.8737000000001</v>
      </c>
      <c r="BA47" s="451"/>
      <c r="BB47" s="319">
        <f>$S47/8</f>
        <v>5717.8737000000001</v>
      </c>
      <c r="BC47" s="451"/>
      <c r="BD47" s="451"/>
      <c r="BE47" s="319">
        <f t="shared" si="16"/>
        <v>5717.8737000000001</v>
      </c>
      <c r="BF47" s="319">
        <f>$S47/8</f>
        <v>5717.8737000000001</v>
      </c>
      <c r="BG47" s="451"/>
      <c r="BH47" s="451"/>
      <c r="BI47" s="319">
        <f>$S47/8</f>
        <v>5717.8737000000001</v>
      </c>
      <c r="BJ47" s="319">
        <f t="shared" si="17"/>
        <v>11435.7474</v>
      </c>
      <c r="BK47" s="451"/>
      <c r="BL47" s="451"/>
      <c r="BM47" s="319">
        <f>$S47/8</f>
        <v>5717.8737000000001</v>
      </c>
      <c r="BN47" s="451"/>
      <c r="BO47" s="319">
        <f t="shared" si="18"/>
        <v>5717.8737000000001</v>
      </c>
      <c r="BP47" s="451"/>
      <c r="BQ47" s="319">
        <f>$S47/8</f>
        <v>5717.8737000000001</v>
      </c>
      <c r="BR47" s="451"/>
      <c r="BS47" s="451"/>
      <c r="BT47" s="319">
        <f t="shared" si="19"/>
        <v>5717.8737000000001</v>
      </c>
      <c r="BU47" s="319">
        <f>$S47/8</f>
        <v>5717.8737000000001</v>
      </c>
      <c r="BV47" s="451"/>
      <c r="BW47" s="451"/>
      <c r="BX47" s="319">
        <f>$S47/8</f>
        <v>5717.8737000000001</v>
      </c>
      <c r="BY47" s="319">
        <f t="shared" si="20"/>
        <v>11435.7474</v>
      </c>
      <c r="BZ47" s="451"/>
      <c r="CA47" s="451"/>
      <c r="CB47" s="451"/>
      <c r="CC47" s="451"/>
      <c r="CD47" s="319">
        <f t="shared" si="21"/>
        <v>0</v>
      </c>
      <c r="CE47" s="451"/>
      <c r="CF47" s="451"/>
      <c r="CG47" s="451"/>
      <c r="CH47" s="451"/>
      <c r="CI47" s="319">
        <f t="shared" si="22"/>
        <v>0</v>
      </c>
      <c r="CJ47" s="451"/>
      <c r="CK47" s="451"/>
      <c r="CL47" s="451"/>
      <c r="CM47" s="451"/>
      <c r="CN47" s="319">
        <f t="shared" si="23"/>
        <v>0</v>
      </c>
      <c r="CO47" s="451">
        <f t="shared" si="24"/>
        <v>45742.989600000001</v>
      </c>
      <c r="CP47" s="451">
        <f t="shared" si="9"/>
        <v>45742.989600000001</v>
      </c>
      <c r="CQ47" s="452">
        <f t="shared" si="10"/>
        <v>1</v>
      </c>
    </row>
    <row r="48" spans="1:95" ht="12.75">
      <c r="A48" s="318"/>
      <c r="B48" s="342" t="s">
        <v>28</v>
      </c>
      <c r="C48" s="331">
        <v>2.25</v>
      </c>
      <c r="D48" s="321" t="s">
        <v>497</v>
      </c>
      <c r="E48" s="321"/>
      <c r="F48" s="322"/>
      <c r="G48" s="319"/>
      <c r="H48" s="322"/>
      <c r="I48" s="322"/>
      <c r="J48" s="328"/>
      <c r="K48" s="328"/>
      <c r="L48" s="322"/>
      <c r="M48" s="328"/>
      <c r="N48" s="328"/>
      <c r="O48" s="322"/>
      <c r="P48" s="328"/>
      <c r="Q48" s="328"/>
      <c r="R48" s="322"/>
      <c r="S48" s="329"/>
      <c r="T48" s="330"/>
      <c r="U48" s="322"/>
      <c r="V48" s="327"/>
      <c r="W48" s="327"/>
      <c r="X48" s="433"/>
      <c r="Y48" s="437"/>
      <c r="Z48" s="327"/>
      <c r="AA48" s="327"/>
      <c r="AB48" s="507"/>
      <c r="AC48" s="263"/>
      <c r="AD48" s="327"/>
      <c r="AE48" s="264"/>
      <c r="AF48" s="456" t="s">
        <v>28</v>
      </c>
      <c r="AG48" s="319"/>
      <c r="AH48" s="319"/>
      <c r="AI48" s="319"/>
      <c r="AJ48" s="319"/>
      <c r="AK48" s="319">
        <f t="shared" si="12"/>
        <v>0</v>
      </c>
      <c r="AL48" s="319"/>
      <c r="AM48" s="451"/>
      <c r="AN48" s="451"/>
      <c r="AO48" s="451"/>
      <c r="AP48" s="319">
        <f t="shared" si="13"/>
        <v>0</v>
      </c>
      <c r="AQ48" s="451"/>
      <c r="AR48" s="451"/>
      <c r="AS48" s="451"/>
      <c r="AT48" s="451"/>
      <c r="AU48" s="319">
        <f t="shared" si="14"/>
        <v>0</v>
      </c>
      <c r="AV48" s="451"/>
      <c r="AW48" s="451"/>
      <c r="AX48" s="451"/>
      <c r="AY48" s="451"/>
      <c r="AZ48" s="319">
        <f t="shared" si="15"/>
        <v>0</v>
      </c>
      <c r="BA48" s="451"/>
      <c r="BB48" s="451"/>
      <c r="BC48" s="451"/>
      <c r="BD48" s="451"/>
      <c r="BE48" s="319">
        <f t="shared" si="16"/>
        <v>0</v>
      </c>
      <c r="BF48" s="451"/>
      <c r="BG48" s="451"/>
      <c r="BH48" s="451"/>
      <c r="BI48" s="451"/>
      <c r="BJ48" s="319">
        <f t="shared" si="17"/>
        <v>0</v>
      </c>
      <c r="BK48" s="451"/>
      <c r="BL48" s="451"/>
      <c r="BM48" s="451"/>
      <c r="BN48" s="451"/>
      <c r="BO48" s="319">
        <f t="shared" si="18"/>
        <v>0</v>
      </c>
      <c r="BP48" s="451"/>
      <c r="BQ48" s="451"/>
      <c r="BR48" s="451"/>
      <c r="BS48" s="451"/>
      <c r="BT48" s="319">
        <f t="shared" si="19"/>
        <v>0</v>
      </c>
      <c r="BU48" s="451"/>
      <c r="BV48" s="451"/>
      <c r="BW48" s="451"/>
      <c r="BX48" s="451"/>
      <c r="BY48" s="319">
        <f t="shared" si="20"/>
        <v>0</v>
      </c>
      <c r="BZ48" s="451"/>
      <c r="CA48" s="451"/>
      <c r="CB48" s="451"/>
      <c r="CC48" s="451"/>
      <c r="CD48" s="319">
        <f t="shared" si="21"/>
        <v>0</v>
      </c>
      <c r="CE48" s="451"/>
      <c r="CF48" s="451"/>
      <c r="CG48" s="451"/>
      <c r="CH48" s="451"/>
      <c r="CI48" s="319">
        <f t="shared" si="22"/>
        <v>0</v>
      </c>
      <c r="CJ48" s="451"/>
      <c r="CK48" s="451"/>
      <c r="CL48" s="451"/>
      <c r="CM48" s="451"/>
      <c r="CN48" s="319">
        <f t="shared" si="23"/>
        <v>0</v>
      </c>
      <c r="CO48" s="451">
        <f t="shared" si="24"/>
        <v>0</v>
      </c>
      <c r="CP48" s="451"/>
      <c r="CQ48" s="452"/>
    </row>
    <row r="49" spans="1:95" ht="12.75">
      <c r="A49" s="318" t="s">
        <v>168</v>
      </c>
      <c r="B49" s="319" t="s">
        <v>29</v>
      </c>
      <c r="C49" s="343">
        <v>10000</v>
      </c>
      <c r="D49" s="321" t="s">
        <v>502</v>
      </c>
      <c r="E49" s="321"/>
      <c r="F49" s="322"/>
      <c r="G49" s="319"/>
      <c r="H49" s="322"/>
      <c r="I49" s="322"/>
      <c r="J49" s="328">
        <f>K49*J$8</f>
        <v>82.706766917293237</v>
      </c>
      <c r="K49" s="328">
        <f>10000/SM134Units*CMF</f>
        <v>82.706766917293237</v>
      </c>
      <c r="L49" s="322">
        <f>+K49/K$11</f>
        <v>5.0492531695539217E-2</v>
      </c>
      <c r="M49" s="328">
        <f>N49*N$8</f>
        <v>5954.8872180451126</v>
      </c>
      <c r="N49" s="328">
        <f>10000/SM134Units*CMF</f>
        <v>82.706766917293237</v>
      </c>
      <c r="O49" s="322">
        <f>+N49/N$11</f>
        <v>8.1404298146942167E-2</v>
      </c>
      <c r="P49" s="328">
        <f>Q49*Q$8</f>
        <v>5045.1127819548874</v>
      </c>
      <c r="Q49" s="328">
        <f>10000/SM134Units*CMF</f>
        <v>82.706766917293237</v>
      </c>
      <c r="R49" s="322">
        <f>+Q49/Q$11</f>
        <v>6.8183649560835322E-2</v>
      </c>
      <c r="S49" s="329">
        <f t="shared" si="26"/>
        <v>11000</v>
      </c>
      <c r="T49" s="330">
        <f>+S49/S$8</f>
        <v>82.706766917293237</v>
      </c>
      <c r="U49" s="322">
        <f t="shared" si="25"/>
        <v>7.4756192870977609E-2</v>
      </c>
      <c r="V49" s="326">
        <f>+S49/TotalCost</f>
        <v>8.6457404660624112E-4</v>
      </c>
      <c r="W49" s="327">
        <f t="shared" si="8"/>
        <v>7.096774413319466E-4</v>
      </c>
      <c r="X49" s="433"/>
      <c r="Y49" s="437"/>
      <c r="Z49" s="327"/>
      <c r="AA49" s="327"/>
      <c r="AB49" s="507"/>
      <c r="AC49" s="263"/>
      <c r="AD49" s="327"/>
      <c r="AE49" s="264"/>
      <c r="AF49" s="450" t="s">
        <v>29</v>
      </c>
      <c r="AG49" s="319"/>
      <c r="AH49" s="319"/>
      <c r="AI49" s="319"/>
      <c r="AJ49" s="319"/>
      <c r="AK49" s="319">
        <f t="shared" si="12"/>
        <v>0</v>
      </c>
      <c r="AL49" s="319"/>
      <c r="AM49" s="319">
        <f>$S49</f>
        <v>11000</v>
      </c>
      <c r="AN49" s="451"/>
      <c r="AO49" s="451"/>
      <c r="AP49" s="319">
        <f t="shared" si="13"/>
        <v>11000</v>
      </c>
      <c r="AQ49" s="451"/>
      <c r="AR49" s="451"/>
      <c r="AS49" s="451"/>
      <c r="AT49" s="451"/>
      <c r="AU49" s="319">
        <f t="shared" si="14"/>
        <v>0</v>
      </c>
      <c r="AV49" s="451"/>
      <c r="AW49" s="451"/>
      <c r="AX49" s="451"/>
      <c r="AY49" s="451"/>
      <c r="AZ49" s="319">
        <f t="shared" si="15"/>
        <v>0</v>
      </c>
      <c r="BA49" s="451"/>
      <c r="BB49" s="451"/>
      <c r="BC49" s="451"/>
      <c r="BD49" s="451"/>
      <c r="BE49" s="319">
        <f t="shared" si="16"/>
        <v>0</v>
      </c>
      <c r="BF49" s="451"/>
      <c r="BG49" s="451"/>
      <c r="BH49" s="451"/>
      <c r="BI49" s="451"/>
      <c r="BJ49" s="319">
        <f t="shared" si="17"/>
        <v>0</v>
      </c>
      <c r="BK49" s="451"/>
      <c r="BL49" s="451"/>
      <c r="BM49" s="451"/>
      <c r="BN49" s="451"/>
      <c r="BO49" s="319">
        <f t="shared" si="18"/>
        <v>0</v>
      </c>
      <c r="BP49" s="451"/>
      <c r="BQ49" s="451"/>
      <c r="BR49" s="451"/>
      <c r="BS49" s="451"/>
      <c r="BT49" s="319">
        <f t="shared" si="19"/>
        <v>0</v>
      </c>
      <c r="BU49" s="451"/>
      <c r="BV49" s="451"/>
      <c r="BW49" s="451"/>
      <c r="BX49" s="451"/>
      <c r="BY49" s="319">
        <f t="shared" si="20"/>
        <v>0</v>
      </c>
      <c r="BZ49" s="451"/>
      <c r="CA49" s="451"/>
      <c r="CB49" s="451"/>
      <c r="CC49" s="451"/>
      <c r="CD49" s="319">
        <f t="shared" si="21"/>
        <v>0</v>
      </c>
      <c r="CE49" s="451"/>
      <c r="CF49" s="451"/>
      <c r="CG49" s="451"/>
      <c r="CH49" s="451"/>
      <c r="CI49" s="319">
        <f t="shared" si="22"/>
        <v>0</v>
      </c>
      <c r="CJ49" s="451"/>
      <c r="CK49" s="451"/>
      <c r="CL49" s="451"/>
      <c r="CM49" s="451"/>
      <c r="CN49" s="319">
        <f t="shared" si="23"/>
        <v>0</v>
      </c>
      <c r="CO49" s="451">
        <f t="shared" si="24"/>
        <v>11000</v>
      </c>
      <c r="CP49" s="451">
        <f t="shared" si="9"/>
        <v>11000</v>
      </c>
      <c r="CQ49" s="452">
        <f t="shared" si="10"/>
        <v>1</v>
      </c>
    </row>
    <row r="50" spans="1:95" ht="12.75">
      <c r="A50" s="318" t="s">
        <v>168</v>
      </c>
      <c r="B50" s="319" t="s">
        <v>10</v>
      </c>
      <c r="C50" s="344">
        <v>0.6</v>
      </c>
      <c r="D50" s="321"/>
      <c r="E50" s="321"/>
      <c r="F50" s="322"/>
      <c r="G50" s="319"/>
      <c r="H50" s="322"/>
      <c r="I50" s="322"/>
      <c r="J50" s="328">
        <f>K50*J$8</f>
        <v>2432.4300000000003</v>
      </c>
      <c r="K50" s="328">
        <f>2.25*CMF*60%*K$11</f>
        <v>2432.4300000000003</v>
      </c>
      <c r="L50" s="322">
        <f>+K50/K$11</f>
        <v>1.4850000000000001</v>
      </c>
      <c r="M50" s="328">
        <f>N50*N$8</f>
        <v>108630.72</v>
      </c>
      <c r="N50" s="328">
        <f>2.25*CMF*60%*N$11</f>
        <v>1508.76</v>
      </c>
      <c r="O50" s="322">
        <f>+N50/N$11</f>
        <v>1.4850000000000001</v>
      </c>
      <c r="P50" s="328">
        <f>Q50*Q$8</f>
        <v>109879.60500000001</v>
      </c>
      <c r="Q50" s="328">
        <f>2.25*CMF*60%*Q$11</f>
        <v>1801.3050000000001</v>
      </c>
      <c r="R50" s="322">
        <f>+Q50/Q$11</f>
        <v>1.4850000000000001</v>
      </c>
      <c r="S50" s="329">
        <f t="shared" si="26"/>
        <v>218510.32500000001</v>
      </c>
      <c r="T50" s="330">
        <f>+S50/S$8</f>
        <v>1642.9347744360903</v>
      </c>
      <c r="U50" s="322">
        <f t="shared" si="25"/>
        <v>1.4850000000000001</v>
      </c>
      <c r="V50" s="326">
        <f>+S50/TotalCost</f>
        <v>1.7174395991863173E-2</v>
      </c>
      <c r="W50" s="327">
        <f t="shared" si="8"/>
        <v>1.4097440759146554E-2</v>
      </c>
      <c r="X50" s="433"/>
      <c r="Y50" s="437"/>
      <c r="Z50" s="327"/>
      <c r="AA50" s="327"/>
      <c r="AB50" s="507"/>
      <c r="AC50" s="263"/>
      <c r="AD50" s="327"/>
      <c r="AE50" s="264"/>
      <c r="AF50" s="450" t="s">
        <v>10</v>
      </c>
      <c r="AG50" s="319"/>
      <c r="AH50" s="319"/>
      <c r="AI50" s="319"/>
      <c r="AJ50" s="319"/>
      <c r="AK50" s="319">
        <f t="shared" si="12"/>
        <v>0</v>
      </c>
      <c r="AL50" s="319"/>
      <c r="AM50" s="319"/>
      <c r="AN50" s="319"/>
      <c r="AO50" s="319"/>
      <c r="AP50" s="319">
        <f t="shared" si="13"/>
        <v>0</v>
      </c>
      <c r="AQ50" s="319"/>
      <c r="AR50" s="319"/>
      <c r="AS50" s="451"/>
      <c r="AT50" s="451"/>
      <c r="AU50" s="319">
        <f t="shared" si="14"/>
        <v>0</v>
      </c>
      <c r="AV50" s="451"/>
      <c r="AW50" s="451"/>
      <c r="AX50" s="451"/>
      <c r="AY50" s="319">
        <f>$S50/8</f>
        <v>27313.790625000001</v>
      </c>
      <c r="AZ50" s="319">
        <f t="shared" si="15"/>
        <v>27313.790625000001</v>
      </c>
      <c r="BA50" s="451"/>
      <c r="BB50" s="451"/>
      <c r="BC50" s="319">
        <f>$S50/8</f>
        <v>27313.790625000001</v>
      </c>
      <c r="BD50" s="451"/>
      <c r="BE50" s="319">
        <f t="shared" si="16"/>
        <v>27313.790625000001</v>
      </c>
      <c r="BF50" s="451"/>
      <c r="BG50" s="451"/>
      <c r="BH50" s="319">
        <f>$S50/8</f>
        <v>27313.790625000001</v>
      </c>
      <c r="BI50" s="451"/>
      <c r="BJ50" s="319">
        <f t="shared" si="17"/>
        <v>27313.790625000001</v>
      </c>
      <c r="BK50" s="451"/>
      <c r="BL50" s="319">
        <f>$S50/8</f>
        <v>27313.790625000001</v>
      </c>
      <c r="BM50" s="451"/>
      <c r="BN50" s="451"/>
      <c r="BO50" s="319">
        <f t="shared" si="18"/>
        <v>27313.790625000001</v>
      </c>
      <c r="BP50" s="319">
        <f>$S50/8</f>
        <v>27313.790625000001</v>
      </c>
      <c r="BQ50" s="451"/>
      <c r="BR50" s="451"/>
      <c r="BS50" s="319">
        <f>$S50/8</f>
        <v>27313.790625000001</v>
      </c>
      <c r="BT50" s="319">
        <f t="shared" si="19"/>
        <v>54627.581250000003</v>
      </c>
      <c r="BU50" s="451"/>
      <c r="BV50" s="451"/>
      <c r="BW50" s="319">
        <f>$S50/8</f>
        <v>27313.790625000001</v>
      </c>
      <c r="BX50" s="451"/>
      <c r="BY50" s="319">
        <f t="shared" si="20"/>
        <v>27313.790625000001</v>
      </c>
      <c r="BZ50" s="451"/>
      <c r="CA50" s="319">
        <f>$S50/8</f>
        <v>27313.790625000001</v>
      </c>
      <c r="CB50" s="451"/>
      <c r="CC50" s="451"/>
      <c r="CD50" s="319">
        <f t="shared" si="21"/>
        <v>27313.790625000001</v>
      </c>
      <c r="CE50" s="451"/>
      <c r="CF50" s="451"/>
      <c r="CG50" s="451"/>
      <c r="CH50" s="451"/>
      <c r="CI50" s="319">
        <f t="shared" si="22"/>
        <v>0</v>
      </c>
      <c r="CJ50" s="451"/>
      <c r="CK50" s="451"/>
      <c r="CL50" s="451"/>
      <c r="CM50" s="451"/>
      <c r="CN50" s="319">
        <f t="shared" si="23"/>
        <v>0</v>
      </c>
      <c r="CO50" s="451">
        <f t="shared" si="24"/>
        <v>218510.32499999998</v>
      </c>
      <c r="CP50" s="451">
        <f t="shared" si="9"/>
        <v>218510.32500000001</v>
      </c>
      <c r="CQ50" s="452">
        <f t="shared" si="10"/>
        <v>0.99999999999999989</v>
      </c>
    </row>
    <row r="51" spans="1:95" ht="12.75">
      <c r="A51" s="318" t="s">
        <v>158</v>
      </c>
      <c r="B51" s="345" t="s">
        <v>30</v>
      </c>
      <c r="C51" s="344">
        <v>0.4</v>
      </c>
      <c r="D51" s="321"/>
      <c r="E51" s="321"/>
      <c r="F51" s="322"/>
      <c r="G51" s="319"/>
      <c r="H51" s="322"/>
      <c r="I51" s="322"/>
      <c r="J51" s="328">
        <f>K51*J$8</f>
        <v>1621.6200000000001</v>
      </c>
      <c r="K51" s="328">
        <f>2.25*CMF*40%*K$11</f>
        <v>1621.6200000000001</v>
      </c>
      <c r="L51" s="322">
        <f>+K51/K$11</f>
        <v>0.9900000000000001</v>
      </c>
      <c r="M51" s="328">
        <f>N51*N$8</f>
        <v>72420.48000000001</v>
      </c>
      <c r="N51" s="328">
        <f>2.25*CMF*40%*N$11</f>
        <v>1005.8400000000001</v>
      </c>
      <c r="O51" s="322">
        <f>+N51/N$11</f>
        <v>0.9900000000000001</v>
      </c>
      <c r="P51" s="328">
        <f>Q51*Q$8</f>
        <v>73253.070000000007</v>
      </c>
      <c r="Q51" s="328">
        <f>2.25*CMF*40%*Q$11</f>
        <v>1200.8700000000001</v>
      </c>
      <c r="R51" s="322">
        <f>+Q51/Q$11</f>
        <v>0.9900000000000001</v>
      </c>
      <c r="S51" s="329">
        <f t="shared" si="26"/>
        <v>145673.55000000002</v>
      </c>
      <c r="T51" s="330">
        <f>+S51/S$8</f>
        <v>1095.2898496240603</v>
      </c>
      <c r="U51" s="322">
        <f t="shared" si="25"/>
        <v>0.9900000000000001</v>
      </c>
      <c r="V51" s="326">
        <f>+S51/TotalCost</f>
        <v>1.1449597327908784E-2</v>
      </c>
      <c r="W51" s="327">
        <f t="shared" si="8"/>
        <v>9.3982938394310371E-3</v>
      </c>
      <c r="X51" s="433"/>
      <c r="Y51" s="437"/>
      <c r="Z51" s="327"/>
      <c r="AA51" s="327"/>
      <c r="AB51" s="507"/>
      <c r="AC51" s="263"/>
      <c r="AD51" s="327"/>
      <c r="AE51" s="264"/>
      <c r="AF51" s="457" t="s">
        <v>30</v>
      </c>
      <c r="AG51" s="319"/>
      <c r="AH51" s="319"/>
      <c r="AI51" s="319"/>
      <c r="AJ51" s="319"/>
      <c r="AK51" s="319">
        <f t="shared" si="12"/>
        <v>0</v>
      </c>
      <c r="AL51" s="319"/>
      <c r="AM51" s="319"/>
      <c r="AN51" s="319"/>
      <c r="AO51" s="319"/>
      <c r="AP51" s="319">
        <f t="shared" si="13"/>
        <v>0</v>
      </c>
      <c r="AQ51" s="319"/>
      <c r="AR51" s="319"/>
      <c r="AS51" s="319"/>
      <c r="AT51" s="319"/>
      <c r="AU51" s="319">
        <f t="shared" si="14"/>
        <v>0</v>
      </c>
      <c r="AV51" s="319"/>
      <c r="AW51" s="451"/>
      <c r="AX51" s="451"/>
      <c r="AY51" s="451"/>
      <c r="AZ51" s="319">
        <f t="shared" si="15"/>
        <v>0</v>
      </c>
      <c r="BA51" s="451"/>
      <c r="BB51" s="451"/>
      <c r="BC51" s="451"/>
      <c r="BD51" s="451"/>
      <c r="BE51" s="319">
        <f t="shared" si="16"/>
        <v>0</v>
      </c>
      <c r="BF51" s="318">
        <f>$S51/8</f>
        <v>18209.193750000002</v>
      </c>
      <c r="BG51" s="451"/>
      <c r="BH51" s="451"/>
      <c r="BI51" s="318">
        <f>$S51/8</f>
        <v>18209.193750000002</v>
      </c>
      <c r="BJ51" s="319">
        <f t="shared" si="17"/>
        <v>36418.387500000004</v>
      </c>
      <c r="BK51" s="451"/>
      <c r="BL51" s="451"/>
      <c r="BM51" s="318">
        <f>$S51/8</f>
        <v>18209.193750000002</v>
      </c>
      <c r="BN51" s="451"/>
      <c r="BO51" s="319">
        <f t="shared" si="18"/>
        <v>18209.193750000002</v>
      </c>
      <c r="BP51" s="451"/>
      <c r="BQ51" s="318">
        <f>$S51/8</f>
        <v>18209.193750000002</v>
      </c>
      <c r="BR51" s="451"/>
      <c r="BS51" s="451"/>
      <c r="BT51" s="319">
        <f t="shared" si="19"/>
        <v>18209.193750000002</v>
      </c>
      <c r="BU51" s="318">
        <f>$S51/8</f>
        <v>18209.193750000002</v>
      </c>
      <c r="BV51" s="451"/>
      <c r="BW51" s="451"/>
      <c r="BX51" s="318">
        <f>$S51/8</f>
        <v>18209.193750000002</v>
      </c>
      <c r="BY51" s="319">
        <f t="shared" si="20"/>
        <v>36418.387500000004</v>
      </c>
      <c r="BZ51" s="451"/>
      <c r="CA51" s="451"/>
      <c r="CB51" s="318">
        <f>$S51/8</f>
        <v>18209.193750000002</v>
      </c>
      <c r="CC51" s="451"/>
      <c r="CD51" s="319">
        <f t="shared" si="21"/>
        <v>18209.193750000002</v>
      </c>
      <c r="CE51" s="451"/>
      <c r="CF51" s="318">
        <f>$S51/8</f>
        <v>18209.193750000002</v>
      </c>
      <c r="CG51" s="451"/>
      <c r="CH51" s="451"/>
      <c r="CI51" s="319">
        <f t="shared" si="22"/>
        <v>18209.193750000002</v>
      </c>
      <c r="CJ51" s="451"/>
      <c r="CK51" s="451"/>
      <c r="CL51" s="451"/>
      <c r="CM51" s="451"/>
      <c r="CN51" s="319">
        <f t="shared" si="23"/>
        <v>0</v>
      </c>
      <c r="CO51" s="451">
        <f t="shared" si="24"/>
        <v>145673.55000000002</v>
      </c>
      <c r="CP51" s="451">
        <f t="shared" si="9"/>
        <v>145673.55000000002</v>
      </c>
      <c r="CQ51" s="452">
        <f t="shared" si="10"/>
        <v>1</v>
      </c>
    </row>
    <row r="52" spans="1:95" ht="12.75">
      <c r="A52" s="318"/>
      <c r="B52" s="342" t="s">
        <v>31</v>
      </c>
      <c r="C52" s="331">
        <v>200</v>
      </c>
      <c r="D52" s="321" t="s">
        <v>335</v>
      </c>
      <c r="E52" s="319"/>
      <c r="F52" s="322"/>
      <c r="G52" s="319"/>
      <c r="H52" s="322"/>
      <c r="I52" s="322"/>
      <c r="J52" s="328">
        <f>K52*J$8</f>
        <v>220.00000000000003</v>
      </c>
      <c r="K52" s="328">
        <f>200*CMF</f>
        <v>220.00000000000003</v>
      </c>
      <c r="L52" s="322">
        <f>+K52/K$11</f>
        <v>0.13431013431013433</v>
      </c>
      <c r="M52" s="328">
        <f>N52*N$8</f>
        <v>15840.000000000002</v>
      </c>
      <c r="N52" s="328">
        <f>200*CMF</f>
        <v>220.00000000000003</v>
      </c>
      <c r="O52" s="322">
        <f>+N52/N$11</f>
        <v>0.21653543307086617</v>
      </c>
      <c r="P52" s="328">
        <f>Q52*Q$8</f>
        <v>13420.000000000002</v>
      </c>
      <c r="Q52" s="328">
        <f>200*CMF</f>
        <v>220.00000000000003</v>
      </c>
      <c r="R52" s="322">
        <f>+Q52/Q$11</f>
        <v>0.18136850783182196</v>
      </c>
      <c r="S52" s="329">
        <f>+P52+M52</f>
        <v>29260.000000000004</v>
      </c>
      <c r="T52" s="330">
        <f>+S52/S$8</f>
        <v>220.00000000000003</v>
      </c>
      <c r="U52" s="322">
        <f t="shared" si="25"/>
        <v>0.19885147303680045</v>
      </c>
      <c r="V52" s="326">
        <f>+S52/TotalCost</f>
        <v>2.2997669639726018E-3</v>
      </c>
      <c r="W52" s="327">
        <f t="shared" si="8"/>
        <v>1.8877419939429781E-3</v>
      </c>
      <c r="X52" s="433"/>
      <c r="Y52" s="437"/>
      <c r="Z52" s="327"/>
      <c r="AA52" s="327"/>
      <c r="AB52" s="507"/>
      <c r="AC52" s="263"/>
      <c r="AD52" s="327"/>
      <c r="AE52" s="264"/>
      <c r="AF52" s="456" t="s">
        <v>31</v>
      </c>
      <c r="AG52" s="319"/>
      <c r="AH52" s="319"/>
      <c r="AI52" s="319"/>
      <c r="AJ52" s="319"/>
      <c r="AK52" s="319">
        <f t="shared" si="12"/>
        <v>0</v>
      </c>
      <c r="AL52" s="319"/>
      <c r="AM52" s="319"/>
      <c r="AN52" s="319"/>
      <c r="AO52" s="319"/>
      <c r="AP52" s="319">
        <f t="shared" si="13"/>
        <v>0</v>
      </c>
      <c r="AQ52" s="319"/>
      <c r="AR52" s="319"/>
      <c r="AS52" s="451"/>
      <c r="AT52" s="451"/>
      <c r="AU52" s="319">
        <f t="shared" si="14"/>
        <v>0</v>
      </c>
      <c r="AV52" s="451"/>
      <c r="AW52" s="451"/>
      <c r="AX52" s="451"/>
      <c r="AY52" s="319">
        <f>$S52/8</f>
        <v>3657.5000000000005</v>
      </c>
      <c r="AZ52" s="319">
        <f t="shared" si="15"/>
        <v>3657.5000000000005</v>
      </c>
      <c r="BA52" s="451"/>
      <c r="BB52" s="451"/>
      <c r="BC52" s="319">
        <f>$S52/8</f>
        <v>3657.5000000000005</v>
      </c>
      <c r="BD52" s="451"/>
      <c r="BE52" s="319">
        <f t="shared" si="16"/>
        <v>3657.5000000000005</v>
      </c>
      <c r="BF52" s="451"/>
      <c r="BG52" s="319">
        <f>$S52/8</f>
        <v>3657.5000000000005</v>
      </c>
      <c r="BH52" s="451"/>
      <c r="BI52" s="451"/>
      <c r="BJ52" s="319">
        <f t="shared" si="17"/>
        <v>3657.5000000000005</v>
      </c>
      <c r="BK52" s="319">
        <f>$S52/8</f>
        <v>3657.5000000000005</v>
      </c>
      <c r="BL52" s="451"/>
      <c r="BM52" s="451"/>
      <c r="BN52" s="319">
        <f>$S52/8</f>
        <v>3657.5000000000005</v>
      </c>
      <c r="BO52" s="319">
        <f t="shared" si="18"/>
        <v>7315.0000000000009</v>
      </c>
      <c r="BP52" s="451"/>
      <c r="BQ52" s="451"/>
      <c r="BR52" s="319">
        <f>$S52/8</f>
        <v>3657.5000000000005</v>
      </c>
      <c r="BS52" s="451"/>
      <c r="BT52" s="319">
        <f t="shared" si="19"/>
        <v>3657.5000000000005</v>
      </c>
      <c r="BU52" s="451"/>
      <c r="BV52" s="319">
        <f>$S52/8</f>
        <v>3657.5000000000005</v>
      </c>
      <c r="BW52" s="451"/>
      <c r="BX52" s="451"/>
      <c r="BY52" s="319">
        <f t="shared" si="20"/>
        <v>3657.5000000000005</v>
      </c>
      <c r="BZ52" s="319">
        <f>$S52/8</f>
        <v>3657.5000000000005</v>
      </c>
      <c r="CA52" s="451"/>
      <c r="CB52" s="451"/>
      <c r="CC52" s="451"/>
      <c r="CD52" s="319">
        <f t="shared" si="21"/>
        <v>3657.5000000000005</v>
      </c>
      <c r="CE52" s="451"/>
      <c r="CF52" s="451"/>
      <c r="CG52" s="451"/>
      <c r="CH52" s="451"/>
      <c r="CI52" s="319">
        <f t="shared" si="22"/>
        <v>0</v>
      </c>
      <c r="CJ52" s="451"/>
      <c r="CK52" s="451"/>
      <c r="CL52" s="451"/>
      <c r="CM52" s="451"/>
      <c r="CN52" s="319">
        <f t="shared" si="23"/>
        <v>0</v>
      </c>
      <c r="CO52" s="451">
        <f t="shared" si="24"/>
        <v>29260.000000000004</v>
      </c>
      <c r="CP52" s="451">
        <f t="shared" si="9"/>
        <v>29260.000000000004</v>
      </c>
      <c r="CQ52" s="452">
        <f t="shared" si="10"/>
        <v>1</v>
      </c>
    </row>
    <row r="53" spans="1:95" ht="12.75">
      <c r="A53" s="318" t="s">
        <v>158</v>
      </c>
      <c r="B53" s="319" t="s">
        <v>10</v>
      </c>
      <c r="C53" s="331"/>
      <c r="D53" s="321"/>
      <c r="E53" s="321"/>
      <c r="F53" s="322"/>
      <c r="G53" s="319"/>
      <c r="H53" s="322"/>
      <c r="I53" s="322"/>
      <c r="J53" s="328"/>
      <c r="K53" s="328"/>
      <c r="L53" s="322"/>
      <c r="M53" s="328"/>
      <c r="N53" s="328"/>
      <c r="O53" s="322"/>
      <c r="P53" s="328"/>
      <c r="Q53" s="328"/>
      <c r="R53" s="322"/>
      <c r="S53" s="329"/>
      <c r="T53" s="330"/>
      <c r="U53" s="322"/>
      <c r="V53" s="327"/>
      <c r="W53" s="327"/>
      <c r="X53" s="433"/>
      <c r="Y53" s="437"/>
      <c r="Z53" s="327"/>
      <c r="AA53" s="327"/>
      <c r="AB53" s="507"/>
      <c r="AC53" s="263"/>
      <c r="AD53" s="327"/>
      <c r="AE53" s="264"/>
      <c r="AF53" s="450" t="s">
        <v>10</v>
      </c>
      <c r="AG53" s="319"/>
      <c r="AH53" s="319"/>
      <c r="AI53" s="319"/>
      <c r="AJ53" s="319"/>
      <c r="AK53" s="319">
        <f t="shared" si="12"/>
        <v>0</v>
      </c>
      <c r="AL53" s="319"/>
      <c r="AM53" s="451"/>
      <c r="AN53" s="451"/>
      <c r="AO53" s="451"/>
      <c r="AP53" s="319">
        <f t="shared" si="13"/>
        <v>0</v>
      </c>
      <c r="AQ53" s="451"/>
      <c r="AR53" s="451"/>
      <c r="AS53" s="451"/>
      <c r="AT53" s="451"/>
      <c r="AU53" s="319">
        <f t="shared" si="14"/>
        <v>0</v>
      </c>
      <c r="AV53" s="451"/>
      <c r="AW53" s="451"/>
      <c r="AX53" s="451"/>
      <c r="AY53" s="451"/>
      <c r="AZ53" s="319">
        <f t="shared" si="15"/>
        <v>0</v>
      </c>
      <c r="BA53" s="451"/>
      <c r="BB53" s="451"/>
      <c r="BC53" s="451"/>
      <c r="BD53" s="451"/>
      <c r="BE53" s="319">
        <f t="shared" si="16"/>
        <v>0</v>
      </c>
      <c r="BF53" s="451"/>
      <c r="BG53" s="451"/>
      <c r="BH53" s="451"/>
      <c r="BI53" s="451"/>
      <c r="BJ53" s="319">
        <f t="shared" si="17"/>
        <v>0</v>
      </c>
      <c r="BK53" s="451"/>
      <c r="BL53" s="451"/>
      <c r="BM53" s="451"/>
      <c r="BN53" s="451"/>
      <c r="BO53" s="319">
        <f t="shared" si="18"/>
        <v>0</v>
      </c>
      <c r="BP53" s="451"/>
      <c r="BQ53" s="451"/>
      <c r="BR53" s="451"/>
      <c r="BS53" s="451"/>
      <c r="BT53" s="319">
        <f t="shared" si="19"/>
        <v>0</v>
      </c>
      <c r="BU53" s="451"/>
      <c r="BV53" s="451"/>
      <c r="BW53" s="451"/>
      <c r="BX53" s="451"/>
      <c r="BY53" s="319">
        <f t="shared" si="20"/>
        <v>0</v>
      </c>
      <c r="BZ53" s="451"/>
      <c r="CA53" s="451"/>
      <c r="CB53" s="451"/>
      <c r="CC53" s="451"/>
      <c r="CD53" s="319">
        <f t="shared" si="21"/>
        <v>0</v>
      </c>
      <c r="CE53" s="451"/>
      <c r="CF53" s="451"/>
      <c r="CG53" s="451"/>
      <c r="CH53" s="451"/>
      <c r="CI53" s="319">
        <f t="shared" si="22"/>
        <v>0</v>
      </c>
      <c r="CJ53" s="451"/>
      <c r="CK53" s="451"/>
      <c r="CL53" s="451"/>
      <c r="CM53" s="451"/>
      <c r="CN53" s="319">
        <f t="shared" si="23"/>
        <v>0</v>
      </c>
      <c r="CO53" s="451">
        <f t="shared" si="24"/>
        <v>0</v>
      </c>
      <c r="CP53" s="451"/>
      <c r="CQ53" s="452"/>
    </row>
    <row r="54" spans="1:95" ht="12.75">
      <c r="A54" s="318" t="s">
        <v>158</v>
      </c>
      <c r="B54" s="319" t="s">
        <v>30</v>
      </c>
      <c r="C54" s="331"/>
      <c r="D54" s="321"/>
      <c r="E54" s="321"/>
      <c r="F54" s="322"/>
      <c r="G54" s="319"/>
      <c r="H54" s="322"/>
      <c r="I54" s="322"/>
      <c r="J54" s="328"/>
      <c r="K54" s="328"/>
      <c r="L54" s="322"/>
      <c r="M54" s="328"/>
      <c r="N54" s="328"/>
      <c r="O54" s="322"/>
      <c r="P54" s="328"/>
      <c r="Q54" s="328"/>
      <c r="R54" s="322"/>
      <c r="S54" s="329"/>
      <c r="T54" s="330"/>
      <c r="U54" s="322"/>
      <c r="V54" s="327"/>
      <c r="W54" s="327"/>
      <c r="X54" s="433"/>
      <c r="Y54" s="437"/>
      <c r="Z54" s="327"/>
      <c r="AA54" s="327"/>
      <c r="AB54" s="507"/>
      <c r="AC54" s="263"/>
      <c r="AD54" s="327"/>
      <c r="AE54" s="264"/>
      <c r="AF54" s="450" t="s">
        <v>30</v>
      </c>
      <c r="AG54" s="319"/>
      <c r="AH54" s="319"/>
      <c r="AI54" s="319"/>
      <c r="AJ54" s="319"/>
      <c r="AK54" s="319">
        <f t="shared" si="12"/>
        <v>0</v>
      </c>
      <c r="AL54" s="319"/>
      <c r="AM54" s="451"/>
      <c r="AN54" s="451"/>
      <c r="AO54" s="451"/>
      <c r="AP54" s="319">
        <f t="shared" si="13"/>
        <v>0</v>
      </c>
      <c r="AQ54" s="451"/>
      <c r="AR54" s="451"/>
      <c r="AS54" s="451"/>
      <c r="AT54" s="451"/>
      <c r="AU54" s="319">
        <f t="shared" si="14"/>
        <v>0</v>
      </c>
      <c r="AV54" s="451"/>
      <c r="AW54" s="451"/>
      <c r="AX54" s="451"/>
      <c r="AY54" s="451"/>
      <c r="AZ54" s="319">
        <f t="shared" si="15"/>
        <v>0</v>
      </c>
      <c r="BA54" s="451"/>
      <c r="BB54" s="451"/>
      <c r="BC54" s="451"/>
      <c r="BD54" s="451"/>
      <c r="BE54" s="319">
        <f t="shared" si="16"/>
        <v>0</v>
      </c>
      <c r="BF54" s="451"/>
      <c r="BG54" s="451"/>
      <c r="BH54" s="451"/>
      <c r="BI54" s="451"/>
      <c r="BJ54" s="319">
        <f t="shared" si="17"/>
        <v>0</v>
      </c>
      <c r="BK54" s="451"/>
      <c r="BL54" s="451"/>
      <c r="BM54" s="451"/>
      <c r="BN54" s="451"/>
      <c r="BO54" s="319">
        <f t="shared" si="18"/>
        <v>0</v>
      </c>
      <c r="BP54" s="451"/>
      <c r="BQ54" s="451"/>
      <c r="BR54" s="451"/>
      <c r="BS54" s="451"/>
      <c r="BT54" s="319">
        <f t="shared" si="19"/>
        <v>0</v>
      </c>
      <c r="BU54" s="451"/>
      <c r="BV54" s="451"/>
      <c r="BW54" s="451"/>
      <c r="BX54" s="451"/>
      <c r="BY54" s="319">
        <f t="shared" si="20"/>
        <v>0</v>
      </c>
      <c r="BZ54" s="451"/>
      <c r="CA54" s="451"/>
      <c r="CB54" s="451"/>
      <c r="CC54" s="451"/>
      <c r="CD54" s="319">
        <f t="shared" si="21"/>
        <v>0</v>
      </c>
      <c r="CE54" s="451"/>
      <c r="CF54" s="451"/>
      <c r="CG54" s="451"/>
      <c r="CH54" s="451"/>
      <c r="CI54" s="319">
        <f t="shared" si="22"/>
        <v>0</v>
      </c>
      <c r="CJ54" s="451"/>
      <c r="CK54" s="451"/>
      <c r="CL54" s="451"/>
      <c r="CM54" s="451"/>
      <c r="CN54" s="319">
        <f t="shared" si="23"/>
        <v>0</v>
      </c>
      <c r="CO54" s="451">
        <f t="shared" si="24"/>
        <v>0</v>
      </c>
      <c r="CP54" s="451"/>
      <c r="CQ54" s="452"/>
    </row>
    <row r="55" spans="1:95" ht="12.75">
      <c r="A55" s="318"/>
      <c r="B55" s="342" t="s">
        <v>32</v>
      </c>
      <c r="C55" s="331"/>
      <c r="D55" s="321"/>
      <c r="E55" s="321"/>
      <c r="F55" s="322"/>
      <c r="G55" s="319"/>
      <c r="H55" s="322"/>
      <c r="I55" s="322"/>
      <c r="J55" s="334"/>
      <c r="K55" s="334"/>
      <c r="L55" s="322"/>
      <c r="M55" s="328"/>
      <c r="N55" s="328"/>
      <c r="O55" s="322"/>
      <c r="P55" s="328"/>
      <c r="Q55" s="328"/>
      <c r="R55" s="322"/>
      <c r="S55" s="329"/>
      <c r="T55" s="330"/>
      <c r="U55" s="322"/>
      <c r="V55" s="327"/>
      <c r="W55" s="327"/>
      <c r="X55" s="433"/>
      <c r="Y55" s="437"/>
      <c r="Z55" s="327"/>
      <c r="AA55" s="327"/>
      <c r="AB55" s="507"/>
      <c r="AC55" s="263"/>
      <c r="AD55" s="327"/>
      <c r="AE55" s="264"/>
      <c r="AF55" s="456" t="s">
        <v>32</v>
      </c>
      <c r="AG55" s="319"/>
      <c r="AH55" s="319"/>
      <c r="AI55" s="319"/>
      <c r="AJ55" s="319"/>
      <c r="AK55" s="319">
        <f t="shared" si="12"/>
        <v>0</v>
      </c>
      <c r="AL55" s="319"/>
      <c r="AM55" s="451"/>
      <c r="AN55" s="451"/>
      <c r="AO55" s="451"/>
      <c r="AP55" s="319">
        <f t="shared" si="13"/>
        <v>0</v>
      </c>
      <c r="AQ55" s="451"/>
      <c r="AR55" s="451"/>
      <c r="AS55" s="451"/>
      <c r="AT55" s="451"/>
      <c r="AU55" s="319">
        <f t="shared" si="14"/>
        <v>0</v>
      </c>
      <c r="AV55" s="451"/>
      <c r="AW55" s="451"/>
      <c r="AX55" s="451"/>
      <c r="AY55" s="451"/>
      <c r="AZ55" s="319">
        <f t="shared" si="15"/>
        <v>0</v>
      </c>
      <c r="BA55" s="451"/>
      <c r="BB55" s="451"/>
      <c r="BC55" s="451"/>
      <c r="BD55" s="451"/>
      <c r="BE55" s="319">
        <f t="shared" si="16"/>
        <v>0</v>
      </c>
      <c r="BF55" s="451"/>
      <c r="BG55" s="451"/>
      <c r="BH55" s="451"/>
      <c r="BI55" s="451"/>
      <c r="BJ55" s="319">
        <f t="shared" si="17"/>
        <v>0</v>
      </c>
      <c r="BK55" s="451"/>
      <c r="BL55" s="451"/>
      <c r="BM55" s="451"/>
      <c r="BN55" s="451"/>
      <c r="BO55" s="319">
        <f t="shared" si="18"/>
        <v>0</v>
      </c>
      <c r="BP55" s="451"/>
      <c r="BQ55" s="451"/>
      <c r="BR55" s="451"/>
      <c r="BS55" s="451"/>
      <c r="BT55" s="319">
        <f t="shared" si="19"/>
        <v>0</v>
      </c>
      <c r="BU55" s="451"/>
      <c r="BV55" s="451"/>
      <c r="BW55" s="451"/>
      <c r="BX55" s="451"/>
      <c r="BY55" s="319">
        <f t="shared" si="20"/>
        <v>0</v>
      </c>
      <c r="BZ55" s="451"/>
      <c r="CA55" s="451"/>
      <c r="CB55" s="451"/>
      <c r="CC55" s="451"/>
      <c r="CD55" s="319">
        <f t="shared" si="21"/>
        <v>0</v>
      </c>
      <c r="CE55" s="451"/>
      <c r="CF55" s="451"/>
      <c r="CG55" s="451"/>
      <c r="CH55" s="451"/>
      <c r="CI55" s="319">
        <f t="shared" si="22"/>
        <v>0</v>
      </c>
      <c r="CJ55" s="451"/>
      <c r="CK55" s="451"/>
      <c r="CL55" s="451"/>
      <c r="CM55" s="451"/>
      <c r="CN55" s="319">
        <f t="shared" si="23"/>
        <v>0</v>
      </c>
      <c r="CO55" s="451">
        <f t="shared" si="24"/>
        <v>0</v>
      </c>
      <c r="CP55" s="451"/>
      <c r="CQ55" s="452"/>
    </row>
    <row r="56" spans="1:95" ht="12.75">
      <c r="A56" s="318" t="s">
        <v>169</v>
      </c>
      <c r="B56" s="319" t="s">
        <v>10</v>
      </c>
      <c r="C56" s="331">
        <v>1.17</v>
      </c>
      <c r="D56" s="321" t="s">
        <v>497</v>
      </c>
      <c r="E56" s="321"/>
      <c r="F56" s="322"/>
      <c r="G56" s="319"/>
      <c r="H56" s="322"/>
      <c r="I56" s="322"/>
      <c r="J56" s="328">
        <f>K56*J$8</f>
        <v>2108.1059999999998</v>
      </c>
      <c r="K56" s="328">
        <f>1.17*K$11*CMF</f>
        <v>2108.1059999999998</v>
      </c>
      <c r="L56" s="322">
        <f>+K56/K$11</f>
        <v>1.2869999999999999</v>
      </c>
      <c r="M56" s="328">
        <f>N56*N$8</f>
        <v>94146.624000000011</v>
      </c>
      <c r="N56" s="328">
        <f>1.17*N$11*CMF</f>
        <v>1307.5920000000001</v>
      </c>
      <c r="O56" s="322">
        <f>+N56/N$11</f>
        <v>1.2870000000000001</v>
      </c>
      <c r="P56" s="328">
        <f>Q56*Q$8</f>
        <v>95228.990999999995</v>
      </c>
      <c r="Q56" s="328">
        <f>1.17*Q$11*CMF</f>
        <v>1561.1309999999999</v>
      </c>
      <c r="R56" s="322">
        <f>+Q56/Q$11</f>
        <v>1.2869999999999999</v>
      </c>
      <c r="S56" s="329">
        <f t="shared" si="26"/>
        <v>189375.61499999999</v>
      </c>
      <c r="T56" s="330">
        <f>+S56/S$8</f>
        <v>1423.8768045112781</v>
      </c>
      <c r="U56" s="322">
        <f t="shared" si="25"/>
        <v>1.2869999999999999</v>
      </c>
      <c r="V56" s="326">
        <f>+S56/TotalCost</f>
        <v>1.4884476526281417E-2</v>
      </c>
      <c r="W56" s="327">
        <f t="shared" si="8"/>
        <v>1.2217781991260345E-2</v>
      </c>
      <c r="X56" s="433"/>
      <c r="Y56" s="437"/>
      <c r="Z56" s="327"/>
      <c r="AA56" s="327"/>
      <c r="AB56" s="507"/>
      <c r="AC56" s="263"/>
      <c r="AD56" s="327"/>
      <c r="AE56" s="264"/>
      <c r="AF56" s="450" t="s">
        <v>10</v>
      </c>
      <c r="AG56" s="319"/>
      <c r="AH56" s="319"/>
      <c r="AI56" s="319"/>
      <c r="AJ56" s="319"/>
      <c r="AK56" s="319">
        <f t="shared" si="12"/>
        <v>0</v>
      </c>
      <c r="AL56" s="319"/>
      <c r="AM56" s="319"/>
      <c r="AN56" s="319"/>
      <c r="AO56" s="319"/>
      <c r="AP56" s="319">
        <f t="shared" si="13"/>
        <v>0</v>
      </c>
      <c r="AQ56" s="319"/>
      <c r="AR56" s="319"/>
      <c r="AS56" s="451"/>
      <c r="AT56" s="451"/>
      <c r="AU56" s="319">
        <f t="shared" si="14"/>
        <v>0</v>
      </c>
      <c r="AV56" s="451"/>
      <c r="AW56" s="451"/>
      <c r="AX56" s="451"/>
      <c r="AY56" s="319">
        <f>$S56/8</f>
        <v>23671.951874999999</v>
      </c>
      <c r="AZ56" s="319">
        <f t="shared" si="15"/>
        <v>23671.951874999999</v>
      </c>
      <c r="BA56" s="451"/>
      <c r="BB56" s="451"/>
      <c r="BC56" s="319">
        <f>$S56/8</f>
        <v>23671.951874999999</v>
      </c>
      <c r="BD56" s="451"/>
      <c r="BE56" s="319">
        <f t="shared" si="16"/>
        <v>23671.951874999999</v>
      </c>
      <c r="BF56" s="451"/>
      <c r="BG56" s="319">
        <f>$S56/8</f>
        <v>23671.951874999999</v>
      </c>
      <c r="BH56" s="451"/>
      <c r="BI56" s="451"/>
      <c r="BJ56" s="319">
        <f t="shared" si="17"/>
        <v>23671.951874999999</v>
      </c>
      <c r="BK56" s="319">
        <f>$S56/8</f>
        <v>23671.951874999999</v>
      </c>
      <c r="BL56" s="451"/>
      <c r="BM56" s="451"/>
      <c r="BN56" s="319">
        <f>$S56/8</f>
        <v>23671.951874999999</v>
      </c>
      <c r="BO56" s="319">
        <f t="shared" si="18"/>
        <v>47343.903749999998</v>
      </c>
      <c r="BP56" s="451"/>
      <c r="BQ56" s="451"/>
      <c r="BR56" s="319">
        <f>$S56/8</f>
        <v>23671.951874999999</v>
      </c>
      <c r="BS56" s="451"/>
      <c r="BT56" s="319">
        <f t="shared" si="19"/>
        <v>23671.951874999999</v>
      </c>
      <c r="BU56" s="451"/>
      <c r="BV56" s="319">
        <f>$S56/8</f>
        <v>23671.951874999999</v>
      </c>
      <c r="BW56" s="451"/>
      <c r="BX56" s="451"/>
      <c r="BY56" s="319">
        <f t="shared" si="20"/>
        <v>23671.951874999999</v>
      </c>
      <c r="BZ56" s="319">
        <f>$S56/8</f>
        <v>23671.951874999999</v>
      </c>
      <c r="CA56" s="451"/>
      <c r="CB56" s="451"/>
      <c r="CC56" s="451"/>
      <c r="CD56" s="319">
        <f t="shared" si="21"/>
        <v>23671.951874999999</v>
      </c>
      <c r="CE56" s="451"/>
      <c r="CF56" s="451"/>
      <c r="CG56" s="451"/>
      <c r="CH56" s="451"/>
      <c r="CI56" s="319">
        <f t="shared" si="22"/>
        <v>0</v>
      </c>
      <c r="CJ56" s="451"/>
      <c r="CK56" s="451"/>
      <c r="CL56" s="451"/>
      <c r="CM56" s="451"/>
      <c r="CN56" s="319">
        <f t="shared" si="23"/>
        <v>0</v>
      </c>
      <c r="CO56" s="451">
        <f t="shared" si="24"/>
        <v>189375.61499999999</v>
      </c>
      <c r="CP56" s="451">
        <f t="shared" si="9"/>
        <v>189375.61499999999</v>
      </c>
      <c r="CQ56" s="452">
        <f t="shared" si="10"/>
        <v>1</v>
      </c>
    </row>
    <row r="57" spans="1:95" ht="12.75">
      <c r="A57" s="318" t="s">
        <v>170</v>
      </c>
      <c r="B57" s="319" t="s">
        <v>33</v>
      </c>
      <c r="C57" s="331">
        <v>1.17</v>
      </c>
      <c r="D57" s="321" t="s">
        <v>497</v>
      </c>
      <c r="E57" s="321"/>
      <c r="F57" s="322"/>
      <c r="G57" s="319"/>
      <c r="H57" s="322"/>
      <c r="I57" s="322"/>
      <c r="J57" s="328">
        <f>K57*J$8</f>
        <v>2108.1059999999998</v>
      </c>
      <c r="K57" s="328">
        <f>1.17*K$11*CMF</f>
        <v>2108.1059999999998</v>
      </c>
      <c r="L57" s="322">
        <f>+K57/K$11</f>
        <v>1.2869999999999999</v>
      </c>
      <c r="M57" s="328">
        <f>N57*N$8</f>
        <v>94146.624000000011</v>
      </c>
      <c r="N57" s="328">
        <f>1.17*N$11*CMF</f>
        <v>1307.5920000000001</v>
      </c>
      <c r="O57" s="322">
        <f>+N57/N$11</f>
        <v>1.2870000000000001</v>
      </c>
      <c r="P57" s="328">
        <f>Q57*Q$8</f>
        <v>95228.990999999995</v>
      </c>
      <c r="Q57" s="328">
        <f>1.17*Q$11*CMF</f>
        <v>1561.1309999999999</v>
      </c>
      <c r="R57" s="322">
        <f>+Q57/Q$11</f>
        <v>1.2869999999999999</v>
      </c>
      <c r="S57" s="329">
        <f t="shared" si="26"/>
        <v>189375.61499999999</v>
      </c>
      <c r="T57" s="330">
        <f>+S57/S$8</f>
        <v>1423.8768045112781</v>
      </c>
      <c r="U57" s="322">
        <f t="shared" si="25"/>
        <v>1.2869999999999999</v>
      </c>
      <c r="V57" s="326">
        <f>+S57/TotalCost</f>
        <v>1.4884476526281417E-2</v>
      </c>
      <c r="W57" s="327">
        <f t="shared" si="8"/>
        <v>1.2217781991260345E-2</v>
      </c>
      <c r="X57" s="433"/>
      <c r="Y57" s="437"/>
      <c r="Z57" s="327"/>
      <c r="AA57" s="327"/>
      <c r="AB57" s="507"/>
      <c r="AC57" s="263"/>
      <c r="AD57" s="327"/>
      <c r="AE57" s="264"/>
      <c r="AF57" s="450" t="s">
        <v>33</v>
      </c>
      <c r="AG57" s="319"/>
      <c r="AH57" s="319"/>
      <c r="AI57" s="319"/>
      <c r="AJ57" s="319"/>
      <c r="AK57" s="319">
        <f t="shared" si="12"/>
        <v>0</v>
      </c>
      <c r="AL57" s="319"/>
      <c r="AM57" s="319"/>
      <c r="AN57" s="319"/>
      <c r="AO57" s="319"/>
      <c r="AP57" s="319">
        <f t="shared" si="13"/>
        <v>0</v>
      </c>
      <c r="AQ57" s="319"/>
      <c r="AR57" s="319"/>
      <c r="AS57" s="319"/>
      <c r="AT57" s="451"/>
      <c r="AU57" s="319">
        <f t="shared" si="14"/>
        <v>0</v>
      </c>
      <c r="AV57" s="451"/>
      <c r="AW57" s="451"/>
      <c r="AX57" s="451"/>
      <c r="AY57" s="451"/>
      <c r="AZ57" s="319">
        <f t="shared" si="15"/>
        <v>0</v>
      </c>
      <c r="BA57" s="451"/>
      <c r="BB57" s="451"/>
      <c r="BC57" s="451"/>
      <c r="BD57" s="451"/>
      <c r="BE57" s="319">
        <f t="shared" si="16"/>
        <v>0</v>
      </c>
      <c r="BF57" s="318">
        <f>$S57/8</f>
        <v>23671.951874999999</v>
      </c>
      <c r="BG57" s="451"/>
      <c r="BH57" s="451"/>
      <c r="BI57" s="318">
        <f>$S57/8</f>
        <v>23671.951874999999</v>
      </c>
      <c r="BJ57" s="319">
        <f t="shared" si="17"/>
        <v>47343.903749999998</v>
      </c>
      <c r="BK57" s="451"/>
      <c r="BL57" s="451"/>
      <c r="BM57" s="318">
        <f>$S57/8</f>
        <v>23671.951874999999</v>
      </c>
      <c r="BN57" s="451"/>
      <c r="BO57" s="319">
        <f t="shared" si="18"/>
        <v>23671.951874999999</v>
      </c>
      <c r="BP57" s="451"/>
      <c r="BQ57" s="318">
        <f>$S57/8</f>
        <v>23671.951874999999</v>
      </c>
      <c r="BR57" s="451"/>
      <c r="BS57" s="451"/>
      <c r="BT57" s="319">
        <f t="shared" si="19"/>
        <v>23671.951874999999</v>
      </c>
      <c r="BU57" s="318">
        <f>$S57/8</f>
        <v>23671.951874999999</v>
      </c>
      <c r="BV57" s="451"/>
      <c r="BW57" s="451"/>
      <c r="BX57" s="318">
        <f>$S57/8</f>
        <v>23671.951874999999</v>
      </c>
      <c r="BY57" s="319">
        <f t="shared" si="20"/>
        <v>47343.903749999998</v>
      </c>
      <c r="BZ57" s="451"/>
      <c r="CA57" s="451"/>
      <c r="CB57" s="318">
        <f>$S57/8</f>
        <v>23671.951874999999</v>
      </c>
      <c r="CC57" s="451"/>
      <c r="CD57" s="319">
        <f t="shared" si="21"/>
        <v>23671.951874999999</v>
      </c>
      <c r="CE57" s="451"/>
      <c r="CF57" s="318">
        <f>$S57/8</f>
        <v>23671.951874999999</v>
      </c>
      <c r="CG57" s="451"/>
      <c r="CH57" s="451"/>
      <c r="CI57" s="319">
        <f t="shared" si="22"/>
        <v>23671.951874999999</v>
      </c>
      <c r="CJ57" s="451"/>
      <c r="CK57" s="451"/>
      <c r="CL57" s="451"/>
      <c r="CM57" s="451"/>
      <c r="CN57" s="319">
        <f t="shared" si="23"/>
        <v>0</v>
      </c>
      <c r="CO57" s="451">
        <f t="shared" si="24"/>
        <v>189375.61499999999</v>
      </c>
      <c r="CP57" s="451">
        <f t="shared" si="9"/>
        <v>189375.61499999999</v>
      </c>
      <c r="CQ57" s="452">
        <f t="shared" si="10"/>
        <v>1</v>
      </c>
    </row>
    <row r="58" spans="1:95" ht="12.75">
      <c r="A58" s="318" t="s">
        <v>171</v>
      </c>
      <c r="B58" s="342" t="s">
        <v>34</v>
      </c>
      <c r="C58" s="320">
        <v>0.85</v>
      </c>
      <c r="D58" s="321" t="s">
        <v>497</v>
      </c>
      <c r="E58" s="321"/>
      <c r="F58" s="322"/>
      <c r="G58" s="319"/>
      <c r="H58" s="322"/>
      <c r="I58" s="322"/>
      <c r="J58" s="328">
        <f>K58*J$8</f>
        <v>1531.53</v>
      </c>
      <c r="K58" s="328">
        <f>K$11*0.85*CMF</f>
        <v>1531.53</v>
      </c>
      <c r="L58" s="322">
        <f>+K58/K$11</f>
        <v>0.93499999999999994</v>
      </c>
      <c r="M58" s="328">
        <f>N58*N$8</f>
        <v>68397.12000000001</v>
      </c>
      <c r="N58" s="328">
        <f>N$11*0.85*CMF</f>
        <v>949.96000000000015</v>
      </c>
      <c r="O58" s="322">
        <f>+N58/N$11</f>
        <v>0.93500000000000016</v>
      </c>
      <c r="P58" s="328">
        <f>Q58*Q$8</f>
        <v>69183.455000000002</v>
      </c>
      <c r="Q58" s="328">
        <f>Q$11*0.85*CMF</f>
        <v>1134.155</v>
      </c>
      <c r="R58" s="322">
        <f>+Q58/Q$11</f>
        <v>0.93499999999999994</v>
      </c>
      <c r="S58" s="329">
        <f t="shared" si="26"/>
        <v>137580.57500000001</v>
      </c>
      <c r="T58" s="330">
        <f>+S58/S$8</f>
        <v>1034.4404135338348</v>
      </c>
      <c r="U58" s="322">
        <f t="shared" si="25"/>
        <v>0.93500000000000005</v>
      </c>
      <c r="V58" s="326">
        <f>+S58/TotalCost</f>
        <v>1.0813508587469406E-2</v>
      </c>
      <c r="W58" s="327">
        <f t="shared" si="8"/>
        <v>8.8761664039070896E-3</v>
      </c>
      <c r="X58" s="433"/>
      <c r="Y58" s="437"/>
      <c r="Z58" s="327"/>
      <c r="AA58" s="327"/>
      <c r="AB58" s="507"/>
      <c r="AC58" s="263"/>
      <c r="AD58" s="327"/>
      <c r="AE58" s="264"/>
      <c r="AF58" s="456" t="s">
        <v>34</v>
      </c>
      <c r="AG58" s="319"/>
      <c r="AH58" s="319"/>
      <c r="AI58" s="319"/>
      <c r="AJ58" s="319"/>
      <c r="AK58" s="319">
        <f t="shared" si="12"/>
        <v>0</v>
      </c>
      <c r="AL58" s="319"/>
      <c r="AM58" s="319"/>
      <c r="AN58" s="319"/>
      <c r="AO58" s="319"/>
      <c r="AP58" s="319">
        <f t="shared" si="13"/>
        <v>0</v>
      </c>
      <c r="AQ58" s="319"/>
      <c r="AR58" s="319"/>
      <c r="AS58" s="451"/>
      <c r="AT58" s="451"/>
      <c r="AU58" s="319">
        <f t="shared" si="14"/>
        <v>0</v>
      </c>
      <c r="AV58" s="451"/>
      <c r="AW58" s="451"/>
      <c r="AX58" s="451"/>
      <c r="AY58" s="451"/>
      <c r="AZ58" s="319">
        <f t="shared" si="15"/>
        <v>0</v>
      </c>
      <c r="BA58" s="319">
        <f>$S58/8</f>
        <v>17197.571875000001</v>
      </c>
      <c r="BB58" s="451"/>
      <c r="BC58" s="451"/>
      <c r="BD58" s="319">
        <f>$S58/8</f>
        <v>17197.571875000001</v>
      </c>
      <c r="BE58" s="319">
        <f t="shared" si="16"/>
        <v>34395.143750000003</v>
      </c>
      <c r="BF58" s="451"/>
      <c r="BG58" s="451"/>
      <c r="BH58" s="319">
        <f>$S58/8</f>
        <v>17197.571875000001</v>
      </c>
      <c r="BI58" s="451"/>
      <c r="BJ58" s="319">
        <f t="shared" si="17"/>
        <v>17197.571875000001</v>
      </c>
      <c r="BK58" s="451"/>
      <c r="BL58" s="319">
        <f>$S58/8</f>
        <v>17197.571875000001</v>
      </c>
      <c r="BM58" s="451"/>
      <c r="BN58" s="451"/>
      <c r="BO58" s="319">
        <f t="shared" si="18"/>
        <v>17197.571875000001</v>
      </c>
      <c r="BP58" s="319">
        <f>$S58/8</f>
        <v>17197.571875000001</v>
      </c>
      <c r="BQ58" s="451"/>
      <c r="BR58" s="451"/>
      <c r="BS58" s="319">
        <f>$S58/8</f>
        <v>17197.571875000001</v>
      </c>
      <c r="BT58" s="319">
        <f t="shared" si="19"/>
        <v>34395.143750000003</v>
      </c>
      <c r="BU58" s="451"/>
      <c r="BV58" s="451"/>
      <c r="BW58" s="319">
        <f>$S58/8</f>
        <v>17197.571875000001</v>
      </c>
      <c r="BX58" s="451"/>
      <c r="BY58" s="319">
        <f t="shared" si="20"/>
        <v>17197.571875000001</v>
      </c>
      <c r="BZ58" s="451"/>
      <c r="CA58" s="319">
        <f>$S58/8</f>
        <v>17197.571875000001</v>
      </c>
      <c r="CB58" s="451"/>
      <c r="CC58" s="451"/>
      <c r="CD58" s="319">
        <f t="shared" si="21"/>
        <v>17197.571875000001</v>
      </c>
      <c r="CE58" s="451"/>
      <c r="CF58" s="451"/>
      <c r="CG58" s="451"/>
      <c r="CH58" s="451"/>
      <c r="CI58" s="319">
        <f t="shared" si="22"/>
        <v>0</v>
      </c>
      <c r="CJ58" s="451"/>
      <c r="CK58" s="451"/>
      <c r="CL58" s="451"/>
      <c r="CM58" s="451"/>
      <c r="CN58" s="319">
        <f t="shared" si="23"/>
        <v>0</v>
      </c>
      <c r="CO58" s="451">
        <f t="shared" si="24"/>
        <v>137580.57500000001</v>
      </c>
      <c r="CP58" s="451">
        <f t="shared" si="9"/>
        <v>137580.57500000001</v>
      </c>
      <c r="CQ58" s="452">
        <f t="shared" si="10"/>
        <v>1</v>
      </c>
    </row>
    <row r="59" spans="1:95" ht="12.75">
      <c r="A59" s="318" t="s">
        <v>172</v>
      </c>
      <c r="B59" s="342" t="s">
        <v>35</v>
      </c>
      <c r="C59" s="320">
        <v>3</v>
      </c>
      <c r="D59" s="321" t="s">
        <v>497</v>
      </c>
      <c r="E59" s="321"/>
      <c r="F59" s="322"/>
      <c r="G59" s="319"/>
      <c r="H59" s="322"/>
      <c r="I59" s="322"/>
      <c r="J59" s="328"/>
      <c r="K59" s="334"/>
      <c r="L59" s="322"/>
      <c r="M59" s="328"/>
      <c r="N59" s="328"/>
      <c r="O59" s="322"/>
      <c r="P59" s="328"/>
      <c r="Q59" s="328"/>
      <c r="R59" s="322"/>
      <c r="S59" s="329"/>
      <c r="T59" s="330"/>
      <c r="U59" s="322"/>
      <c r="V59" s="327"/>
      <c r="W59" s="327"/>
      <c r="X59" s="433"/>
      <c r="Y59" s="437"/>
      <c r="Z59" s="327"/>
      <c r="AA59" s="327"/>
      <c r="AB59" s="507"/>
      <c r="AC59" s="263"/>
      <c r="AD59" s="538"/>
      <c r="AE59" s="264"/>
      <c r="AF59" s="456" t="s">
        <v>35</v>
      </c>
      <c r="AG59" s="319"/>
      <c r="AH59" s="319"/>
      <c r="AI59" s="319"/>
      <c r="AJ59" s="319"/>
      <c r="AK59" s="319">
        <f t="shared" si="12"/>
        <v>0</v>
      </c>
      <c r="AL59" s="319"/>
      <c r="AM59" s="451"/>
      <c r="AN59" s="451"/>
      <c r="AO59" s="451"/>
      <c r="AP59" s="319">
        <f t="shared" si="13"/>
        <v>0</v>
      </c>
      <c r="AQ59" s="451"/>
      <c r="AR59" s="451"/>
      <c r="AS59" s="451"/>
      <c r="AT59" s="451"/>
      <c r="AU59" s="319">
        <f t="shared" si="14"/>
        <v>0</v>
      </c>
      <c r="AV59" s="451"/>
      <c r="AW59" s="451"/>
      <c r="AX59" s="451"/>
      <c r="AY59" s="451"/>
      <c r="AZ59" s="319">
        <f t="shared" si="15"/>
        <v>0</v>
      </c>
      <c r="BA59" s="451"/>
      <c r="BB59" s="451"/>
      <c r="BC59" s="451"/>
      <c r="BD59" s="451"/>
      <c r="BE59" s="319">
        <f t="shared" si="16"/>
        <v>0</v>
      </c>
      <c r="BF59" s="451"/>
      <c r="BG59" s="451"/>
      <c r="BH59" s="451"/>
      <c r="BI59" s="451"/>
      <c r="BJ59" s="319">
        <f t="shared" si="17"/>
        <v>0</v>
      </c>
      <c r="BK59" s="451"/>
      <c r="BL59" s="451"/>
      <c r="BM59" s="451"/>
      <c r="BN59" s="451"/>
      <c r="BO59" s="319">
        <f t="shared" si="18"/>
        <v>0</v>
      </c>
      <c r="BP59" s="451"/>
      <c r="BQ59" s="451"/>
      <c r="BR59" s="451"/>
      <c r="BS59" s="451"/>
      <c r="BT59" s="319">
        <f t="shared" si="19"/>
        <v>0</v>
      </c>
      <c r="BU59" s="451"/>
      <c r="BV59" s="451"/>
      <c r="BW59" s="451"/>
      <c r="BX59" s="451"/>
      <c r="BY59" s="319">
        <f t="shared" si="20"/>
        <v>0</v>
      </c>
      <c r="BZ59" s="451"/>
      <c r="CA59" s="451"/>
      <c r="CB59" s="319"/>
      <c r="CC59" s="451"/>
      <c r="CD59" s="319">
        <f t="shared" si="21"/>
        <v>0</v>
      </c>
      <c r="CE59" s="451"/>
      <c r="CF59" s="451"/>
      <c r="CG59" s="451"/>
      <c r="CH59" s="451"/>
      <c r="CI59" s="319">
        <f t="shared" si="22"/>
        <v>0</v>
      </c>
      <c r="CJ59" s="451"/>
      <c r="CK59" s="451"/>
      <c r="CL59" s="451"/>
      <c r="CM59" s="451"/>
      <c r="CN59" s="319">
        <f t="shared" si="23"/>
        <v>0</v>
      </c>
      <c r="CO59" s="451">
        <f t="shared" si="24"/>
        <v>0</v>
      </c>
      <c r="CP59" s="451"/>
      <c r="CQ59" s="452"/>
    </row>
    <row r="60" spans="1:95" ht="12.75" customHeight="1">
      <c r="A60" s="318" t="s">
        <v>172</v>
      </c>
      <c r="B60" s="319" t="s">
        <v>36</v>
      </c>
      <c r="C60" s="344">
        <v>0.33</v>
      </c>
      <c r="D60" s="321"/>
      <c r="E60" s="321"/>
      <c r="F60" s="322"/>
      <c r="G60" s="319"/>
      <c r="H60" s="322"/>
      <c r="I60" s="322"/>
      <c r="J60" s="328">
        <f>K60*J$8</f>
        <v>1783.7820000000004</v>
      </c>
      <c r="K60" s="328">
        <f>K$11*3*0.33*CMF</f>
        <v>1783.7820000000004</v>
      </c>
      <c r="L60" s="322">
        <f>+K60/K$11</f>
        <v>1.0890000000000002</v>
      </c>
      <c r="M60" s="346">
        <f>N60*N$8</f>
        <v>79662.52800000002</v>
      </c>
      <c r="N60" s="328">
        <f>N$11*3*0.33*CMF</f>
        <v>1106.4240000000002</v>
      </c>
      <c r="O60" s="322">
        <f>+N60/N$11</f>
        <v>1.0890000000000002</v>
      </c>
      <c r="P60" s="328">
        <f>Q60*Q$8</f>
        <v>80578.377000000022</v>
      </c>
      <c r="Q60" s="328">
        <f>Q$11*3*0.33*CMF</f>
        <v>1320.9570000000003</v>
      </c>
      <c r="R60" s="322">
        <f>+Q60/Q$11</f>
        <v>1.0890000000000002</v>
      </c>
      <c r="S60" s="329">
        <f t="shared" si="26"/>
        <v>160240.90500000003</v>
      </c>
      <c r="T60" s="330">
        <f>+S60/S$8</f>
        <v>1204.8188345864664</v>
      </c>
      <c r="U60" s="322">
        <f t="shared" si="25"/>
        <v>1.0890000000000002</v>
      </c>
      <c r="V60" s="326">
        <f>+S60/TotalCost</f>
        <v>1.2594557060699663E-2</v>
      </c>
      <c r="W60" s="327">
        <f t="shared" si="8"/>
        <v>1.033812322337414E-2</v>
      </c>
      <c r="X60" s="433"/>
      <c r="Y60" s="437"/>
      <c r="Z60" s="327"/>
      <c r="AA60" s="327"/>
      <c r="AB60" s="507"/>
      <c r="AC60" s="263"/>
      <c r="AD60" s="524"/>
      <c r="AE60" s="264"/>
      <c r="AF60" s="450" t="s">
        <v>36</v>
      </c>
      <c r="AG60" s="319"/>
      <c r="AH60" s="319"/>
      <c r="AI60" s="319"/>
      <c r="AJ60" s="319"/>
      <c r="AK60" s="319">
        <f t="shared" si="12"/>
        <v>0</v>
      </c>
      <c r="AL60" s="319"/>
      <c r="AM60" s="319"/>
      <c r="AN60" s="319"/>
      <c r="AO60" s="319"/>
      <c r="AP60" s="319">
        <f t="shared" si="13"/>
        <v>0</v>
      </c>
      <c r="AQ60" s="319"/>
      <c r="AR60" s="319"/>
      <c r="AS60" s="451"/>
      <c r="AT60" s="319">
        <f>$S60/8</f>
        <v>20030.113125000003</v>
      </c>
      <c r="AU60" s="319">
        <f t="shared" si="14"/>
        <v>20030.113125000003</v>
      </c>
      <c r="AV60" s="451"/>
      <c r="AW60" s="451"/>
      <c r="AX60" s="319">
        <f>$S60/8</f>
        <v>20030.113125000003</v>
      </c>
      <c r="AY60" s="451"/>
      <c r="AZ60" s="319">
        <f t="shared" si="15"/>
        <v>20030.113125000003</v>
      </c>
      <c r="BA60" s="319"/>
      <c r="BB60" s="319">
        <f>$S60/8</f>
        <v>20030.113125000003</v>
      </c>
      <c r="BC60" s="451"/>
      <c r="BD60" s="451"/>
      <c r="BE60" s="319">
        <f t="shared" si="16"/>
        <v>20030.113125000003</v>
      </c>
      <c r="BF60" s="319">
        <f>$S60/8</f>
        <v>20030.113125000003</v>
      </c>
      <c r="BG60" s="451"/>
      <c r="BH60" s="451"/>
      <c r="BI60" s="319">
        <f>$S60/8</f>
        <v>20030.113125000003</v>
      </c>
      <c r="BJ60" s="319">
        <f t="shared" si="17"/>
        <v>40060.226250000007</v>
      </c>
      <c r="BK60" s="451"/>
      <c r="BL60" s="451"/>
      <c r="BM60" s="319">
        <f>$S60/8</f>
        <v>20030.113125000003</v>
      </c>
      <c r="BN60" s="451"/>
      <c r="BO60" s="319">
        <f t="shared" si="18"/>
        <v>20030.113125000003</v>
      </c>
      <c r="BP60" s="319"/>
      <c r="BQ60" s="319">
        <f>$S60/8</f>
        <v>20030.113125000003</v>
      </c>
      <c r="BR60" s="451"/>
      <c r="BS60" s="451"/>
      <c r="BT60" s="319">
        <f t="shared" si="19"/>
        <v>20030.113125000003</v>
      </c>
      <c r="BU60" s="319">
        <f>$S60/8</f>
        <v>20030.113125000003</v>
      </c>
      <c r="BV60" s="451"/>
      <c r="BW60" s="451"/>
      <c r="BX60" s="451"/>
      <c r="BY60" s="319">
        <f t="shared" si="20"/>
        <v>20030.113125000003</v>
      </c>
      <c r="BZ60" s="451"/>
      <c r="CA60" s="451"/>
      <c r="CB60" s="451"/>
      <c r="CC60" s="451"/>
      <c r="CD60" s="319">
        <f t="shared" si="21"/>
        <v>0</v>
      </c>
      <c r="CE60" s="451"/>
      <c r="CF60" s="451"/>
      <c r="CG60" s="451"/>
      <c r="CH60" s="451"/>
      <c r="CI60" s="319">
        <f t="shared" si="22"/>
        <v>0</v>
      </c>
      <c r="CJ60" s="451"/>
      <c r="CK60" s="451"/>
      <c r="CL60" s="451"/>
      <c r="CM60" s="451"/>
      <c r="CN60" s="319">
        <f t="shared" si="23"/>
        <v>0</v>
      </c>
      <c r="CO60" s="451">
        <f t="shared" si="24"/>
        <v>160240.90500000003</v>
      </c>
      <c r="CP60" s="451">
        <f t="shared" si="9"/>
        <v>160240.90500000003</v>
      </c>
      <c r="CQ60" s="452">
        <f t="shared" si="10"/>
        <v>1</v>
      </c>
    </row>
    <row r="61" spans="1:95" ht="12.75">
      <c r="A61" s="318" t="s">
        <v>172</v>
      </c>
      <c r="B61" s="319" t="s">
        <v>72</v>
      </c>
      <c r="C61" s="344">
        <v>0.67</v>
      </c>
      <c r="D61" s="321"/>
      <c r="E61" s="321"/>
      <c r="F61" s="322"/>
      <c r="G61" s="319"/>
      <c r="H61" s="322"/>
      <c r="I61" s="322"/>
      <c r="J61" s="328">
        <f>K61*J$8</f>
        <v>3621.6180000000004</v>
      </c>
      <c r="K61" s="328">
        <f>$K$11*3*0.67*CMF</f>
        <v>3621.6180000000004</v>
      </c>
      <c r="L61" s="322">
        <f>+K61/K$11</f>
        <v>2.2110000000000003</v>
      </c>
      <c r="M61" s="328">
        <f>N61*N$8</f>
        <v>161739.07200000001</v>
      </c>
      <c r="N61" s="328">
        <f>N$11*3*0.67*CMF</f>
        <v>2246.3760000000002</v>
      </c>
      <c r="O61" s="322">
        <f>+N61/N$11</f>
        <v>2.2110000000000003</v>
      </c>
      <c r="P61" s="328">
        <f>Q61*Q$8</f>
        <v>163598.52300000002</v>
      </c>
      <c r="Q61" s="328">
        <f>Q$11*3*0.67*CMF</f>
        <v>2681.9430000000002</v>
      </c>
      <c r="R61" s="322">
        <f>+Q61/Q$11</f>
        <v>2.2110000000000003</v>
      </c>
      <c r="S61" s="329">
        <f t="shared" si="26"/>
        <v>325337.59500000003</v>
      </c>
      <c r="T61" s="330">
        <f>+S61/S$8</f>
        <v>2446.1473308270679</v>
      </c>
      <c r="U61" s="322">
        <f t="shared" si="25"/>
        <v>2.2110000000000003</v>
      </c>
      <c r="V61" s="326">
        <f>+S61/TotalCost</f>
        <v>2.5570767365662949E-2</v>
      </c>
      <c r="W61" s="327">
        <f t="shared" si="8"/>
        <v>2.0989522908062646E-2</v>
      </c>
      <c r="X61" s="433"/>
      <c r="Y61" s="437"/>
      <c r="Z61" s="327"/>
      <c r="AA61" s="327"/>
      <c r="AB61" s="507"/>
      <c r="AC61" s="263"/>
      <c r="AD61" s="524"/>
      <c r="AE61" s="264"/>
      <c r="AF61" s="450" t="s">
        <v>72</v>
      </c>
      <c r="AG61" s="319"/>
      <c r="AH61" s="319"/>
      <c r="AI61" s="319"/>
      <c r="AJ61" s="319"/>
      <c r="AK61" s="319">
        <f t="shared" si="12"/>
        <v>0</v>
      </c>
      <c r="AL61" s="319"/>
      <c r="AM61" s="319"/>
      <c r="AN61" s="319"/>
      <c r="AO61" s="319"/>
      <c r="AP61" s="319">
        <f t="shared" si="13"/>
        <v>0</v>
      </c>
      <c r="AQ61" s="319"/>
      <c r="AR61" s="319"/>
      <c r="AS61" s="451"/>
      <c r="AT61" s="451"/>
      <c r="AU61" s="319">
        <f t="shared" si="14"/>
        <v>0</v>
      </c>
      <c r="AV61" s="451"/>
      <c r="AW61" s="451"/>
      <c r="AX61" s="451"/>
      <c r="AY61" s="451"/>
      <c r="AZ61" s="319">
        <f t="shared" si="15"/>
        <v>0</v>
      </c>
      <c r="BA61" s="319"/>
      <c r="BB61" s="319">
        <f>$S61/8</f>
        <v>40667.199375000004</v>
      </c>
      <c r="BC61" s="451"/>
      <c r="BD61" s="451"/>
      <c r="BE61" s="319">
        <f t="shared" si="16"/>
        <v>40667.199375000004</v>
      </c>
      <c r="BF61" s="319">
        <f>$S61/8</f>
        <v>40667.199375000004</v>
      </c>
      <c r="BG61" s="451"/>
      <c r="BH61" s="451"/>
      <c r="BI61" s="319">
        <f>$S61/8</f>
        <v>40667.199375000004</v>
      </c>
      <c r="BJ61" s="319">
        <f t="shared" si="17"/>
        <v>81334.398750000008</v>
      </c>
      <c r="BK61" s="451"/>
      <c r="BL61" s="451"/>
      <c r="BM61" s="319">
        <f>$S61/8</f>
        <v>40667.199375000004</v>
      </c>
      <c r="BN61" s="451"/>
      <c r="BO61" s="319">
        <f t="shared" si="18"/>
        <v>40667.199375000004</v>
      </c>
      <c r="BP61" s="451"/>
      <c r="BQ61" s="319">
        <f>$S61/8</f>
        <v>40667.199375000004</v>
      </c>
      <c r="BR61" s="451"/>
      <c r="BS61" s="451"/>
      <c r="BT61" s="319">
        <f t="shared" si="19"/>
        <v>40667.199375000004</v>
      </c>
      <c r="BU61" s="319">
        <f>$S61/8</f>
        <v>40667.199375000004</v>
      </c>
      <c r="BV61" s="451"/>
      <c r="BW61" s="451"/>
      <c r="BX61" s="319">
        <f>$S61/8</f>
        <v>40667.199375000004</v>
      </c>
      <c r="BY61" s="319">
        <f t="shared" si="20"/>
        <v>81334.398750000008</v>
      </c>
      <c r="BZ61" s="451"/>
      <c r="CA61" s="451"/>
      <c r="CB61" s="319">
        <f>$S61/8</f>
        <v>40667.199375000004</v>
      </c>
      <c r="CC61" s="451"/>
      <c r="CD61" s="319">
        <f t="shared" si="21"/>
        <v>40667.199375000004</v>
      </c>
      <c r="CE61" s="451"/>
      <c r="CF61" s="451"/>
      <c r="CG61" s="451"/>
      <c r="CH61" s="451"/>
      <c r="CI61" s="319">
        <f t="shared" si="22"/>
        <v>0</v>
      </c>
      <c r="CJ61" s="451"/>
      <c r="CK61" s="451"/>
      <c r="CL61" s="451"/>
      <c r="CM61" s="451"/>
      <c r="CN61" s="319">
        <f t="shared" si="23"/>
        <v>0</v>
      </c>
      <c r="CO61" s="451">
        <f t="shared" si="24"/>
        <v>325337.59500000003</v>
      </c>
      <c r="CP61" s="451">
        <f t="shared" si="9"/>
        <v>325337.59500000003</v>
      </c>
      <c r="CQ61" s="452">
        <f t="shared" si="10"/>
        <v>1</v>
      </c>
    </row>
    <row r="62" spans="1:95" ht="12.75">
      <c r="A62" s="318" t="s">
        <v>159</v>
      </c>
      <c r="B62" s="332" t="s">
        <v>37</v>
      </c>
      <c r="C62" s="319">
        <v>365</v>
      </c>
      <c r="D62" s="321" t="s">
        <v>500</v>
      </c>
      <c r="E62" s="331" t="s">
        <v>508</v>
      </c>
      <c r="F62" s="322"/>
      <c r="G62" s="319"/>
      <c r="H62" s="322"/>
      <c r="I62" s="322"/>
      <c r="J62" s="328">
        <f>K62*J$8</f>
        <v>730</v>
      </c>
      <c r="K62" s="328">
        <f>365*2</f>
        <v>730</v>
      </c>
      <c r="L62" s="322">
        <f>+K62/K$11</f>
        <v>0.44566544566544569</v>
      </c>
      <c r="M62" s="328">
        <f>N62*N$8</f>
        <v>0</v>
      </c>
      <c r="N62" s="328">
        <v>0</v>
      </c>
      <c r="O62" s="322">
        <f>+N62/N$11</f>
        <v>0</v>
      </c>
      <c r="P62" s="328">
        <f>Q62*Q$8</f>
        <v>22265</v>
      </c>
      <c r="Q62" s="328">
        <v>365</v>
      </c>
      <c r="R62" s="322">
        <f>+Q62/Q$11</f>
        <v>0.30090684253915911</v>
      </c>
      <c r="S62" s="329">
        <f t="shared" si="26"/>
        <v>22265</v>
      </c>
      <c r="T62" s="330">
        <f>+S62/S$8</f>
        <v>167.40601503759399</v>
      </c>
      <c r="U62" s="322">
        <f t="shared" si="25"/>
        <v>0.1513133303883924</v>
      </c>
      <c r="V62" s="326">
        <f>+S62/TotalCost</f>
        <v>1.7499764679716327E-3</v>
      </c>
      <c r="W62" s="327">
        <f t="shared" si="8"/>
        <v>1.43645165738689E-3</v>
      </c>
      <c r="X62" s="433"/>
      <c r="Y62" s="437"/>
      <c r="Z62" s="327"/>
      <c r="AA62" s="327"/>
      <c r="AB62" s="507"/>
      <c r="AC62" s="263"/>
      <c r="AD62" s="327"/>
      <c r="AE62" s="264"/>
      <c r="AF62" s="453" t="s">
        <v>37</v>
      </c>
      <c r="AG62" s="319"/>
      <c r="AH62" s="319"/>
      <c r="AI62" s="319"/>
      <c r="AJ62" s="319"/>
      <c r="AK62" s="319">
        <f t="shared" si="12"/>
        <v>0</v>
      </c>
      <c r="AL62" s="319"/>
      <c r="AM62" s="319"/>
      <c r="AN62" s="319"/>
      <c r="AO62" s="319"/>
      <c r="AP62" s="319">
        <f t="shared" si="13"/>
        <v>0</v>
      </c>
      <c r="AQ62" s="319"/>
      <c r="AR62" s="319"/>
      <c r="AS62" s="319"/>
      <c r="AT62" s="319"/>
      <c r="AU62" s="319">
        <f t="shared" si="14"/>
        <v>0</v>
      </c>
      <c r="AV62" s="451"/>
      <c r="AW62" s="451"/>
      <c r="AX62" s="451"/>
      <c r="AY62" s="451"/>
      <c r="AZ62" s="319">
        <f t="shared" si="15"/>
        <v>0</v>
      </c>
      <c r="BA62" s="451"/>
      <c r="BB62" s="319"/>
      <c r="BC62" s="319">
        <f>$S62/8</f>
        <v>2783.125</v>
      </c>
      <c r="BD62" s="451"/>
      <c r="BE62" s="319">
        <f t="shared" si="16"/>
        <v>2783.125</v>
      </c>
      <c r="BF62" s="451"/>
      <c r="BG62" s="319">
        <f>$S62/8</f>
        <v>2783.125</v>
      </c>
      <c r="BH62" s="451"/>
      <c r="BI62" s="451"/>
      <c r="BJ62" s="319">
        <f t="shared" si="17"/>
        <v>2783.125</v>
      </c>
      <c r="BK62" s="319">
        <f>$S62/8</f>
        <v>2783.125</v>
      </c>
      <c r="BL62" s="451"/>
      <c r="BM62" s="451"/>
      <c r="BN62" s="319">
        <f>$S62/8</f>
        <v>2783.125</v>
      </c>
      <c r="BO62" s="319">
        <f t="shared" si="18"/>
        <v>5566.25</v>
      </c>
      <c r="BP62" s="451"/>
      <c r="BQ62" s="451"/>
      <c r="BR62" s="319">
        <f>$S62/8</f>
        <v>2783.125</v>
      </c>
      <c r="BS62" s="451"/>
      <c r="BT62" s="319">
        <f t="shared" si="19"/>
        <v>2783.125</v>
      </c>
      <c r="BU62" s="451"/>
      <c r="BV62" s="319">
        <f>$S62/8</f>
        <v>2783.125</v>
      </c>
      <c r="BW62" s="451"/>
      <c r="BX62" s="451"/>
      <c r="BY62" s="319">
        <f t="shared" si="20"/>
        <v>2783.125</v>
      </c>
      <c r="BZ62" s="319">
        <f>$S62/8</f>
        <v>2783.125</v>
      </c>
      <c r="CA62" s="451"/>
      <c r="CB62" s="451"/>
      <c r="CC62" s="319">
        <f>$S62/8</f>
        <v>2783.125</v>
      </c>
      <c r="CD62" s="319">
        <f t="shared" si="21"/>
        <v>5566.25</v>
      </c>
      <c r="CE62" s="451"/>
      <c r="CF62" s="451"/>
      <c r="CG62" s="451"/>
      <c r="CH62" s="451"/>
      <c r="CI62" s="319">
        <f t="shared" si="22"/>
        <v>0</v>
      </c>
      <c r="CJ62" s="451"/>
      <c r="CK62" s="451"/>
      <c r="CL62" s="451"/>
      <c r="CM62" s="451"/>
      <c r="CN62" s="319">
        <f t="shared" si="23"/>
        <v>0</v>
      </c>
      <c r="CO62" s="451">
        <f t="shared" si="24"/>
        <v>22265</v>
      </c>
      <c r="CP62" s="451">
        <f t="shared" si="9"/>
        <v>22265</v>
      </c>
      <c r="CQ62" s="452">
        <f t="shared" si="10"/>
        <v>1</v>
      </c>
    </row>
    <row r="63" spans="1:95" ht="12.75">
      <c r="A63" s="318"/>
      <c r="B63" s="332" t="s">
        <v>354</v>
      </c>
      <c r="C63" s="331" t="s">
        <v>507</v>
      </c>
      <c r="D63" s="321"/>
      <c r="E63" s="321"/>
      <c r="F63" s="322"/>
      <c r="G63" s="319"/>
      <c r="H63" s="322"/>
      <c r="I63" s="322"/>
      <c r="J63" s="328">
        <f>K63*J$8</f>
        <v>500</v>
      </c>
      <c r="K63" s="328">
        <v>500</v>
      </c>
      <c r="L63" s="322">
        <f>+K63/K$11</f>
        <v>0.30525030525030528</v>
      </c>
      <c r="M63" s="328">
        <f>N63*N$8</f>
        <v>36000</v>
      </c>
      <c r="N63" s="328">
        <v>500</v>
      </c>
      <c r="O63" s="322">
        <f>+N63/N$11</f>
        <v>0.49212598425196852</v>
      </c>
      <c r="P63" s="328">
        <f>Q63*Q$8</f>
        <v>0</v>
      </c>
      <c r="Q63" s="328"/>
      <c r="R63" s="322">
        <f>+Q63/Q$11</f>
        <v>0</v>
      </c>
      <c r="S63" s="329">
        <f t="shared" si="26"/>
        <v>36000</v>
      </c>
      <c r="T63" s="330">
        <f>+S63/S$8</f>
        <v>270.6766917293233</v>
      </c>
      <c r="U63" s="322">
        <f t="shared" si="25"/>
        <v>0.24465663121410852</v>
      </c>
      <c r="V63" s="326">
        <f>+S63/TotalCost</f>
        <v>2.8295150616204257E-3</v>
      </c>
      <c r="W63" s="327">
        <f t="shared" si="8"/>
        <v>2.3225807170863706E-3</v>
      </c>
      <c r="X63" s="433"/>
      <c r="Y63" s="437"/>
      <c r="Z63" s="327"/>
      <c r="AA63" s="327"/>
      <c r="AB63" s="507"/>
      <c r="AC63" s="263"/>
      <c r="AD63" s="327"/>
      <c r="AE63" s="264"/>
      <c r="AF63" s="453" t="s">
        <v>354</v>
      </c>
      <c r="AG63" s="319"/>
      <c r="AH63" s="319"/>
      <c r="AI63" s="319"/>
      <c r="AJ63" s="319"/>
      <c r="AK63" s="319">
        <f t="shared" si="12"/>
        <v>0</v>
      </c>
      <c r="AL63" s="319"/>
      <c r="AM63" s="319"/>
      <c r="AN63" s="319"/>
      <c r="AO63" s="319"/>
      <c r="AP63" s="319">
        <f t="shared" si="13"/>
        <v>0</v>
      </c>
      <c r="AQ63" s="319"/>
      <c r="AR63" s="319"/>
      <c r="AS63" s="319"/>
      <c r="AT63" s="319"/>
      <c r="AU63" s="319">
        <f t="shared" si="14"/>
        <v>0</v>
      </c>
      <c r="AV63" s="451"/>
      <c r="AW63" s="451"/>
      <c r="AX63" s="451"/>
      <c r="AY63" s="451"/>
      <c r="AZ63" s="319">
        <f t="shared" si="15"/>
        <v>0</v>
      </c>
      <c r="BA63" s="451"/>
      <c r="BB63" s="451"/>
      <c r="BC63" s="451"/>
      <c r="BD63" s="451"/>
      <c r="BE63" s="319">
        <f t="shared" si="16"/>
        <v>0</v>
      </c>
      <c r="BF63" s="451"/>
      <c r="BG63" s="451"/>
      <c r="BH63" s="451"/>
      <c r="BI63" s="318">
        <f>$S63/8</f>
        <v>4500</v>
      </c>
      <c r="BJ63" s="319">
        <f t="shared" si="17"/>
        <v>4500</v>
      </c>
      <c r="BK63" s="451"/>
      <c r="BL63" s="451"/>
      <c r="BM63" s="318">
        <f>$S63/8</f>
        <v>4500</v>
      </c>
      <c r="BN63" s="451"/>
      <c r="BO63" s="319">
        <f t="shared" si="18"/>
        <v>4500</v>
      </c>
      <c r="BP63" s="451"/>
      <c r="BQ63" s="318">
        <f>$S63/8</f>
        <v>4500</v>
      </c>
      <c r="BR63" s="451"/>
      <c r="BS63" s="451"/>
      <c r="BT63" s="319">
        <f t="shared" si="19"/>
        <v>4500</v>
      </c>
      <c r="BU63" s="318">
        <f>$S63/8</f>
        <v>4500</v>
      </c>
      <c r="BV63" s="451"/>
      <c r="BW63" s="451"/>
      <c r="BX63" s="318">
        <f>$S63/8</f>
        <v>4500</v>
      </c>
      <c r="BY63" s="319">
        <f t="shared" si="20"/>
        <v>9000</v>
      </c>
      <c r="BZ63" s="451"/>
      <c r="CA63" s="451"/>
      <c r="CB63" s="318">
        <f>$S63/8</f>
        <v>4500</v>
      </c>
      <c r="CC63" s="451"/>
      <c r="CD63" s="319">
        <f t="shared" si="21"/>
        <v>4500</v>
      </c>
      <c r="CE63" s="451"/>
      <c r="CF63" s="318">
        <f>$S63/8</f>
        <v>4500</v>
      </c>
      <c r="CG63" s="451"/>
      <c r="CH63" s="451"/>
      <c r="CI63" s="319">
        <f t="shared" si="22"/>
        <v>4500</v>
      </c>
      <c r="CJ63" s="318">
        <f>$S63/8</f>
        <v>4500</v>
      </c>
      <c r="CK63" s="451"/>
      <c r="CL63" s="451"/>
      <c r="CM63" s="451"/>
      <c r="CN63" s="319">
        <f t="shared" si="23"/>
        <v>4500</v>
      </c>
      <c r="CO63" s="451">
        <f t="shared" si="24"/>
        <v>36000</v>
      </c>
      <c r="CP63" s="451">
        <f t="shared" si="9"/>
        <v>36000</v>
      </c>
      <c r="CQ63" s="452">
        <f t="shared" si="10"/>
        <v>1</v>
      </c>
    </row>
    <row r="64" spans="1:95" ht="12.75">
      <c r="A64" s="318" t="s">
        <v>159</v>
      </c>
      <c r="B64" s="342" t="s">
        <v>38</v>
      </c>
      <c r="C64" s="331"/>
      <c r="D64" s="321"/>
      <c r="E64" s="336"/>
      <c r="F64" s="322"/>
      <c r="G64" s="319"/>
      <c r="H64" s="322"/>
      <c r="I64" s="322"/>
      <c r="J64" s="328"/>
      <c r="K64" s="328"/>
      <c r="L64" s="322"/>
      <c r="M64" s="328"/>
      <c r="N64" s="328"/>
      <c r="O64" s="322"/>
      <c r="P64" s="328"/>
      <c r="Q64" s="328"/>
      <c r="R64" s="322"/>
      <c r="S64" s="329"/>
      <c r="T64" s="330"/>
      <c r="U64" s="322"/>
      <c r="V64" s="327"/>
      <c r="W64" s="327"/>
      <c r="X64" s="433"/>
      <c r="Y64" s="437"/>
      <c r="Z64" s="327"/>
      <c r="AA64" s="327"/>
      <c r="AB64" s="507"/>
      <c r="AC64" s="263"/>
      <c r="AD64" s="327"/>
      <c r="AE64" s="264"/>
      <c r="AF64" s="456" t="s">
        <v>38</v>
      </c>
      <c r="AG64" s="319"/>
      <c r="AH64" s="319"/>
      <c r="AI64" s="319"/>
      <c r="AJ64" s="319"/>
      <c r="AK64" s="319">
        <f t="shared" si="12"/>
        <v>0</v>
      </c>
      <c r="AL64" s="319"/>
      <c r="AM64" s="451"/>
      <c r="AN64" s="451"/>
      <c r="AO64" s="451"/>
      <c r="AP64" s="319">
        <f t="shared" si="13"/>
        <v>0</v>
      </c>
      <c r="AQ64" s="451"/>
      <c r="AR64" s="451"/>
      <c r="AS64" s="451"/>
      <c r="AT64" s="451"/>
      <c r="AU64" s="319">
        <f t="shared" si="14"/>
        <v>0</v>
      </c>
      <c r="AV64" s="451"/>
      <c r="AW64" s="451"/>
      <c r="AX64" s="451"/>
      <c r="AY64" s="451"/>
      <c r="AZ64" s="319">
        <f t="shared" si="15"/>
        <v>0</v>
      </c>
      <c r="BA64" s="451"/>
      <c r="BB64" s="451"/>
      <c r="BC64" s="451"/>
      <c r="BD64" s="451"/>
      <c r="BE64" s="319">
        <f t="shared" si="16"/>
        <v>0</v>
      </c>
      <c r="BF64" s="451"/>
      <c r="BG64" s="451"/>
      <c r="BH64" s="451"/>
      <c r="BI64" s="451"/>
      <c r="BJ64" s="319">
        <f t="shared" si="17"/>
        <v>0</v>
      </c>
      <c r="BK64" s="451"/>
      <c r="BL64" s="451"/>
      <c r="BM64" s="451"/>
      <c r="BN64" s="451"/>
      <c r="BO64" s="319">
        <f t="shared" si="18"/>
        <v>0</v>
      </c>
      <c r="BP64" s="451"/>
      <c r="BQ64" s="451"/>
      <c r="BR64" s="451"/>
      <c r="BS64" s="451"/>
      <c r="BT64" s="319">
        <f t="shared" si="19"/>
        <v>0</v>
      </c>
      <c r="BU64" s="451"/>
      <c r="BV64" s="451"/>
      <c r="BW64" s="451"/>
      <c r="BX64" s="451"/>
      <c r="BY64" s="319">
        <f t="shared" si="20"/>
        <v>0</v>
      </c>
      <c r="BZ64" s="451"/>
      <c r="CA64" s="451"/>
      <c r="CB64" s="451"/>
      <c r="CC64" s="451"/>
      <c r="CD64" s="319">
        <f t="shared" si="21"/>
        <v>0</v>
      </c>
      <c r="CE64" s="451"/>
      <c r="CF64" s="451"/>
      <c r="CG64" s="451"/>
      <c r="CH64" s="451"/>
      <c r="CI64" s="319">
        <f t="shared" si="22"/>
        <v>0</v>
      </c>
      <c r="CJ64" s="451"/>
      <c r="CK64" s="451"/>
      <c r="CL64" s="451"/>
      <c r="CM64" s="451"/>
      <c r="CN64" s="319">
        <f t="shared" si="23"/>
        <v>0</v>
      </c>
      <c r="CO64" s="451">
        <f t="shared" si="24"/>
        <v>0</v>
      </c>
      <c r="CP64" s="451"/>
      <c r="CQ64" s="452"/>
    </row>
    <row r="65" spans="1:95" ht="12.75">
      <c r="A65" s="318" t="s">
        <v>159</v>
      </c>
      <c r="B65" s="318" t="s">
        <v>39</v>
      </c>
      <c r="C65" s="331">
        <v>75</v>
      </c>
      <c r="D65" s="321" t="s">
        <v>500</v>
      </c>
      <c r="E65" s="321"/>
      <c r="F65" s="322"/>
      <c r="G65" s="319"/>
      <c r="H65" s="322"/>
      <c r="I65" s="322"/>
      <c r="J65" s="328">
        <f>K65*J$8</f>
        <v>990.00000000000011</v>
      </c>
      <c r="K65" s="328">
        <f>12*75*CMF</f>
        <v>990.00000000000011</v>
      </c>
      <c r="L65" s="322">
        <f>+K65/K$11</f>
        <v>0.60439560439560447</v>
      </c>
      <c r="M65" s="328">
        <f>N65*N$8</f>
        <v>71280.000000000015</v>
      </c>
      <c r="N65" s="328">
        <f>12*75*CMF</f>
        <v>990.00000000000011</v>
      </c>
      <c r="O65" s="322">
        <f>+N65/N$11</f>
        <v>0.97440944881889779</v>
      </c>
      <c r="P65" s="328">
        <f>Q65*Q$8</f>
        <v>60390.000000000007</v>
      </c>
      <c r="Q65" s="328">
        <f>12*75*CMF</f>
        <v>990.00000000000011</v>
      </c>
      <c r="R65" s="322">
        <f>+Q65/Q$11</f>
        <v>0.81615828524319878</v>
      </c>
      <c r="S65" s="329">
        <f t="shared" si="26"/>
        <v>131670.00000000003</v>
      </c>
      <c r="T65" s="330">
        <f>+S65/S$8</f>
        <v>990.00000000000023</v>
      </c>
      <c r="U65" s="322">
        <f t="shared" si="25"/>
        <v>0.89483162866560217</v>
      </c>
      <c r="V65" s="326">
        <f>+S65/TotalCost</f>
        <v>1.034895133787671E-2</v>
      </c>
      <c r="W65" s="327">
        <f t="shared" si="8"/>
        <v>8.4948389727434025E-3</v>
      </c>
      <c r="X65" s="433"/>
      <c r="Y65" s="437"/>
      <c r="Z65" s="327"/>
      <c r="AA65" s="327"/>
      <c r="AB65" s="507"/>
      <c r="AC65" s="263"/>
      <c r="AD65" s="327"/>
      <c r="AE65" s="264"/>
      <c r="AF65" s="455" t="s">
        <v>39</v>
      </c>
      <c r="AG65" s="319"/>
      <c r="AH65" s="319"/>
      <c r="AI65" s="319"/>
      <c r="AJ65" s="319"/>
      <c r="AK65" s="319">
        <f t="shared" si="12"/>
        <v>0</v>
      </c>
      <c r="AL65" s="319"/>
      <c r="AM65" s="319"/>
      <c r="AN65" s="319"/>
      <c r="AO65" s="319"/>
      <c r="AP65" s="319">
        <f t="shared" si="13"/>
        <v>0</v>
      </c>
      <c r="AQ65" s="319"/>
      <c r="AR65" s="319"/>
      <c r="AS65" s="451"/>
      <c r="AT65" s="451"/>
      <c r="AU65" s="319">
        <f t="shared" si="14"/>
        <v>0</v>
      </c>
      <c r="AV65" s="451"/>
      <c r="AW65" s="451"/>
      <c r="AX65" s="451"/>
      <c r="AY65" s="451"/>
      <c r="AZ65" s="319">
        <f t="shared" si="15"/>
        <v>0</v>
      </c>
      <c r="BA65" s="451"/>
      <c r="BB65" s="451"/>
      <c r="BC65" s="319">
        <f>$S65/8</f>
        <v>16458.750000000004</v>
      </c>
      <c r="BD65" s="451"/>
      <c r="BE65" s="319">
        <f t="shared" si="16"/>
        <v>16458.750000000004</v>
      </c>
      <c r="BF65" s="451"/>
      <c r="BG65" s="319">
        <f>$S65/8</f>
        <v>16458.750000000004</v>
      </c>
      <c r="BH65" s="451"/>
      <c r="BI65" s="451"/>
      <c r="BJ65" s="319">
        <f t="shared" si="17"/>
        <v>16458.750000000004</v>
      </c>
      <c r="BK65" s="319">
        <f>$S65/8</f>
        <v>16458.750000000004</v>
      </c>
      <c r="BL65" s="451"/>
      <c r="BM65" s="451"/>
      <c r="BN65" s="319">
        <f>$S65/8</f>
        <v>16458.750000000004</v>
      </c>
      <c r="BO65" s="319">
        <f t="shared" si="18"/>
        <v>32917.500000000007</v>
      </c>
      <c r="BP65" s="451"/>
      <c r="BQ65" s="451"/>
      <c r="BR65" s="319">
        <f>$S65/8</f>
        <v>16458.750000000004</v>
      </c>
      <c r="BS65" s="451"/>
      <c r="BT65" s="319">
        <f t="shared" si="19"/>
        <v>16458.750000000004</v>
      </c>
      <c r="BU65" s="451"/>
      <c r="BV65" s="319">
        <f>$S65/8</f>
        <v>16458.750000000004</v>
      </c>
      <c r="BW65" s="451"/>
      <c r="BX65" s="451"/>
      <c r="BY65" s="319">
        <f t="shared" si="20"/>
        <v>16458.750000000004</v>
      </c>
      <c r="BZ65" s="319">
        <f>$S65/8</f>
        <v>16458.750000000004</v>
      </c>
      <c r="CA65" s="451"/>
      <c r="CB65" s="451"/>
      <c r="CC65" s="319">
        <f>$S65/8</f>
        <v>16458.750000000004</v>
      </c>
      <c r="CD65" s="319">
        <f t="shared" si="21"/>
        <v>32917.500000000007</v>
      </c>
      <c r="CE65" s="451"/>
      <c r="CF65" s="451"/>
      <c r="CG65" s="451"/>
      <c r="CH65" s="451"/>
      <c r="CI65" s="319">
        <f t="shared" si="22"/>
        <v>0</v>
      </c>
      <c r="CJ65" s="451"/>
      <c r="CK65" s="451"/>
      <c r="CL65" s="451"/>
      <c r="CM65" s="451"/>
      <c r="CN65" s="319">
        <f t="shared" si="23"/>
        <v>0</v>
      </c>
      <c r="CO65" s="451">
        <f t="shared" si="24"/>
        <v>131670.00000000003</v>
      </c>
      <c r="CP65" s="451">
        <f t="shared" si="9"/>
        <v>131670.00000000003</v>
      </c>
      <c r="CQ65" s="452">
        <f t="shared" si="10"/>
        <v>1</v>
      </c>
    </row>
    <row r="66" spans="1:95" ht="12.75">
      <c r="A66" s="318" t="s">
        <v>159</v>
      </c>
      <c r="B66" s="319" t="s">
        <v>40</v>
      </c>
      <c r="C66" s="331">
        <v>0.55000000000000004</v>
      </c>
      <c r="D66" s="321" t="s">
        <v>497</v>
      </c>
      <c r="E66" s="321"/>
      <c r="F66" s="322"/>
      <c r="G66" s="319"/>
      <c r="H66" s="322"/>
      <c r="I66" s="322"/>
      <c r="J66" s="328">
        <f>K66*J$8</f>
        <v>990.99000000000024</v>
      </c>
      <c r="K66" s="328">
        <f>K$11*0.55*CMF</f>
        <v>990.99000000000024</v>
      </c>
      <c r="L66" s="322">
        <f>+K66/K$11</f>
        <v>0.60500000000000009</v>
      </c>
      <c r="M66" s="328">
        <f>N66*N$8</f>
        <v>44256.960000000014</v>
      </c>
      <c r="N66" s="328">
        <f>N$11*0.55*CMF</f>
        <v>614.68000000000018</v>
      </c>
      <c r="O66" s="322">
        <f>+N66/N$11</f>
        <v>0.6050000000000002</v>
      </c>
      <c r="P66" s="328">
        <f>Q66*Q$8</f>
        <v>44765.765000000007</v>
      </c>
      <c r="Q66" s="328">
        <f>Q$11*0.55*CMF</f>
        <v>733.86500000000012</v>
      </c>
      <c r="R66" s="322">
        <f>+Q66/Q$11</f>
        <v>0.60500000000000009</v>
      </c>
      <c r="S66" s="329">
        <f t="shared" si="26"/>
        <v>89022.72500000002</v>
      </c>
      <c r="T66" s="330">
        <f>+S66/S$8</f>
        <v>669.34379699248132</v>
      </c>
      <c r="U66" s="322">
        <f t="shared" si="25"/>
        <v>0.60500000000000009</v>
      </c>
      <c r="V66" s="326">
        <f>+S66/TotalCost</f>
        <v>6.9969761448331466E-3</v>
      </c>
      <c r="W66" s="327">
        <f t="shared" si="8"/>
        <v>5.7434017907634118E-3</v>
      </c>
      <c r="X66" s="433"/>
      <c r="Y66" s="437"/>
      <c r="Z66" s="327"/>
      <c r="AA66" s="327"/>
      <c r="AB66" s="507"/>
      <c r="AC66" s="263"/>
      <c r="AD66" s="327"/>
      <c r="AE66" s="264"/>
      <c r="AF66" s="450" t="s">
        <v>40</v>
      </c>
      <c r="AG66" s="319"/>
      <c r="AH66" s="319"/>
      <c r="AI66" s="319"/>
      <c r="AJ66" s="319"/>
      <c r="AK66" s="319">
        <f t="shared" si="12"/>
        <v>0</v>
      </c>
      <c r="AL66" s="319"/>
      <c r="AM66" s="319"/>
      <c r="AN66" s="319"/>
      <c r="AO66" s="319"/>
      <c r="AP66" s="319">
        <f t="shared" si="13"/>
        <v>0</v>
      </c>
      <c r="AQ66" s="319"/>
      <c r="AR66" s="319"/>
      <c r="AS66" s="451"/>
      <c r="AT66" s="451"/>
      <c r="AU66" s="319">
        <f t="shared" si="14"/>
        <v>0</v>
      </c>
      <c r="AV66" s="451"/>
      <c r="AW66" s="451"/>
      <c r="AX66" s="451"/>
      <c r="AY66" s="451"/>
      <c r="AZ66" s="319">
        <f t="shared" si="15"/>
        <v>0</v>
      </c>
      <c r="BA66" s="451"/>
      <c r="BB66" s="451"/>
      <c r="BC66" s="319">
        <f>$S66/8</f>
        <v>11127.840625000003</v>
      </c>
      <c r="BD66" s="451"/>
      <c r="BE66" s="319">
        <f t="shared" si="16"/>
        <v>11127.840625000003</v>
      </c>
      <c r="BF66" s="451"/>
      <c r="BG66" s="319">
        <f>$S66/8</f>
        <v>11127.840625000003</v>
      </c>
      <c r="BH66" s="451"/>
      <c r="BI66" s="451"/>
      <c r="BJ66" s="319">
        <f t="shared" si="17"/>
        <v>11127.840625000003</v>
      </c>
      <c r="BK66" s="319">
        <f>$S66/8</f>
        <v>11127.840625000003</v>
      </c>
      <c r="BL66" s="451"/>
      <c r="BM66" s="451"/>
      <c r="BN66" s="319">
        <f>$S66/8</f>
        <v>11127.840625000003</v>
      </c>
      <c r="BO66" s="319">
        <f t="shared" si="18"/>
        <v>22255.681250000005</v>
      </c>
      <c r="BP66" s="451"/>
      <c r="BQ66" s="451"/>
      <c r="BR66" s="319">
        <f>$S66/8</f>
        <v>11127.840625000003</v>
      </c>
      <c r="BS66" s="451"/>
      <c r="BT66" s="319">
        <f t="shared" si="19"/>
        <v>11127.840625000003</v>
      </c>
      <c r="BU66" s="451"/>
      <c r="BV66" s="319">
        <f>$S66/8</f>
        <v>11127.840625000003</v>
      </c>
      <c r="BW66" s="451"/>
      <c r="BX66" s="451"/>
      <c r="BY66" s="319">
        <f t="shared" si="20"/>
        <v>11127.840625000003</v>
      </c>
      <c r="BZ66" s="319">
        <f>$S66/8</f>
        <v>11127.840625000003</v>
      </c>
      <c r="CA66" s="451"/>
      <c r="CB66" s="451"/>
      <c r="CC66" s="319">
        <f>$S66/8</f>
        <v>11127.840625000003</v>
      </c>
      <c r="CD66" s="319">
        <f t="shared" si="21"/>
        <v>22255.681250000005</v>
      </c>
      <c r="CE66" s="451"/>
      <c r="CF66" s="451"/>
      <c r="CG66" s="451"/>
      <c r="CH66" s="451"/>
      <c r="CI66" s="319">
        <f t="shared" si="22"/>
        <v>0</v>
      </c>
      <c r="CJ66" s="451"/>
      <c r="CK66" s="451"/>
      <c r="CL66" s="451"/>
      <c r="CM66" s="451"/>
      <c r="CN66" s="319">
        <f t="shared" si="23"/>
        <v>0</v>
      </c>
      <c r="CO66" s="451">
        <f t="shared" si="24"/>
        <v>89022.725000000006</v>
      </c>
      <c r="CP66" s="451">
        <f t="shared" si="9"/>
        <v>89022.72500000002</v>
      </c>
      <c r="CQ66" s="452">
        <f t="shared" si="10"/>
        <v>0.99999999999999989</v>
      </c>
    </row>
    <row r="67" spans="1:95" ht="12.75">
      <c r="A67" s="318" t="s">
        <v>159</v>
      </c>
      <c r="B67" s="319" t="s">
        <v>27</v>
      </c>
      <c r="C67" s="331">
        <v>0.6</v>
      </c>
      <c r="D67" s="321" t="s">
        <v>497</v>
      </c>
      <c r="E67" s="321"/>
      <c r="F67" s="322"/>
      <c r="G67" s="319"/>
      <c r="H67" s="322"/>
      <c r="I67" s="322"/>
      <c r="J67" s="328">
        <f>K67*J$8</f>
        <v>1081.08</v>
      </c>
      <c r="K67" s="328">
        <f>K$11*0.6*CMF</f>
        <v>1081.08</v>
      </c>
      <c r="L67" s="322">
        <f>+K67/K$11</f>
        <v>0.65999999999999992</v>
      </c>
      <c r="M67" s="328">
        <f>N67*N$8</f>
        <v>48280.320000000007</v>
      </c>
      <c r="N67" s="328">
        <f>N$11*0.6*CMF</f>
        <v>670.56000000000006</v>
      </c>
      <c r="O67" s="322">
        <f>+N67/N$11</f>
        <v>0.66</v>
      </c>
      <c r="P67" s="328">
        <f>Q67*Q$8</f>
        <v>48835.380000000005</v>
      </c>
      <c r="Q67" s="328">
        <f>Q$11*0.6*CMF</f>
        <v>800.58</v>
      </c>
      <c r="R67" s="322">
        <f>+Q67/Q$11</f>
        <v>0.66</v>
      </c>
      <c r="S67" s="329">
        <f t="shared" si="26"/>
        <v>97115.700000000012</v>
      </c>
      <c r="T67" s="330">
        <f>+S67/S$8</f>
        <v>730.19323308270691</v>
      </c>
      <c r="U67" s="322">
        <f t="shared" si="25"/>
        <v>0.66</v>
      </c>
      <c r="V67" s="326">
        <f>+S67/TotalCost</f>
        <v>7.6330648852725221E-3</v>
      </c>
      <c r="W67" s="327">
        <f t="shared" si="8"/>
        <v>6.2655292262873575E-3</v>
      </c>
      <c r="X67" s="433"/>
      <c r="Y67" s="437"/>
      <c r="Z67" s="327"/>
      <c r="AA67" s="327"/>
      <c r="AB67" s="507"/>
      <c r="AC67" s="263"/>
      <c r="AD67" s="327"/>
      <c r="AE67" s="264"/>
      <c r="AF67" s="450" t="s">
        <v>27</v>
      </c>
      <c r="AG67" s="319"/>
      <c r="AH67" s="319"/>
      <c r="AI67" s="319"/>
      <c r="AJ67" s="319"/>
      <c r="AK67" s="319">
        <f t="shared" si="12"/>
        <v>0</v>
      </c>
      <c r="AL67" s="319"/>
      <c r="AM67" s="319"/>
      <c r="AN67" s="319"/>
      <c r="AO67" s="319"/>
      <c r="AP67" s="319">
        <f t="shared" si="13"/>
        <v>0</v>
      </c>
      <c r="AQ67" s="319"/>
      <c r="AR67" s="319"/>
      <c r="AS67" s="319"/>
      <c r="AT67" s="451"/>
      <c r="AU67" s="319">
        <f t="shared" si="14"/>
        <v>0</v>
      </c>
      <c r="AV67" s="451"/>
      <c r="AW67" s="451"/>
      <c r="AX67" s="451"/>
      <c r="AY67" s="451"/>
      <c r="AZ67" s="319">
        <f t="shared" si="15"/>
        <v>0</v>
      </c>
      <c r="BA67" s="451"/>
      <c r="BB67" s="451"/>
      <c r="BC67" s="319">
        <f>$S67/8</f>
        <v>12139.462500000001</v>
      </c>
      <c r="BD67" s="451"/>
      <c r="BE67" s="319">
        <f t="shared" si="16"/>
        <v>12139.462500000001</v>
      </c>
      <c r="BF67" s="451"/>
      <c r="BG67" s="319">
        <f>$S67/8</f>
        <v>12139.462500000001</v>
      </c>
      <c r="BH67" s="451"/>
      <c r="BI67" s="451"/>
      <c r="BJ67" s="319">
        <f t="shared" si="17"/>
        <v>12139.462500000001</v>
      </c>
      <c r="BK67" s="319">
        <f>$S67/8</f>
        <v>12139.462500000001</v>
      </c>
      <c r="BL67" s="451"/>
      <c r="BM67" s="451"/>
      <c r="BN67" s="319">
        <f>$S67/8</f>
        <v>12139.462500000001</v>
      </c>
      <c r="BO67" s="319">
        <f t="shared" si="18"/>
        <v>24278.925000000003</v>
      </c>
      <c r="BP67" s="451"/>
      <c r="BQ67" s="451"/>
      <c r="BR67" s="319">
        <f>$S67/8</f>
        <v>12139.462500000001</v>
      </c>
      <c r="BS67" s="451"/>
      <c r="BT67" s="319">
        <f t="shared" si="19"/>
        <v>12139.462500000001</v>
      </c>
      <c r="BU67" s="451"/>
      <c r="BV67" s="319">
        <f>$S67/8</f>
        <v>12139.462500000001</v>
      </c>
      <c r="BW67" s="451"/>
      <c r="BX67" s="451"/>
      <c r="BY67" s="319">
        <f t="shared" si="20"/>
        <v>12139.462500000001</v>
      </c>
      <c r="BZ67" s="319">
        <f>$S67/8</f>
        <v>12139.462500000001</v>
      </c>
      <c r="CA67" s="451"/>
      <c r="CB67" s="451"/>
      <c r="CC67" s="319">
        <f>$S67/8</f>
        <v>12139.462500000001</v>
      </c>
      <c r="CD67" s="319">
        <f t="shared" si="21"/>
        <v>24278.925000000003</v>
      </c>
      <c r="CE67" s="451"/>
      <c r="CF67" s="451"/>
      <c r="CG67" s="451"/>
      <c r="CH67" s="451"/>
      <c r="CI67" s="319">
        <f t="shared" si="22"/>
        <v>0</v>
      </c>
      <c r="CJ67" s="451"/>
      <c r="CK67" s="451"/>
      <c r="CL67" s="451"/>
      <c r="CM67" s="451"/>
      <c r="CN67" s="319">
        <f t="shared" si="23"/>
        <v>0</v>
      </c>
      <c r="CO67" s="451">
        <f t="shared" si="24"/>
        <v>97115.700000000012</v>
      </c>
      <c r="CP67" s="451">
        <f t="shared" si="9"/>
        <v>97115.700000000012</v>
      </c>
      <c r="CQ67" s="452">
        <f t="shared" si="10"/>
        <v>1</v>
      </c>
    </row>
    <row r="68" spans="1:95" ht="12.75">
      <c r="A68" s="318"/>
      <c r="B68" s="342" t="s">
        <v>41</v>
      </c>
      <c r="C68" s="331"/>
      <c r="D68" s="321"/>
      <c r="E68" s="321"/>
      <c r="F68" s="322"/>
      <c r="G68" s="319"/>
      <c r="H68" s="322"/>
      <c r="I68" s="322"/>
      <c r="J68" s="328"/>
      <c r="K68" s="328"/>
      <c r="L68" s="322"/>
      <c r="M68" s="328"/>
      <c r="N68" s="328"/>
      <c r="O68" s="322"/>
      <c r="P68" s="328"/>
      <c r="Q68" s="328"/>
      <c r="R68" s="322"/>
      <c r="S68" s="329"/>
      <c r="T68" s="330"/>
      <c r="U68" s="322"/>
      <c r="V68" s="327"/>
      <c r="W68" s="327"/>
      <c r="X68" s="433"/>
      <c r="Y68" s="437"/>
      <c r="Z68" s="327"/>
      <c r="AA68" s="327"/>
      <c r="AB68" s="507"/>
      <c r="AC68" s="263"/>
      <c r="AD68" s="327"/>
      <c r="AE68" s="264"/>
      <c r="AF68" s="456" t="s">
        <v>41</v>
      </c>
      <c r="AG68" s="458"/>
      <c r="AH68" s="319"/>
      <c r="AI68" s="319"/>
      <c r="AJ68" s="319"/>
      <c r="AK68" s="319">
        <f t="shared" si="12"/>
        <v>0</v>
      </c>
      <c r="AL68" s="319"/>
      <c r="AM68" s="319"/>
      <c r="AN68" s="319"/>
      <c r="AO68" s="319"/>
      <c r="AP68" s="319">
        <f t="shared" si="13"/>
        <v>0</v>
      </c>
      <c r="AQ68" s="451"/>
      <c r="AR68" s="451"/>
      <c r="AS68" s="451"/>
      <c r="AT68" s="451"/>
      <c r="AU68" s="319">
        <f t="shared" si="14"/>
        <v>0</v>
      </c>
      <c r="AV68" s="451"/>
      <c r="AW68" s="451"/>
      <c r="AX68" s="451"/>
      <c r="AY68" s="451"/>
      <c r="AZ68" s="319">
        <f t="shared" si="15"/>
        <v>0</v>
      </c>
      <c r="BA68" s="451"/>
      <c r="BB68" s="451"/>
      <c r="BC68" s="451"/>
      <c r="BD68" s="451"/>
      <c r="BE68" s="319">
        <f t="shared" si="16"/>
        <v>0</v>
      </c>
      <c r="BF68" s="451"/>
      <c r="BG68" s="451"/>
      <c r="BH68" s="451"/>
      <c r="BI68" s="451"/>
      <c r="BJ68" s="319">
        <f t="shared" si="17"/>
        <v>0</v>
      </c>
      <c r="BK68" s="451"/>
      <c r="BL68" s="451"/>
      <c r="BM68" s="451"/>
      <c r="BN68" s="451"/>
      <c r="BO68" s="319">
        <f t="shared" si="18"/>
        <v>0</v>
      </c>
      <c r="BP68" s="451"/>
      <c r="BQ68" s="451"/>
      <c r="BR68" s="451"/>
      <c r="BS68" s="451"/>
      <c r="BT68" s="319">
        <f t="shared" si="19"/>
        <v>0</v>
      </c>
      <c r="BU68" s="451"/>
      <c r="BV68" s="451"/>
      <c r="BW68" s="451"/>
      <c r="BX68" s="451"/>
      <c r="BY68" s="319">
        <f t="shared" si="20"/>
        <v>0</v>
      </c>
      <c r="BZ68" s="451"/>
      <c r="CA68" s="451"/>
      <c r="CB68" s="451"/>
      <c r="CC68" s="451"/>
      <c r="CD68" s="319">
        <f t="shared" si="21"/>
        <v>0</v>
      </c>
      <c r="CE68" s="451"/>
      <c r="CF68" s="451"/>
      <c r="CG68" s="451"/>
      <c r="CH68" s="451"/>
      <c r="CI68" s="319">
        <f t="shared" si="22"/>
        <v>0</v>
      </c>
      <c r="CJ68" s="451"/>
      <c r="CK68" s="451"/>
      <c r="CL68" s="451"/>
      <c r="CM68" s="451"/>
      <c r="CN68" s="319">
        <f t="shared" si="23"/>
        <v>0</v>
      </c>
      <c r="CO68" s="451">
        <f t="shared" si="24"/>
        <v>0</v>
      </c>
      <c r="CP68" s="451"/>
      <c r="CQ68" s="452"/>
    </row>
    <row r="69" spans="1:95" ht="12.75">
      <c r="A69" s="318" t="s">
        <v>173</v>
      </c>
      <c r="B69" s="319" t="s">
        <v>42</v>
      </c>
      <c r="C69" s="331">
        <v>0.66</v>
      </c>
      <c r="D69" s="321" t="s">
        <v>501</v>
      </c>
      <c r="E69" s="321"/>
      <c r="F69" s="322"/>
      <c r="G69" s="319"/>
      <c r="H69" s="322"/>
      <c r="I69" s="322"/>
      <c r="J69" s="328">
        <f>K69*J$8</f>
        <v>1613.8980000000001</v>
      </c>
      <c r="K69" s="328">
        <f>2*L$11*0.33*CMF</f>
        <v>1613.8980000000001</v>
      </c>
      <c r="L69" s="322">
        <f>+K69/K$11</f>
        <v>0.98528571428571432</v>
      </c>
      <c r="M69" s="328">
        <f>N69*N$8</f>
        <v>53108.352000000006</v>
      </c>
      <c r="N69" s="328">
        <f>2*O$11*0.33*CMF</f>
        <v>737.6160000000001</v>
      </c>
      <c r="O69" s="322">
        <f>+N69/N$11</f>
        <v>0.72600000000000009</v>
      </c>
      <c r="P69" s="328">
        <f>Q69*Q$8</f>
        <v>66694.716000000015</v>
      </c>
      <c r="Q69" s="328">
        <f>2*R$11*0.33*CMF</f>
        <v>1093.3560000000002</v>
      </c>
      <c r="R69" s="322">
        <f>+Q69/Q$11</f>
        <v>0.90136521022258875</v>
      </c>
      <c r="S69" s="329">
        <f t="shared" si="26"/>
        <v>119803.06800000003</v>
      </c>
      <c r="T69" s="330">
        <f>+S69/S$8</f>
        <v>900.77494736842129</v>
      </c>
      <c r="U69" s="322">
        <f t="shared" si="25"/>
        <v>0.81418375072207705</v>
      </c>
      <c r="V69" s="326">
        <f>+S69/TotalCost</f>
        <v>9.4162384815093363E-3</v>
      </c>
      <c r="W69" s="327">
        <f t="shared" si="8"/>
        <v>7.7292304329052023E-3</v>
      </c>
      <c r="X69" s="433"/>
      <c r="Y69" s="437"/>
      <c r="Z69" s="327"/>
      <c r="AA69" s="327"/>
      <c r="AB69" s="507"/>
      <c r="AC69" s="263"/>
      <c r="AD69" s="327"/>
      <c r="AE69" s="264"/>
      <c r="AF69" s="450" t="s">
        <v>42</v>
      </c>
      <c r="AG69" s="458"/>
      <c r="AH69" s="319"/>
      <c r="AI69" s="319"/>
      <c r="AJ69" s="319"/>
      <c r="AK69" s="319">
        <f t="shared" si="12"/>
        <v>0</v>
      </c>
      <c r="AL69" s="319"/>
      <c r="AM69" s="319"/>
      <c r="AN69" s="319"/>
      <c r="AO69" s="319"/>
      <c r="AP69" s="319">
        <f t="shared" si="13"/>
        <v>0</v>
      </c>
      <c r="AQ69" s="319"/>
      <c r="AR69" s="319"/>
      <c r="AS69" s="451"/>
      <c r="AT69" s="451"/>
      <c r="AU69" s="319">
        <f t="shared" si="14"/>
        <v>0</v>
      </c>
      <c r="AV69" s="451"/>
      <c r="AW69" s="319">
        <f>$S69/8</f>
        <v>14975.383500000004</v>
      </c>
      <c r="AX69" s="451"/>
      <c r="AY69" s="451"/>
      <c r="AZ69" s="319">
        <f t="shared" si="15"/>
        <v>14975.383500000004</v>
      </c>
      <c r="BA69" s="319">
        <f>$S69/8</f>
        <v>14975.383500000004</v>
      </c>
      <c r="BB69" s="451"/>
      <c r="BC69" s="451"/>
      <c r="BD69" s="319">
        <f>$S69/8</f>
        <v>14975.383500000004</v>
      </c>
      <c r="BE69" s="319">
        <f t="shared" si="16"/>
        <v>29950.767000000007</v>
      </c>
      <c r="BF69" s="451"/>
      <c r="BG69" s="451"/>
      <c r="BH69" s="319">
        <f>$S69/8</f>
        <v>14975.383500000004</v>
      </c>
      <c r="BI69" s="451"/>
      <c r="BJ69" s="319">
        <f t="shared" si="17"/>
        <v>14975.383500000004</v>
      </c>
      <c r="BK69" s="451"/>
      <c r="BL69" s="319">
        <f>$S69/8</f>
        <v>14975.383500000004</v>
      </c>
      <c r="BM69" s="451"/>
      <c r="BN69" s="451"/>
      <c r="BO69" s="319">
        <f t="shared" si="18"/>
        <v>14975.383500000004</v>
      </c>
      <c r="BP69" s="319">
        <f>$S69/8</f>
        <v>14975.383500000004</v>
      </c>
      <c r="BQ69" s="451"/>
      <c r="BR69" s="451"/>
      <c r="BS69" s="319">
        <f>$S69/8</f>
        <v>14975.383500000004</v>
      </c>
      <c r="BT69" s="319">
        <f t="shared" si="19"/>
        <v>29950.767000000007</v>
      </c>
      <c r="BU69" s="451"/>
      <c r="BV69" s="451"/>
      <c r="BW69" s="319">
        <f>$S69/8</f>
        <v>14975.383500000004</v>
      </c>
      <c r="BX69" s="451"/>
      <c r="BY69" s="319">
        <f t="shared" si="20"/>
        <v>14975.383500000004</v>
      </c>
      <c r="BZ69" s="451"/>
      <c r="CA69" s="451"/>
      <c r="CB69" s="451"/>
      <c r="CC69" s="451"/>
      <c r="CD69" s="319">
        <f t="shared" si="21"/>
        <v>0</v>
      </c>
      <c r="CE69" s="451"/>
      <c r="CF69" s="451"/>
      <c r="CG69" s="451"/>
      <c r="CH69" s="451"/>
      <c r="CI69" s="319">
        <f t="shared" si="22"/>
        <v>0</v>
      </c>
      <c r="CJ69" s="451"/>
      <c r="CK69" s="451"/>
      <c r="CL69" s="451"/>
      <c r="CM69" s="451"/>
      <c r="CN69" s="319">
        <f t="shared" si="23"/>
        <v>0</v>
      </c>
      <c r="CO69" s="451">
        <f t="shared" si="24"/>
        <v>119803.06800000003</v>
      </c>
      <c r="CP69" s="451">
        <f t="shared" si="9"/>
        <v>119803.06800000003</v>
      </c>
      <c r="CQ69" s="452">
        <f t="shared" si="10"/>
        <v>1</v>
      </c>
    </row>
    <row r="70" spans="1:95" ht="12.75">
      <c r="A70" s="318" t="s">
        <v>174</v>
      </c>
      <c r="B70" s="319" t="s">
        <v>43</v>
      </c>
      <c r="C70" s="331">
        <v>1.34</v>
      </c>
      <c r="D70" s="321" t="s">
        <v>501</v>
      </c>
      <c r="E70" s="321"/>
      <c r="F70" s="322"/>
      <c r="G70" s="319"/>
      <c r="H70" s="322"/>
      <c r="I70" s="322"/>
      <c r="J70" s="328">
        <f>K70*J$8</f>
        <v>3276.7020000000002</v>
      </c>
      <c r="K70" s="328">
        <f>2*L$11*0.67*CMF</f>
        <v>3276.7020000000002</v>
      </c>
      <c r="L70" s="322">
        <f>+K70/K$11</f>
        <v>2.0004285714285714</v>
      </c>
      <c r="M70" s="328">
        <f>N70*N$8</f>
        <v>107826.04800000002</v>
      </c>
      <c r="N70" s="328">
        <f>2*O$11*0.67*CMF</f>
        <v>1497.5840000000003</v>
      </c>
      <c r="O70" s="322">
        <f>+N70/N$11</f>
        <v>1.4740000000000002</v>
      </c>
      <c r="P70" s="328">
        <f>Q70*Q$8</f>
        <v>135410.48400000003</v>
      </c>
      <c r="Q70" s="328">
        <f>2*R$11*0.67*CMF</f>
        <v>2219.8440000000005</v>
      </c>
      <c r="R70" s="322">
        <f>+Q70/Q$11</f>
        <v>1.83004451772465</v>
      </c>
      <c r="S70" s="329">
        <f t="shared" si="26"/>
        <v>243236.53200000006</v>
      </c>
      <c r="T70" s="330">
        <f>+S70/S$8</f>
        <v>1828.8461052631583</v>
      </c>
      <c r="U70" s="322">
        <f t="shared" si="25"/>
        <v>1.6530397363145202</v>
      </c>
      <c r="V70" s="326">
        <f>+S70/TotalCost</f>
        <v>1.911781752306441E-2</v>
      </c>
      <c r="W70" s="327">
        <f t="shared" si="8"/>
        <v>1.5692679969837836E-2</v>
      </c>
      <c r="X70" s="433"/>
      <c r="Y70" s="437"/>
      <c r="Z70" s="327"/>
      <c r="AA70" s="327"/>
      <c r="AB70" s="507"/>
      <c r="AC70" s="263"/>
      <c r="AD70" s="327"/>
      <c r="AE70" s="264"/>
      <c r="AF70" s="450" t="s">
        <v>43</v>
      </c>
      <c r="AG70" s="458"/>
      <c r="AH70" s="319"/>
      <c r="AI70" s="319"/>
      <c r="AJ70" s="319"/>
      <c r="AK70" s="319">
        <f t="shared" si="12"/>
        <v>0</v>
      </c>
      <c r="AL70" s="319"/>
      <c r="AM70" s="319"/>
      <c r="AN70" s="319"/>
      <c r="AO70" s="319"/>
      <c r="AP70" s="319">
        <f t="shared" si="13"/>
        <v>0</v>
      </c>
      <c r="AQ70" s="319"/>
      <c r="AR70" s="319"/>
      <c r="AS70" s="319"/>
      <c r="AT70" s="319"/>
      <c r="AU70" s="319">
        <f t="shared" si="14"/>
        <v>0</v>
      </c>
      <c r="AV70" s="451"/>
      <c r="AW70" s="451"/>
      <c r="AX70" s="451"/>
      <c r="AY70" s="451"/>
      <c r="AZ70" s="319">
        <f t="shared" si="15"/>
        <v>0</v>
      </c>
      <c r="BA70" s="451"/>
      <c r="BB70" s="451"/>
      <c r="BC70" s="451"/>
      <c r="BD70" s="319">
        <f>$S70/8</f>
        <v>30404.566500000008</v>
      </c>
      <c r="BE70" s="319">
        <f t="shared" si="16"/>
        <v>30404.566500000008</v>
      </c>
      <c r="BF70" s="451"/>
      <c r="BG70" s="451"/>
      <c r="BH70" s="319">
        <f>$S70/8</f>
        <v>30404.566500000008</v>
      </c>
      <c r="BI70" s="451"/>
      <c r="BJ70" s="319">
        <f t="shared" si="17"/>
        <v>30404.566500000008</v>
      </c>
      <c r="BK70" s="451"/>
      <c r="BL70" s="319">
        <f>$S70/8</f>
        <v>30404.566500000008</v>
      </c>
      <c r="BM70" s="451"/>
      <c r="BN70" s="451"/>
      <c r="BO70" s="319">
        <f t="shared" si="18"/>
        <v>30404.566500000008</v>
      </c>
      <c r="BP70" s="319">
        <f>$S70/8</f>
        <v>30404.566500000008</v>
      </c>
      <c r="BQ70" s="451"/>
      <c r="BR70" s="451"/>
      <c r="BS70" s="319">
        <f>$S70/8</f>
        <v>30404.566500000008</v>
      </c>
      <c r="BT70" s="319">
        <f t="shared" si="19"/>
        <v>60809.133000000016</v>
      </c>
      <c r="BU70" s="451"/>
      <c r="BV70" s="451"/>
      <c r="BW70" s="319">
        <f>$S70/8</f>
        <v>30404.566500000008</v>
      </c>
      <c r="BX70" s="451"/>
      <c r="BY70" s="319">
        <f t="shared" si="20"/>
        <v>30404.566500000008</v>
      </c>
      <c r="BZ70" s="451"/>
      <c r="CA70" s="319">
        <f>$S70/8</f>
        <v>30404.566500000008</v>
      </c>
      <c r="CB70" s="451"/>
      <c r="CC70" s="451"/>
      <c r="CD70" s="319">
        <f t="shared" si="21"/>
        <v>30404.566500000008</v>
      </c>
      <c r="CE70" s="319">
        <f>$S70/8</f>
        <v>30404.566500000008</v>
      </c>
      <c r="CF70" s="451"/>
      <c r="CG70" s="451"/>
      <c r="CH70" s="451"/>
      <c r="CI70" s="319">
        <f t="shared" si="22"/>
        <v>30404.566500000008</v>
      </c>
      <c r="CJ70" s="451"/>
      <c r="CK70" s="451"/>
      <c r="CL70" s="451"/>
      <c r="CM70" s="451"/>
      <c r="CN70" s="319">
        <f t="shared" si="23"/>
        <v>0</v>
      </c>
      <c r="CO70" s="451">
        <f t="shared" si="24"/>
        <v>243236.53200000006</v>
      </c>
      <c r="CP70" s="451">
        <f t="shared" si="9"/>
        <v>243236.53200000006</v>
      </c>
      <c r="CQ70" s="452">
        <f t="shared" si="10"/>
        <v>1</v>
      </c>
    </row>
    <row r="71" spans="1:95" ht="12.75">
      <c r="A71" s="318" t="s">
        <v>174</v>
      </c>
      <c r="B71" s="319" t="s">
        <v>44</v>
      </c>
      <c r="C71" s="331">
        <v>0.2</v>
      </c>
      <c r="D71" s="321" t="s">
        <v>501</v>
      </c>
      <c r="E71" s="321"/>
      <c r="F71" s="322"/>
      <c r="G71" s="319"/>
      <c r="H71" s="322"/>
      <c r="I71" s="322"/>
      <c r="J71" s="328">
        <f>K71*J$8</f>
        <v>360.36000000000007</v>
      </c>
      <c r="K71" s="328">
        <f>K$11*0.2*CMF</f>
        <v>360.36000000000007</v>
      </c>
      <c r="L71" s="322">
        <f>+K71/K$11</f>
        <v>0.22000000000000006</v>
      </c>
      <c r="M71" s="328">
        <f>N71*N$8</f>
        <v>16093.440000000002</v>
      </c>
      <c r="N71" s="328">
        <f>N$11*0.2*CMF</f>
        <v>223.52000000000004</v>
      </c>
      <c r="O71" s="322">
        <f>+N71/N$11</f>
        <v>0.22000000000000003</v>
      </c>
      <c r="P71" s="328">
        <f>Q71*Q$8</f>
        <v>16278.460000000005</v>
      </c>
      <c r="Q71" s="328">
        <f>Q$11*0.2*CMF</f>
        <v>266.86000000000007</v>
      </c>
      <c r="R71" s="322">
        <f>+Q71/Q$11</f>
        <v>0.22000000000000006</v>
      </c>
      <c r="S71" s="329">
        <f t="shared" si="26"/>
        <v>32371.900000000009</v>
      </c>
      <c r="T71" s="330">
        <f>+S71/S$8</f>
        <v>243.39774436090232</v>
      </c>
      <c r="U71" s="322">
        <f t="shared" si="25"/>
        <v>0.22000000000000006</v>
      </c>
      <c r="V71" s="326">
        <f>+S71/TotalCost</f>
        <v>2.5443549617575078E-3</v>
      </c>
      <c r="W71" s="327">
        <f t="shared" si="8"/>
        <v>2.088509742095786E-3</v>
      </c>
      <c r="X71" s="433"/>
      <c r="Y71" s="437"/>
      <c r="Z71" s="327"/>
      <c r="AA71" s="327"/>
      <c r="AB71" s="507"/>
      <c r="AC71" s="263"/>
      <c r="AD71" s="327"/>
      <c r="AE71" s="264"/>
      <c r="AF71" s="450" t="s">
        <v>44</v>
      </c>
      <c r="AG71" s="450"/>
      <c r="AH71" s="319"/>
      <c r="AI71" s="319"/>
      <c r="AJ71" s="319"/>
      <c r="AK71" s="319">
        <f t="shared" si="12"/>
        <v>0</v>
      </c>
      <c r="AL71" s="319"/>
      <c r="AM71" s="319"/>
      <c r="AN71" s="319"/>
      <c r="AO71" s="319"/>
      <c r="AP71" s="319">
        <f t="shared" si="13"/>
        <v>0</v>
      </c>
      <c r="AQ71" s="319"/>
      <c r="AR71" s="319"/>
      <c r="AS71" s="319"/>
      <c r="AT71" s="319"/>
      <c r="AU71" s="319">
        <f t="shared" si="14"/>
        <v>0</v>
      </c>
      <c r="AV71" s="319"/>
      <c r="AW71" s="319"/>
      <c r="AX71" s="451"/>
      <c r="AY71" s="451"/>
      <c r="AZ71" s="319">
        <f t="shared" si="15"/>
        <v>0</v>
      </c>
      <c r="BA71" s="451"/>
      <c r="BB71" s="451"/>
      <c r="BC71" s="451"/>
      <c r="BD71" s="451"/>
      <c r="BE71" s="319">
        <f t="shared" si="16"/>
        <v>0</v>
      </c>
      <c r="BF71" s="451"/>
      <c r="BG71" s="451"/>
      <c r="BH71" s="451"/>
      <c r="BI71" s="318">
        <f>$S71/8</f>
        <v>4046.4875000000011</v>
      </c>
      <c r="BJ71" s="319">
        <f t="shared" si="17"/>
        <v>4046.4875000000011</v>
      </c>
      <c r="BK71" s="451"/>
      <c r="BL71" s="451"/>
      <c r="BM71" s="318">
        <f>$S71/8</f>
        <v>4046.4875000000011</v>
      </c>
      <c r="BN71" s="451"/>
      <c r="BO71" s="319">
        <f t="shared" si="18"/>
        <v>4046.4875000000011</v>
      </c>
      <c r="BP71" s="451"/>
      <c r="BQ71" s="318">
        <f>$S71/8</f>
        <v>4046.4875000000011</v>
      </c>
      <c r="BR71" s="451"/>
      <c r="BS71" s="451"/>
      <c r="BT71" s="319">
        <f t="shared" si="19"/>
        <v>4046.4875000000011</v>
      </c>
      <c r="BU71" s="318">
        <f>$S71/8</f>
        <v>4046.4875000000011</v>
      </c>
      <c r="BV71" s="451"/>
      <c r="BW71" s="451"/>
      <c r="BX71" s="318">
        <f>$S71/8</f>
        <v>4046.4875000000011</v>
      </c>
      <c r="BY71" s="319">
        <f t="shared" si="20"/>
        <v>8092.9750000000022</v>
      </c>
      <c r="BZ71" s="451"/>
      <c r="CA71" s="451"/>
      <c r="CB71" s="318">
        <f>$S71/8</f>
        <v>4046.4875000000011</v>
      </c>
      <c r="CC71" s="451"/>
      <c r="CD71" s="319">
        <f t="shared" si="21"/>
        <v>4046.4875000000011</v>
      </c>
      <c r="CE71" s="451"/>
      <c r="CF71" s="318">
        <f>$S71/8</f>
        <v>4046.4875000000011</v>
      </c>
      <c r="CG71" s="451"/>
      <c r="CH71" s="451"/>
      <c r="CI71" s="319">
        <f t="shared" si="22"/>
        <v>4046.4875000000011</v>
      </c>
      <c r="CJ71" s="318">
        <f>$S71/8</f>
        <v>4046.4875000000011</v>
      </c>
      <c r="CK71" s="451"/>
      <c r="CL71" s="451"/>
      <c r="CM71" s="451"/>
      <c r="CN71" s="319">
        <f t="shared" si="23"/>
        <v>4046.4875000000011</v>
      </c>
      <c r="CO71" s="451">
        <f t="shared" si="24"/>
        <v>32371.900000000016</v>
      </c>
      <c r="CP71" s="451">
        <f t="shared" si="9"/>
        <v>32371.900000000009</v>
      </c>
      <c r="CQ71" s="452">
        <f t="shared" si="10"/>
        <v>1.0000000000000002</v>
      </c>
    </row>
    <row r="72" spans="1:95" ht="12.75">
      <c r="A72" s="318"/>
      <c r="B72" s="342" t="s">
        <v>45</v>
      </c>
      <c r="C72" s="331"/>
      <c r="D72" s="321"/>
      <c r="E72" s="321"/>
      <c r="F72" s="322"/>
      <c r="G72" s="319"/>
      <c r="H72" s="322"/>
      <c r="I72" s="322"/>
      <c r="J72" s="328"/>
      <c r="K72" s="334"/>
      <c r="L72" s="322"/>
      <c r="M72" s="328"/>
      <c r="N72" s="328"/>
      <c r="O72" s="322"/>
      <c r="P72" s="328"/>
      <c r="Q72" s="328"/>
      <c r="R72" s="322"/>
      <c r="S72" s="329"/>
      <c r="T72" s="330"/>
      <c r="U72" s="322"/>
      <c r="V72" s="327"/>
      <c r="W72" s="327"/>
      <c r="X72" s="433"/>
      <c r="Y72" s="437"/>
      <c r="Z72" s="327"/>
      <c r="AA72" s="327"/>
      <c r="AB72" s="507"/>
      <c r="AC72" s="263"/>
      <c r="AD72" s="327"/>
      <c r="AE72" s="264"/>
      <c r="AF72" s="456" t="s">
        <v>45</v>
      </c>
      <c r="AG72" s="450"/>
      <c r="AH72" s="319"/>
      <c r="AI72" s="319"/>
      <c r="AJ72" s="319"/>
      <c r="AK72" s="319">
        <f t="shared" si="12"/>
        <v>0</v>
      </c>
      <c r="AL72" s="319"/>
      <c r="AM72" s="319"/>
      <c r="AN72" s="319"/>
      <c r="AO72" s="319"/>
      <c r="AP72" s="319">
        <f t="shared" si="13"/>
        <v>0</v>
      </c>
      <c r="AQ72" s="451"/>
      <c r="AR72" s="451"/>
      <c r="AS72" s="451"/>
      <c r="AT72" s="451"/>
      <c r="AU72" s="319">
        <f t="shared" si="14"/>
        <v>0</v>
      </c>
      <c r="AV72" s="451"/>
      <c r="AW72" s="451"/>
      <c r="AX72" s="451"/>
      <c r="AY72" s="451"/>
      <c r="AZ72" s="319">
        <f t="shared" si="15"/>
        <v>0</v>
      </c>
      <c r="BA72" s="451"/>
      <c r="BB72" s="451"/>
      <c r="BC72" s="451"/>
      <c r="BD72" s="451"/>
      <c r="BE72" s="319">
        <f t="shared" si="16"/>
        <v>0</v>
      </c>
      <c r="BF72" s="451"/>
      <c r="BG72" s="451"/>
      <c r="BH72" s="451"/>
      <c r="BI72" s="451"/>
      <c r="BJ72" s="319">
        <f t="shared" si="17"/>
        <v>0</v>
      </c>
      <c r="BK72" s="451"/>
      <c r="BL72" s="451"/>
      <c r="BM72" s="451"/>
      <c r="BN72" s="451"/>
      <c r="BO72" s="319">
        <f t="shared" si="18"/>
        <v>0</v>
      </c>
      <c r="BP72" s="451"/>
      <c r="BQ72" s="451"/>
      <c r="BR72" s="451"/>
      <c r="BS72" s="451"/>
      <c r="BT72" s="319">
        <f t="shared" si="19"/>
        <v>0</v>
      </c>
      <c r="BU72" s="451"/>
      <c r="BV72" s="451"/>
      <c r="BW72" s="451"/>
      <c r="BX72" s="451"/>
      <c r="BY72" s="319">
        <f t="shared" si="20"/>
        <v>0</v>
      </c>
      <c r="BZ72" s="451"/>
      <c r="CA72" s="451"/>
      <c r="CB72" s="451"/>
      <c r="CC72" s="451"/>
      <c r="CD72" s="319">
        <f t="shared" si="21"/>
        <v>0</v>
      </c>
      <c r="CE72" s="451"/>
      <c r="CF72" s="451"/>
      <c r="CG72" s="451"/>
      <c r="CH72" s="451"/>
      <c r="CI72" s="319">
        <f t="shared" si="22"/>
        <v>0</v>
      </c>
      <c r="CJ72" s="451"/>
      <c r="CK72" s="451"/>
      <c r="CL72" s="451"/>
      <c r="CM72" s="451"/>
      <c r="CN72" s="319">
        <f t="shared" si="23"/>
        <v>0</v>
      </c>
      <c r="CO72" s="451">
        <f t="shared" si="24"/>
        <v>0</v>
      </c>
      <c r="CP72" s="451"/>
      <c r="CQ72" s="452"/>
    </row>
    <row r="73" spans="1:95" ht="12.75">
      <c r="A73" s="318" t="s">
        <v>160</v>
      </c>
      <c r="B73" s="319" t="s">
        <v>46</v>
      </c>
      <c r="C73" s="331">
        <v>1500</v>
      </c>
      <c r="D73" s="321" t="s">
        <v>335</v>
      </c>
      <c r="E73" s="321"/>
      <c r="F73" s="322"/>
      <c r="G73" s="319"/>
      <c r="H73" s="322"/>
      <c r="I73" s="322"/>
      <c r="J73" s="328">
        <f t="shared" ref="J73:J80" si="35">K73*J$8</f>
        <v>1595.0000000000002</v>
      </c>
      <c r="K73" s="328">
        <f>1450*CMF</f>
        <v>1595.0000000000002</v>
      </c>
      <c r="L73" s="322">
        <f t="shared" ref="L73:L80" si="36">+K73/K$11</f>
        <v>0.97374847374847384</v>
      </c>
      <c r="M73" s="328">
        <f t="shared" ref="M73:M80" si="37">N73*N$8</f>
        <v>114840.00000000001</v>
      </c>
      <c r="N73" s="328">
        <f>1450*CMF</f>
        <v>1595.0000000000002</v>
      </c>
      <c r="O73" s="322">
        <f t="shared" ref="O73:O80" si="38">+N73/N$11</f>
        <v>1.5698818897637798</v>
      </c>
      <c r="P73" s="328">
        <f t="shared" ref="P73:P80" si="39">Q73*Q$8</f>
        <v>97295.000000000015</v>
      </c>
      <c r="Q73" s="328">
        <f>1450*CMF</f>
        <v>1595.0000000000002</v>
      </c>
      <c r="R73" s="322">
        <f t="shared" ref="R73:R80" si="40">+Q73/Q$11</f>
        <v>1.3149216817807092</v>
      </c>
      <c r="S73" s="329">
        <f t="shared" si="26"/>
        <v>212135.00000000003</v>
      </c>
      <c r="T73" s="330">
        <f t="shared" ref="T73:T80" si="41">+S73/S$8</f>
        <v>1595.0000000000002</v>
      </c>
      <c r="U73" s="322">
        <f t="shared" si="25"/>
        <v>1.4416731795168034</v>
      </c>
      <c r="V73" s="326">
        <f t="shared" ref="V73:V80" si="42">+S73/TotalCost</f>
        <v>1.6673310488801364E-2</v>
      </c>
      <c r="W73" s="327">
        <f t="shared" si="8"/>
        <v>1.3686129456086592E-2</v>
      </c>
      <c r="X73" s="433"/>
      <c r="Y73" s="437"/>
      <c r="Z73" s="327"/>
      <c r="AA73" s="327"/>
      <c r="AB73" s="507"/>
      <c r="AC73" s="263"/>
      <c r="AD73" s="327"/>
      <c r="AE73" s="264"/>
      <c r="AF73" s="450" t="s">
        <v>46</v>
      </c>
      <c r="AG73" s="450"/>
      <c r="AH73" s="319"/>
      <c r="AI73" s="319"/>
      <c r="AJ73" s="319"/>
      <c r="AK73" s="319">
        <f t="shared" si="12"/>
        <v>0</v>
      </c>
      <c r="AL73" s="319"/>
      <c r="AM73" s="319"/>
      <c r="AN73" s="319"/>
      <c r="AO73" s="319"/>
      <c r="AP73" s="319">
        <f t="shared" si="13"/>
        <v>0</v>
      </c>
      <c r="AQ73" s="451"/>
      <c r="AR73" s="451"/>
      <c r="AS73" s="451"/>
      <c r="AT73" s="451"/>
      <c r="AU73" s="319">
        <f t="shared" si="14"/>
        <v>0</v>
      </c>
      <c r="AV73" s="451"/>
      <c r="AW73" s="451"/>
      <c r="AX73" s="451"/>
      <c r="AY73" s="451"/>
      <c r="AZ73" s="319">
        <f t="shared" si="15"/>
        <v>0</v>
      </c>
      <c r="BA73" s="451"/>
      <c r="BB73" s="451"/>
      <c r="BC73" s="319">
        <f>$S73/8</f>
        <v>26516.875000000004</v>
      </c>
      <c r="BD73" s="451"/>
      <c r="BE73" s="319">
        <f t="shared" si="16"/>
        <v>26516.875000000004</v>
      </c>
      <c r="BF73" s="451"/>
      <c r="BG73" s="319">
        <f>$S73/8</f>
        <v>26516.875000000004</v>
      </c>
      <c r="BH73" s="451"/>
      <c r="BI73" s="451"/>
      <c r="BJ73" s="319">
        <f t="shared" si="17"/>
        <v>26516.875000000004</v>
      </c>
      <c r="BK73" s="319">
        <f>$S73/8</f>
        <v>26516.875000000004</v>
      </c>
      <c r="BL73" s="451"/>
      <c r="BM73" s="451"/>
      <c r="BN73" s="319">
        <f>$S73/8</f>
        <v>26516.875000000004</v>
      </c>
      <c r="BO73" s="319">
        <f t="shared" si="18"/>
        <v>53033.750000000007</v>
      </c>
      <c r="BP73" s="451"/>
      <c r="BQ73" s="451"/>
      <c r="BR73" s="319">
        <f>$S73/8</f>
        <v>26516.875000000004</v>
      </c>
      <c r="BS73" s="451"/>
      <c r="BT73" s="319">
        <f t="shared" si="19"/>
        <v>26516.875000000004</v>
      </c>
      <c r="BU73" s="451"/>
      <c r="BV73" s="319">
        <f>$S73/8</f>
        <v>26516.875000000004</v>
      </c>
      <c r="BW73" s="451"/>
      <c r="BX73" s="451"/>
      <c r="BY73" s="319">
        <f t="shared" si="20"/>
        <v>26516.875000000004</v>
      </c>
      <c r="BZ73" s="319">
        <f>$S73/8</f>
        <v>26516.875000000004</v>
      </c>
      <c r="CA73" s="451"/>
      <c r="CB73" s="451"/>
      <c r="CC73" s="319">
        <f>$S73/8</f>
        <v>26516.875000000004</v>
      </c>
      <c r="CD73" s="319">
        <f t="shared" si="21"/>
        <v>53033.750000000007</v>
      </c>
      <c r="CE73" s="451"/>
      <c r="CF73" s="451"/>
      <c r="CG73" s="451"/>
      <c r="CH73" s="451"/>
      <c r="CI73" s="319">
        <f t="shared" si="22"/>
        <v>0</v>
      </c>
      <c r="CJ73" s="451"/>
      <c r="CK73" s="451"/>
      <c r="CL73" s="451"/>
      <c r="CM73" s="451"/>
      <c r="CN73" s="319">
        <f t="shared" si="23"/>
        <v>0</v>
      </c>
      <c r="CO73" s="451">
        <f t="shared" si="24"/>
        <v>212135.00000000003</v>
      </c>
      <c r="CP73" s="451">
        <f t="shared" si="9"/>
        <v>212135.00000000003</v>
      </c>
      <c r="CQ73" s="452">
        <f t="shared" si="10"/>
        <v>1</v>
      </c>
    </row>
    <row r="74" spans="1:95" ht="12.75">
      <c r="A74" s="318" t="s">
        <v>160</v>
      </c>
      <c r="B74" s="318" t="s">
        <v>65</v>
      </c>
      <c r="C74" s="331">
        <v>600</v>
      </c>
      <c r="D74" s="321" t="s">
        <v>335</v>
      </c>
      <c r="E74" s="321"/>
      <c r="F74" s="322"/>
      <c r="G74" s="319"/>
      <c r="H74" s="322"/>
      <c r="I74" s="322"/>
      <c r="J74" s="328">
        <f t="shared" si="35"/>
        <v>660</v>
      </c>
      <c r="K74" s="328">
        <f>600*CMF</f>
        <v>660</v>
      </c>
      <c r="L74" s="322">
        <f t="shared" si="36"/>
        <v>0.40293040293040294</v>
      </c>
      <c r="M74" s="328">
        <f t="shared" si="37"/>
        <v>47520</v>
      </c>
      <c r="N74" s="328">
        <f>600*CMF</f>
        <v>660</v>
      </c>
      <c r="O74" s="322">
        <f t="shared" si="38"/>
        <v>0.64960629921259838</v>
      </c>
      <c r="P74" s="328">
        <f t="shared" si="39"/>
        <v>40260</v>
      </c>
      <c r="Q74" s="328">
        <f>600*CMF</f>
        <v>660</v>
      </c>
      <c r="R74" s="322">
        <f t="shared" si="40"/>
        <v>0.54410552349546581</v>
      </c>
      <c r="S74" s="329">
        <f t="shared" si="26"/>
        <v>87780</v>
      </c>
      <c r="T74" s="330">
        <f t="shared" si="41"/>
        <v>660</v>
      </c>
      <c r="U74" s="322">
        <f t="shared" si="25"/>
        <v>0.5965544191104013</v>
      </c>
      <c r="V74" s="326">
        <f t="shared" si="42"/>
        <v>6.8993008919178049E-3</v>
      </c>
      <c r="W74" s="327">
        <f t="shared" si="8"/>
        <v>5.6632259818289342E-3</v>
      </c>
      <c r="X74" s="433"/>
      <c r="Y74" s="437"/>
      <c r="Z74" s="327"/>
      <c r="AA74" s="327"/>
      <c r="AB74" s="507"/>
      <c r="AC74" s="263"/>
      <c r="AD74" s="327"/>
      <c r="AE74" s="264"/>
      <c r="AF74" s="455" t="s">
        <v>65</v>
      </c>
      <c r="AG74" s="450"/>
      <c r="AH74" s="319"/>
      <c r="AI74" s="319"/>
      <c r="AJ74" s="319"/>
      <c r="AK74" s="319">
        <f t="shared" si="12"/>
        <v>0</v>
      </c>
      <c r="AL74" s="319"/>
      <c r="AM74" s="319"/>
      <c r="AN74" s="319"/>
      <c r="AO74" s="319"/>
      <c r="AP74" s="319">
        <f t="shared" si="13"/>
        <v>0</v>
      </c>
      <c r="AQ74" s="319"/>
      <c r="AR74" s="319"/>
      <c r="AS74" s="319"/>
      <c r="AT74" s="319"/>
      <c r="AU74" s="319">
        <f t="shared" si="14"/>
        <v>0</v>
      </c>
      <c r="AV74" s="319"/>
      <c r="AW74" s="451"/>
      <c r="AX74" s="451"/>
      <c r="AY74" s="451"/>
      <c r="AZ74" s="319">
        <f t="shared" si="15"/>
        <v>0</v>
      </c>
      <c r="BA74" s="451"/>
      <c r="BB74" s="451"/>
      <c r="BC74" s="319">
        <f>$S74/8</f>
        <v>10972.5</v>
      </c>
      <c r="BD74" s="451"/>
      <c r="BE74" s="319">
        <f t="shared" si="16"/>
        <v>10972.5</v>
      </c>
      <c r="BF74" s="451"/>
      <c r="BG74" s="319">
        <f>$S74/8</f>
        <v>10972.5</v>
      </c>
      <c r="BH74" s="451"/>
      <c r="BI74" s="451"/>
      <c r="BJ74" s="319">
        <f t="shared" si="17"/>
        <v>10972.5</v>
      </c>
      <c r="BK74" s="319">
        <f>$S74/8</f>
        <v>10972.5</v>
      </c>
      <c r="BL74" s="451"/>
      <c r="BM74" s="451"/>
      <c r="BN74" s="319">
        <f>$S74/8</f>
        <v>10972.5</v>
      </c>
      <c r="BO74" s="319">
        <f t="shared" si="18"/>
        <v>21945</v>
      </c>
      <c r="BP74" s="451"/>
      <c r="BQ74" s="451"/>
      <c r="BR74" s="319">
        <f>$S74/8</f>
        <v>10972.5</v>
      </c>
      <c r="BS74" s="451"/>
      <c r="BT74" s="319">
        <f t="shared" si="19"/>
        <v>10972.5</v>
      </c>
      <c r="BU74" s="451"/>
      <c r="BV74" s="319">
        <f>$S74/8</f>
        <v>10972.5</v>
      </c>
      <c r="BW74" s="451"/>
      <c r="BX74" s="451"/>
      <c r="BY74" s="319">
        <f t="shared" si="20"/>
        <v>10972.5</v>
      </c>
      <c r="BZ74" s="319">
        <f>$S74/8</f>
        <v>10972.5</v>
      </c>
      <c r="CA74" s="451"/>
      <c r="CB74" s="451"/>
      <c r="CC74" s="319">
        <f>$S74/8</f>
        <v>10972.5</v>
      </c>
      <c r="CD74" s="319">
        <f t="shared" si="21"/>
        <v>21945</v>
      </c>
      <c r="CE74" s="451"/>
      <c r="CF74" s="451"/>
      <c r="CG74" s="451"/>
      <c r="CH74" s="451"/>
      <c r="CI74" s="319">
        <f t="shared" si="22"/>
        <v>0</v>
      </c>
      <c r="CJ74" s="451"/>
      <c r="CK74" s="451"/>
      <c r="CL74" s="451"/>
      <c r="CM74" s="451"/>
      <c r="CN74" s="319">
        <f t="shared" si="23"/>
        <v>0</v>
      </c>
      <c r="CO74" s="451">
        <f t="shared" si="24"/>
        <v>87780</v>
      </c>
      <c r="CP74" s="451">
        <f t="shared" si="9"/>
        <v>87780</v>
      </c>
      <c r="CQ74" s="452">
        <f t="shared" si="10"/>
        <v>1</v>
      </c>
    </row>
    <row r="75" spans="1:95" ht="12.75">
      <c r="A75" s="318" t="s">
        <v>153</v>
      </c>
      <c r="B75" s="318" t="s">
        <v>230</v>
      </c>
      <c r="C75" s="319" t="s">
        <v>503</v>
      </c>
      <c r="D75" s="321"/>
      <c r="E75" s="321"/>
      <c r="F75" s="322"/>
      <c r="G75" s="319"/>
      <c r="H75" s="322"/>
      <c r="I75" s="322"/>
      <c r="J75" s="328">
        <f t="shared" si="35"/>
        <v>850.63</v>
      </c>
      <c r="K75" s="328">
        <f>(K$11*0.35+200)*CMF</f>
        <v>850.63</v>
      </c>
      <c r="L75" s="322">
        <f t="shared" si="36"/>
        <v>0.51931013431013429</v>
      </c>
      <c r="M75" s="328">
        <f t="shared" si="37"/>
        <v>44003.519999999997</v>
      </c>
      <c r="N75" s="328">
        <f>(N$11*0.35+200)*CMF</f>
        <v>611.16</v>
      </c>
      <c r="O75" s="322">
        <f t="shared" si="38"/>
        <v>0.6015354330708661</v>
      </c>
      <c r="P75" s="328">
        <f t="shared" si="39"/>
        <v>41907.305</v>
      </c>
      <c r="Q75" s="328">
        <f>(Q$11*0.35+200)*CMF</f>
        <v>687.005</v>
      </c>
      <c r="R75" s="322">
        <f t="shared" si="40"/>
        <v>0.56636850783182191</v>
      </c>
      <c r="S75" s="329">
        <f t="shared" si="26"/>
        <v>85910.824999999997</v>
      </c>
      <c r="T75" s="330">
        <f t="shared" si="41"/>
        <v>645.94605263157894</v>
      </c>
      <c r="U75" s="322">
        <f t="shared" si="25"/>
        <v>0.58385147303680041</v>
      </c>
      <c r="V75" s="326">
        <f t="shared" si="42"/>
        <v>6.7523881470482388E-3</v>
      </c>
      <c r="W75" s="327">
        <f t="shared" si="8"/>
        <v>5.5426340426106028E-3</v>
      </c>
      <c r="X75" s="433"/>
      <c r="Y75" s="437"/>
      <c r="Z75" s="327"/>
      <c r="AA75" s="327"/>
      <c r="AB75" s="507"/>
      <c r="AC75" s="263"/>
      <c r="AD75" s="327"/>
      <c r="AE75" s="264"/>
      <c r="AF75" s="455" t="s">
        <v>230</v>
      </c>
      <c r="AG75" s="458"/>
      <c r="AH75" s="319"/>
      <c r="AI75" s="319"/>
      <c r="AJ75" s="319"/>
      <c r="AK75" s="319">
        <f t="shared" si="12"/>
        <v>0</v>
      </c>
      <c r="AL75" s="319"/>
      <c r="AM75" s="319"/>
      <c r="AN75" s="319"/>
      <c r="AO75" s="319"/>
      <c r="AP75" s="319">
        <f t="shared" si="13"/>
        <v>0</v>
      </c>
      <c r="AQ75" s="319"/>
      <c r="AR75" s="319"/>
      <c r="AS75" s="319"/>
      <c r="AT75" s="319"/>
      <c r="AU75" s="319">
        <f t="shared" si="14"/>
        <v>0</v>
      </c>
      <c r="AV75" s="319"/>
      <c r="AW75" s="451"/>
      <c r="AX75" s="451"/>
      <c r="AY75" s="451"/>
      <c r="AZ75" s="319">
        <f t="shared" si="15"/>
        <v>0</v>
      </c>
      <c r="BA75" s="451"/>
      <c r="BB75" s="451"/>
      <c r="BC75" s="319">
        <f>$S75/8</f>
        <v>10738.853125</v>
      </c>
      <c r="BD75" s="451"/>
      <c r="BE75" s="319">
        <f t="shared" si="16"/>
        <v>10738.853125</v>
      </c>
      <c r="BF75" s="451"/>
      <c r="BG75" s="319">
        <f>$S75/8</f>
        <v>10738.853125</v>
      </c>
      <c r="BH75" s="451"/>
      <c r="BI75" s="451"/>
      <c r="BJ75" s="319">
        <f t="shared" si="17"/>
        <v>10738.853125</v>
      </c>
      <c r="BK75" s="319">
        <f>$S75/8</f>
        <v>10738.853125</v>
      </c>
      <c r="BL75" s="451"/>
      <c r="BM75" s="451"/>
      <c r="BN75" s="319">
        <f>$S75/8</f>
        <v>10738.853125</v>
      </c>
      <c r="BO75" s="319">
        <f t="shared" si="18"/>
        <v>21477.706249999999</v>
      </c>
      <c r="BP75" s="451"/>
      <c r="BQ75" s="451"/>
      <c r="BR75" s="319">
        <f>$S75/8</f>
        <v>10738.853125</v>
      </c>
      <c r="BS75" s="451"/>
      <c r="BT75" s="319">
        <f t="shared" si="19"/>
        <v>10738.853125</v>
      </c>
      <c r="BU75" s="451"/>
      <c r="BV75" s="319">
        <f>$S75/8</f>
        <v>10738.853125</v>
      </c>
      <c r="BW75" s="451"/>
      <c r="BX75" s="451"/>
      <c r="BY75" s="319">
        <f t="shared" si="20"/>
        <v>10738.853125</v>
      </c>
      <c r="BZ75" s="319">
        <f>$S75/8</f>
        <v>10738.853125</v>
      </c>
      <c r="CA75" s="451"/>
      <c r="CB75" s="451"/>
      <c r="CC75" s="319">
        <f>$S75/8</f>
        <v>10738.853125</v>
      </c>
      <c r="CD75" s="319">
        <f t="shared" si="21"/>
        <v>21477.706249999999</v>
      </c>
      <c r="CE75" s="451"/>
      <c r="CF75" s="451"/>
      <c r="CG75" s="451"/>
      <c r="CH75" s="451"/>
      <c r="CI75" s="319">
        <f t="shared" si="22"/>
        <v>0</v>
      </c>
      <c r="CJ75" s="451"/>
      <c r="CK75" s="451"/>
      <c r="CL75" s="451"/>
      <c r="CM75" s="451"/>
      <c r="CN75" s="319">
        <f t="shared" si="23"/>
        <v>0</v>
      </c>
      <c r="CO75" s="451">
        <f t="shared" si="24"/>
        <v>85910.824999999983</v>
      </c>
      <c r="CP75" s="451">
        <f t="shared" si="9"/>
        <v>85910.824999999997</v>
      </c>
      <c r="CQ75" s="452">
        <f t="shared" si="10"/>
        <v>0.99999999999999978</v>
      </c>
    </row>
    <row r="76" spans="1:95" ht="12.75">
      <c r="A76" s="318" t="s">
        <v>158</v>
      </c>
      <c r="B76" s="318" t="s">
        <v>48</v>
      </c>
      <c r="C76" s="331">
        <v>0.28999999999999998</v>
      </c>
      <c r="D76" s="321" t="s">
        <v>497</v>
      </c>
      <c r="E76" s="321"/>
      <c r="F76" s="322"/>
      <c r="G76" s="319"/>
      <c r="H76" s="322"/>
      <c r="I76" s="322"/>
      <c r="J76" s="328">
        <f t="shared" si="35"/>
        <v>522.52200000000005</v>
      </c>
      <c r="K76" s="328">
        <f>K$11*0.29*CMF</f>
        <v>522.52200000000005</v>
      </c>
      <c r="L76" s="322">
        <f t="shared" si="36"/>
        <v>0.31900000000000001</v>
      </c>
      <c r="M76" s="328">
        <f t="shared" si="37"/>
        <v>23335.487999999998</v>
      </c>
      <c r="N76" s="328">
        <f>N$11*0.29*CMF</f>
        <v>324.10399999999998</v>
      </c>
      <c r="O76" s="322">
        <f t="shared" si="38"/>
        <v>0.31900000000000001</v>
      </c>
      <c r="P76" s="328">
        <f t="shared" si="39"/>
        <v>23603.767</v>
      </c>
      <c r="Q76" s="328">
        <f>Q$11*0.29*CMF</f>
        <v>386.947</v>
      </c>
      <c r="R76" s="322">
        <f t="shared" si="40"/>
        <v>0.31900000000000001</v>
      </c>
      <c r="S76" s="329">
        <f t="shared" si="26"/>
        <v>46939.254999999997</v>
      </c>
      <c r="T76" s="330">
        <f t="shared" si="41"/>
        <v>352.92672932330822</v>
      </c>
      <c r="U76" s="322">
        <f t="shared" si="25"/>
        <v>0.31900000000000001</v>
      </c>
      <c r="V76" s="326">
        <f t="shared" si="42"/>
        <v>3.6893146945483853E-3</v>
      </c>
      <c r="W76" s="327">
        <f t="shared" si="8"/>
        <v>3.0283391260388891E-3</v>
      </c>
      <c r="X76" s="433"/>
      <c r="Y76" s="437"/>
      <c r="Z76" s="327"/>
      <c r="AA76" s="327"/>
      <c r="AB76" s="507"/>
      <c r="AC76" s="263"/>
      <c r="AD76" s="327"/>
      <c r="AE76" s="264"/>
      <c r="AF76" s="455" t="s">
        <v>48</v>
      </c>
      <c r="AG76" s="458"/>
      <c r="AH76" s="319"/>
      <c r="AI76" s="319"/>
      <c r="AJ76" s="319"/>
      <c r="AK76" s="319">
        <f t="shared" si="12"/>
        <v>0</v>
      </c>
      <c r="AL76" s="319"/>
      <c r="AM76" s="319"/>
      <c r="AN76" s="319"/>
      <c r="AO76" s="319"/>
      <c r="AP76" s="319">
        <f t="shared" si="13"/>
        <v>0</v>
      </c>
      <c r="AQ76" s="319"/>
      <c r="AR76" s="319"/>
      <c r="AS76" s="319"/>
      <c r="AT76" s="319"/>
      <c r="AU76" s="319">
        <f t="shared" si="14"/>
        <v>0</v>
      </c>
      <c r="AV76" s="319"/>
      <c r="AW76" s="451"/>
      <c r="AX76" s="451"/>
      <c r="AY76" s="451"/>
      <c r="AZ76" s="319">
        <f t="shared" si="15"/>
        <v>0</v>
      </c>
      <c r="BA76" s="451"/>
      <c r="BB76" s="451"/>
      <c r="BC76" s="451"/>
      <c r="BD76" s="451"/>
      <c r="BE76" s="319">
        <f t="shared" si="16"/>
        <v>0</v>
      </c>
      <c r="BF76" s="319">
        <f>$S76/8</f>
        <v>5867.4068749999997</v>
      </c>
      <c r="BG76" s="451"/>
      <c r="BH76" s="451"/>
      <c r="BI76" s="319">
        <f>$S76/8</f>
        <v>5867.4068749999997</v>
      </c>
      <c r="BJ76" s="319">
        <f t="shared" si="17"/>
        <v>11734.813749999999</v>
      </c>
      <c r="BK76" s="451"/>
      <c r="BL76" s="451"/>
      <c r="BM76" s="319">
        <f>$S76/8</f>
        <v>5867.4068749999997</v>
      </c>
      <c r="BN76" s="451"/>
      <c r="BO76" s="319">
        <f t="shared" si="18"/>
        <v>5867.4068749999997</v>
      </c>
      <c r="BP76" s="451"/>
      <c r="BQ76" s="319">
        <f>$S76/8</f>
        <v>5867.4068749999997</v>
      </c>
      <c r="BR76" s="451"/>
      <c r="BS76" s="451"/>
      <c r="BT76" s="319">
        <f t="shared" si="19"/>
        <v>5867.4068749999997</v>
      </c>
      <c r="BU76" s="319">
        <f>$S76/8</f>
        <v>5867.4068749999997</v>
      </c>
      <c r="BV76" s="451"/>
      <c r="BW76" s="451"/>
      <c r="BX76" s="319">
        <f>$S76/8</f>
        <v>5867.4068749999997</v>
      </c>
      <c r="BY76" s="319">
        <f t="shared" si="20"/>
        <v>11734.813749999999</v>
      </c>
      <c r="BZ76" s="451"/>
      <c r="CA76" s="451"/>
      <c r="CB76" s="319">
        <f>$S76/8</f>
        <v>5867.4068749999997</v>
      </c>
      <c r="CC76" s="451"/>
      <c r="CD76" s="319">
        <f t="shared" si="21"/>
        <v>5867.4068749999997</v>
      </c>
      <c r="CE76" s="451"/>
      <c r="CF76" s="319">
        <f>$S76/8</f>
        <v>5867.4068749999997</v>
      </c>
      <c r="CG76" s="451"/>
      <c r="CH76" s="451"/>
      <c r="CI76" s="319">
        <f t="shared" si="22"/>
        <v>5867.4068749999997</v>
      </c>
      <c r="CJ76" s="451"/>
      <c r="CK76" s="451"/>
      <c r="CL76" s="451"/>
      <c r="CM76" s="451"/>
      <c r="CN76" s="319">
        <f t="shared" si="23"/>
        <v>0</v>
      </c>
      <c r="CO76" s="451">
        <f t="shared" si="24"/>
        <v>46939.254999999997</v>
      </c>
      <c r="CP76" s="451">
        <f t="shared" si="9"/>
        <v>46939.254999999997</v>
      </c>
      <c r="CQ76" s="452">
        <f t="shared" si="10"/>
        <v>1</v>
      </c>
    </row>
    <row r="77" spans="1:95" ht="12.75">
      <c r="A77" s="318" t="s">
        <v>156</v>
      </c>
      <c r="B77" s="318" t="s">
        <v>499</v>
      </c>
      <c r="C77" s="322">
        <f>(250+300+250+100)</f>
        <v>900</v>
      </c>
      <c r="D77" s="321" t="s">
        <v>335</v>
      </c>
      <c r="E77" s="321"/>
      <c r="F77" s="322"/>
      <c r="G77" s="319"/>
      <c r="H77" s="322"/>
      <c r="I77" s="322"/>
      <c r="J77" s="328">
        <f t="shared" si="35"/>
        <v>990.00000000000011</v>
      </c>
      <c r="K77" s="328">
        <f>(250+300+250+100)*CMF</f>
        <v>990.00000000000011</v>
      </c>
      <c r="L77" s="322">
        <f t="shared" si="36"/>
        <v>0.60439560439560447</v>
      </c>
      <c r="M77" s="328">
        <f t="shared" si="37"/>
        <v>71280.000000000015</v>
      </c>
      <c r="N77" s="328">
        <f>(250+300+250+100)*CMF</f>
        <v>990.00000000000011</v>
      </c>
      <c r="O77" s="322">
        <f t="shared" si="38"/>
        <v>0.97440944881889779</v>
      </c>
      <c r="P77" s="328">
        <f t="shared" si="39"/>
        <v>60390.000000000007</v>
      </c>
      <c r="Q77" s="328">
        <f>(250+300+250+100)*CMF</f>
        <v>990.00000000000011</v>
      </c>
      <c r="R77" s="322">
        <f t="shared" si="40"/>
        <v>0.81615828524319878</v>
      </c>
      <c r="S77" s="329">
        <f t="shared" si="26"/>
        <v>131670.00000000003</v>
      </c>
      <c r="T77" s="330">
        <f t="shared" si="41"/>
        <v>990.00000000000023</v>
      </c>
      <c r="U77" s="322">
        <f t="shared" si="25"/>
        <v>0.89483162866560217</v>
      </c>
      <c r="V77" s="326">
        <f t="shared" si="42"/>
        <v>1.034895133787671E-2</v>
      </c>
      <c r="W77" s="327">
        <f t="shared" si="8"/>
        <v>8.4948389727434025E-3</v>
      </c>
      <c r="X77" s="433"/>
      <c r="Y77" s="437"/>
      <c r="Z77" s="327"/>
      <c r="AA77" s="327"/>
      <c r="AB77" s="507"/>
      <c r="AC77" s="263"/>
      <c r="AD77" s="327"/>
      <c r="AE77" s="264"/>
      <c r="AF77" s="455" t="s">
        <v>499</v>
      </c>
      <c r="AG77" s="450"/>
      <c r="AH77" s="319"/>
      <c r="AI77" s="319"/>
      <c r="AJ77" s="319"/>
      <c r="AK77" s="319">
        <f t="shared" si="12"/>
        <v>0</v>
      </c>
      <c r="AL77" s="319"/>
      <c r="AM77" s="319"/>
      <c r="AN77" s="319"/>
      <c r="AO77" s="319"/>
      <c r="AP77" s="319">
        <f t="shared" si="13"/>
        <v>0</v>
      </c>
      <c r="AQ77" s="319"/>
      <c r="AR77" s="319"/>
      <c r="AS77" s="319"/>
      <c r="AT77" s="319"/>
      <c r="AU77" s="319">
        <f t="shared" si="14"/>
        <v>0</v>
      </c>
      <c r="AV77" s="319"/>
      <c r="AW77" s="451"/>
      <c r="AX77" s="451"/>
      <c r="AY77" s="451"/>
      <c r="AZ77" s="319">
        <f t="shared" si="15"/>
        <v>0</v>
      </c>
      <c r="BA77" s="451"/>
      <c r="BB77" s="451"/>
      <c r="BC77" s="451"/>
      <c r="BD77" s="451"/>
      <c r="BE77" s="319">
        <f t="shared" si="16"/>
        <v>0</v>
      </c>
      <c r="BF77" s="319">
        <f>$S77/8</f>
        <v>16458.750000000004</v>
      </c>
      <c r="BG77" s="451"/>
      <c r="BH77" s="451"/>
      <c r="BI77" s="319">
        <f>$S77/8</f>
        <v>16458.750000000004</v>
      </c>
      <c r="BJ77" s="319">
        <f t="shared" si="17"/>
        <v>32917.500000000007</v>
      </c>
      <c r="BK77" s="451"/>
      <c r="BL77" s="451"/>
      <c r="BM77" s="319">
        <f>$S77/8</f>
        <v>16458.750000000004</v>
      </c>
      <c r="BN77" s="451"/>
      <c r="BO77" s="319">
        <f t="shared" si="18"/>
        <v>16458.750000000004</v>
      </c>
      <c r="BP77" s="451"/>
      <c r="BQ77" s="319">
        <f>$S77/8</f>
        <v>16458.750000000004</v>
      </c>
      <c r="BR77" s="451"/>
      <c r="BS77" s="451"/>
      <c r="BT77" s="319">
        <f t="shared" si="19"/>
        <v>16458.750000000004</v>
      </c>
      <c r="BU77" s="319">
        <f>$S77/8</f>
        <v>16458.750000000004</v>
      </c>
      <c r="BV77" s="451"/>
      <c r="BW77" s="451"/>
      <c r="BX77" s="319">
        <f>$S77/8</f>
        <v>16458.750000000004</v>
      </c>
      <c r="BY77" s="319">
        <f t="shared" si="20"/>
        <v>32917.500000000007</v>
      </c>
      <c r="BZ77" s="451"/>
      <c r="CA77" s="451"/>
      <c r="CB77" s="319">
        <f>$S77/8</f>
        <v>16458.750000000004</v>
      </c>
      <c r="CC77" s="451"/>
      <c r="CD77" s="319">
        <f t="shared" si="21"/>
        <v>16458.750000000004</v>
      </c>
      <c r="CE77" s="451"/>
      <c r="CF77" s="319">
        <f>$S77/8</f>
        <v>16458.750000000004</v>
      </c>
      <c r="CG77" s="451"/>
      <c r="CH77" s="451"/>
      <c r="CI77" s="319">
        <f t="shared" si="22"/>
        <v>16458.750000000004</v>
      </c>
      <c r="CJ77" s="451"/>
      <c r="CK77" s="451"/>
      <c r="CL77" s="451"/>
      <c r="CM77" s="451"/>
      <c r="CN77" s="319">
        <f t="shared" si="23"/>
        <v>0</v>
      </c>
      <c r="CO77" s="451">
        <f t="shared" si="24"/>
        <v>131670.00000000003</v>
      </c>
      <c r="CP77" s="451">
        <f t="shared" si="9"/>
        <v>131670.00000000003</v>
      </c>
      <c r="CQ77" s="452">
        <f t="shared" si="10"/>
        <v>1</v>
      </c>
    </row>
    <row r="78" spans="1:95" ht="12.75">
      <c r="A78" s="318" t="s">
        <v>157</v>
      </c>
      <c r="B78" s="318" t="s">
        <v>63</v>
      </c>
      <c r="C78" s="331">
        <v>1.22</v>
      </c>
      <c r="D78" s="321" t="s">
        <v>497</v>
      </c>
      <c r="E78" s="321"/>
      <c r="F78" s="322"/>
      <c r="G78" s="319"/>
      <c r="H78" s="322"/>
      <c r="I78" s="322"/>
      <c r="J78" s="328">
        <f t="shared" si="35"/>
        <v>2198.1959999999999</v>
      </c>
      <c r="K78" s="328">
        <f>1.22*K$11*CMF</f>
        <v>2198.1959999999999</v>
      </c>
      <c r="L78" s="322">
        <f t="shared" si="36"/>
        <v>1.3419999999999999</v>
      </c>
      <c r="M78" s="328">
        <f t="shared" si="37"/>
        <v>98169.983999999997</v>
      </c>
      <c r="N78" s="328">
        <f>1.22*N$11*CMF</f>
        <v>1363.472</v>
      </c>
      <c r="O78" s="322">
        <f t="shared" si="38"/>
        <v>1.3420000000000001</v>
      </c>
      <c r="P78" s="328">
        <f t="shared" si="39"/>
        <v>99298.606</v>
      </c>
      <c r="Q78" s="328">
        <f>1.22*Q$11*CMF</f>
        <v>1627.846</v>
      </c>
      <c r="R78" s="322">
        <f t="shared" si="40"/>
        <v>1.3420000000000001</v>
      </c>
      <c r="S78" s="329">
        <f t="shared" si="26"/>
        <v>197468.59</v>
      </c>
      <c r="T78" s="330">
        <f t="shared" si="41"/>
        <v>1484.7262406015038</v>
      </c>
      <c r="U78" s="322">
        <f t="shared" si="25"/>
        <v>1.3420000000000001</v>
      </c>
      <c r="V78" s="326">
        <f t="shared" si="42"/>
        <v>1.5520565266720793E-2</v>
      </c>
      <c r="W78" s="327">
        <f t="shared" ref="W78:W114" si="43">+$S78/TotalValue</f>
        <v>1.2739909426784293E-2</v>
      </c>
      <c r="X78" s="433"/>
      <c r="Y78" s="437"/>
      <c r="Z78" s="327"/>
      <c r="AA78" s="327"/>
      <c r="AB78" s="507"/>
      <c r="AC78" s="263"/>
      <c r="AD78" s="327"/>
      <c r="AE78" s="264"/>
      <c r="AF78" s="455" t="s">
        <v>63</v>
      </c>
      <c r="AG78" s="458"/>
      <c r="AH78" s="319"/>
      <c r="AI78" s="319"/>
      <c r="AJ78" s="319"/>
      <c r="AK78" s="319">
        <f t="shared" si="12"/>
        <v>0</v>
      </c>
      <c r="AL78" s="319"/>
      <c r="AM78" s="319"/>
      <c r="AN78" s="319"/>
      <c r="AO78" s="319"/>
      <c r="AP78" s="319">
        <f t="shared" si="13"/>
        <v>0</v>
      </c>
      <c r="AQ78" s="319"/>
      <c r="AR78" s="319"/>
      <c r="AS78" s="319"/>
      <c r="AT78" s="319"/>
      <c r="AU78" s="319">
        <f t="shared" si="14"/>
        <v>0</v>
      </c>
      <c r="AV78" s="319"/>
      <c r="AW78" s="451"/>
      <c r="AX78" s="451"/>
      <c r="AY78" s="451"/>
      <c r="AZ78" s="319">
        <f t="shared" si="15"/>
        <v>0</v>
      </c>
      <c r="BA78" s="451"/>
      <c r="BB78" s="451"/>
      <c r="BC78" s="451"/>
      <c r="BD78" s="451"/>
      <c r="BE78" s="319">
        <f t="shared" si="16"/>
        <v>0</v>
      </c>
      <c r="BF78" s="451"/>
      <c r="BG78" s="451"/>
      <c r="BH78" s="318">
        <f t="shared" ref="BH78:BI80" si="44">$S78/8</f>
        <v>24683.57375</v>
      </c>
      <c r="BI78" s="451"/>
      <c r="BJ78" s="319">
        <f t="shared" si="17"/>
        <v>24683.57375</v>
      </c>
      <c r="BK78" s="451"/>
      <c r="BL78" s="318">
        <f t="shared" ref="BL78:BM80" si="45">$S78/8</f>
        <v>24683.57375</v>
      </c>
      <c r="BM78" s="451"/>
      <c r="BN78" s="451"/>
      <c r="BO78" s="319">
        <f t="shared" si="18"/>
        <v>24683.57375</v>
      </c>
      <c r="BP78" s="318">
        <f t="shared" ref="BP78:BQ80" si="46">$S78/8</f>
        <v>24683.57375</v>
      </c>
      <c r="BQ78" s="451"/>
      <c r="BR78" s="451"/>
      <c r="BS78" s="318">
        <f>$S78/8</f>
        <v>24683.57375</v>
      </c>
      <c r="BT78" s="319">
        <f t="shared" si="19"/>
        <v>49367.147499999999</v>
      </c>
      <c r="BU78" s="451"/>
      <c r="BV78" s="451"/>
      <c r="BW78" s="318">
        <f t="shared" ref="BW78:BX80" si="47">$S78/8</f>
        <v>24683.57375</v>
      </c>
      <c r="BX78" s="451"/>
      <c r="BY78" s="319">
        <f t="shared" si="20"/>
        <v>24683.57375</v>
      </c>
      <c r="BZ78" s="451"/>
      <c r="CA78" s="318">
        <f t="shared" ref="CA78:CB80" si="48">$S78/8</f>
        <v>24683.57375</v>
      </c>
      <c r="CB78" s="451"/>
      <c r="CC78" s="451"/>
      <c r="CD78" s="319">
        <f t="shared" si="21"/>
        <v>24683.57375</v>
      </c>
      <c r="CE78" s="318">
        <f t="shared" ref="CE78:CF80" si="49">$S78/8</f>
        <v>24683.57375</v>
      </c>
      <c r="CF78" s="451"/>
      <c r="CG78" s="451"/>
      <c r="CH78" s="318">
        <f>$S78/8</f>
        <v>24683.57375</v>
      </c>
      <c r="CI78" s="319">
        <f t="shared" si="22"/>
        <v>49367.147499999999</v>
      </c>
      <c r="CJ78" s="451"/>
      <c r="CK78" s="451"/>
      <c r="CL78" s="451"/>
      <c r="CM78" s="451"/>
      <c r="CN78" s="319">
        <f t="shared" si="23"/>
        <v>0</v>
      </c>
      <c r="CO78" s="451">
        <f t="shared" si="24"/>
        <v>197468.59000000003</v>
      </c>
      <c r="CP78" s="451">
        <f t="shared" ref="CP78:CP94" si="50">S78</f>
        <v>197468.59</v>
      </c>
      <c r="CQ78" s="452">
        <f t="shared" ref="CQ78:CQ114" si="51">+CO78/CP78</f>
        <v>1.0000000000000002</v>
      </c>
    </row>
    <row r="79" spans="1:95" ht="12.75">
      <c r="A79" s="318" t="s">
        <v>159</v>
      </c>
      <c r="B79" s="318" t="s">
        <v>64</v>
      </c>
      <c r="C79" s="331">
        <v>157</v>
      </c>
      <c r="D79" s="321" t="s">
        <v>335</v>
      </c>
      <c r="E79" s="321"/>
      <c r="F79" s="322"/>
      <c r="G79" s="319"/>
      <c r="H79" s="322"/>
      <c r="I79" s="322"/>
      <c r="J79" s="328">
        <f t="shared" si="35"/>
        <v>172.70000000000002</v>
      </c>
      <c r="K79" s="328">
        <f>157*CMF</f>
        <v>172.70000000000002</v>
      </c>
      <c r="L79" s="322">
        <f t="shared" si="36"/>
        <v>0.10543345543345545</v>
      </c>
      <c r="M79" s="328">
        <f t="shared" si="37"/>
        <v>12434.400000000001</v>
      </c>
      <c r="N79" s="328">
        <f>157*CMF</f>
        <v>172.70000000000002</v>
      </c>
      <c r="O79" s="322">
        <f t="shared" si="38"/>
        <v>0.16998031496062993</v>
      </c>
      <c r="P79" s="328">
        <f t="shared" si="39"/>
        <v>10534.7</v>
      </c>
      <c r="Q79" s="328">
        <f>157*CMF</f>
        <v>172.70000000000002</v>
      </c>
      <c r="R79" s="322">
        <f t="shared" si="40"/>
        <v>0.14237427864798022</v>
      </c>
      <c r="S79" s="329">
        <f t="shared" si="26"/>
        <v>22969.100000000002</v>
      </c>
      <c r="T79" s="330">
        <f t="shared" si="41"/>
        <v>172.70000000000002</v>
      </c>
      <c r="U79" s="322">
        <f t="shared" si="25"/>
        <v>0.15609840633388836</v>
      </c>
      <c r="V79" s="326">
        <f t="shared" si="42"/>
        <v>1.8053170667184924E-3</v>
      </c>
      <c r="W79" s="327">
        <f t="shared" si="43"/>
        <v>1.4818774652452379E-3</v>
      </c>
      <c r="X79" s="433"/>
      <c r="Y79" s="437"/>
      <c r="Z79" s="327"/>
      <c r="AA79" s="327"/>
      <c r="AB79" s="507"/>
      <c r="AC79" s="263"/>
      <c r="AD79" s="327"/>
      <c r="AE79" s="264"/>
      <c r="AF79" s="455" t="s">
        <v>64</v>
      </c>
      <c r="AG79" s="458"/>
      <c r="AH79" s="319"/>
      <c r="AI79" s="319"/>
      <c r="AJ79" s="319"/>
      <c r="AK79" s="319">
        <f t="shared" ref="AK79:AK139" si="52">SUM(AG79:AJ79)</f>
        <v>0</v>
      </c>
      <c r="AL79" s="319"/>
      <c r="AM79" s="319"/>
      <c r="AN79" s="319"/>
      <c r="AO79" s="319"/>
      <c r="AP79" s="319">
        <f t="shared" ref="AP79:AP139" si="53">SUM(AL79:AO79)</f>
        <v>0</v>
      </c>
      <c r="AQ79" s="319"/>
      <c r="AR79" s="319"/>
      <c r="AS79" s="319"/>
      <c r="AT79" s="319"/>
      <c r="AU79" s="319">
        <f t="shared" ref="AU79:AU139" si="54">SUM(AQ79:AT79)</f>
        <v>0</v>
      </c>
      <c r="AV79" s="319"/>
      <c r="AW79" s="451"/>
      <c r="AX79" s="451"/>
      <c r="AY79" s="451"/>
      <c r="AZ79" s="319">
        <f t="shared" ref="AZ79:AZ139" si="55">SUM(AV79:AY79)</f>
        <v>0</v>
      </c>
      <c r="BA79" s="451"/>
      <c r="BB79" s="451"/>
      <c r="BC79" s="451"/>
      <c r="BD79" s="451"/>
      <c r="BE79" s="319">
        <f t="shared" ref="BE79:BE139" si="56">SUM(BA79:BD79)</f>
        <v>0</v>
      </c>
      <c r="BF79" s="451"/>
      <c r="BG79" s="451"/>
      <c r="BH79" s="318">
        <f t="shared" si="44"/>
        <v>2871.1375000000003</v>
      </c>
      <c r="BI79" s="451"/>
      <c r="BJ79" s="319">
        <f t="shared" ref="BJ79:BJ139" si="57">SUM(BF79:BI79)</f>
        <v>2871.1375000000003</v>
      </c>
      <c r="BK79" s="451"/>
      <c r="BL79" s="318">
        <f t="shared" si="45"/>
        <v>2871.1375000000003</v>
      </c>
      <c r="BM79" s="451"/>
      <c r="BN79" s="451"/>
      <c r="BO79" s="319">
        <f t="shared" ref="BO79:BO139" si="58">SUM(BK79:BN79)</f>
        <v>2871.1375000000003</v>
      </c>
      <c r="BP79" s="318">
        <f t="shared" si="46"/>
        <v>2871.1375000000003</v>
      </c>
      <c r="BQ79" s="451"/>
      <c r="BR79" s="451"/>
      <c r="BS79" s="318">
        <f>$S79/8</f>
        <v>2871.1375000000003</v>
      </c>
      <c r="BT79" s="319">
        <f t="shared" ref="BT79:BT139" si="59">SUM(BP79:BS79)</f>
        <v>5742.2750000000005</v>
      </c>
      <c r="BU79" s="451"/>
      <c r="BV79" s="451"/>
      <c r="BW79" s="318">
        <f t="shared" si="47"/>
        <v>2871.1375000000003</v>
      </c>
      <c r="BX79" s="451"/>
      <c r="BY79" s="319">
        <f t="shared" ref="BY79:BY139" si="60">SUM(BU79:BX79)</f>
        <v>2871.1375000000003</v>
      </c>
      <c r="BZ79" s="451"/>
      <c r="CA79" s="318">
        <f t="shared" si="48"/>
        <v>2871.1375000000003</v>
      </c>
      <c r="CB79" s="451"/>
      <c r="CC79" s="451"/>
      <c r="CD79" s="319">
        <f t="shared" ref="CD79:CD139" si="61">SUM(BZ79:CC79)</f>
        <v>2871.1375000000003</v>
      </c>
      <c r="CE79" s="318">
        <f t="shared" si="49"/>
        <v>2871.1375000000003</v>
      </c>
      <c r="CF79" s="451"/>
      <c r="CG79" s="451"/>
      <c r="CH79" s="318">
        <f>$S79/8</f>
        <v>2871.1375000000003</v>
      </c>
      <c r="CI79" s="319">
        <f t="shared" ref="CI79:CI139" si="62">SUM(CE79:CH79)</f>
        <v>5742.2750000000005</v>
      </c>
      <c r="CJ79" s="451"/>
      <c r="CK79" s="451"/>
      <c r="CL79" s="451"/>
      <c r="CM79" s="451"/>
      <c r="CN79" s="319">
        <f t="shared" ref="CN79:CN139" si="63">SUM(CJ79:CM79)</f>
        <v>0</v>
      </c>
      <c r="CO79" s="451">
        <f t="shared" ref="CO79:CO94" si="64">+CN79+CI79+CD79+BY79+BT79+BO79+BJ79+BE79+AZ79+AU79+AP79+AK79</f>
        <v>22969.100000000002</v>
      </c>
      <c r="CP79" s="451">
        <f t="shared" si="50"/>
        <v>22969.100000000002</v>
      </c>
      <c r="CQ79" s="452">
        <f t="shared" si="51"/>
        <v>1</v>
      </c>
    </row>
    <row r="80" spans="1:95" ht="12.75">
      <c r="A80" s="318" t="s">
        <v>154</v>
      </c>
      <c r="B80" s="332" t="s">
        <v>50</v>
      </c>
      <c r="C80" s="331">
        <v>2.25</v>
      </c>
      <c r="D80" s="321" t="s">
        <v>497</v>
      </c>
      <c r="E80" s="321"/>
      <c r="F80" s="322"/>
      <c r="G80" s="319"/>
      <c r="H80" s="322"/>
      <c r="I80" s="322"/>
      <c r="J80" s="328">
        <f t="shared" si="35"/>
        <v>158.4</v>
      </c>
      <c r="K80" s="328">
        <f>8*8*2.25*CMF</f>
        <v>158.4</v>
      </c>
      <c r="L80" s="322">
        <f t="shared" si="36"/>
        <v>9.6703296703296707E-2</v>
      </c>
      <c r="M80" s="328">
        <f t="shared" si="37"/>
        <v>11404.800000000001</v>
      </c>
      <c r="N80" s="328">
        <f>8*8*2.25*CMF</f>
        <v>158.4</v>
      </c>
      <c r="O80" s="322">
        <f t="shared" si="38"/>
        <v>0.15590551181102363</v>
      </c>
      <c r="P80" s="328">
        <f t="shared" si="39"/>
        <v>9662.4</v>
      </c>
      <c r="Q80" s="328">
        <f>8*8*2.25*CMF</f>
        <v>158.4</v>
      </c>
      <c r="R80" s="322">
        <f t="shared" si="40"/>
        <v>0.13058532563891179</v>
      </c>
      <c r="S80" s="329">
        <f t="shared" si="26"/>
        <v>21067.200000000001</v>
      </c>
      <c r="T80" s="330">
        <f t="shared" si="41"/>
        <v>158.4</v>
      </c>
      <c r="U80" s="322">
        <f t="shared" ref="U80:U94" si="65">+S80/U$8</f>
        <v>0.14317306058649631</v>
      </c>
      <c r="V80" s="326">
        <f t="shared" si="42"/>
        <v>1.6558322140602731E-3</v>
      </c>
      <c r="W80" s="327">
        <f t="shared" si="43"/>
        <v>1.3591742356389442E-3</v>
      </c>
      <c r="X80" s="433"/>
      <c r="Y80" s="437"/>
      <c r="Z80" s="327"/>
      <c r="AA80" s="327"/>
      <c r="AB80" s="507"/>
      <c r="AC80" s="263"/>
      <c r="AD80" s="327"/>
      <c r="AE80" s="264"/>
      <c r="AF80" s="453" t="s">
        <v>50</v>
      </c>
      <c r="AG80" s="458"/>
      <c r="AH80" s="319"/>
      <c r="AI80" s="319"/>
      <c r="AJ80" s="319"/>
      <c r="AK80" s="319">
        <f t="shared" si="52"/>
        <v>0</v>
      </c>
      <c r="AL80" s="319"/>
      <c r="AM80" s="319"/>
      <c r="AN80" s="319"/>
      <c r="AO80" s="319"/>
      <c r="AP80" s="319">
        <f t="shared" si="53"/>
        <v>0</v>
      </c>
      <c r="AQ80" s="319"/>
      <c r="AR80" s="319"/>
      <c r="AS80" s="319"/>
      <c r="AT80" s="319"/>
      <c r="AU80" s="319">
        <f t="shared" si="54"/>
        <v>0</v>
      </c>
      <c r="AV80" s="319"/>
      <c r="AW80" s="451"/>
      <c r="AX80" s="451"/>
      <c r="AY80" s="451"/>
      <c r="AZ80" s="319">
        <f t="shared" si="55"/>
        <v>0</v>
      </c>
      <c r="BA80" s="451"/>
      <c r="BB80" s="451"/>
      <c r="BC80" s="451"/>
      <c r="BD80" s="451"/>
      <c r="BE80" s="319">
        <f t="shared" si="56"/>
        <v>0</v>
      </c>
      <c r="BF80" s="451"/>
      <c r="BG80" s="451"/>
      <c r="BH80" s="451"/>
      <c r="BI80" s="318">
        <f t="shared" si="44"/>
        <v>2633.4</v>
      </c>
      <c r="BJ80" s="319">
        <f t="shared" si="57"/>
        <v>2633.4</v>
      </c>
      <c r="BK80" s="451"/>
      <c r="BL80" s="451"/>
      <c r="BM80" s="318">
        <f t="shared" si="45"/>
        <v>2633.4</v>
      </c>
      <c r="BN80" s="451"/>
      <c r="BO80" s="319">
        <f t="shared" si="58"/>
        <v>2633.4</v>
      </c>
      <c r="BP80" s="451"/>
      <c r="BQ80" s="318">
        <f t="shared" si="46"/>
        <v>2633.4</v>
      </c>
      <c r="BR80" s="451"/>
      <c r="BS80" s="451"/>
      <c r="BT80" s="319">
        <f t="shared" si="59"/>
        <v>2633.4</v>
      </c>
      <c r="BU80" s="318">
        <f>$S80/8</f>
        <v>2633.4</v>
      </c>
      <c r="BV80" s="451"/>
      <c r="BW80" s="451"/>
      <c r="BX80" s="318">
        <f t="shared" si="47"/>
        <v>2633.4</v>
      </c>
      <c r="BY80" s="319">
        <f t="shared" si="60"/>
        <v>5266.8</v>
      </c>
      <c r="BZ80" s="451"/>
      <c r="CA80" s="451"/>
      <c r="CB80" s="318">
        <f t="shared" si="48"/>
        <v>2633.4</v>
      </c>
      <c r="CC80" s="451"/>
      <c r="CD80" s="319">
        <f t="shared" si="61"/>
        <v>2633.4</v>
      </c>
      <c r="CE80" s="451"/>
      <c r="CF80" s="318">
        <f t="shared" si="49"/>
        <v>2633.4</v>
      </c>
      <c r="CG80" s="451"/>
      <c r="CH80" s="451"/>
      <c r="CI80" s="319">
        <f t="shared" si="62"/>
        <v>2633.4</v>
      </c>
      <c r="CJ80" s="318">
        <f>$S80/8</f>
        <v>2633.4</v>
      </c>
      <c r="CK80" s="451"/>
      <c r="CL80" s="451"/>
      <c r="CM80" s="451"/>
      <c r="CN80" s="319">
        <f t="shared" si="63"/>
        <v>2633.4</v>
      </c>
      <c r="CO80" s="451">
        <f t="shared" si="64"/>
        <v>21067.200000000001</v>
      </c>
      <c r="CP80" s="451">
        <f t="shared" si="50"/>
        <v>21067.200000000001</v>
      </c>
      <c r="CQ80" s="452">
        <f t="shared" si="51"/>
        <v>1</v>
      </c>
    </row>
    <row r="81" spans="1:95" ht="12.75">
      <c r="A81" s="318" t="s">
        <v>154</v>
      </c>
      <c r="B81" s="318" t="s">
        <v>51</v>
      </c>
      <c r="C81" s="319" t="s">
        <v>506</v>
      </c>
      <c r="D81" s="321"/>
      <c r="E81" s="321"/>
      <c r="F81" s="322"/>
      <c r="G81" s="319"/>
      <c r="H81" s="322"/>
      <c r="I81" s="322"/>
      <c r="J81" s="328"/>
      <c r="K81" s="328"/>
      <c r="L81" s="322"/>
      <c r="M81" s="328"/>
      <c r="N81" s="328"/>
      <c r="O81" s="322"/>
      <c r="P81" s="328"/>
      <c r="Q81" s="328"/>
      <c r="R81" s="322"/>
      <c r="S81" s="329"/>
      <c r="T81" s="330"/>
      <c r="U81" s="322"/>
      <c r="V81" s="327"/>
      <c r="W81" s="327"/>
      <c r="X81" s="433"/>
      <c r="Y81" s="437"/>
      <c r="Z81" s="327"/>
      <c r="AA81" s="327"/>
      <c r="AB81" s="507"/>
      <c r="AC81" s="263"/>
      <c r="AD81" s="327"/>
      <c r="AE81" s="264"/>
      <c r="AF81" s="455" t="s">
        <v>51</v>
      </c>
      <c r="AG81" s="458"/>
      <c r="AH81" s="319"/>
      <c r="AI81" s="319"/>
      <c r="AJ81" s="319"/>
      <c r="AK81" s="319">
        <f t="shared" si="52"/>
        <v>0</v>
      </c>
      <c r="AL81" s="319"/>
      <c r="AM81" s="319"/>
      <c r="AN81" s="319"/>
      <c r="AO81" s="319"/>
      <c r="AP81" s="319">
        <f t="shared" si="53"/>
        <v>0</v>
      </c>
      <c r="AQ81" s="451"/>
      <c r="AR81" s="451"/>
      <c r="AS81" s="451"/>
      <c r="AT81" s="451"/>
      <c r="AU81" s="319">
        <f t="shared" si="54"/>
        <v>0</v>
      </c>
      <c r="AV81" s="451"/>
      <c r="AW81" s="451"/>
      <c r="AX81" s="451"/>
      <c r="AY81" s="451"/>
      <c r="AZ81" s="319">
        <f t="shared" si="55"/>
        <v>0</v>
      </c>
      <c r="BA81" s="451"/>
      <c r="BB81" s="451"/>
      <c r="BC81" s="451"/>
      <c r="BD81" s="451"/>
      <c r="BE81" s="319">
        <f t="shared" si="56"/>
        <v>0</v>
      </c>
      <c r="BF81" s="451"/>
      <c r="BG81" s="451"/>
      <c r="BH81" s="451"/>
      <c r="BI81" s="451"/>
      <c r="BJ81" s="319">
        <f t="shared" si="57"/>
        <v>0</v>
      </c>
      <c r="BK81" s="451"/>
      <c r="BL81" s="451"/>
      <c r="BM81" s="451"/>
      <c r="BN81" s="451"/>
      <c r="BO81" s="319">
        <f t="shared" si="58"/>
        <v>0</v>
      </c>
      <c r="BP81" s="451"/>
      <c r="BQ81" s="451"/>
      <c r="BR81" s="451"/>
      <c r="BS81" s="451"/>
      <c r="BT81" s="319">
        <f t="shared" si="59"/>
        <v>0</v>
      </c>
      <c r="BU81" s="451"/>
      <c r="BV81" s="451"/>
      <c r="BW81" s="451"/>
      <c r="BX81" s="451"/>
      <c r="BY81" s="319">
        <f t="shared" si="60"/>
        <v>0</v>
      </c>
      <c r="BZ81" s="451"/>
      <c r="CA81" s="451"/>
      <c r="CB81" s="451"/>
      <c r="CC81" s="451"/>
      <c r="CD81" s="319">
        <f t="shared" si="61"/>
        <v>0</v>
      </c>
      <c r="CE81" s="451"/>
      <c r="CF81" s="451"/>
      <c r="CG81" s="451"/>
      <c r="CH81" s="451"/>
      <c r="CI81" s="319">
        <f t="shared" si="62"/>
        <v>0</v>
      </c>
      <c r="CJ81" s="451"/>
      <c r="CK81" s="451"/>
      <c r="CL81" s="451"/>
      <c r="CM81" s="451"/>
      <c r="CN81" s="319">
        <f t="shared" si="63"/>
        <v>0</v>
      </c>
      <c r="CO81" s="451">
        <f t="shared" si="64"/>
        <v>0</v>
      </c>
      <c r="CP81" s="451"/>
      <c r="CQ81" s="452"/>
    </row>
    <row r="82" spans="1:95" ht="12.75">
      <c r="A82" s="318" t="s">
        <v>154</v>
      </c>
      <c r="B82" s="318" t="s">
        <v>52</v>
      </c>
      <c r="C82" s="319" t="s">
        <v>506</v>
      </c>
      <c r="D82" s="321"/>
      <c r="E82" s="321"/>
      <c r="F82" s="322"/>
      <c r="G82" s="319"/>
      <c r="H82" s="322"/>
      <c r="I82" s="322"/>
      <c r="J82" s="328"/>
      <c r="K82" s="328"/>
      <c r="L82" s="322"/>
      <c r="M82" s="328"/>
      <c r="N82" s="328"/>
      <c r="O82" s="322"/>
      <c r="P82" s="328"/>
      <c r="Q82" s="328"/>
      <c r="R82" s="322"/>
      <c r="S82" s="329"/>
      <c r="T82" s="330"/>
      <c r="U82" s="322"/>
      <c r="V82" s="327"/>
      <c r="W82" s="327"/>
      <c r="X82" s="433"/>
      <c r="Y82" s="437"/>
      <c r="Z82" s="327"/>
      <c r="AA82" s="327"/>
      <c r="AB82" s="507"/>
      <c r="AC82" s="263"/>
      <c r="AD82" s="327"/>
      <c r="AE82" s="264"/>
      <c r="AF82" s="455" t="s">
        <v>52</v>
      </c>
      <c r="AG82" s="450"/>
      <c r="AH82" s="319"/>
      <c r="AI82" s="319"/>
      <c r="AJ82" s="319"/>
      <c r="AK82" s="319">
        <f t="shared" si="52"/>
        <v>0</v>
      </c>
      <c r="AL82" s="319"/>
      <c r="AM82" s="319"/>
      <c r="AN82" s="319"/>
      <c r="AO82" s="319"/>
      <c r="AP82" s="319">
        <f t="shared" si="53"/>
        <v>0</v>
      </c>
      <c r="AQ82" s="451"/>
      <c r="AR82" s="451"/>
      <c r="AS82" s="451"/>
      <c r="AT82" s="451"/>
      <c r="AU82" s="319">
        <f t="shared" si="54"/>
        <v>0</v>
      </c>
      <c r="AV82" s="451"/>
      <c r="AW82" s="451"/>
      <c r="AX82" s="451"/>
      <c r="AY82" s="451"/>
      <c r="AZ82" s="319">
        <f t="shared" si="55"/>
        <v>0</v>
      </c>
      <c r="BA82" s="451"/>
      <c r="BB82" s="451"/>
      <c r="BC82" s="451"/>
      <c r="BD82" s="451"/>
      <c r="BE82" s="319">
        <f t="shared" si="56"/>
        <v>0</v>
      </c>
      <c r="BF82" s="451"/>
      <c r="BG82" s="451"/>
      <c r="BH82" s="451"/>
      <c r="BI82" s="451"/>
      <c r="BJ82" s="319">
        <f t="shared" si="57"/>
        <v>0</v>
      </c>
      <c r="BK82" s="451"/>
      <c r="BL82" s="451"/>
      <c r="BM82" s="451"/>
      <c r="BN82" s="451"/>
      <c r="BO82" s="319">
        <f t="shared" si="58"/>
        <v>0</v>
      </c>
      <c r="BP82" s="451"/>
      <c r="BQ82" s="451"/>
      <c r="BR82" s="451"/>
      <c r="BS82" s="451"/>
      <c r="BT82" s="319">
        <f t="shared" si="59"/>
        <v>0</v>
      </c>
      <c r="BU82" s="451"/>
      <c r="BV82" s="451"/>
      <c r="BW82" s="451"/>
      <c r="BX82" s="451"/>
      <c r="BY82" s="319">
        <f t="shared" si="60"/>
        <v>0</v>
      </c>
      <c r="BZ82" s="451"/>
      <c r="CA82" s="451"/>
      <c r="CB82" s="451"/>
      <c r="CC82" s="451"/>
      <c r="CD82" s="319">
        <f t="shared" si="61"/>
        <v>0</v>
      </c>
      <c r="CE82" s="451"/>
      <c r="CF82" s="451"/>
      <c r="CG82" s="451"/>
      <c r="CH82" s="451"/>
      <c r="CI82" s="319">
        <f t="shared" si="62"/>
        <v>0</v>
      </c>
      <c r="CJ82" s="451"/>
      <c r="CK82" s="451"/>
      <c r="CL82" s="451"/>
      <c r="CM82" s="451"/>
      <c r="CN82" s="319">
        <f t="shared" si="63"/>
        <v>0</v>
      </c>
      <c r="CO82" s="451">
        <f t="shared" si="64"/>
        <v>0</v>
      </c>
      <c r="CP82" s="451"/>
      <c r="CQ82" s="452"/>
    </row>
    <row r="83" spans="1:95" ht="12.75">
      <c r="A83" s="318" t="s">
        <v>154</v>
      </c>
      <c r="B83" s="318" t="s">
        <v>53</v>
      </c>
      <c r="C83" s="319" t="s">
        <v>506</v>
      </c>
      <c r="D83" s="321"/>
      <c r="E83" s="321"/>
      <c r="F83" s="322"/>
      <c r="G83" s="319"/>
      <c r="H83" s="322"/>
      <c r="I83" s="322"/>
      <c r="J83" s="328"/>
      <c r="K83" s="328"/>
      <c r="L83" s="322"/>
      <c r="M83" s="328"/>
      <c r="N83" s="328"/>
      <c r="O83" s="322"/>
      <c r="P83" s="328"/>
      <c r="Q83" s="328"/>
      <c r="R83" s="322"/>
      <c r="S83" s="329"/>
      <c r="T83" s="330"/>
      <c r="U83" s="322"/>
      <c r="V83" s="327"/>
      <c r="W83" s="327"/>
      <c r="X83" s="433"/>
      <c r="Y83" s="437"/>
      <c r="Z83" s="327"/>
      <c r="AA83" s="327"/>
      <c r="AB83" s="507"/>
      <c r="AC83" s="263"/>
      <c r="AD83" s="327"/>
      <c r="AE83" s="264"/>
      <c r="AF83" s="455" t="s">
        <v>53</v>
      </c>
      <c r="AG83" s="458"/>
      <c r="AH83" s="319"/>
      <c r="AI83" s="319"/>
      <c r="AJ83" s="319"/>
      <c r="AK83" s="319">
        <f t="shared" si="52"/>
        <v>0</v>
      </c>
      <c r="AL83" s="319"/>
      <c r="AM83" s="319"/>
      <c r="AN83" s="319"/>
      <c r="AO83" s="319"/>
      <c r="AP83" s="319">
        <f t="shared" si="53"/>
        <v>0</v>
      </c>
      <c r="AQ83" s="451"/>
      <c r="AR83" s="451"/>
      <c r="AS83" s="451"/>
      <c r="AT83" s="451"/>
      <c r="AU83" s="319">
        <f t="shared" si="54"/>
        <v>0</v>
      </c>
      <c r="AV83" s="451"/>
      <c r="AW83" s="451"/>
      <c r="AX83" s="451"/>
      <c r="AY83" s="451"/>
      <c r="AZ83" s="319">
        <f t="shared" si="55"/>
        <v>0</v>
      </c>
      <c r="BA83" s="451"/>
      <c r="BB83" s="451"/>
      <c r="BC83" s="451"/>
      <c r="BD83" s="451"/>
      <c r="BE83" s="319">
        <f t="shared" si="56"/>
        <v>0</v>
      </c>
      <c r="BF83" s="451"/>
      <c r="BG83" s="451"/>
      <c r="BH83" s="451"/>
      <c r="BI83" s="451"/>
      <c r="BJ83" s="319">
        <f t="shared" si="57"/>
        <v>0</v>
      </c>
      <c r="BK83" s="451"/>
      <c r="BL83" s="451"/>
      <c r="BM83" s="451"/>
      <c r="BN83" s="451"/>
      <c r="BO83" s="319">
        <f t="shared" si="58"/>
        <v>0</v>
      </c>
      <c r="BP83" s="451"/>
      <c r="BQ83" s="451"/>
      <c r="BR83" s="451"/>
      <c r="BS83" s="451"/>
      <c r="BT83" s="319">
        <f t="shared" si="59"/>
        <v>0</v>
      </c>
      <c r="BU83" s="451"/>
      <c r="BV83" s="451"/>
      <c r="BW83" s="451"/>
      <c r="BX83" s="451"/>
      <c r="BY83" s="319">
        <f t="shared" si="60"/>
        <v>0</v>
      </c>
      <c r="BZ83" s="451"/>
      <c r="CA83" s="451"/>
      <c r="CB83" s="451"/>
      <c r="CC83" s="451"/>
      <c r="CD83" s="319">
        <f t="shared" si="61"/>
        <v>0</v>
      </c>
      <c r="CE83" s="451"/>
      <c r="CF83" s="451"/>
      <c r="CG83" s="451"/>
      <c r="CH83" s="451"/>
      <c r="CI83" s="319">
        <f t="shared" si="62"/>
        <v>0</v>
      </c>
      <c r="CJ83" s="451"/>
      <c r="CK83" s="451"/>
      <c r="CL83" s="451"/>
      <c r="CM83" s="451"/>
      <c r="CN83" s="319">
        <f t="shared" si="63"/>
        <v>0</v>
      </c>
      <c r="CO83" s="451">
        <f t="shared" si="64"/>
        <v>0</v>
      </c>
      <c r="CP83" s="451"/>
      <c r="CQ83" s="452"/>
    </row>
    <row r="84" spans="1:95" ht="12.75">
      <c r="A84" s="318" t="s">
        <v>155</v>
      </c>
      <c r="B84" s="332" t="s">
        <v>196</v>
      </c>
      <c r="C84" s="319" t="s">
        <v>505</v>
      </c>
      <c r="D84" s="321"/>
      <c r="E84" s="321"/>
      <c r="F84" s="322"/>
      <c r="G84" s="319"/>
      <c r="H84" s="322"/>
      <c r="I84" s="322"/>
      <c r="J84" s="328"/>
      <c r="K84" s="328"/>
      <c r="L84" s="322"/>
      <c r="M84" s="328"/>
      <c r="N84" s="328"/>
      <c r="O84" s="322"/>
      <c r="P84" s="328"/>
      <c r="Q84" s="328"/>
      <c r="R84" s="322"/>
      <c r="S84" s="329"/>
      <c r="T84" s="330"/>
      <c r="U84" s="322"/>
      <c r="V84" s="327"/>
      <c r="W84" s="327"/>
      <c r="X84" s="433"/>
      <c r="Y84" s="437"/>
      <c r="Z84" s="327"/>
      <c r="AA84" s="327"/>
      <c r="AB84" s="507"/>
      <c r="AC84" s="263"/>
      <c r="AD84" s="327"/>
      <c r="AE84" s="264"/>
      <c r="AF84" s="453" t="s">
        <v>196</v>
      </c>
      <c r="AG84" s="450"/>
      <c r="AH84" s="319"/>
      <c r="AI84" s="319"/>
      <c r="AJ84" s="319"/>
      <c r="AK84" s="319">
        <f t="shared" si="52"/>
        <v>0</v>
      </c>
      <c r="AL84" s="319"/>
      <c r="AM84" s="319"/>
      <c r="AN84" s="319"/>
      <c r="AO84" s="319"/>
      <c r="AP84" s="319">
        <f t="shared" si="53"/>
        <v>0</v>
      </c>
      <c r="AQ84" s="451"/>
      <c r="AR84" s="451"/>
      <c r="AS84" s="451"/>
      <c r="AT84" s="451"/>
      <c r="AU84" s="319">
        <f t="shared" si="54"/>
        <v>0</v>
      </c>
      <c r="AV84" s="451"/>
      <c r="AW84" s="451"/>
      <c r="AX84" s="451"/>
      <c r="AY84" s="451"/>
      <c r="AZ84" s="319">
        <f t="shared" si="55"/>
        <v>0</v>
      </c>
      <c r="BA84" s="451"/>
      <c r="BB84" s="451"/>
      <c r="BC84" s="451"/>
      <c r="BD84" s="451"/>
      <c r="BE84" s="319">
        <f t="shared" si="56"/>
        <v>0</v>
      </c>
      <c r="BF84" s="451"/>
      <c r="BG84" s="451"/>
      <c r="BH84" s="451"/>
      <c r="BI84" s="451"/>
      <c r="BJ84" s="319">
        <f t="shared" si="57"/>
        <v>0</v>
      </c>
      <c r="BK84" s="451"/>
      <c r="BL84" s="451"/>
      <c r="BM84" s="451"/>
      <c r="BN84" s="451"/>
      <c r="BO84" s="319">
        <f t="shared" si="58"/>
        <v>0</v>
      </c>
      <c r="BP84" s="451"/>
      <c r="BQ84" s="451"/>
      <c r="BR84" s="451"/>
      <c r="BS84" s="451"/>
      <c r="BT84" s="319">
        <f t="shared" si="59"/>
        <v>0</v>
      </c>
      <c r="BU84" s="451"/>
      <c r="BV84" s="451"/>
      <c r="BW84" s="451"/>
      <c r="BX84" s="451"/>
      <c r="BY84" s="319">
        <f t="shared" si="60"/>
        <v>0</v>
      </c>
      <c r="BZ84" s="451"/>
      <c r="CA84" s="451"/>
      <c r="CB84" s="451"/>
      <c r="CC84" s="451"/>
      <c r="CD84" s="319">
        <f t="shared" si="61"/>
        <v>0</v>
      </c>
      <c r="CE84" s="451"/>
      <c r="CF84" s="451"/>
      <c r="CG84" s="451"/>
      <c r="CH84" s="451"/>
      <c r="CI84" s="319">
        <f t="shared" si="62"/>
        <v>0</v>
      </c>
      <c r="CJ84" s="451"/>
      <c r="CK84" s="451"/>
      <c r="CL84" s="451"/>
      <c r="CM84" s="451"/>
      <c r="CN84" s="319">
        <f t="shared" si="63"/>
        <v>0</v>
      </c>
      <c r="CO84" s="451">
        <f t="shared" si="64"/>
        <v>0</v>
      </c>
      <c r="CP84" s="451"/>
      <c r="CQ84" s="452"/>
    </row>
    <row r="85" spans="1:95" ht="12.75">
      <c r="A85" s="318" t="s">
        <v>155</v>
      </c>
      <c r="B85" s="332" t="s">
        <v>197</v>
      </c>
      <c r="C85" s="319"/>
      <c r="D85" s="321"/>
      <c r="E85" s="321"/>
      <c r="F85" s="322"/>
      <c r="G85" s="319"/>
      <c r="H85" s="322"/>
      <c r="I85" s="322"/>
      <c r="J85" s="328"/>
      <c r="K85" s="319"/>
      <c r="L85" s="322"/>
      <c r="M85" s="328"/>
      <c r="N85" s="319"/>
      <c r="O85" s="322"/>
      <c r="P85" s="328"/>
      <c r="Q85" s="319"/>
      <c r="R85" s="322"/>
      <c r="S85" s="329"/>
      <c r="T85" s="330"/>
      <c r="U85" s="322"/>
      <c r="V85" s="327"/>
      <c r="W85" s="327"/>
      <c r="X85" s="433"/>
      <c r="Y85" s="437"/>
      <c r="Z85" s="327"/>
      <c r="AA85" s="327"/>
      <c r="AB85" s="507"/>
      <c r="AC85" s="263"/>
      <c r="AD85" s="327"/>
      <c r="AE85" s="264"/>
      <c r="AF85" s="453" t="s">
        <v>197</v>
      </c>
      <c r="AG85" s="458"/>
      <c r="AH85" s="319"/>
      <c r="AI85" s="319"/>
      <c r="AJ85" s="319"/>
      <c r="AK85" s="319">
        <f t="shared" si="52"/>
        <v>0</v>
      </c>
      <c r="AL85" s="319"/>
      <c r="AM85" s="319"/>
      <c r="AN85" s="319"/>
      <c r="AO85" s="319"/>
      <c r="AP85" s="319">
        <f t="shared" si="53"/>
        <v>0</v>
      </c>
      <c r="AQ85" s="451"/>
      <c r="AR85" s="451"/>
      <c r="AS85" s="451"/>
      <c r="AT85" s="451"/>
      <c r="AU85" s="319">
        <f t="shared" si="54"/>
        <v>0</v>
      </c>
      <c r="AV85" s="451"/>
      <c r="AW85" s="451"/>
      <c r="AX85" s="451"/>
      <c r="AY85" s="451"/>
      <c r="AZ85" s="319">
        <f t="shared" si="55"/>
        <v>0</v>
      </c>
      <c r="BA85" s="451"/>
      <c r="BB85" s="451"/>
      <c r="BC85" s="451"/>
      <c r="BD85" s="451"/>
      <c r="BE85" s="319">
        <f t="shared" si="56"/>
        <v>0</v>
      </c>
      <c r="BF85" s="451"/>
      <c r="BG85" s="451"/>
      <c r="BH85" s="451"/>
      <c r="BI85" s="451"/>
      <c r="BJ85" s="319">
        <f t="shared" si="57"/>
        <v>0</v>
      </c>
      <c r="BK85" s="451"/>
      <c r="BL85" s="451"/>
      <c r="BM85" s="451"/>
      <c r="BN85" s="451"/>
      <c r="BO85" s="319">
        <f t="shared" si="58"/>
        <v>0</v>
      </c>
      <c r="BP85" s="451"/>
      <c r="BQ85" s="451"/>
      <c r="BR85" s="451"/>
      <c r="BS85" s="451"/>
      <c r="BT85" s="319">
        <f t="shared" si="59"/>
        <v>0</v>
      </c>
      <c r="BU85" s="451"/>
      <c r="BV85" s="451"/>
      <c r="BW85" s="451"/>
      <c r="BX85" s="451"/>
      <c r="BY85" s="319">
        <f t="shared" si="60"/>
        <v>0</v>
      </c>
      <c r="BZ85" s="451"/>
      <c r="CA85" s="451"/>
      <c r="CB85" s="451"/>
      <c r="CC85" s="451"/>
      <c r="CD85" s="319">
        <f t="shared" si="61"/>
        <v>0</v>
      </c>
      <c r="CE85" s="451"/>
      <c r="CF85" s="451"/>
      <c r="CG85" s="451"/>
      <c r="CH85" s="451"/>
      <c r="CI85" s="319">
        <f t="shared" si="62"/>
        <v>0</v>
      </c>
      <c r="CJ85" s="451"/>
      <c r="CK85" s="451"/>
      <c r="CL85" s="451"/>
      <c r="CM85" s="451"/>
      <c r="CN85" s="319">
        <f t="shared" si="63"/>
        <v>0</v>
      </c>
      <c r="CO85" s="451">
        <f t="shared" si="64"/>
        <v>0</v>
      </c>
      <c r="CP85" s="451"/>
      <c r="CQ85" s="452"/>
    </row>
    <row r="86" spans="1:95" ht="12.75">
      <c r="A86" s="318" t="s">
        <v>155</v>
      </c>
      <c r="B86" s="319" t="s">
        <v>62</v>
      </c>
      <c r="C86" s="319" t="s">
        <v>505</v>
      </c>
      <c r="D86" s="321"/>
      <c r="E86" s="321"/>
      <c r="F86" s="322"/>
      <c r="G86" s="319"/>
      <c r="H86" s="322"/>
      <c r="I86" s="322"/>
      <c r="J86" s="328"/>
      <c r="K86" s="328"/>
      <c r="L86" s="322"/>
      <c r="M86" s="328"/>
      <c r="N86" s="328"/>
      <c r="O86" s="322"/>
      <c r="P86" s="328"/>
      <c r="Q86" s="328"/>
      <c r="R86" s="322"/>
      <c r="S86" s="329"/>
      <c r="T86" s="330"/>
      <c r="U86" s="322"/>
      <c r="V86" s="327"/>
      <c r="W86" s="327"/>
      <c r="X86" s="433"/>
      <c r="Y86" s="437"/>
      <c r="Z86" s="327"/>
      <c r="AA86" s="327"/>
      <c r="AB86" s="507"/>
      <c r="AC86" s="263"/>
      <c r="AD86" s="327"/>
      <c r="AE86" s="264"/>
      <c r="AF86" s="450" t="s">
        <v>62</v>
      </c>
      <c r="AG86" s="458"/>
      <c r="AH86" s="319"/>
      <c r="AI86" s="319"/>
      <c r="AJ86" s="319"/>
      <c r="AK86" s="319">
        <f t="shared" si="52"/>
        <v>0</v>
      </c>
      <c r="AL86" s="319"/>
      <c r="AM86" s="319"/>
      <c r="AN86" s="319"/>
      <c r="AO86" s="319"/>
      <c r="AP86" s="319">
        <f t="shared" si="53"/>
        <v>0</v>
      </c>
      <c r="AQ86" s="451"/>
      <c r="AR86" s="451"/>
      <c r="AS86" s="451"/>
      <c r="AT86" s="451"/>
      <c r="AU86" s="319">
        <f t="shared" si="54"/>
        <v>0</v>
      </c>
      <c r="AV86" s="451"/>
      <c r="AW86" s="451"/>
      <c r="AX86" s="451"/>
      <c r="AY86" s="451"/>
      <c r="AZ86" s="319">
        <f t="shared" si="55"/>
        <v>0</v>
      </c>
      <c r="BA86" s="451"/>
      <c r="BB86" s="451"/>
      <c r="BC86" s="451"/>
      <c r="BD86" s="451"/>
      <c r="BE86" s="319">
        <f t="shared" si="56"/>
        <v>0</v>
      </c>
      <c r="BF86" s="451"/>
      <c r="BG86" s="451"/>
      <c r="BH86" s="451"/>
      <c r="BI86" s="451"/>
      <c r="BJ86" s="319">
        <f t="shared" si="57"/>
        <v>0</v>
      </c>
      <c r="BK86" s="451"/>
      <c r="BL86" s="451"/>
      <c r="BM86" s="451"/>
      <c r="BN86" s="451"/>
      <c r="BO86" s="319">
        <f t="shared" si="58"/>
        <v>0</v>
      </c>
      <c r="BP86" s="451"/>
      <c r="BQ86" s="451"/>
      <c r="BR86" s="451"/>
      <c r="BS86" s="451"/>
      <c r="BT86" s="319">
        <f t="shared" si="59"/>
        <v>0</v>
      </c>
      <c r="BU86" s="451"/>
      <c r="BV86" s="451"/>
      <c r="BW86" s="451"/>
      <c r="BX86" s="451"/>
      <c r="BY86" s="319">
        <f t="shared" si="60"/>
        <v>0</v>
      </c>
      <c r="BZ86" s="451"/>
      <c r="CA86" s="451"/>
      <c r="CB86" s="451"/>
      <c r="CC86" s="451"/>
      <c r="CD86" s="319">
        <f t="shared" si="61"/>
        <v>0</v>
      </c>
      <c r="CE86" s="451"/>
      <c r="CF86" s="451"/>
      <c r="CG86" s="451"/>
      <c r="CH86" s="451"/>
      <c r="CI86" s="319">
        <f t="shared" si="62"/>
        <v>0</v>
      </c>
      <c r="CJ86" s="451"/>
      <c r="CK86" s="451"/>
      <c r="CL86" s="451"/>
      <c r="CM86" s="451"/>
      <c r="CN86" s="319">
        <f t="shared" si="63"/>
        <v>0</v>
      </c>
      <c r="CO86" s="451">
        <f t="shared" si="64"/>
        <v>0</v>
      </c>
      <c r="CP86" s="451"/>
      <c r="CQ86" s="452"/>
    </row>
    <row r="87" spans="1:95" ht="12.75">
      <c r="A87" s="318"/>
      <c r="B87" s="342" t="s">
        <v>54</v>
      </c>
      <c r="C87" s="319"/>
      <c r="D87" s="321"/>
      <c r="E87" s="321"/>
      <c r="F87" s="322"/>
      <c r="G87" s="319"/>
      <c r="H87" s="322"/>
      <c r="I87" s="322"/>
      <c r="J87" s="328"/>
      <c r="K87" s="328"/>
      <c r="L87" s="322"/>
      <c r="M87" s="328"/>
      <c r="N87" s="328"/>
      <c r="O87" s="322"/>
      <c r="P87" s="328"/>
      <c r="Q87" s="328"/>
      <c r="R87" s="322"/>
      <c r="S87" s="329"/>
      <c r="T87" s="330"/>
      <c r="U87" s="322"/>
      <c r="V87" s="327"/>
      <c r="W87" s="327"/>
      <c r="X87" s="433"/>
      <c r="Y87" s="437"/>
      <c r="Z87" s="327"/>
      <c r="AA87" s="327"/>
      <c r="AB87" s="507"/>
      <c r="AC87" s="263"/>
      <c r="AD87" s="327"/>
      <c r="AE87" s="264"/>
      <c r="AF87" s="456" t="s">
        <v>54</v>
      </c>
      <c r="AG87" s="458"/>
      <c r="AH87" s="319"/>
      <c r="AI87" s="319"/>
      <c r="AJ87" s="319"/>
      <c r="AK87" s="319">
        <f t="shared" si="52"/>
        <v>0</v>
      </c>
      <c r="AL87" s="319"/>
      <c r="AM87" s="319"/>
      <c r="AN87" s="319"/>
      <c r="AO87" s="319"/>
      <c r="AP87" s="319">
        <f t="shared" si="53"/>
        <v>0</v>
      </c>
      <c r="AQ87" s="451"/>
      <c r="AR87" s="451"/>
      <c r="AS87" s="451"/>
      <c r="AT87" s="451"/>
      <c r="AU87" s="319">
        <f t="shared" si="54"/>
        <v>0</v>
      </c>
      <c r="AV87" s="451"/>
      <c r="AW87" s="451"/>
      <c r="AX87" s="451"/>
      <c r="AY87" s="451"/>
      <c r="AZ87" s="319">
        <f t="shared" si="55"/>
        <v>0</v>
      </c>
      <c r="BA87" s="451"/>
      <c r="BB87" s="451"/>
      <c r="BC87" s="451"/>
      <c r="BD87" s="451"/>
      <c r="BE87" s="319">
        <f t="shared" si="56"/>
        <v>0</v>
      </c>
      <c r="BF87" s="451"/>
      <c r="BG87" s="451"/>
      <c r="BH87" s="451"/>
      <c r="BI87" s="451"/>
      <c r="BJ87" s="319">
        <f t="shared" si="57"/>
        <v>0</v>
      </c>
      <c r="BK87" s="451"/>
      <c r="BL87" s="451"/>
      <c r="BM87" s="451"/>
      <c r="BN87" s="451"/>
      <c r="BO87" s="319">
        <f t="shared" si="58"/>
        <v>0</v>
      </c>
      <c r="BP87" s="451"/>
      <c r="BQ87" s="451"/>
      <c r="BR87" s="451"/>
      <c r="BS87" s="451"/>
      <c r="BT87" s="319">
        <f t="shared" si="59"/>
        <v>0</v>
      </c>
      <c r="BU87" s="451"/>
      <c r="BV87" s="451"/>
      <c r="BW87" s="451"/>
      <c r="BX87" s="451"/>
      <c r="BY87" s="319">
        <f t="shared" si="60"/>
        <v>0</v>
      </c>
      <c r="BZ87" s="451"/>
      <c r="CA87" s="451"/>
      <c r="CB87" s="451"/>
      <c r="CC87" s="451"/>
      <c r="CD87" s="319">
        <f t="shared" si="61"/>
        <v>0</v>
      </c>
      <c r="CE87" s="451"/>
      <c r="CF87" s="451"/>
      <c r="CG87" s="451"/>
      <c r="CH87" s="451"/>
      <c r="CI87" s="319">
        <f t="shared" si="62"/>
        <v>0</v>
      </c>
      <c r="CJ87" s="451"/>
      <c r="CK87" s="451"/>
      <c r="CL87" s="451"/>
      <c r="CM87" s="451"/>
      <c r="CN87" s="319">
        <f t="shared" si="63"/>
        <v>0</v>
      </c>
      <c r="CO87" s="451">
        <f t="shared" si="64"/>
        <v>0</v>
      </c>
      <c r="CP87" s="451"/>
      <c r="CQ87" s="452"/>
    </row>
    <row r="88" spans="1:95" ht="12.75">
      <c r="A88" s="318" t="s">
        <v>152</v>
      </c>
      <c r="B88" s="319" t="s">
        <v>55</v>
      </c>
      <c r="C88" s="320">
        <f>2*8*40*4.33</f>
        <v>2771.2</v>
      </c>
      <c r="D88" s="321" t="s">
        <v>504</v>
      </c>
      <c r="E88" s="321"/>
      <c r="F88" s="322"/>
      <c r="G88" s="319"/>
      <c r="H88" s="322"/>
      <c r="I88" s="322"/>
      <c r="J88" s="328">
        <f t="shared" ref="J88:J95" si="66">K88*J$8</f>
        <v>343.79548872180453</v>
      </c>
      <c r="K88" s="328">
        <f>(((40*8*2)*4.33*15)*CMF)/SM134Units</f>
        <v>343.79548872180453</v>
      </c>
      <c r="L88" s="322">
        <f t="shared" ref="L88:L95" si="67">+K88/K$11</f>
        <v>0.20988735575201742</v>
      </c>
      <c r="M88" s="328">
        <f t="shared" ref="M88:M95" si="68">N88*N$8</f>
        <v>24753.275187969928</v>
      </c>
      <c r="N88" s="328">
        <f>(((40*8*2)*4.33*15)*CMF)/SM134Units</f>
        <v>343.79548872180453</v>
      </c>
      <c r="O88" s="322">
        <f t="shared" ref="O88:O95" si="69">+N88/N$11</f>
        <v>0.33838138653720917</v>
      </c>
      <c r="P88" s="328">
        <f t="shared" ref="P88:P95" si="70">Q88*Q$8</f>
        <v>20971.524812030075</v>
      </c>
      <c r="Q88" s="328">
        <f>(((40*8*2)*4.33*15)*CMF)/SM134Units</f>
        <v>343.79548872180453</v>
      </c>
      <c r="R88" s="322">
        <f t="shared" ref="R88:R95" si="71">+Q88/Q$11</f>
        <v>0.28342579449448024</v>
      </c>
      <c r="S88" s="329">
        <f t="shared" ref="S88:S94" si="72">+P88+M88</f>
        <v>45724.800000000003</v>
      </c>
      <c r="T88" s="330">
        <f t="shared" ref="T88:T95" si="73">+S88/S$8</f>
        <v>343.79548872180453</v>
      </c>
      <c r="U88" s="322">
        <f t="shared" si="65"/>
        <v>0.31074654252607975</v>
      </c>
      <c r="V88" s="326">
        <f t="shared" ref="V88:V95" si="74">+S88/TotalCost</f>
        <v>3.5938613969328237E-3</v>
      </c>
      <c r="W88" s="327">
        <f t="shared" si="43"/>
        <v>2.9499871881286358E-3</v>
      </c>
      <c r="X88" s="433"/>
      <c r="Y88" s="437"/>
      <c r="Z88" s="327"/>
      <c r="AA88" s="327"/>
      <c r="AB88" s="507"/>
      <c r="AC88" s="263"/>
      <c r="AD88" s="327"/>
      <c r="AE88" s="264"/>
      <c r="AF88" s="450" t="s">
        <v>55</v>
      </c>
      <c r="AG88" s="319">
        <f>$S88/12</f>
        <v>3810.4</v>
      </c>
      <c r="AH88" s="319"/>
      <c r="AI88" s="319"/>
      <c r="AJ88" s="319"/>
      <c r="AK88" s="319">
        <f t="shared" si="52"/>
        <v>3810.4</v>
      </c>
      <c r="AL88" s="319">
        <f>$S88/12</f>
        <v>3810.4</v>
      </c>
      <c r="AM88" s="319"/>
      <c r="AN88" s="319"/>
      <c r="AO88" s="319"/>
      <c r="AP88" s="319">
        <f t="shared" si="53"/>
        <v>3810.4</v>
      </c>
      <c r="AQ88" s="319">
        <f>$S88/12</f>
        <v>3810.4</v>
      </c>
      <c r="AR88" s="319"/>
      <c r="AS88" s="451"/>
      <c r="AT88" s="451"/>
      <c r="AU88" s="319">
        <f t="shared" si="54"/>
        <v>3810.4</v>
      </c>
      <c r="AV88" s="319">
        <f>$S88/12</f>
        <v>3810.4</v>
      </c>
      <c r="AW88" s="319"/>
      <c r="AX88" s="319"/>
      <c r="AY88" s="319"/>
      <c r="AZ88" s="319">
        <f t="shared" si="55"/>
        <v>3810.4</v>
      </c>
      <c r="BA88" s="319">
        <f>$S88/12</f>
        <v>3810.4</v>
      </c>
      <c r="BB88" s="451"/>
      <c r="BC88" s="451"/>
      <c r="BD88" s="451"/>
      <c r="BE88" s="319">
        <f t="shared" si="56"/>
        <v>3810.4</v>
      </c>
      <c r="BF88" s="319">
        <f>$S88/12</f>
        <v>3810.4</v>
      </c>
      <c r="BG88" s="319"/>
      <c r="BH88" s="319"/>
      <c r="BI88" s="319"/>
      <c r="BJ88" s="319">
        <f t="shared" si="57"/>
        <v>3810.4</v>
      </c>
      <c r="BK88" s="319">
        <f>$S88/12</f>
        <v>3810.4</v>
      </c>
      <c r="BL88" s="319"/>
      <c r="BM88" s="451"/>
      <c r="BN88" s="451"/>
      <c r="BO88" s="319">
        <f t="shared" si="58"/>
        <v>3810.4</v>
      </c>
      <c r="BP88" s="319">
        <f>$S88/12</f>
        <v>3810.4</v>
      </c>
      <c r="BQ88" s="319"/>
      <c r="BR88" s="319"/>
      <c r="BS88" s="319"/>
      <c r="BT88" s="319">
        <f t="shared" si="59"/>
        <v>3810.4</v>
      </c>
      <c r="BU88" s="319">
        <f>$S88/12</f>
        <v>3810.4</v>
      </c>
      <c r="BV88" s="451"/>
      <c r="BW88" s="451"/>
      <c r="BX88" s="451"/>
      <c r="BY88" s="319">
        <f t="shared" si="60"/>
        <v>3810.4</v>
      </c>
      <c r="BZ88" s="319">
        <f>$S88/12</f>
        <v>3810.4</v>
      </c>
      <c r="CA88" s="451"/>
      <c r="CB88" s="451"/>
      <c r="CC88" s="451"/>
      <c r="CD88" s="319">
        <f t="shared" si="61"/>
        <v>3810.4</v>
      </c>
      <c r="CE88" s="319">
        <f>$S88/12</f>
        <v>3810.4</v>
      </c>
      <c r="CF88" s="451"/>
      <c r="CG88" s="451"/>
      <c r="CH88" s="451"/>
      <c r="CI88" s="319">
        <f t="shared" si="62"/>
        <v>3810.4</v>
      </c>
      <c r="CJ88" s="319">
        <f>$S88/12</f>
        <v>3810.4</v>
      </c>
      <c r="CK88" s="451"/>
      <c r="CL88" s="451"/>
      <c r="CM88" s="451"/>
      <c r="CN88" s="319">
        <f t="shared" si="63"/>
        <v>3810.4</v>
      </c>
      <c r="CO88" s="451">
        <f t="shared" si="64"/>
        <v>45724.80000000001</v>
      </c>
      <c r="CP88" s="451">
        <f t="shared" si="50"/>
        <v>45724.800000000003</v>
      </c>
      <c r="CQ88" s="452">
        <f t="shared" si="51"/>
        <v>1.0000000000000002</v>
      </c>
    </row>
    <row r="89" spans="1:95" ht="12.75">
      <c r="A89" s="318" t="s">
        <v>152</v>
      </c>
      <c r="B89" s="319" t="s">
        <v>56</v>
      </c>
      <c r="C89" s="320">
        <v>0.15</v>
      </c>
      <c r="D89" s="321" t="s">
        <v>497</v>
      </c>
      <c r="E89" s="321"/>
      <c r="F89" s="322"/>
      <c r="G89" s="319"/>
      <c r="H89" s="322"/>
      <c r="I89" s="322"/>
      <c r="J89" s="328">
        <f t="shared" si="66"/>
        <v>270.27</v>
      </c>
      <c r="K89" s="328">
        <f>$C89*K$11*CMF</f>
        <v>270.27</v>
      </c>
      <c r="L89" s="322">
        <f t="shared" si="67"/>
        <v>0.16499999999999998</v>
      </c>
      <c r="M89" s="328">
        <f t="shared" si="68"/>
        <v>12070.080000000002</v>
      </c>
      <c r="N89" s="328">
        <f>$C89*N$11*CMF</f>
        <v>167.64000000000001</v>
      </c>
      <c r="O89" s="322">
        <f t="shared" si="69"/>
        <v>0.16500000000000001</v>
      </c>
      <c r="P89" s="328">
        <f t="shared" si="70"/>
        <v>12208.845000000001</v>
      </c>
      <c r="Q89" s="328">
        <f>$C89*Q$11*CMF</f>
        <v>200.14500000000001</v>
      </c>
      <c r="R89" s="322">
        <f t="shared" si="71"/>
        <v>0.16500000000000001</v>
      </c>
      <c r="S89" s="329">
        <f t="shared" si="72"/>
        <v>24278.925000000003</v>
      </c>
      <c r="T89" s="330">
        <f t="shared" si="73"/>
        <v>182.54830827067673</v>
      </c>
      <c r="U89" s="322">
        <f t="shared" si="65"/>
        <v>0.16500000000000001</v>
      </c>
      <c r="V89" s="326">
        <f t="shared" si="74"/>
        <v>1.9082662213181305E-3</v>
      </c>
      <c r="W89" s="327">
        <f t="shared" si="43"/>
        <v>1.5663823065718394E-3</v>
      </c>
      <c r="X89" s="433"/>
      <c r="Y89" s="437"/>
      <c r="Z89" s="327"/>
      <c r="AA89" s="327"/>
      <c r="AB89" s="507"/>
      <c r="AC89" s="263"/>
      <c r="AD89" s="327"/>
      <c r="AE89" s="264"/>
      <c r="AF89" s="450" t="s">
        <v>56</v>
      </c>
      <c r="AG89" s="458"/>
      <c r="AH89" s="319"/>
      <c r="AI89" s="319"/>
      <c r="AJ89" s="319"/>
      <c r="AK89" s="319">
        <f t="shared" si="52"/>
        <v>0</v>
      </c>
      <c r="AL89" s="319"/>
      <c r="AM89" s="319"/>
      <c r="AN89" s="319"/>
      <c r="AO89" s="319"/>
      <c r="AP89" s="319">
        <f t="shared" si="53"/>
        <v>0</v>
      </c>
      <c r="AQ89" s="319"/>
      <c r="AR89" s="319"/>
      <c r="AS89" s="319"/>
      <c r="AT89" s="319"/>
      <c r="AU89" s="319">
        <f t="shared" si="54"/>
        <v>0</v>
      </c>
      <c r="AV89" s="319"/>
      <c r="AW89" s="451"/>
      <c r="AX89" s="451"/>
      <c r="AY89" s="451"/>
      <c r="AZ89" s="319">
        <f t="shared" si="55"/>
        <v>0</v>
      </c>
      <c r="BA89" s="451"/>
      <c r="BB89" s="451"/>
      <c r="BC89" s="451"/>
      <c r="BD89" s="451"/>
      <c r="BE89" s="319">
        <f t="shared" si="56"/>
        <v>0</v>
      </c>
      <c r="BF89" s="451"/>
      <c r="BG89" s="451"/>
      <c r="BH89" s="451"/>
      <c r="BI89" s="318">
        <f>$S89/8</f>
        <v>3034.8656250000004</v>
      </c>
      <c r="BJ89" s="319">
        <f t="shared" si="57"/>
        <v>3034.8656250000004</v>
      </c>
      <c r="BK89" s="451"/>
      <c r="BL89" s="451"/>
      <c r="BM89" s="318">
        <f>$S89/8</f>
        <v>3034.8656250000004</v>
      </c>
      <c r="BN89" s="451"/>
      <c r="BO89" s="319">
        <f t="shared" si="58"/>
        <v>3034.8656250000004</v>
      </c>
      <c r="BP89" s="451"/>
      <c r="BQ89" s="318">
        <f>$S89/8</f>
        <v>3034.8656250000004</v>
      </c>
      <c r="BR89" s="451"/>
      <c r="BS89" s="451"/>
      <c r="BT89" s="319">
        <f t="shared" si="59"/>
        <v>3034.8656250000004</v>
      </c>
      <c r="BU89" s="318">
        <f>$S89/8</f>
        <v>3034.8656250000004</v>
      </c>
      <c r="BV89" s="451"/>
      <c r="BW89" s="451"/>
      <c r="BX89" s="318">
        <f>$S89/8</f>
        <v>3034.8656250000004</v>
      </c>
      <c r="BY89" s="319">
        <f t="shared" si="60"/>
        <v>6069.7312500000007</v>
      </c>
      <c r="BZ89" s="451"/>
      <c r="CA89" s="451"/>
      <c r="CB89" s="318">
        <f>$S89/8</f>
        <v>3034.8656250000004</v>
      </c>
      <c r="CC89" s="451"/>
      <c r="CD89" s="319">
        <f t="shared" si="61"/>
        <v>3034.8656250000004</v>
      </c>
      <c r="CE89" s="451"/>
      <c r="CF89" s="318">
        <f>$S89/8</f>
        <v>3034.8656250000004</v>
      </c>
      <c r="CG89" s="451"/>
      <c r="CH89" s="451"/>
      <c r="CI89" s="319">
        <f t="shared" si="62"/>
        <v>3034.8656250000004</v>
      </c>
      <c r="CJ89" s="318">
        <f>$S89/8</f>
        <v>3034.8656250000004</v>
      </c>
      <c r="CK89" s="451"/>
      <c r="CL89" s="451"/>
      <c r="CM89" s="451"/>
      <c r="CN89" s="319">
        <f t="shared" si="63"/>
        <v>3034.8656250000004</v>
      </c>
      <c r="CO89" s="451">
        <f t="shared" si="64"/>
        <v>24278.925000000003</v>
      </c>
      <c r="CP89" s="451">
        <f t="shared" si="50"/>
        <v>24278.925000000003</v>
      </c>
      <c r="CQ89" s="452">
        <f t="shared" si="51"/>
        <v>1</v>
      </c>
    </row>
    <row r="90" spans="1:95" ht="12.75">
      <c r="A90" s="318" t="s">
        <v>152</v>
      </c>
      <c r="B90" s="319" t="s">
        <v>57</v>
      </c>
      <c r="C90" s="320">
        <v>350</v>
      </c>
      <c r="D90" s="321" t="s">
        <v>335</v>
      </c>
      <c r="E90" s="321"/>
      <c r="F90" s="322"/>
      <c r="G90" s="319"/>
      <c r="H90" s="322"/>
      <c r="I90" s="322"/>
      <c r="J90" s="328">
        <f t="shared" si="66"/>
        <v>385.00000000000006</v>
      </c>
      <c r="K90" s="328">
        <f>$C90*CMF</f>
        <v>385.00000000000006</v>
      </c>
      <c r="L90" s="322">
        <f t="shared" si="67"/>
        <v>0.23504273504273507</v>
      </c>
      <c r="M90" s="328">
        <f t="shared" si="68"/>
        <v>27720.000000000004</v>
      </c>
      <c r="N90" s="328">
        <f>$C90*CMF</f>
        <v>385.00000000000006</v>
      </c>
      <c r="O90" s="322">
        <f t="shared" si="69"/>
        <v>0.3789370078740158</v>
      </c>
      <c r="P90" s="328">
        <f t="shared" si="70"/>
        <v>23485.000000000004</v>
      </c>
      <c r="Q90" s="328">
        <f>$C90*CMF</f>
        <v>385.00000000000006</v>
      </c>
      <c r="R90" s="322">
        <f t="shared" si="71"/>
        <v>0.31739488870568844</v>
      </c>
      <c r="S90" s="329">
        <f t="shared" si="72"/>
        <v>51205.000000000007</v>
      </c>
      <c r="T90" s="330">
        <f t="shared" si="73"/>
        <v>385.00000000000006</v>
      </c>
      <c r="U90" s="322">
        <f t="shared" si="65"/>
        <v>0.34799007781440083</v>
      </c>
      <c r="V90" s="326">
        <f t="shared" si="74"/>
        <v>4.0245921869520532E-3</v>
      </c>
      <c r="W90" s="327">
        <f t="shared" si="43"/>
        <v>3.3035484894002117E-3</v>
      </c>
      <c r="X90" s="433"/>
      <c r="Y90" s="437"/>
      <c r="Z90" s="327"/>
      <c r="AA90" s="327"/>
      <c r="AB90" s="507"/>
      <c r="AC90" s="263"/>
      <c r="AD90" s="327"/>
      <c r="AE90" s="264"/>
      <c r="AF90" s="450" t="s">
        <v>57</v>
      </c>
      <c r="AG90" s="458"/>
      <c r="AH90" s="319"/>
      <c r="AI90" s="319"/>
      <c r="AJ90" s="319"/>
      <c r="AK90" s="319">
        <f t="shared" si="52"/>
        <v>0</v>
      </c>
      <c r="AL90" s="319"/>
      <c r="AM90" s="319"/>
      <c r="AN90" s="319"/>
      <c r="AO90" s="319"/>
      <c r="AP90" s="319">
        <f t="shared" si="53"/>
        <v>0</v>
      </c>
      <c r="AQ90" s="319"/>
      <c r="AR90" s="319"/>
      <c r="AS90" s="319"/>
      <c r="AT90" s="319"/>
      <c r="AU90" s="319">
        <f t="shared" si="54"/>
        <v>0</v>
      </c>
      <c r="AV90" s="451"/>
      <c r="AW90" s="451"/>
      <c r="AX90" s="451"/>
      <c r="AY90" s="451"/>
      <c r="AZ90" s="319">
        <f t="shared" si="55"/>
        <v>0</v>
      </c>
      <c r="BA90" s="451"/>
      <c r="BB90" s="451"/>
      <c r="BC90" s="451"/>
      <c r="BD90" s="451"/>
      <c r="BE90" s="319">
        <f t="shared" si="56"/>
        <v>0</v>
      </c>
      <c r="BF90" s="451"/>
      <c r="BG90" s="451"/>
      <c r="BH90" s="451"/>
      <c r="BI90" s="451"/>
      <c r="BJ90" s="319">
        <f t="shared" si="57"/>
        <v>0</v>
      </c>
      <c r="BK90" s="318">
        <f>$S90/8</f>
        <v>6400.6250000000009</v>
      </c>
      <c r="BL90" s="451"/>
      <c r="BM90" s="451"/>
      <c r="BN90" s="318">
        <f>$S90/8</f>
        <v>6400.6250000000009</v>
      </c>
      <c r="BO90" s="319">
        <f t="shared" si="58"/>
        <v>12801.250000000002</v>
      </c>
      <c r="BP90" s="451"/>
      <c r="BQ90" s="451"/>
      <c r="BR90" s="318">
        <f>$S90/8</f>
        <v>6400.6250000000009</v>
      </c>
      <c r="BS90" s="451"/>
      <c r="BT90" s="319">
        <f t="shared" si="59"/>
        <v>6400.6250000000009</v>
      </c>
      <c r="BU90" s="451"/>
      <c r="BV90" s="318">
        <f>$S90/8</f>
        <v>6400.6250000000009</v>
      </c>
      <c r="BW90" s="451"/>
      <c r="BX90" s="451"/>
      <c r="BY90" s="319">
        <f t="shared" si="60"/>
        <v>6400.6250000000009</v>
      </c>
      <c r="BZ90" s="318">
        <f>$S90/8</f>
        <v>6400.6250000000009</v>
      </c>
      <c r="CA90" s="451"/>
      <c r="CB90" s="451"/>
      <c r="CC90" s="318">
        <f>$S90/8</f>
        <v>6400.6250000000009</v>
      </c>
      <c r="CD90" s="319">
        <f t="shared" si="61"/>
        <v>12801.250000000002</v>
      </c>
      <c r="CE90" s="451"/>
      <c r="CF90" s="451"/>
      <c r="CG90" s="318">
        <f>$S90/8</f>
        <v>6400.6250000000009</v>
      </c>
      <c r="CH90" s="451"/>
      <c r="CI90" s="319">
        <f t="shared" si="62"/>
        <v>6400.6250000000009</v>
      </c>
      <c r="CJ90" s="451"/>
      <c r="CK90" s="318">
        <f>$S90/8</f>
        <v>6400.6250000000009</v>
      </c>
      <c r="CL90" s="451"/>
      <c r="CM90" s="451"/>
      <c r="CN90" s="319">
        <f t="shared" si="63"/>
        <v>6400.6250000000009</v>
      </c>
      <c r="CO90" s="451">
        <f t="shared" si="64"/>
        <v>51205.000000000007</v>
      </c>
      <c r="CP90" s="451">
        <f t="shared" si="50"/>
        <v>51205.000000000007</v>
      </c>
      <c r="CQ90" s="452">
        <f t="shared" si="51"/>
        <v>1</v>
      </c>
    </row>
    <row r="91" spans="1:95" ht="12.75">
      <c r="A91" s="318" t="s">
        <v>152</v>
      </c>
      <c r="B91" s="319" t="s">
        <v>58</v>
      </c>
      <c r="C91" s="320">
        <v>442</v>
      </c>
      <c r="D91" s="321" t="s">
        <v>335</v>
      </c>
      <c r="E91" s="321"/>
      <c r="F91" s="322"/>
      <c r="G91" s="319"/>
      <c r="H91" s="322"/>
      <c r="I91" s="322"/>
      <c r="J91" s="328">
        <f t="shared" si="66"/>
        <v>486.20000000000005</v>
      </c>
      <c r="K91" s="328">
        <f>442*CMF</f>
        <v>486.20000000000005</v>
      </c>
      <c r="L91" s="322">
        <f t="shared" si="67"/>
        <v>0.29682539682539683</v>
      </c>
      <c r="M91" s="328">
        <f t="shared" si="68"/>
        <v>35006.400000000001</v>
      </c>
      <c r="N91" s="328">
        <f>442*CMF</f>
        <v>486.20000000000005</v>
      </c>
      <c r="O91" s="322">
        <f t="shared" si="69"/>
        <v>0.47854330708661424</v>
      </c>
      <c r="P91" s="328">
        <f t="shared" si="70"/>
        <v>29658.200000000004</v>
      </c>
      <c r="Q91" s="328">
        <f>442*CMF</f>
        <v>486.20000000000005</v>
      </c>
      <c r="R91" s="322">
        <f t="shared" si="71"/>
        <v>0.4008244023083265</v>
      </c>
      <c r="S91" s="329">
        <f t="shared" si="72"/>
        <v>64664.600000000006</v>
      </c>
      <c r="T91" s="330">
        <f t="shared" si="73"/>
        <v>486.20000000000005</v>
      </c>
      <c r="U91" s="322">
        <f t="shared" si="65"/>
        <v>0.43946175541132898</v>
      </c>
      <c r="V91" s="326">
        <f t="shared" si="74"/>
        <v>5.0824849903794494E-3</v>
      </c>
      <c r="W91" s="327">
        <f t="shared" si="43"/>
        <v>4.1719098066139819E-3</v>
      </c>
      <c r="X91" s="433"/>
      <c r="Y91" s="437"/>
      <c r="Z91" s="327"/>
      <c r="AA91" s="327"/>
      <c r="AB91" s="507"/>
      <c r="AC91" s="263"/>
      <c r="AD91" s="327"/>
      <c r="AE91" s="264"/>
      <c r="AF91" s="450" t="s">
        <v>58</v>
      </c>
      <c r="AG91" s="450"/>
      <c r="AH91" s="319"/>
      <c r="AI91" s="319"/>
      <c r="AJ91" s="319"/>
      <c r="AK91" s="319">
        <f t="shared" si="52"/>
        <v>0</v>
      </c>
      <c r="AL91" s="319"/>
      <c r="AM91" s="319"/>
      <c r="AN91" s="319"/>
      <c r="AO91" s="319">
        <f>$S91/10</f>
        <v>6466.4600000000009</v>
      </c>
      <c r="AP91" s="319">
        <f t="shared" si="53"/>
        <v>6466.4600000000009</v>
      </c>
      <c r="AQ91" s="319"/>
      <c r="AR91" s="319"/>
      <c r="AS91" s="319"/>
      <c r="AT91" s="319">
        <f>$S91/10</f>
        <v>6466.4600000000009</v>
      </c>
      <c r="AU91" s="319">
        <f t="shared" si="54"/>
        <v>6466.4600000000009</v>
      </c>
      <c r="AV91" s="319"/>
      <c r="AW91" s="451"/>
      <c r="AX91" s="451"/>
      <c r="AY91" s="319">
        <f>$S91/10</f>
        <v>6466.4600000000009</v>
      </c>
      <c r="AZ91" s="319">
        <f t="shared" si="55"/>
        <v>6466.4600000000009</v>
      </c>
      <c r="BA91" s="319"/>
      <c r="BB91" s="319"/>
      <c r="BC91" s="319"/>
      <c r="BD91" s="319">
        <f>$S91/10</f>
        <v>6466.4600000000009</v>
      </c>
      <c r="BE91" s="319">
        <f t="shared" si="56"/>
        <v>6466.4600000000009</v>
      </c>
      <c r="BF91" s="451"/>
      <c r="BG91" s="451"/>
      <c r="BH91" s="451"/>
      <c r="BI91" s="319">
        <f>$S91/10</f>
        <v>6466.4600000000009</v>
      </c>
      <c r="BJ91" s="319">
        <f t="shared" si="57"/>
        <v>6466.4600000000009</v>
      </c>
      <c r="BK91" s="319"/>
      <c r="BL91" s="319"/>
      <c r="BM91" s="319"/>
      <c r="BN91" s="319">
        <f>$S91/10</f>
        <v>6466.4600000000009</v>
      </c>
      <c r="BO91" s="319">
        <f t="shared" si="58"/>
        <v>6466.4600000000009</v>
      </c>
      <c r="BP91" s="319"/>
      <c r="BQ91" s="451"/>
      <c r="BR91" s="451"/>
      <c r="BS91" s="319">
        <f>$S91/10</f>
        <v>6466.4600000000009</v>
      </c>
      <c r="BT91" s="319">
        <f t="shared" si="59"/>
        <v>6466.4600000000009</v>
      </c>
      <c r="BU91" s="319"/>
      <c r="BV91" s="319"/>
      <c r="BW91" s="319"/>
      <c r="BX91" s="319">
        <f>$S91/10</f>
        <v>6466.4600000000009</v>
      </c>
      <c r="BY91" s="319">
        <f t="shared" si="60"/>
        <v>6466.4600000000009</v>
      </c>
      <c r="BZ91" s="451"/>
      <c r="CA91" s="451"/>
      <c r="CB91" s="451"/>
      <c r="CC91" s="319">
        <f>$S91/10</f>
        <v>6466.4600000000009</v>
      </c>
      <c r="CD91" s="319">
        <f t="shared" si="61"/>
        <v>6466.4600000000009</v>
      </c>
      <c r="CE91" s="451"/>
      <c r="CF91" s="451"/>
      <c r="CG91" s="451"/>
      <c r="CH91" s="319">
        <f>$S91/10</f>
        <v>6466.4600000000009</v>
      </c>
      <c r="CI91" s="319">
        <f t="shared" si="62"/>
        <v>6466.4600000000009</v>
      </c>
      <c r="CJ91" s="451"/>
      <c r="CK91" s="451"/>
      <c r="CL91" s="451"/>
      <c r="CM91" s="451"/>
      <c r="CN91" s="319">
        <f t="shared" si="63"/>
        <v>0</v>
      </c>
      <c r="CO91" s="451">
        <f t="shared" si="64"/>
        <v>64664.6</v>
      </c>
      <c r="CP91" s="451">
        <f t="shared" si="50"/>
        <v>64664.600000000006</v>
      </c>
      <c r="CQ91" s="452">
        <f t="shared" si="51"/>
        <v>0.99999999999999989</v>
      </c>
    </row>
    <row r="92" spans="1:95" ht="12.75">
      <c r="A92" s="318" t="s">
        <v>152</v>
      </c>
      <c r="B92" s="319" t="s">
        <v>59</v>
      </c>
      <c r="C92" s="320">
        <v>70</v>
      </c>
      <c r="D92" s="321" t="s">
        <v>504</v>
      </c>
      <c r="E92" s="321"/>
      <c r="F92" s="322"/>
      <c r="G92" s="319"/>
      <c r="H92" s="322"/>
      <c r="I92" s="322"/>
      <c r="J92" s="328">
        <f t="shared" si="66"/>
        <v>37.602631578947374</v>
      </c>
      <c r="K92" s="328">
        <f>((70*4.33*15)*CMF)/SM134Units</f>
        <v>37.602631578947374</v>
      </c>
      <c r="L92" s="322">
        <f t="shared" si="67"/>
        <v>2.2956429535376906E-2</v>
      </c>
      <c r="M92" s="328">
        <f t="shared" si="68"/>
        <v>4001.6842105263163</v>
      </c>
      <c r="N92" s="328">
        <f>((70*8*12)*CMF)/SM134Units</f>
        <v>55.578947368421062</v>
      </c>
      <c r="O92" s="322">
        <f t="shared" si="69"/>
        <v>5.4703688354745136E-2</v>
      </c>
      <c r="P92" s="328">
        <f t="shared" si="70"/>
        <v>3390.3157894736846</v>
      </c>
      <c r="Q92" s="328">
        <f>((70*8*12)*CMF)/SM134Units</f>
        <v>55.578947368421062</v>
      </c>
      <c r="R92" s="322">
        <f t="shared" si="71"/>
        <v>4.5819412504881335E-2</v>
      </c>
      <c r="S92" s="329">
        <f t="shared" si="72"/>
        <v>7392.0000000000009</v>
      </c>
      <c r="T92" s="330">
        <f t="shared" si="73"/>
        <v>55.578947368421062</v>
      </c>
      <c r="U92" s="322">
        <f t="shared" si="65"/>
        <v>5.0236161609296962E-2</v>
      </c>
      <c r="V92" s="326">
        <f t="shared" si="74"/>
        <v>5.8099375931939417E-4</v>
      </c>
      <c r="W92" s="327">
        <f t="shared" si="43"/>
        <v>4.7690324057506815E-4</v>
      </c>
      <c r="X92" s="433"/>
      <c r="Y92" s="437"/>
      <c r="Z92" s="327"/>
      <c r="AA92" s="327"/>
      <c r="AB92" s="507"/>
      <c r="AC92" s="263"/>
      <c r="AD92" s="327"/>
      <c r="AE92" s="264"/>
      <c r="AF92" s="450" t="s">
        <v>59</v>
      </c>
      <c r="AG92" s="319">
        <f>$S92/12</f>
        <v>616.00000000000011</v>
      </c>
      <c r="AH92" s="319"/>
      <c r="AI92" s="319"/>
      <c r="AJ92" s="319"/>
      <c r="AK92" s="319">
        <f t="shared" si="52"/>
        <v>616.00000000000011</v>
      </c>
      <c r="AL92" s="319">
        <f>$S92/12</f>
        <v>616.00000000000011</v>
      </c>
      <c r="AM92" s="319"/>
      <c r="AN92" s="319"/>
      <c r="AO92" s="319"/>
      <c r="AP92" s="319">
        <f t="shared" si="53"/>
        <v>616.00000000000011</v>
      </c>
      <c r="AQ92" s="319">
        <f>$S92/12</f>
        <v>616.00000000000011</v>
      </c>
      <c r="AR92" s="319"/>
      <c r="AS92" s="451"/>
      <c r="AT92" s="451"/>
      <c r="AU92" s="319">
        <f t="shared" si="54"/>
        <v>616.00000000000011</v>
      </c>
      <c r="AV92" s="319">
        <f>$S92/12</f>
        <v>616.00000000000011</v>
      </c>
      <c r="AW92" s="319"/>
      <c r="AX92" s="319"/>
      <c r="AY92" s="319"/>
      <c r="AZ92" s="319">
        <f t="shared" si="55"/>
        <v>616.00000000000011</v>
      </c>
      <c r="BA92" s="319">
        <f>$S92/12</f>
        <v>616.00000000000011</v>
      </c>
      <c r="BB92" s="451"/>
      <c r="BC92" s="451"/>
      <c r="BD92" s="451"/>
      <c r="BE92" s="319">
        <f t="shared" si="56"/>
        <v>616.00000000000011</v>
      </c>
      <c r="BF92" s="319">
        <f>$S92/12</f>
        <v>616.00000000000011</v>
      </c>
      <c r="BG92" s="319"/>
      <c r="BH92" s="319"/>
      <c r="BI92" s="319"/>
      <c r="BJ92" s="319">
        <f t="shared" si="57"/>
        <v>616.00000000000011</v>
      </c>
      <c r="BK92" s="319">
        <f>$S92/12</f>
        <v>616.00000000000011</v>
      </c>
      <c r="BL92" s="319"/>
      <c r="BM92" s="451"/>
      <c r="BN92" s="451"/>
      <c r="BO92" s="319">
        <f t="shared" si="58"/>
        <v>616.00000000000011</v>
      </c>
      <c r="BP92" s="319">
        <f>$S92/12</f>
        <v>616.00000000000011</v>
      </c>
      <c r="BQ92" s="319"/>
      <c r="BR92" s="319"/>
      <c r="BS92" s="319"/>
      <c r="BT92" s="319">
        <f t="shared" si="59"/>
        <v>616.00000000000011</v>
      </c>
      <c r="BU92" s="319">
        <f>$S92/12</f>
        <v>616.00000000000011</v>
      </c>
      <c r="BV92" s="451"/>
      <c r="BW92" s="451"/>
      <c r="BX92" s="451"/>
      <c r="BY92" s="319">
        <f t="shared" si="60"/>
        <v>616.00000000000011</v>
      </c>
      <c r="BZ92" s="319">
        <f>$S92/12</f>
        <v>616.00000000000011</v>
      </c>
      <c r="CA92" s="451"/>
      <c r="CB92" s="451"/>
      <c r="CC92" s="451"/>
      <c r="CD92" s="319">
        <f t="shared" si="61"/>
        <v>616.00000000000011</v>
      </c>
      <c r="CE92" s="319">
        <f>$S92/12</f>
        <v>616.00000000000011</v>
      </c>
      <c r="CF92" s="451"/>
      <c r="CG92" s="451"/>
      <c r="CH92" s="451"/>
      <c r="CI92" s="319">
        <f t="shared" si="62"/>
        <v>616.00000000000011</v>
      </c>
      <c r="CJ92" s="319">
        <f>$S92/12</f>
        <v>616.00000000000011</v>
      </c>
      <c r="CK92" s="451"/>
      <c r="CL92" s="451"/>
      <c r="CM92" s="451"/>
      <c r="CN92" s="319">
        <f t="shared" si="63"/>
        <v>616.00000000000011</v>
      </c>
      <c r="CO92" s="451">
        <f t="shared" si="64"/>
        <v>7392.0000000000009</v>
      </c>
      <c r="CP92" s="451">
        <f t="shared" si="50"/>
        <v>7392.0000000000009</v>
      </c>
      <c r="CQ92" s="452">
        <f t="shared" si="51"/>
        <v>1</v>
      </c>
    </row>
    <row r="93" spans="1:95" ht="12.75">
      <c r="A93" s="318" t="s">
        <v>151</v>
      </c>
      <c r="B93" s="342" t="s">
        <v>60</v>
      </c>
      <c r="C93" s="320">
        <v>1000</v>
      </c>
      <c r="D93" s="321" t="s">
        <v>73</v>
      </c>
      <c r="E93" s="321"/>
      <c r="F93" s="322"/>
      <c r="G93" s="319"/>
      <c r="H93" s="322"/>
      <c r="I93" s="322"/>
      <c r="J93" s="328">
        <f t="shared" si="66"/>
        <v>1100</v>
      </c>
      <c r="K93" s="328">
        <f>1000*CMF</f>
        <v>1100</v>
      </c>
      <c r="L93" s="322">
        <f t="shared" si="67"/>
        <v>0.6715506715506715</v>
      </c>
      <c r="M93" s="328">
        <f t="shared" si="68"/>
        <v>79200</v>
      </c>
      <c r="N93" s="328">
        <f>1000*CMF</f>
        <v>1100</v>
      </c>
      <c r="O93" s="322">
        <f t="shared" si="69"/>
        <v>1.0826771653543308</v>
      </c>
      <c r="P93" s="328">
        <f t="shared" si="70"/>
        <v>100650.00000000001</v>
      </c>
      <c r="Q93" s="328">
        <f>1500*CMF</f>
        <v>1650.0000000000002</v>
      </c>
      <c r="R93" s="322">
        <f t="shared" si="71"/>
        <v>1.3602638087386647</v>
      </c>
      <c r="S93" s="329">
        <f t="shared" si="72"/>
        <v>179850</v>
      </c>
      <c r="T93" s="330">
        <f t="shared" si="73"/>
        <v>1352.2556390977443</v>
      </c>
      <c r="U93" s="322">
        <f t="shared" si="65"/>
        <v>1.2222637534404839</v>
      </c>
      <c r="V93" s="326">
        <f t="shared" si="74"/>
        <v>1.4135785662012044E-2</v>
      </c>
      <c r="W93" s="327">
        <f t="shared" si="43"/>
        <v>1.1603226165777327E-2</v>
      </c>
      <c r="X93" s="433"/>
      <c r="Y93" s="437"/>
      <c r="Z93" s="327"/>
      <c r="AA93" s="327"/>
      <c r="AB93" s="507"/>
      <c r="AC93" s="263"/>
      <c r="AD93" s="327"/>
      <c r="AE93" s="264"/>
      <c r="AF93" s="456" t="s">
        <v>60</v>
      </c>
      <c r="AG93" s="319">
        <f>$S93/12</f>
        <v>14987.5</v>
      </c>
      <c r="AH93" s="319"/>
      <c r="AI93" s="319"/>
      <c r="AJ93" s="319"/>
      <c r="AK93" s="319">
        <f t="shared" si="52"/>
        <v>14987.5</v>
      </c>
      <c r="AL93" s="319">
        <f>$S93/12</f>
        <v>14987.5</v>
      </c>
      <c r="AM93" s="319"/>
      <c r="AN93" s="319"/>
      <c r="AO93" s="319"/>
      <c r="AP93" s="319">
        <f t="shared" si="53"/>
        <v>14987.5</v>
      </c>
      <c r="AQ93" s="319">
        <f>$S93/12</f>
        <v>14987.5</v>
      </c>
      <c r="AR93" s="319"/>
      <c r="AS93" s="451"/>
      <c r="AT93" s="451"/>
      <c r="AU93" s="319">
        <f t="shared" si="54"/>
        <v>14987.5</v>
      </c>
      <c r="AV93" s="319">
        <f>$S93/12</f>
        <v>14987.5</v>
      </c>
      <c r="AW93" s="319"/>
      <c r="AX93" s="319"/>
      <c r="AY93" s="319"/>
      <c r="AZ93" s="319">
        <f t="shared" si="55"/>
        <v>14987.5</v>
      </c>
      <c r="BA93" s="319">
        <f>$S93/12</f>
        <v>14987.5</v>
      </c>
      <c r="BB93" s="451"/>
      <c r="BC93" s="451"/>
      <c r="BD93" s="451"/>
      <c r="BE93" s="319">
        <f t="shared" si="56"/>
        <v>14987.5</v>
      </c>
      <c r="BF93" s="319">
        <f>$S93/12</f>
        <v>14987.5</v>
      </c>
      <c r="BG93" s="319"/>
      <c r="BH93" s="319"/>
      <c r="BI93" s="319"/>
      <c r="BJ93" s="319">
        <f t="shared" si="57"/>
        <v>14987.5</v>
      </c>
      <c r="BK93" s="319">
        <f>$S93/12</f>
        <v>14987.5</v>
      </c>
      <c r="BL93" s="319"/>
      <c r="BM93" s="451"/>
      <c r="BN93" s="451"/>
      <c r="BO93" s="319">
        <f t="shared" si="58"/>
        <v>14987.5</v>
      </c>
      <c r="BP93" s="319">
        <f>$S93/12</f>
        <v>14987.5</v>
      </c>
      <c r="BQ93" s="319"/>
      <c r="BR93" s="319"/>
      <c r="BS93" s="319"/>
      <c r="BT93" s="319">
        <f t="shared" si="59"/>
        <v>14987.5</v>
      </c>
      <c r="BU93" s="319">
        <f>$S93/12</f>
        <v>14987.5</v>
      </c>
      <c r="BV93" s="451"/>
      <c r="BW93" s="451"/>
      <c r="BX93" s="451"/>
      <c r="BY93" s="319">
        <f t="shared" si="60"/>
        <v>14987.5</v>
      </c>
      <c r="BZ93" s="319">
        <f>$S93/12</f>
        <v>14987.5</v>
      </c>
      <c r="CA93" s="451"/>
      <c r="CB93" s="451"/>
      <c r="CC93" s="451"/>
      <c r="CD93" s="319">
        <f t="shared" si="61"/>
        <v>14987.5</v>
      </c>
      <c r="CE93" s="319">
        <f>$S93/12</f>
        <v>14987.5</v>
      </c>
      <c r="CF93" s="451"/>
      <c r="CG93" s="451"/>
      <c r="CH93" s="451"/>
      <c r="CI93" s="319">
        <f t="shared" si="62"/>
        <v>14987.5</v>
      </c>
      <c r="CJ93" s="319">
        <f>$S93/12</f>
        <v>14987.5</v>
      </c>
      <c r="CK93" s="451"/>
      <c r="CL93" s="451"/>
      <c r="CM93" s="451"/>
      <c r="CN93" s="319">
        <f t="shared" si="63"/>
        <v>14987.5</v>
      </c>
      <c r="CO93" s="451">
        <f t="shared" si="64"/>
        <v>179850</v>
      </c>
      <c r="CP93" s="451">
        <f t="shared" si="50"/>
        <v>179850</v>
      </c>
      <c r="CQ93" s="452">
        <f t="shared" si="51"/>
        <v>1</v>
      </c>
    </row>
    <row r="94" spans="1:95" ht="12.75">
      <c r="A94" s="318" t="s">
        <v>213</v>
      </c>
      <c r="B94" s="342" t="s">
        <v>61</v>
      </c>
      <c r="C94" s="328">
        <f>(1000+500+500+500)*4.33</f>
        <v>10825</v>
      </c>
      <c r="D94" s="321" t="s">
        <v>504</v>
      </c>
      <c r="E94" s="319"/>
      <c r="F94" s="319"/>
      <c r="G94" s="319"/>
      <c r="H94" s="319"/>
      <c r="I94" s="322"/>
      <c r="J94" s="328">
        <f t="shared" si="66"/>
        <v>1342.9511278195489</v>
      </c>
      <c r="K94" s="328">
        <f>(((1000+500+500+500)*4.33*15)*CMF)/SM134Units</f>
        <v>1342.9511278195489</v>
      </c>
      <c r="L94" s="322">
        <f t="shared" si="67"/>
        <v>0.81987248340631802</v>
      </c>
      <c r="M94" s="328">
        <f t="shared" si="68"/>
        <v>96692.481203007526</v>
      </c>
      <c r="N94" s="328">
        <f>(((1000+500+500+500)*4.33*15)*CMF)/SM134Units</f>
        <v>1342.9511278195489</v>
      </c>
      <c r="O94" s="322">
        <f t="shared" si="69"/>
        <v>1.3218022911609733</v>
      </c>
      <c r="P94" s="328">
        <f t="shared" si="70"/>
        <v>81920.018796992488</v>
      </c>
      <c r="Q94" s="328">
        <f>(((1000+500+500+500)*4.33*15)*CMF)/SM134Units</f>
        <v>1342.9511278195489</v>
      </c>
      <c r="R94" s="322">
        <f t="shared" si="71"/>
        <v>1.1071320097440633</v>
      </c>
      <c r="S94" s="347">
        <f t="shared" si="72"/>
        <v>178612.5</v>
      </c>
      <c r="T94" s="330">
        <f t="shared" si="73"/>
        <v>1342.9511278195489</v>
      </c>
      <c r="U94" s="322">
        <f t="shared" si="65"/>
        <v>1.213853681742499</v>
      </c>
      <c r="V94" s="348">
        <f t="shared" si="74"/>
        <v>1.4038521081768842E-2</v>
      </c>
      <c r="W94" s="348">
        <f t="shared" si="43"/>
        <v>1.1523387453627482E-2</v>
      </c>
      <c r="X94" s="433"/>
      <c r="Y94" s="436"/>
      <c r="Z94" s="326"/>
      <c r="AA94" s="326"/>
      <c r="AB94" s="508"/>
      <c r="AC94" s="509"/>
      <c r="AD94" s="327"/>
      <c r="AE94" s="312"/>
      <c r="AF94" s="456" t="s">
        <v>61</v>
      </c>
      <c r="AG94" s="319">
        <f>$S94/12</f>
        <v>14884.375</v>
      </c>
      <c r="AH94" s="319"/>
      <c r="AI94" s="319"/>
      <c r="AJ94" s="319"/>
      <c r="AK94" s="319">
        <f t="shared" si="52"/>
        <v>14884.375</v>
      </c>
      <c r="AL94" s="319">
        <f>$S94/12</f>
        <v>14884.375</v>
      </c>
      <c r="AM94" s="319"/>
      <c r="AN94" s="319"/>
      <c r="AO94" s="319"/>
      <c r="AP94" s="319">
        <f t="shared" si="53"/>
        <v>14884.375</v>
      </c>
      <c r="AQ94" s="319">
        <f>$S94/12</f>
        <v>14884.375</v>
      </c>
      <c r="AR94" s="319"/>
      <c r="AS94" s="451"/>
      <c r="AT94" s="451"/>
      <c r="AU94" s="319">
        <f t="shared" si="54"/>
        <v>14884.375</v>
      </c>
      <c r="AV94" s="319">
        <f>$S94/12</f>
        <v>14884.375</v>
      </c>
      <c r="AW94" s="319"/>
      <c r="AX94" s="319"/>
      <c r="AY94" s="319"/>
      <c r="AZ94" s="319">
        <f t="shared" si="55"/>
        <v>14884.375</v>
      </c>
      <c r="BA94" s="319">
        <f>$S94/12</f>
        <v>14884.375</v>
      </c>
      <c r="BB94" s="451"/>
      <c r="BC94" s="451"/>
      <c r="BD94" s="451"/>
      <c r="BE94" s="319">
        <f t="shared" si="56"/>
        <v>14884.375</v>
      </c>
      <c r="BF94" s="319">
        <f>$S94/12</f>
        <v>14884.375</v>
      </c>
      <c r="BG94" s="319"/>
      <c r="BH94" s="319"/>
      <c r="BI94" s="319"/>
      <c r="BJ94" s="319">
        <f t="shared" si="57"/>
        <v>14884.375</v>
      </c>
      <c r="BK94" s="319">
        <f>$S94/12</f>
        <v>14884.375</v>
      </c>
      <c r="BL94" s="319"/>
      <c r="BM94" s="451"/>
      <c r="BN94" s="451"/>
      <c r="BO94" s="319">
        <f t="shared" si="58"/>
        <v>14884.375</v>
      </c>
      <c r="BP94" s="319">
        <f>$S94/12</f>
        <v>14884.375</v>
      </c>
      <c r="BQ94" s="319"/>
      <c r="BR94" s="319"/>
      <c r="BS94" s="319"/>
      <c r="BT94" s="319">
        <f t="shared" si="59"/>
        <v>14884.375</v>
      </c>
      <c r="BU94" s="319">
        <f>$S94/12</f>
        <v>14884.375</v>
      </c>
      <c r="BV94" s="451"/>
      <c r="BW94" s="451"/>
      <c r="BX94" s="451"/>
      <c r="BY94" s="319">
        <f t="shared" si="60"/>
        <v>14884.375</v>
      </c>
      <c r="BZ94" s="319">
        <f>$S94/12</f>
        <v>14884.375</v>
      </c>
      <c r="CA94" s="451"/>
      <c r="CB94" s="451"/>
      <c r="CC94" s="451"/>
      <c r="CD94" s="319">
        <f t="shared" si="61"/>
        <v>14884.375</v>
      </c>
      <c r="CE94" s="319">
        <f>$S94/12</f>
        <v>14884.375</v>
      </c>
      <c r="CF94" s="451"/>
      <c r="CG94" s="451"/>
      <c r="CH94" s="451"/>
      <c r="CI94" s="319">
        <f t="shared" si="62"/>
        <v>14884.375</v>
      </c>
      <c r="CJ94" s="319">
        <f>$S94/12</f>
        <v>14884.375</v>
      </c>
      <c r="CK94" s="451"/>
      <c r="CL94" s="451"/>
      <c r="CM94" s="451"/>
      <c r="CN94" s="319">
        <f t="shared" si="63"/>
        <v>14884.375</v>
      </c>
      <c r="CO94" s="451">
        <f t="shared" si="64"/>
        <v>178612.5</v>
      </c>
      <c r="CP94" s="451">
        <f t="shared" si="50"/>
        <v>178612.5</v>
      </c>
      <c r="CQ94" s="459">
        <f t="shared" si="51"/>
        <v>1</v>
      </c>
    </row>
    <row r="95" spans="1:95" ht="13.5" thickBot="1">
      <c r="A95" s="349"/>
      <c r="B95" s="350" t="s">
        <v>352</v>
      </c>
      <c r="C95" s="319"/>
      <c r="D95" s="319"/>
      <c r="E95" s="319"/>
      <c r="F95" s="319"/>
      <c r="G95" s="319"/>
      <c r="H95" s="319"/>
      <c r="I95" s="351"/>
      <c r="J95" s="352">
        <f t="shared" si="66"/>
        <v>83060.913353337775</v>
      </c>
      <c r="K95" s="352">
        <f>+SUM(K14:K94)</f>
        <v>83060.913353337775</v>
      </c>
      <c r="L95" s="353">
        <f t="shared" si="67"/>
        <v>50.70873831095102</v>
      </c>
      <c r="M95" s="352">
        <f t="shared" si="68"/>
        <v>3922192.8332571606</v>
      </c>
      <c r="N95" s="352">
        <f>+SUM(N14:N94)</f>
        <v>54474.90046190501</v>
      </c>
      <c r="O95" s="354">
        <f t="shared" si="69"/>
        <v>53.617028013686031</v>
      </c>
      <c r="P95" s="352">
        <f t="shared" si="70"/>
        <v>4007631.359374817</v>
      </c>
      <c r="Q95" s="352">
        <f>+SUM(Q14:Q94)</f>
        <v>65698.874743849461</v>
      </c>
      <c r="R95" s="354">
        <f t="shared" si="71"/>
        <v>54.162303993280673</v>
      </c>
      <c r="S95" s="329">
        <f>SUM(S14:S94)</f>
        <v>7929824.1926319767</v>
      </c>
      <c r="T95" s="352">
        <f t="shared" si="73"/>
        <v>59622.73829046599</v>
      </c>
      <c r="U95" s="354">
        <f>+S95/U$8</f>
        <v>53.891224252485486</v>
      </c>
      <c r="V95" s="355">
        <f t="shared" si="74"/>
        <v>0.6232654719181725</v>
      </c>
      <c r="W95" s="356">
        <f t="shared" si="43"/>
        <v>0.5116015766581119</v>
      </c>
      <c r="X95" s="434"/>
      <c r="Y95" s="434"/>
      <c r="Z95" s="356"/>
      <c r="AA95" s="356"/>
      <c r="AB95" s="507"/>
      <c r="AC95" s="263"/>
      <c r="AD95" s="356"/>
      <c r="AE95" s="313"/>
      <c r="AF95" s="460" t="s">
        <v>352</v>
      </c>
      <c r="AG95" s="461">
        <f>+SUM(AG14:AG92)</f>
        <v>260679.94410447759</v>
      </c>
      <c r="AH95" s="461">
        <f t="shared" ref="AH95:AZ95" si="75">+SUM(AH14:AH94)</f>
        <v>0</v>
      </c>
      <c r="AI95" s="461">
        <f t="shared" si="75"/>
        <v>0</v>
      </c>
      <c r="AJ95" s="461">
        <f t="shared" si="75"/>
        <v>0</v>
      </c>
      <c r="AK95" s="461">
        <f t="shared" si="75"/>
        <v>290551.81910447759</v>
      </c>
      <c r="AL95" s="461">
        <f t="shared" si="75"/>
        <v>34298.275000000001</v>
      </c>
      <c r="AM95" s="461">
        <f t="shared" si="75"/>
        <v>11000</v>
      </c>
      <c r="AN95" s="461">
        <f t="shared" si="75"/>
        <v>23810.325000000001</v>
      </c>
      <c r="AO95" s="461">
        <f t="shared" si="75"/>
        <v>41136.476562500007</v>
      </c>
      <c r="AP95" s="461">
        <f t="shared" si="75"/>
        <v>110245.07656250001</v>
      </c>
      <c r="AQ95" s="461">
        <f t="shared" si="75"/>
        <v>34298.275000000001</v>
      </c>
      <c r="AR95" s="461">
        <f t="shared" si="75"/>
        <v>97036.689062500009</v>
      </c>
      <c r="AS95" s="461">
        <f t="shared" si="75"/>
        <v>98985.901437500012</v>
      </c>
      <c r="AT95" s="461">
        <f t="shared" si="75"/>
        <v>133500.40550000002</v>
      </c>
      <c r="AU95" s="461">
        <f t="shared" si="75"/>
        <v>363821.27100000012</v>
      </c>
      <c r="AV95" s="461">
        <f t="shared" si="75"/>
        <v>219718.75310343754</v>
      </c>
      <c r="AW95" s="461">
        <f t="shared" si="75"/>
        <v>113961.28493750002</v>
      </c>
      <c r="AX95" s="461">
        <f>+SUM(AX14:AX94)</f>
        <v>171584.82715</v>
      </c>
      <c r="AY95" s="461">
        <f>+SUM(AY14:AY94)</f>
        <v>287661.40810343757</v>
      </c>
      <c r="AZ95" s="461">
        <f t="shared" si="75"/>
        <v>792926.27329437516</v>
      </c>
      <c r="BA95" s="461">
        <f t="shared" ref="BA95:CP95" si="76">+SUM(BA14:BA94)</f>
        <v>165457.13181250001</v>
      </c>
      <c r="BB95" s="461">
        <f t="shared" si="76"/>
        <v>212252.02652499999</v>
      </c>
      <c r="BC95" s="461">
        <f t="shared" si="76"/>
        <v>370644.91435343755</v>
      </c>
      <c r="BD95" s="461">
        <f t="shared" si="76"/>
        <v>169317.32331250003</v>
      </c>
      <c r="BE95" s="461">
        <f t="shared" si="76"/>
        <v>917671.39600343769</v>
      </c>
      <c r="BF95" s="461">
        <f t="shared" si="76"/>
        <v>350601.39152500004</v>
      </c>
      <c r="BG95" s="461">
        <f t="shared" si="76"/>
        <v>343331.12372843758</v>
      </c>
      <c r="BH95" s="461">
        <f t="shared" si="76"/>
        <v>216431.92518750005</v>
      </c>
      <c r="BI95" s="461">
        <f t="shared" si="76"/>
        <v>338271.76965000003</v>
      </c>
      <c r="BJ95" s="461">
        <f t="shared" si="76"/>
        <v>1248636.2100909373</v>
      </c>
      <c r="BK95" s="461">
        <f t="shared" si="76"/>
        <v>384030.02372843761</v>
      </c>
      <c r="BL95" s="461">
        <f t="shared" si="76"/>
        <v>216431.92518750005</v>
      </c>
      <c r="BM95" s="461">
        <f t="shared" si="76"/>
        <v>330517.86965000001</v>
      </c>
      <c r="BN95" s="461">
        <f t="shared" si="76"/>
        <v>357485.64872843761</v>
      </c>
      <c r="BO95" s="461">
        <f t="shared" si="76"/>
        <v>1288465.4672943749</v>
      </c>
      <c r="BP95" s="461">
        <f t="shared" si="76"/>
        <v>250730.20018750004</v>
      </c>
      <c r="BQ95" s="461">
        <f t="shared" si="76"/>
        <v>330517.86965000001</v>
      </c>
      <c r="BR95" s="461">
        <f t="shared" si="76"/>
        <v>325921.42372843763</v>
      </c>
      <c r="BS95" s="461">
        <f t="shared" si="76"/>
        <v>190803.24862500004</v>
      </c>
      <c r="BT95" s="461">
        <f t="shared" si="76"/>
        <v>1097972.7421909377</v>
      </c>
      <c r="BU95" s="461">
        <f t="shared" si="76"/>
        <v>364816.14465000003</v>
      </c>
      <c r="BV95" s="461">
        <f t="shared" si="76"/>
        <v>252695.05966593753</v>
      </c>
      <c r="BW95" s="461">
        <f t="shared" si="76"/>
        <v>117446.02375000001</v>
      </c>
      <c r="BX95" s="461">
        <f t="shared" si="76"/>
        <v>212525.26414999997</v>
      </c>
      <c r="BY95" s="461">
        <f t="shared" si="76"/>
        <v>947482.49221593759</v>
      </c>
      <c r="BZ95" s="461">
        <f t="shared" si="76"/>
        <v>198609.545625</v>
      </c>
      <c r="CA95" s="461">
        <f t="shared" si="76"/>
        <v>102470.64025</v>
      </c>
      <c r="CB95" s="461">
        <f t="shared" si="76"/>
        <v>158933.04250000001</v>
      </c>
      <c r="CC95" s="461">
        <f t="shared" si="76"/>
        <v>104891.93125000001</v>
      </c>
      <c r="CD95" s="461">
        <f t="shared" si="76"/>
        <v>564905.15962499997</v>
      </c>
      <c r="CE95" s="461">
        <f t="shared" si="76"/>
        <v>92257.552750000003</v>
      </c>
      <c r="CF95" s="461">
        <f t="shared" si="76"/>
        <v>118265.84312500001</v>
      </c>
      <c r="CG95" s="461">
        <f t="shared" si="76"/>
        <v>6400.6250000000009</v>
      </c>
      <c r="CH95" s="461">
        <f t="shared" si="76"/>
        <v>35308.611250000002</v>
      </c>
      <c r="CI95" s="461">
        <f t="shared" si="76"/>
        <v>252232.632125</v>
      </c>
      <c r="CJ95" s="461">
        <f t="shared" si="76"/>
        <v>48513.028124999997</v>
      </c>
      <c r="CK95" s="461">
        <f t="shared" si="76"/>
        <v>6400.6250000000009</v>
      </c>
      <c r="CL95" s="461">
        <f t="shared" si="76"/>
        <v>0</v>
      </c>
      <c r="CM95" s="461">
        <f t="shared" si="76"/>
        <v>0</v>
      </c>
      <c r="CN95" s="461">
        <f t="shared" si="76"/>
        <v>54913.653124999997</v>
      </c>
      <c r="CO95" s="461">
        <f t="shared" si="76"/>
        <v>7929824.1926319767</v>
      </c>
      <c r="CP95" s="461">
        <f t="shared" si="76"/>
        <v>7929824.1926319767</v>
      </c>
      <c r="CQ95" s="452">
        <f t="shared" si="51"/>
        <v>1</v>
      </c>
    </row>
    <row r="96" spans="1:95" ht="13.5" thickTop="1">
      <c r="A96" s="318"/>
      <c r="B96" s="319"/>
      <c r="C96" s="357" t="s">
        <v>335</v>
      </c>
      <c r="D96" s="357" t="s">
        <v>336</v>
      </c>
      <c r="E96" s="357" t="s">
        <v>337</v>
      </c>
      <c r="F96" s="357" t="s">
        <v>253</v>
      </c>
      <c r="G96" s="357" t="s">
        <v>252</v>
      </c>
      <c r="H96" s="319"/>
      <c r="I96" s="319"/>
      <c r="J96" s="319"/>
      <c r="K96" s="319"/>
      <c r="L96" s="319"/>
      <c r="M96" s="319"/>
      <c r="N96" s="319"/>
      <c r="O96" s="358"/>
      <c r="P96" s="319"/>
      <c r="Q96" s="319"/>
      <c r="R96" s="319"/>
      <c r="S96" s="333"/>
      <c r="U96" s="319"/>
      <c r="V96" s="327"/>
      <c r="W96" s="327"/>
      <c r="X96" s="327"/>
      <c r="Y96" s="327"/>
      <c r="Z96" s="327"/>
      <c r="AA96" s="327"/>
      <c r="AB96" s="327"/>
      <c r="AC96" s="263"/>
      <c r="AD96" s="327"/>
      <c r="AE96" s="264"/>
      <c r="AF96" s="450"/>
      <c r="AG96" s="450"/>
      <c r="AH96" s="450"/>
      <c r="AI96" s="450"/>
      <c r="AJ96" s="462"/>
      <c r="AK96" s="319"/>
      <c r="AL96" s="450"/>
      <c r="AM96" s="451"/>
      <c r="AN96" s="451"/>
      <c r="AO96" s="451"/>
      <c r="AP96" s="319"/>
      <c r="AQ96" s="451"/>
      <c r="AR96" s="451"/>
      <c r="AS96" s="451"/>
      <c r="AT96" s="451"/>
      <c r="AU96" s="319"/>
      <c r="AV96" s="451"/>
      <c r="AW96" s="451"/>
      <c r="AX96" s="451"/>
      <c r="AY96" s="451"/>
      <c r="AZ96" s="319"/>
      <c r="BA96" s="451"/>
      <c r="BB96" s="451"/>
      <c r="BC96" s="451"/>
      <c r="BD96" s="451"/>
      <c r="BE96" s="319"/>
      <c r="BF96" s="451"/>
      <c r="BG96" s="451"/>
      <c r="BH96" s="451"/>
      <c r="BI96" s="451"/>
      <c r="BJ96" s="319"/>
      <c r="BK96" s="451"/>
      <c r="BL96" s="451"/>
      <c r="BM96" s="451"/>
      <c r="BN96" s="451"/>
      <c r="BO96" s="319"/>
      <c r="BP96" s="451"/>
      <c r="BQ96" s="451"/>
      <c r="BR96" s="451"/>
      <c r="BS96" s="451"/>
      <c r="BT96" s="319"/>
      <c r="BU96" s="451"/>
      <c r="BV96" s="451"/>
      <c r="BW96" s="451"/>
      <c r="BX96" s="451"/>
      <c r="BY96" s="319"/>
      <c r="BZ96" s="451"/>
      <c r="CA96" s="451"/>
      <c r="CB96" s="451"/>
      <c r="CC96" s="451"/>
      <c r="CD96" s="319"/>
      <c r="CE96" s="451"/>
      <c r="CF96" s="451"/>
      <c r="CG96" s="451"/>
      <c r="CH96" s="451"/>
      <c r="CI96" s="319"/>
      <c r="CJ96" s="451"/>
      <c r="CK96" s="451"/>
      <c r="CL96" s="451"/>
      <c r="CM96" s="451"/>
      <c r="CN96" s="319"/>
      <c r="CO96" s="451"/>
      <c r="CP96" s="451"/>
      <c r="CQ96" s="452"/>
    </row>
    <row r="97" spans="1:95" ht="12.75">
      <c r="A97" s="318"/>
      <c r="B97" s="342" t="s">
        <v>238</v>
      </c>
      <c r="C97" s="319" t="s">
        <v>295</v>
      </c>
      <c r="D97" s="319"/>
      <c r="E97" s="319"/>
      <c r="F97" s="319">
        <f>10.3*43560*2.5</f>
        <v>1121670.0000000002</v>
      </c>
      <c r="G97" s="319">
        <f>F97/10.3</f>
        <v>108900.00000000001</v>
      </c>
      <c r="H97" s="319"/>
      <c r="I97" s="319"/>
      <c r="J97" s="346"/>
      <c r="K97" s="346"/>
      <c r="L97" s="324"/>
      <c r="M97" s="346">
        <f>N97*N$8</f>
        <v>607219.84962406033</v>
      </c>
      <c r="N97" s="346">
        <f>+$F97/SM134Units</f>
        <v>8433.609022556393</v>
      </c>
      <c r="O97" s="359">
        <f t="shared" ref="O97:O143" si="77">+N97/N$11</f>
        <v>8.3007962820436934</v>
      </c>
      <c r="P97" s="346">
        <f>Q97*Q$8</f>
        <v>514450.15037593996</v>
      </c>
      <c r="Q97" s="346">
        <f>+$F97/SM134Units</f>
        <v>8433.609022556393</v>
      </c>
      <c r="R97" s="324">
        <f>+Q97/Q$11</f>
        <v>6.9526867457183785</v>
      </c>
      <c r="S97" s="360">
        <f>+P97+M97</f>
        <v>1121670.0000000002</v>
      </c>
      <c r="T97" s="346">
        <f>+S97/S$8</f>
        <v>8433.609022556393</v>
      </c>
      <c r="U97" s="324">
        <f>+S97/U$8</f>
        <v>7.6228889870535879</v>
      </c>
      <c r="V97" s="326">
        <f t="shared" ref="V97:V112" si="78">+S97/TotalCost</f>
        <v>8.8160615532438424E-2</v>
      </c>
      <c r="W97" s="327">
        <f t="shared" si="43"/>
        <v>7.2365808692618605E-2</v>
      </c>
      <c r="X97" s="433"/>
      <c r="Y97" s="437"/>
      <c r="Z97" s="327"/>
      <c r="AA97" s="327"/>
      <c r="AB97" s="507"/>
      <c r="AC97" s="263"/>
      <c r="AD97" s="327"/>
      <c r="AE97" s="264"/>
      <c r="AF97" s="456" t="s">
        <v>238</v>
      </c>
      <c r="AG97" s="450">
        <v>0</v>
      </c>
      <c r="AH97" s="450"/>
      <c r="AI97" s="450"/>
      <c r="AJ97" s="462"/>
      <c r="AK97" s="319">
        <f t="shared" si="52"/>
        <v>0</v>
      </c>
      <c r="AL97" s="450"/>
      <c r="AM97" s="451"/>
      <c r="AN97" s="451"/>
      <c r="AO97" s="451"/>
      <c r="AP97" s="319">
        <f t="shared" si="53"/>
        <v>0</v>
      </c>
      <c r="AQ97" s="451"/>
      <c r="AR97" s="451"/>
      <c r="AS97" s="451"/>
      <c r="AT97" s="451"/>
      <c r="AU97" s="319">
        <f t="shared" si="54"/>
        <v>0</v>
      </c>
      <c r="AV97" s="451"/>
      <c r="AW97" s="451"/>
      <c r="AX97" s="451"/>
      <c r="AY97" s="451"/>
      <c r="AZ97" s="319">
        <f t="shared" si="55"/>
        <v>0</v>
      </c>
      <c r="BA97" s="451"/>
      <c r="BB97" s="451"/>
      <c r="BC97" s="451"/>
      <c r="BD97" s="451"/>
      <c r="BE97" s="319">
        <f t="shared" si="56"/>
        <v>0</v>
      </c>
      <c r="BF97" s="451"/>
      <c r="BG97" s="451"/>
      <c r="BH97" s="451"/>
      <c r="BI97" s="451"/>
      <c r="BJ97" s="319">
        <f t="shared" si="57"/>
        <v>0</v>
      </c>
      <c r="BK97" s="451"/>
      <c r="BL97" s="451"/>
      <c r="BM97" s="451"/>
      <c r="BN97" s="451"/>
      <c r="BO97" s="319">
        <f t="shared" si="58"/>
        <v>0</v>
      </c>
      <c r="BP97" s="451"/>
      <c r="BQ97" s="451"/>
      <c r="BR97" s="451"/>
      <c r="BS97" s="451"/>
      <c r="BT97" s="319">
        <f t="shared" si="59"/>
        <v>0</v>
      </c>
      <c r="BU97" s="451"/>
      <c r="BV97" s="451"/>
      <c r="BW97" s="451"/>
      <c r="BX97" s="451"/>
      <c r="BY97" s="319">
        <f t="shared" si="60"/>
        <v>0</v>
      </c>
      <c r="BZ97" s="451"/>
      <c r="CA97" s="451"/>
      <c r="CB97" s="451"/>
      <c r="CC97" s="451"/>
      <c r="CD97" s="319">
        <f t="shared" si="61"/>
        <v>0</v>
      </c>
      <c r="CE97" s="451"/>
      <c r="CF97" s="451"/>
      <c r="CG97" s="451"/>
      <c r="CH97" s="451"/>
      <c r="CI97" s="319">
        <f t="shared" si="62"/>
        <v>0</v>
      </c>
      <c r="CJ97" s="451"/>
      <c r="CK97" s="451"/>
      <c r="CL97" s="451"/>
      <c r="CM97" s="451"/>
      <c r="CN97" s="319">
        <f t="shared" si="63"/>
        <v>0</v>
      </c>
      <c r="CO97" s="451">
        <f t="shared" ref="CO97:CO114" si="79">+CN97+CI97+CD97+BY97+BT97+BO97+BJ97+BE97+AZ97+AU97+AP97+AK97</f>
        <v>0</v>
      </c>
      <c r="CP97" s="451">
        <f t="shared" ref="CP97:CP114" si="80">S97</f>
        <v>1121670.0000000002</v>
      </c>
      <c r="CQ97" s="452">
        <f t="shared" si="51"/>
        <v>0</v>
      </c>
    </row>
    <row r="98" spans="1:95" ht="12.75">
      <c r="A98" s="318"/>
      <c r="B98" s="361" t="s">
        <v>239</v>
      </c>
      <c r="C98" s="319"/>
      <c r="D98" s="319"/>
      <c r="E98" s="319"/>
      <c r="F98" s="319"/>
      <c r="G98" s="319"/>
      <c r="H98" s="319"/>
      <c r="I98" s="319"/>
      <c r="J98" s="328"/>
      <c r="K98" s="319"/>
      <c r="L98" s="322"/>
      <c r="M98" s="328"/>
      <c r="N98" s="319"/>
      <c r="O98" s="358"/>
      <c r="P98" s="328"/>
      <c r="Q98" s="319"/>
      <c r="R98" s="322"/>
      <c r="S98" s="333"/>
      <c r="T98" s="319"/>
      <c r="U98" s="319"/>
      <c r="V98" s="327"/>
      <c r="W98" s="327"/>
      <c r="X98" s="327"/>
      <c r="Y98" s="327"/>
      <c r="Z98" s="327"/>
      <c r="AA98" s="327"/>
      <c r="AB98" s="327"/>
      <c r="AC98" s="263"/>
      <c r="AD98" s="327"/>
      <c r="AE98" s="264"/>
      <c r="AF98" s="463" t="s">
        <v>239</v>
      </c>
      <c r="AG98" s="450"/>
      <c r="AH98" s="450"/>
      <c r="AI98" s="450"/>
      <c r="AJ98" s="462"/>
      <c r="AK98" s="319"/>
      <c r="AL98" s="450"/>
      <c r="AM98" s="451"/>
      <c r="AN98" s="451"/>
      <c r="AO98" s="451"/>
      <c r="AP98" s="319"/>
      <c r="AQ98" s="451"/>
      <c r="AR98" s="451"/>
      <c r="AS98" s="451"/>
      <c r="AT98" s="451"/>
      <c r="AU98" s="319"/>
      <c r="AV98" s="451"/>
      <c r="AW98" s="451"/>
      <c r="AX98" s="451"/>
      <c r="AY98" s="451"/>
      <c r="AZ98" s="319"/>
      <c r="BA98" s="451"/>
      <c r="BB98" s="451"/>
      <c r="BC98" s="451"/>
      <c r="BD98" s="451"/>
      <c r="BE98" s="319"/>
      <c r="BF98" s="451"/>
      <c r="BG98" s="451"/>
      <c r="BH98" s="451"/>
      <c r="BI98" s="451"/>
      <c r="BJ98" s="319"/>
      <c r="BK98" s="451"/>
      <c r="BL98" s="451"/>
      <c r="BM98" s="451"/>
      <c r="BN98" s="451"/>
      <c r="BO98" s="319"/>
      <c r="BP98" s="451"/>
      <c r="BQ98" s="451"/>
      <c r="BR98" s="451"/>
      <c r="BS98" s="451"/>
      <c r="BT98" s="319"/>
      <c r="BU98" s="451"/>
      <c r="BV98" s="451"/>
      <c r="BW98" s="451"/>
      <c r="BX98" s="451"/>
      <c r="BY98" s="319"/>
      <c r="BZ98" s="451"/>
      <c r="CA98" s="451"/>
      <c r="CB98" s="451"/>
      <c r="CC98" s="451"/>
      <c r="CD98" s="319"/>
      <c r="CE98" s="451"/>
      <c r="CF98" s="451"/>
      <c r="CG98" s="451"/>
      <c r="CH98" s="451"/>
      <c r="CI98" s="319"/>
      <c r="CJ98" s="451"/>
      <c r="CK98" s="451"/>
      <c r="CL98" s="451"/>
      <c r="CM98" s="451"/>
      <c r="CN98" s="319"/>
      <c r="CO98" s="451"/>
      <c r="CP98" s="451"/>
      <c r="CQ98" s="452"/>
    </row>
    <row r="99" spans="1:95" ht="12.75">
      <c r="A99" s="318"/>
      <c r="B99" s="319" t="s">
        <v>297</v>
      </c>
      <c r="C99" s="319" t="s">
        <v>326</v>
      </c>
      <c r="D99" s="319">
        <v>1</v>
      </c>
      <c r="E99" s="319">
        <v>37800</v>
      </c>
      <c r="F99" s="319">
        <f>+E99*D99</f>
        <v>37800</v>
      </c>
      <c r="G99" s="319">
        <f t="shared" ref="G99:G111" si="81">F99/10.3</f>
        <v>3669.9029126213591</v>
      </c>
      <c r="H99" s="319"/>
      <c r="I99" s="319"/>
      <c r="J99" s="328"/>
      <c r="K99" s="322"/>
      <c r="L99" s="322"/>
      <c r="M99" s="346">
        <f t="shared" ref="M99:M114" si="82">N99*N$8</f>
        <v>20310.447761194031</v>
      </c>
      <c r="N99" s="346">
        <f>(37800)/134</f>
        <v>282.08955223880599</v>
      </c>
      <c r="O99" s="362">
        <f t="shared" si="77"/>
        <v>0.27764719708543895</v>
      </c>
      <c r="P99" s="346">
        <f t="shared" ref="P99:P114" si="83">Q99*Q$8</f>
        <v>17207.462686567167</v>
      </c>
      <c r="Q99" s="346">
        <f>(37800)/134</f>
        <v>282.08955223880599</v>
      </c>
      <c r="R99" s="322">
        <f>+Q99/Q$11</f>
        <v>0.23255527802045012</v>
      </c>
      <c r="S99" s="360">
        <f t="shared" ref="S99:S114" si="84">+P99+M99</f>
        <v>37517.910447761198</v>
      </c>
      <c r="T99" s="330">
        <f>+S99/S$8</f>
        <v>282.08955223880599</v>
      </c>
      <c r="U99" s="324">
        <f>+S99/U$8</f>
        <v>0.25497237723171834</v>
      </c>
      <c r="V99" s="326">
        <f t="shared" si="78"/>
        <v>2.9488192414574067E-3</v>
      </c>
      <c r="W99" s="327">
        <f t="shared" si="43"/>
        <v>2.4205104264262067E-3</v>
      </c>
      <c r="X99" s="433"/>
      <c r="Y99" s="437"/>
      <c r="Z99" s="327"/>
      <c r="AA99" s="327"/>
      <c r="AB99" s="507"/>
      <c r="AC99" s="263"/>
      <c r="AD99" s="327"/>
      <c r="AE99" s="264"/>
      <c r="AF99" s="450" t="s">
        <v>297</v>
      </c>
      <c r="AG99" s="450">
        <f>+S99</f>
        <v>37517.910447761198</v>
      </c>
      <c r="AH99" s="450"/>
      <c r="AI99" s="450"/>
      <c r="AJ99" s="462"/>
      <c r="AK99" s="319">
        <f t="shared" si="52"/>
        <v>37517.910447761198</v>
      </c>
      <c r="AL99" s="450">
        <f>+W99</f>
        <v>2.4205104264262067E-3</v>
      </c>
      <c r="AM99" s="451"/>
      <c r="AN99" s="451"/>
      <c r="AO99" s="451"/>
      <c r="AP99" s="319">
        <f t="shared" si="53"/>
        <v>2.4205104264262067E-3</v>
      </c>
      <c r="AQ99" s="450">
        <f>+AI99</f>
        <v>0</v>
      </c>
      <c r="AR99" s="451"/>
      <c r="AS99" s="451"/>
      <c r="AT99" s="451"/>
      <c r="AU99" s="319">
        <f t="shared" si="54"/>
        <v>0</v>
      </c>
      <c r="AV99" s="451"/>
      <c r="AW99" s="451"/>
      <c r="AX99" s="451"/>
      <c r="AY99" s="451"/>
      <c r="AZ99" s="319">
        <f t="shared" si="55"/>
        <v>0</v>
      </c>
      <c r="BA99" s="451"/>
      <c r="BB99" s="451"/>
      <c r="BC99" s="451"/>
      <c r="BD99" s="451"/>
      <c r="BE99" s="319">
        <f t="shared" si="56"/>
        <v>0</v>
      </c>
      <c r="BF99" s="451"/>
      <c r="BG99" s="451"/>
      <c r="BH99" s="451"/>
      <c r="BI99" s="451"/>
      <c r="BJ99" s="319">
        <f t="shared" si="57"/>
        <v>0</v>
      </c>
      <c r="BK99" s="451"/>
      <c r="BL99" s="451"/>
      <c r="BM99" s="451"/>
      <c r="BN99" s="451"/>
      <c r="BO99" s="319">
        <f t="shared" si="58"/>
        <v>0</v>
      </c>
      <c r="BP99" s="451"/>
      <c r="BQ99" s="451"/>
      <c r="BR99" s="451"/>
      <c r="BS99" s="451"/>
      <c r="BT99" s="319">
        <f t="shared" si="59"/>
        <v>0</v>
      </c>
      <c r="BU99" s="451"/>
      <c r="BV99" s="451"/>
      <c r="BW99" s="451"/>
      <c r="BX99" s="451"/>
      <c r="BY99" s="319">
        <f t="shared" si="60"/>
        <v>0</v>
      </c>
      <c r="BZ99" s="451"/>
      <c r="CA99" s="451"/>
      <c r="CB99" s="451"/>
      <c r="CC99" s="451"/>
      <c r="CD99" s="319">
        <f t="shared" si="61"/>
        <v>0</v>
      </c>
      <c r="CE99" s="451"/>
      <c r="CF99" s="451"/>
      <c r="CG99" s="451"/>
      <c r="CH99" s="451"/>
      <c r="CI99" s="319">
        <f t="shared" si="62"/>
        <v>0</v>
      </c>
      <c r="CJ99" s="451"/>
      <c r="CK99" s="451"/>
      <c r="CL99" s="451"/>
      <c r="CM99" s="451"/>
      <c r="CN99" s="319">
        <f t="shared" si="63"/>
        <v>0</v>
      </c>
      <c r="CO99" s="451">
        <f t="shared" si="79"/>
        <v>37517.912868271625</v>
      </c>
      <c r="CP99" s="451">
        <f t="shared" si="80"/>
        <v>37517.910447761198</v>
      </c>
      <c r="CQ99" s="452">
        <f t="shared" si="51"/>
        <v>1.0000000645161311</v>
      </c>
    </row>
    <row r="100" spans="1:95" ht="12.75">
      <c r="A100" s="318"/>
      <c r="B100" s="319" t="s">
        <v>317</v>
      </c>
      <c r="C100" s="319" t="s">
        <v>331</v>
      </c>
      <c r="D100" s="319">
        <v>13100</v>
      </c>
      <c r="E100" s="324">
        <v>5.75</v>
      </c>
      <c r="F100" s="319">
        <f>+E100*D100</f>
        <v>75325</v>
      </c>
      <c r="G100" s="319">
        <f t="shared" si="81"/>
        <v>7313.1067961165045</v>
      </c>
      <c r="H100" s="319"/>
      <c r="I100" s="319"/>
      <c r="J100" s="328"/>
      <c r="K100" s="319"/>
      <c r="L100" s="322"/>
      <c r="M100" s="328">
        <f t="shared" si="82"/>
        <v>40777.443609022557</v>
      </c>
      <c r="N100" s="319">
        <f>+$F100/SM134Units</f>
        <v>566.35338345864659</v>
      </c>
      <c r="O100" s="322">
        <f t="shared" si="77"/>
        <v>0.55743443253803793</v>
      </c>
      <c r="P100" s="328">
        <f t="shared" si="83"/>
        <v>34547.556390977443</v>
      </c>
      <c r="Q100" s="319">
        <f t="shared" ref="Q100:Q114" si="85">+$F100/SM134Units</f>
        <v>566.35338345864659</v>
      </c>
      <c r="R100" s="322">
        <f t="shared" ref="R100:R114" si="86">+Q100/Q$11</f>
        <v>0.46690303665181088</v>
      </c>
      <c r="S100" s="363">
        <f t="shared" si="84"/>
        <v>75325</v>
      </c>
      <c r="T100" s="330">
        <f t="shared" ref="T100:T115" si="87">+S100/S$8</f>
        <v>566.35338345864659</v>
      </c>
      <c r="U100" s="322">
        <f>+S100/U$8</f>
        <v>0.51191002072785352</v>
      </c>
      <c r="V100" s="326">
        <f t="shared" si="78"/>
        <v>5.9203672782377377E-3</v>
      </c>
      <c r="W100" s="327">
        <f t="shared" si="43"/>
        <v>4.8596775698480799E-3</v>
      </c>
      <c r="X100" s="433"/>
      <c r="Y100" s="437"/>
      <c r="Z100" s="327"/>
      <c r="AA100" s="327"/>
      <c r="AB100" s="507"/>
      <c r="AC100" s="263"/>
      <c r="AD100" s="327"/>
      <c r="AE100" s="264"/>
      <c r="AF100" s="450" t="s">
        <v>317</v>
      </c>
      <c r="AG100" s="450">
        <f t="shared" ref="AG100:AG114" si="88">$S100/6</f>
        <v>12554.166666666666</v>
      </c>
      <c r="AH100" s="450"/>
      <c r="AI100" s="450"/>
      <c r="AJ100" s="450"/>
      <c r="AK100" s="319">
        <f t="shared" si="52"/>
        <v>12554.166666666666</v>
      </c>
      <c r="AL100" s="450">
        <f t="shared" ref="AL100:AL114" si="89">$S100/6</f>
        <v>12554.166666666666</v>
      </c>
      <c r="AM100" s="450"/>
      <c r="AN100" s="451"/>
      <c r="AO100" s="451"/>
      <c r="AP100" s="319">
        <f t="shared" si="53"/>
        <v>12554.166666666666</v>
      </c>
      <c r="AQ100" s="450">
        <f>$S100/6</f>
        <v>12554.166666666666</v>
      </c>
      <c r="AR100" s="451"/>
      <c r="AS100" s="451"/>
      <c r="AT100" s="451"/>
      <c r="AU100" s="319">
        <f t="shared" si="54"/>
        <v>12554.166666666666</v>
      </c>
      <c r="AV100" s="450">
        <f t="shared" ref="AV100:AV114" si="90">$S100/6</f>
        <v>12554.166666666666</v>
      </c>
      <c r="AW100" s="450"/>
      <c r="AX100" s="450"/>
      <c r="AY100" s="450"/>
      <c r="AZ100" s="319">
        <f t="shared" si="55"/>
        <v>12554.166666666666</v>
      </c>
      <c r="BA100" s="450">
        <f t="shared" ref="BA100:BA114" si="91">$S100/6</f>
        <v>12554.166666666666</v>
      </c>
      <c r="BB100" s="450"/>
      <c r="BC100" s="451"/>
      <c r="BD100" s="451"/>
      <c r="BE100" s="319">
        <f t="shared" si="56"/>
        <v>12554.166666666666</v>
      </c>
      <c r="BF100" s="450">
        <f>$S100/6</f>
        <v>12554.166666666666</v>
      </c>
      <c r="BG100" s="451"/>
      <c r="BH100" s="451"/>
      <c r="BI100" s="451"/>
      <c r="BJ100" s="319">
        <f t="shared" si="57"/>
        <v>12554.166666666666</v>
      </c>
      <c r="BK100" s="451"/>
      <c r="BL100" s="451"/>
      <c r="BM100" s="451"/>
      <c r="BN100" s="451"/>
      <c r="BO100" s="319">
        <f t="shared" si="58"/>
        <v>0</v>
      </c>
      <c r="BP100" s="451"/>
      <c r="BQ100" s="451"/>
      <c r="BR100" s="451"/>
      <c r="BS100" s="451"/>
      <c r="BT100" s="319">
        <f t="shared" si="59"/>
        <v>0</v>
      </c>
      <c r="BU100" s="451"/>
      <c r="BV100" s="451"/>
      <c r="BW100" s="451"/>
      <c r="BX100" s="451"/>
      <c r="BY100" s="319">
        <f t="shared" si="60"/>
        <v>0</v>
      </c>
      <c r="BZ100" s="451"/>
      <c r="CA100" s="451"/>
      <c r="CB100" s="451"/>
      <c r="CC100" s="451"/>
      <c r="CD100" s="319">
        <f t="shared" si="61"/>
        <v>0</v>
      </c>
      <c r="CE100" s="451"/>
      <c r="CF100" s="451"/>
      <c r="CG100" s="451"/>
      <c r="CH100" s="451"/>
      <c r="CI100" s="319">
        <f t="shared" si="62"/>
        <v>0</v>
      </c>
      <c r="CJ100" s="451"/>
      <c r="CK100" s="451"/>
      <c r="CL100" s="451"/>
      <c r="CM100" s="451"/>
      <c r="CN100" s="319">
        <f t="shared" si="63"/>
        <v>0</v>
      </c>
      <c r="CO100" s="451">
        <f t="shared" si="79"/>
        <v>75325</v>
      </c>
      <c r="CP100" s="451">
        <f t="shared" si="80"/>
        <v>75325</v>
      </c>
      <c r="CQ100" s="452">
        <f t="shared" si="51"/>
        <v>1</v>
      </c>
    </row>
    <row r="101" spans="1:95" ht="12.75">
      <c r="A101" s="318"/>
      <c r="B101" s="319" t="s">
        <v>318</v>
      </c>
      <c r="C101" s="319" t="s">
        <v>331</v>
      </c>
      <c r="D101" s="319">
        <v>13100</v>
      </c>
      <c r="E101" s="322">
        <v>3.75</v>
      </c>
      <c r="F101" s="319">
        <f t="shared" ref="F101:F114" si="92">+E101*D101</f>
        <v>49125</v>
      </c>
      <c r="G101" s="319">
        <f t="shared" si="81"/>
        <v>4769.4174757281553</v>
      </c>
      <c r="H101" s="319"/>
      <c r="I101" s="319"/>
      <c r="J101" s="328"/>
      <c r="K101" s="319"/>
      <c r="L101" s="322"/>
      <c r="M101" s="328">
        <f t="shared" si="82"/>
        <v>26593.984962406015</v>
      </c>
      <c r="N101" s="319">
        <f>+$F101/SM134Units</f>
        <v>369.36090225563908</v>
      </c>
      <c r="O101" s="322">
        <f t="shared" si="77"/>
        <v>0.363544195133503</v>
      </c>
      <c r="P101" s="328">
        <f t="shared" si="83"/>
        <v>22531.015037593985</v>
      </c>
      <c r="Q101" s="319">
        <f t="shared" si="85"/>
        <v>369.36090225563908</v>
      </c>
      <c r="R101" s="322">
        <f t="shared" si="86"/>
        <v>0.30450198042509402</v>
      </c>
      <c r="S101" s="363">
        <f t="shared" si="84"/>
        <v>49125</v>
      </c>
      <c r="T101" s="330">
        <f t="shared" si="87"/>
        <v>369.36090225563908</v>
      </c>
      <c r="U101" s="322">
        <f t="shared" ref="U101:U114" si="93">+S101/U$8</f>
        <v>0.33385436134425228</v>
      </c>
      <c r="V101" s="326">
        <f t="shared" si="78"/>
        <v>3.8611090945028727E-3</v>
      </c>
      <c r="W101" s="327">
        <f t="shared" si="43"/>
        <v>3.1693549368574433E-3</v>
      </c>
      <c r="X101" s="433"/>
      <c r="Y101" s="437"/>
      <c r="Z101" s="327"/>
      <c r="AA101" s="327"/>
      <c r="AB101" s="507"/>
      <c r="AC101" s="263"/>
      <c r="AD101" s="327"/>
      <c r="AE101" s="264"/>
      <c r="AF101" s="450" t="s">
        <v>318</v>
      </c>
      <c r="AG101" s="450">
        <f t="shared" si="88"/>
        <v>8187.5</v>
      </c>
      <c r="AH101" s="450"/>
      <c r="AI101" s="450"/>
      <c r="AJ101" s="450"/>
      <c r="AK101" s="319">
        <f t="shared" si="52"/>
        <v>8187.5</v>
      </c>
      <c r="AL101" s="450">
        <f t="shared" si="89"/>
        <v>8187.5</v>
      </c>
      <c r="AM101" s="450"/>
      <c r="AN101" s="451"/>
      <c r="AO101" s="451"/>
      <c r="AP101" s="319">
        <f t="shared" si="53"/>
        <v>8187.5</v>
      </c>
      <c r="AQ101" s="450">
        <f t="shared" ref="AQ101:AQ114" si="94">$S101/6</f>
        <v>8187.5</v>
      </c>
      <c r="AR101" s="451"/>
      <c r="AS101" s="451"/>
      <c r="AT101" s="451"/>
      <c r="AU101" s="319">
        <f t="shared" si="54"/>
        <v>8187.5</v>
      </c>
      <c r="AV101" s="450">
        <f t="shared" si="90"/>
        <v>8187.5</v>
      </c>
      <c r="AW101" s="450"/>
      <c r="AX101" s="450"/>
      <c r="AY101" s="450"/>
      <c r="AZ101" s="319">
        <f t="shared" si="55"/>
        <v>8187.5</v>
      </c>
      <c r="BA101" s="450">
        <f t="shared" si="91"/>
        <v>8187.5</v>
      </c>
      <c r="BB101" s="450"/>
      <c r="BC101" s="451"/>
      <c r="BD101" s="451"/>
      <c r="BE101" s="319">
        <f t="shared" si="56"/>
        <v>8187.5</v>
      </c>
      <c r="BF101" s="450">
        <f t="shared" ref="BF101:BF114" si="95">$S101/6</f>
        <v>8187.5</v>
      </c>
      <c r="BG101" s="451"/>
      <c r="BH101" s="451"/>
      <c r="BI101" s="451"/>
      <c r="BJ101" s="319">
        <f t="shared" si="57"/>
        <v>8187.5</v>
      </c>
      <c r="BK101" s="451"/>
      <c r="BL101" s="451"/>
      <c r="BM101" s="451"/>
      <c r="BN101" s="451"/>
      <c r="BO101" s="319">
        <f t="shared" si="58"/>
        <v>0</v>
      </c>
      <c r="BP101" s="451"/>
      <c r="BQ101" s="451"/>
      <c r="BR101" s="451"/>
      <c r="BS101" s="451"/>
      <c r="BT101" s="319">
        <f t="shared" si="59"/>
        <v>0</v>
      </c>
      <c r="BU101" s="451"/>
      <c r="BV101" s="451"/>
      <c r="BW101" s="451"/>
      <c r="BX101" s="451"/>
      <c r="BY101" s="319">
        <f t="shared" si="60"/>
        <v>0</v>
      </c>
      <c r="BZ101" s="451"/>
      <c r="CA101" s="451"/>
      <c r="CB101" s="451"/>
      <c r="CC101" s="451"/>
      <c r="CD101" s="319">
        <f t="shared" si="61"/>
        <v>0</v>
      </c>
      <c r="CE101" s="451"/>
      <c r="CF101" s="451"/>
      <c r="CG101" s="451"/>
      <c r="CH101" s="451"/>
      <c r="CI101" s="319">
        <f t="shared" si="62"/>
        <v>0</v>
      </c>
      <c r="CJ101" s="451"/>
      <c r="CK101" s="451"/>
      <c r="CL101" s="451"/>
      <c r="CM101" s="451"/>
      <c r="CN101" s="319">
        <f t="shared" si="63"/>
        <v>0</v>
      </c>
      <c r="CO101" s="451">
        <f t="shared" si="79"/>
        <v>49125</v>
      </c>
      <c r="CP101" s="451">
        <f t="shared" si="80"/>
        <v>49125</v>
      </c>
      <c r="CQ101" s="452">
        <f t="shared" si="51"/>
        <v>1</v>
      </c>
    </row>
    <row r="102" spans="1:95" ht="12.75">
      <c r="A102" s="318"/>
      <c r="B102" s="319" t="s">
        <v>319</v>
      </c>
      <c r="C102" s="319" t="s">
        <v>332</v>
      </c>
      <c r="D102" s="319">
        <v>10000</v>
      </c>
      <c r="E102" s="322">
        <v>3</v>
      </c>
      <c r="F102" s="319">
        <f t="shared" si="92"/>
        <v>30000</v>
      </c>
      <c r="G102" s="319">
        <f t="shared" si="81"/>
        <v>2912.6213592233007</v>
      </c>
      <c r="H102" s="319"/>
      <c r="I102" s="319"/>
      <c r="J102" s="328"/>
      <c r="K102" s="319"/>
      <c r="L102" s="322"/>
      <c r="M102" s="328">
        <f t="shared" si="82"/>
        <v>16240.601503759399</v>
      </c>
      <c r="N102" s="319">
        <f>+$F102/SM134Units</f>
        <v>225.5639097744361</v>
      </c>
      <c r="O102" s="322">
        <f t="shared" si="77"/>
        <v>0.22201172221893317</v>
      </c>
      <c r="P102" s="328">
        <f t="shared" si="83"/>
        <v>13759.398496240601</v>
      </c>
      <c r="Q102" s="319">
        <f t="shared" si="85"/>
        <v>225.5639097744361</v>
      </c>
      <c r="R102" s="322">
        <f t="shared" si="86"/>
        <v>0.18595540789318721</v>
      </c>
      <c r="S102" s="363">
        <f t="shared" si="84"/>
        <v>30000</v>
      </c>
      <c r="T102" s="330">
        <f t="shared" si="87"/>
        <v>225.5639097744361</v>
      </c>
      <c r="U102" s="322">
        <f t="shared" si="93"/>
        <v>0.2038805260117571</v>
      </c>
      <c r="V102" s="326">
        <f t="shared" si="78"/>
        <v>2.3579292180170215E-3</v>
      </c>
      <c r="W102" s="327">
        <f t="shared" si="43"/>
        <v>1.9354839309053088E-3</v>
      </c>
      <c r="X102" s="433"/>
      <c r="Y102" s="437"/>
      <c r="Z102" s="327"/>
      <c r="AA102" s="327"/>
      <c r="AB102" s="507"/>
      <c r="AC102" s="263"/>
      <c r="AD102" s="327"/>
      <c r="AE102" s="264"/>
      <c r="AF102" s="450" t="s">
        <v>319</v>
      </c>
      <c r="AG102" s="450">
        <f t="shared" si="88"/>
        <v>5000</v>
      </c>
      <c r="AH102" s="450"/>
      <c r="AI102" s="450"/>
      <c r="AJ102" s="450"/>
      <c r="AK102" s="319">
        <f t="shared" si="52"/>
        <v>5000</v>
      </c>
      <c r="AL102" s="450">
        <f t="shared" si="89"/>
        <v>5000</v>
      </c>
      <c r="AM102" s="450"/>
      <c r="AN102" s="451"/>
      <c r="AO102" s="451"/>
      <c r="AP102" s="319">
        <f t="shared" si="53"/>
        <v>5000</v>
      </c>
      <c r="AQ102" s="450">
        <f t="shared" si="94"/>
        <v>5000</v>
      </c>
      <c r="AR102" s="451"/>
      <c r="AS102" s="451"/>
      <c r="AT102" s="451"/>
      <c r="AU102" s="319">
        <f t="shared" si="54"/>
        <v>5000</v>
      </c>
      <c r="AV102" s="450">
        <f t="shared" si="90"/>
        <v>5000</v>
      </c>
      <c r="AW102" s="450"/>
      <c r="AX102" s="450"/>
      <c r="AY102" s="450"/>
      <c r="AZ102" s="319">
        <f t="shared" si="55"/>
        <v>5000</v>
      </c>
      <c r="BA102" s="450">
        <f t="shared" si="91"/>
        <v>5000</v>
      </c>
      <c r="BB102" s="450"/>
      <c r="BC102" s="451"/>
      <c r="BD102" s="451"/>
      <c r="BE102" s="319">
        <f t="shared" si="56"/>
        <v>5000</v>
      </c>
      <c r="BF102" s="450">
        <f t="shared" si="95"/>
        <v>5000</v>
      </c>
      <c r="BG102" s="451"/>
      <c r="BH102" s="451"/>
      <c r="BI102" s="451"/>
      <c r="BJ102" s="319">
        <f t="shared" si="57"/>
        <v>5000</v>
      </c>
      <c r="BK102" s="451"/>
      <c r="BL102" s="451"/>
      <c r="BM102" s="451"/>
      <c r="BN102" s="451"/>
      <c r="BO102" s="319">
        <f t="shared" si="58"/>
        <v>0</v>
      </c>
      <c r="BP102" s="451"/>
      <c r="BQ102" s="451"/>
      <c r="BR102" s="451"/>
      <c r="BS102" s="451"/>
      <c r="BT102" s="319">
        <f t="shared" si="59"/>
        <v>0</v>
      </c>
      <c r="BU102" s="451"/>
      <c r="BV102" s="451"/>
      <c r="BW102" s="451"/>
      <c r="BX102" s="451"/>
      <c r="BY102" s="319">
        <f t="shared" si="60"/>
        <v>0</v>
      </c>
      <c r="BZ102" s="451"/>
      <c r="CA102" s="451"/>
      <c r="CB102" s="451"/>
      <c r="CC102" s="451"/>
      <c r="CD102" s="319">
        <f t="shared" si="61"/>
        <v>0</v>
      </c>
      <c r="CE102" s="451"/>
      <c r="CF102" s="451"/>
      <c r="CG102" s="451"/>
      <c r="CH102" s="451"/>
      <c r="CI102" s="319">
        <f t="shared" si="62"/>
        <v>0</v>
      </c>
      <c r="CJ102" s="451"/>
      <c r="CK102" s="451"/>
      <c r="CL102" s="451"/>
      <c r="CM102" s="451"/>
      <c r="CN102" s="319">
        <f t="shared" si="63"/>
        <v>0</v>
      </c>
      <c r="CO102" s="451">
        <f t="shared" si="79"/>
        <v>30000</v>
      </c>
      <c r="CP102" s="451">
        <f t="shared" si="80"/>
        <v>30000</v>
      </c>
      <c r="CQ102" s="452">
        <f t="shared" si="51"/>
        <v>1</v>
      </c>
    </row>
    <row r="103" spans="1:95" ht="12.75">
      <c r="A103" s="318"/>
      <c r="B103" s="319" t="s">
        <v>320</v>
      </c>
      <c r="C103" s="319" t="s">
        <v>333</v>
      </c>
      <c r="D103" s="319">
        <v>5000</v>
      </c>
      <c r="E103" s="322">
        <v>6</v>
      </c>
      <c r="F103" s="319">
        <f t="shared" si="92"/>
        <v>30000</v>
      </c>
      <c r="G103" s="319">
        <f t="shared" si="81"/>
        <v>2912.6213592233007</v>
      </c>
      <c r="H103" s="319"/>
      <c r="I103" s="319"/>
      <c r="J103" s="328"/>
      <c r="K103" s="319"/>
      <c r="L103" s="322"/>
      <c r="M103" s="328">
        <f t="shared" si="82"/>
        <v>16240.601503759399</v>
      </c>
      <c r="N103" s="319">
        <f t="shared" ref="N103:N114" si="96">+$F103/SM134Units</f>
        <v>225.5639097744361</v>
      </c>
      <c r="O103" s="322">
        <f t="shared" si="77"/>
        <v>0.22201172221893317</v>
      </c>
      <c r="P103" s="328">
        <f t="shared" si="83"/>
        <v>13759.398496240601</v>
      </c>
      <c r="Q103" s="319">
        <f t="shared" si="85"/>
        <v>225.5639097744361</v>
      </c>
      <c r="R103" s="322">
        <f t="shared" si="86"/>
        <v>0.18595540789318721</v>
      </c>
      <c r="S103" s="363">
        <f t="shared" si="84"/>
        <v>30000</v>
      </c>
      <c r="T103" s="330">
        <f t="shared" si="87"/>
        <v>225.5639097744361</v>
      </c>
      <c r="U103" s="322">
        <f t="shared" si="93"/>
        <v>0.2038805260117571</v>
      </c>
      <c r="V103" s="326">
        <f t="shared" si="78"/>
        <v>2.3579292180170215E-3</v>
      </c>
      <c r="W103" s="327">
        <f t="shared" si="43"/>
        <v>1.9354839309053088E-3</v>
      </c>
      <c r="X103" s="433"/>
      <c r="Y103" s="437"/>
      <c r="Z103" s="327"/>
      <c r="AA103" s="327"/>
      <c r="AB103" s="507"/>
      <c r="AC103" s="263"/>
      <c r="AD103" s="327"/>
      <c r="AE103" s="264"/>
      <c r="AF103" s="450" t="s">
        <v>320</v>
      </c>
      <c r="AG103" s="450">
        <f t="shared" si="88"/>
        <v>5000</v>
      </c>
      <c r="AH103" s="450"/>
      <c r="AI103" s="450"/>
      <c r="AJ103" s="450"/>
      <c r="AK103" s="319">
        <f t="shared" si="52"/>
        <v>5000</v>
      </c>
      <c r="AL103" s="450">
        <f t="shared" si="89"/>
        <v>5000</v>
      </c>
      <c r="AM103" s="450"/>
      <c r="AN103" s="451"/>
      <c r="AO103" s="451"/>
      <c r="AP103" s="319">
        <f t="shared" si="53"/>
        <v>5000</v>
      </c>
      <c r="AQ103" s="450">
        <f t="shared" si="94"/>
        <v>5000</v>
      </c>
      <c r="AR103" s="451"/>
      <c r="AS103" s="451"/>
      <c r="AT103" s="451"/>
      <c r="AU103" s="319">
        <f t="shared" si="54"/>
        <v>5000</v>
      </c>
      <c r="AV103" s="450">
        <f t="shared" si="90"/>
        <v>5000</v>
      </c>
      <c r="AW103" s="450"/>
      <c r="AX103" s="450"/>
      <c r="AY103" s="450"/>
      <c r="AZ103" s="319">
        <f t="shared" si="55"/>
        <v>5000</v>
      </c>
      <c r="BA103" s="450">
        <f t="shared" si="91"/>
        <v>5000</v>
      </c>
      <c r="BB103" s="450"/>
      <c r="BC103" s="451"/>
      <c r="BD103" s="451"/>
      <c r="BE103" s="319">
        <f t="shared" si="56"/>
        <v>5000</v>
      </c>
      <c r="BF103" s="450">
        <f t="shared" si="95"/>
        <v>5000</v>
      </c>
      <c r="BG103" s="451"/>
      <c r="BH103" s="451"/>
      <c r="BI103" s="451"/>
      <c r="BJ103" s="319">
        <f t="shared" si="57"/>
        <v>5000</v>
      </c>
      <c r="BK103" s="451"/>
      <c r="BL103" s="451"/>
      <c r="BM103" s="451"/>
      <c r="BN103" s="451"/>
      <c r="BO103" s="319">
        <f t="shared" si="58"/>
        <v>0</v>
      </c>
      <c r="BP103" s="451"/>
      <c r="BQ103" s="451"/>
      <c r="BR103" s="451"/>
      <c r="BS103" s="451"/>
      <c r="BT103" s="319">
        <f t="shared" si="59"/>
        <v>0</v>
      </c>
      <c r="BU103" s="451"/>
      <c r="BV103" s="451"/>
      <c r="BW103" s="451"/>
      <c r="BX103" s="451"/>
      <c r="BY103" s="319">
        <f t="shared" si="60"/>
        <v>0</v>
      </c>
      <c r="BZ103" s="451"/>
      <c r="CA103" s="451"/>
      <c r="CB103" s="451"/>
      <c r="CC103" s="451"/>
      <c r="CD103" s="319">
        <f t="shared" si="61"/>
        <v>0</v>
      </c>
      <c r="CE103" s="451"/>
      <c r="CF103" s="451"/>
      <c r="CG103" s="451"/>
      <c r="CH103" s="451"/>
      <c r="CI103" s="319">
        <f t="shared" si="62"/>
        <v>0</v>
      </c>
      <c r="CJ103" s="451"/>
      <c r="CK103" s="451"/>
      <c r="CL103" s="451"/>
      <c r="CM103" s="451"/>
      <c r="CN103" s="319">
        <f t="shared" si="63"/>
        <v>0</v>
      </c>
      <c r="CO103" s="451">
        <f t="shared" si="79"/>
        <v>30000</v>
      </c>
      <c r="CP103" s="451">
        <f t="shared" si="80"/>
        <v>30000</v>
      </c>
      <c r="CQ103" s="452">
        <f t="shared" si="51"/>
        <v>1</v>
      </c>
    </row>
    <row r="104" spans="1:95" ht="12.75">
      <c r="A104" s="318"/>
      <c r="B104" s="319" t="s">
        <v>321</v>
      </c>
      <c r="C104" s="319" t="s">
        <v>333</v>
      </c>
      <c r="D104" s="319">
        <v>2200</v>
      </c>
      <c r="E104" s="322">
        <v>25</v>
      </c>
      <c r="F104" s="319">
        <f t="shared" si="92"/>
        <v>55000</v>
      </c>
      <c r="G104" s="319">
        <f t="shared" si="81"/>
        <v>5339.8058252427181</v>
      </c>
      <c r="H104" s="319"/>
      <c r="I104" s="319"/>
      <c r="J104" s="328"/>
      <c r="K104" s="319"/>
      <c r="L104" s="322"/>
      <c r="M104" s="328">
        <f t="shared" si="82"/>
        <v>29774.436090225565</v>
      </c>
      <c r="N104" s="319">
        <f t="shared" si="96"/>
        <v>413.53383458646618</v>
      </c>
      <c r="O104" s="322">
        <f t="shared" si="77"/>
        <v>0.40702149073471083</v>
      </c>
      <c r="P104" s="328">
        <f t="shared" si="83"/>
        <v>25225.563909774439</v>
      </c>
      <c r="Q104" s="319">
        <f t="shared" si="85"/>
        <v>413.53383458646618</v>
      </c>
      <c r="R104" s="322">
        <f t="shared" si="86"/>
        <v>0.34091824780417657</v>
      </c>
      <c r="S104" s="363">
        <f t="shared" si="84"/>
        <v>55000</v>
      </c>
      <c r="T104" s="330">
        <f t="shared" si="87"/>
        <v>413.53383458646618</v>
      </c>
      <c r="U104" s="322">
        <f t="shared" si="93"/>
        <v>0.37378096435488806</v>
      </c>
      <c r="V104" s="326">
        <f t="shared" si="78"/>
        <v>4.3228702330312058E-3</v>
      </c>
      <c r="W104" s="327">
        <f t="shared" si="43"/>
        <v>3.5483872066597328E-3</v>
      </c>
      <c r="X104" s="433"/>
      <c r="Y104" s="437"/>
      <c r="Z104" s="327"/>
      <c r="AA104" s="327"/>
      <c r="AB104" s="507"/>
      <c r="AC104" s="263"/>
      <c r="AD104" s="327"/>
      <c r="AE104" s="264"/>
      <c r="AF104" s="450" t="s">
        <v>321</v>
      </c>
      <c r="AG104" s="450">
        <f t="shared" si="88"/>
        <v>9166.6666666666661</v>
      </c>
      <c r="AH104" s="450"/>
      <c r="AI104" s="450"/>
      <c r="AJ104" s="450"/>
      <c r="AK104" s="319">
        <f t="shared" si="52"/>
        <v>9166.6666666666661</v>
      </c>
      <c r="AL104" s="450">
        <f t="shared" si="89"/>
        <v>9166.6666666666661</v>
      </c>
      <c r="AM104" s="450"/>
      <c r="AN104" s="451"/>
      <c r="AO104" s="451"/>
      <c r="AP104" s="319">
        <f t="shared" si="53"/>
        <v>9166.6666666666661</v>
      </c>
      <c r="AQ104" s="450">
        <f t="shared" si="94"/>
        <v>9166.6666666666661</v>
      </c>
      <c r="AR104" s="451"/>
      <c r="AS104" s="451"/>
      <c r="AT104" s="451"/>
      <c r="AU104" s="319">
        <f t="shared" si="54"/>
        <v>9166.6666666666661</v>
      </c>
      <c r="AV104" s="450">
        <f t="shared" si="90"/>
        <v>9166.6666666666661</v>
      </c>
      <c r="AW104" s="450"/>
      <c r="AX104" s="450"/>
      <c r="AY104" s="450"/>
      <c r="AZ104" s="319">
        <f t="shared" si="55"/>
        <v>9166.6666666666661</v>
      </c>
      <c r="BA104" s="450">
        <f t="shared" si="91"/>
        <v>9166.6666666666661</v>
      </c>
      <c r="BB104" s="450"/>
      <c r="BC104" s="451"/>
      <c r="BD104" s="451"/>
      <c r="BE104" s="319">
        <f t="shared" si="56"/>
        <v>9166.6666666666661</v>
      </c>
      <c r="BF104" s="450">
        <f t="shared" si="95"/>
        <v>9166.6666666666661</v>
      </c>
      <c r="BG104" s="451"/>
      <c r="BH104" s="451"/>
      <c r="BI104" s="451"/>
      <c r="BJ104" s="319">
        <f t="shared" si="57"/>
        <v>9166.6666666666661</v>
      </c>
      <c r="BK104" s="451"/>
      <c r="BL104" s="451"/>
      <c r="BM104" s="451"/>
      <c r="BN104" s="451"/>
      <c r="BO104" s="319">
        <f t="shared" si="58"/>
        <v>0</v>
      </c>
      <c r="BP104" s="451"/>
      <c r="BQ104" s="451"/>
      <c r="BR104" s="451"/>
      <c r="BS104" s="451"/>
      <c r="BT104" s="319">
        <f t="shared" si="59"/>
        <v>0</v>
      </c>
      <c r="BU104" s="451"/>
      <c r="BV104" s="451"/>
      <c r="BW104" s="451"/>
      <c r="BX104" s="451"/>
      <c r="BY104" s="319">
        <f t="shared" si="60"/>
        <v>0</v>
      </c>
      <c r="BZ104" s="451"/>
      <c r="CA104" s="451"/>
      <c r="CB104" s="451"/>
      <c r="CC104" s="451"/>
      <c r="CD104" s="319">
        <f t="shared" si="61"/>
        <v>0</v>
      </c>
      <c r="CE104" s="451"/>
      <c r="CF104" s="451"/>
      <c r="CG104" s="451"/>
      <c r="CH104" s="451"/>
      <c r="CI104" s="319">
        <f t="shared" si="62"/>
        <v>0</v>
      </c>
      <c r="CJ104" s="451"/>
      <c r="CK104" s="451"/>
      <c r="CL104" s="451"/>
      <c r="CM104" s="451"/>
      <c r="CN104" s="319">
        <f t="shared" si="63"/>
        <v>0</v>
      </c>
      <c r="CO104" s="451">
        <f t="shared" si="79"/>
        <v>54999.999999999993</v>
      </c>
      <c r="CP104" s="451">
        <f t="shared" si="80"/>
        <v>55000</v>
      </c>
      <c r="CQ104" s="452">
        <f t="shared" si="51"/>
        <v>0.99999999999999989</v>
      </c>
    </row>
    <row r="105" spans="1:95" ht="12.75">
      <c r="A105" s="318"/>
      <c r="B105" s="319" t="s">
        <v>330</v>
      </c>
      <c r="C105" s="319" t="s">
        <v>333</v>
      </c>
      <c r="D105" s="319">
        <v>210</v>
      </c>
      <c r="E105" s="322">
        <v>17</v>
      </c>
      <c r="F105" s="319">
        <f t="shared" si="92"/>
        <v>3570</v>
      </c>
      <c r="G105" s="319">
        <f t="shared" si="81"/>
        <v>346.60194174757277</v>
      </c>
      <c r="H105" s="319"/>
      <c r="I105" s="319"/>
      <c r="J105" s="328"/>
      <c r="K105" s="319"/>
      <c r="L105" s="322"/>
      <c r="M105" s="328">
        <f t="shared" si="82"/>
        <v>1932.6315789473683</v>
      </c>
      <c r="N105" s="319">
        <f t="shared" si="96"/>
        <v>26.842105263157894</v>
      </c>
      <c r="O105" s="322">
        <f t="shared" si="77"/>
        <v>2.6419394944053046E-2</v>
      </c>
      <c r="P105" s="328">
        <f t="shared" si="83"/>
        <v>1637.3684210526314</v>
      </c>
      <c r="Q105" s="319">
        <f t="shared" si="85"/>
        <v>26.842105263157894</v>
      </c>
      <c r="R105" s="322">
        <f t="shared" si="86"/>
        <v>2.2128693539289278E-2</v>
      </c>
      <c r="S105" s="363">
        <f t="shared" si="84"/>
        <v>3570</v>
      </c>
      <c r="T105" s="330">
        <f t="shared" si="87"/>
        <v>26.842105263157894</v>
      </c>
      <c r="U105" s="322">
        <f t="shared" si="93"/>
        <v>2.4261782595399097E-2</v>
      </c>
      <c r="V105" s="326">
        <f t="shared" si="78"/>
        <v>2.8059357694402553E-4</v>
      </c>
      <c r="W105" s="327">
        <f t="shared" si="43"/>
        <v>2.3032258777773177E-4</v>
      </c>
      <c r="X105" s="433"/>
      <c r="Y105" s="437"/>
      <c r="Z105" s="327"/>
      <c r="AA105" s="327"/>
      <c r="AB105" s="507"/>
      <c r="AC105" s="263"/>
      <c r="AD105" s="327"/>
      <c r="AE105" s="264"/>
      <c r="AF105" s="450" t="s">
        <v>330</v>
      </c>
      <c r="AG105" s="450">
        <f t="shared" si="88"/>
        <v>595</v>
      </c>
      <c r="AH105" s="450"/>
      <c r="AI105" s="450"/>
      <c r="AJ105" s="450"/>
      <c r="AK105" s="319">
        <f t="shared" si="52"/>
        <v>595</v>
      </c>
      <c r="AL105" s="450">
        <f t="shared" si="89"/>
        <v>595</v>
      </c>
      <c r="AM105" s="450"/>
      <c r="AN105" s="451"/>
      <c r="AO105" s="451"/>
      <c r="AP105" s="319">
        <f t="shared" si="53"/>
        <v>595</v>
      </c>
      <c r="AQ105" s="450">
        <f t="shared" si="94"/>
        <v>595</v>
      </c>
      <c r="AR105" s="451"/>
      <c r="AS105" s="451"/>
      <c r="AT105" s="451"/>
      <c r="AU105" s="319">
        <f t="shared" si="54"/>
        <v>595</v>
      </c>
      <c r="AV105" s="450">
        <f t="shared" si="90"/>
        <v>595</v>
      </c>
      <c r="AW105" s="450"/>
      <c r="AX105" s="450"/>
      <c r="AY105" s="450"/>
      <c r="AZ105" s="319">
        <f t="shared" si="55"/>
        <v>595</v>
      </c>
      <c r="BA105" s="450">
        <f t="shared" si="91"/>
        <v>595</v>
      </c>
      <c r="BB105" s="450"/>
      <c r="BC105" s="451"/>
      <c r="BD105" s="451"/>
      <c r="BE105" s="319">
        <f t="shared" si="56"/>
        <v>595</v>
      </c>
      <c r="BF105" s="450">
        <f t="shared" si="95"/>
        <v>595</v>
      </c>
      <c r="BG105" s="451"/>
      <c r="BH105" s="451"/>
      <c r="BI105" s="451"/>
      <c r="BJ105" s="319">
        <f t="shared" si="57"/>
        <v>595</v>
      </c>
      <c r="BK105" s="451"/>
      <c r="BL105" s="451"/>
      <c r="BM105" s="451"/>
      <c r="BN105" s="451"/>
      <c r="BO105" s="319">
        <f t="shared" si="58"/>
        <v>0</v>
      </c>
      <c r="BP105" s="451"/>
      <c r="BQ105" s="451"/>
      <c r="BR105" s="451"/>
      <c r="BS105" s="451"/>
      <c r="BT105" s="319">
        <f t="shared" si="59"/>
        <v>0</v>
      </c>
      <c r="BU105" s="451"/>
      <c r="BV105" s="451"/>
      <c r="BW105" s="451"/>
      <c r="BX105" s="451"/>
      <c r="BY105" s="319">
        <f t="shared" si="60"/>
        <v>0</v>
      </c>
      <c r="BZ105" s="451"/>
      <c r="CA105" s="451"/>
      <c r="CB105" s="451"/>
      <c r="CC105" s="451"/>
      <c r="CD105" s="319">
        <f t="shared" si="61"/>
        <v>0</v>
      </c>
      <c r="CE105" s="451"/>
      <c r="CF105" s="451"/>
      <c r="CG105" s="451"/>
      <c r="CH105" s="451"/>
      <c r="CI105" s="319">
        <f t="shared" si="62"/>
        <v>0</v>
      </c>
      <c r="CJ105" s="451"/>
      <c r="CK105" s="451"/>
      <c r="CL105" s="451"/>
      <c r="CM105" s="451"/>
      <c r="CN105" s="319">
        <f t="shared" si="63"/>
        <v>0</v>
      </c>
      <c r="CO105" s="451">
        <f t="shared" si="79"/>
        <v>3570</v>
      </c>
      <c r="CP105" s="451">
        <f t="shared" si="80"/>
        <v>3570</v>
      </c>
      <c r="CQ105" s="452">
        <f t="shared" si="51"/>
        <v>1</v>
      </c>
    </row>
    <row r="106" spans="1:95" ht="12.75">
      <c r="A106" s="318"/>
      <c r="B106" s="319" t="s">
        <v>322</v>
      </c>
      <c r="C106" s="319" t="s">
        <v>334</v>
      </c>
      <c r="D106" s="319">
        <v>134</v>
      </c>
      <c r="E106" s="319">
        <v>600</v>
      </c>
      <c r="F106" s="319">
        <f t="shared" si="92"/>
        <v>80400</v>
      </c>
      <c r="G106" s="319">
        <f t="shared" si="81"/>
        <v>7805.8252427184461</v>
      </c>
      <c r="H106" s="319"/>
      <c r="I106" s="319"/>
      <c r="J106" s="328"/>
      <c r="K106" s="319"/>
      <c r="L106" s="322"/>
      <c r="M106" s="328">
        <f t="shared" si="82"/>
        <v>43524.812030075183</v>
      </c>
      <c r="N106" s="319">
        <f t="shared" si="96"/>
        <v>604.51127819548867</v>
      </c>
      <c r="O106" s="322">
        <f t="shared" si="77"/>
        <v>0.59499141554674084</v>
      </c>
      <c r="P106" s="328">
        <f t="shared" si="83"/>
        <v>36875.187969924809</v>
      </c>
      <c r="Q106" s="319">
        <f t="shared" si="85"/>
        <v>604.51127819548867</v>
      </c>
      <c r="R106" s="322">
        <f t="shared" si="86"/>
        <v>0.4983604931537417</v>
      </c>
      <c r="S106" s="363">
        <f t="shared" si="84"/>
        <v>80400</v>
      </c>
      <c r="T106" s="330">
        <f t="shared" si="87"/>
        <v>604.51127819548867</v>
      </c>
      <c r="U106" s="322">
        <f t="shared" si="93"/>
        <v>0.54639980971150903</v>
      </c>
      <c r="V106" s="326">
        <f t="shared" si="78"/>
        <v>6.3192503042856169E-3</v>
      </c>
      <c r="W106" s="327">
        <f t="shared" si="43"/>
        <v>5.1870969348262281E-3</v>
      </c>
      <c r="X106" s="433"/>
      <c r="Y106" s="437"/>
      <c r="Z106" s="327"/>
      <c r="AA106" s="327"/>
      <c r="AB106" s="507"/>
      <c r="AC106" s="263"/>
      <c r="AD106" s="327"/>
      <c r="AE106" s="264"/>
      <c r="AF106" s="450" t="s">
        <v>322</v>
      </c>
      <c r="AG106" s="450">
        <f t="shared" si="88"/>
        <v>13400</v>
      </c>
      <c r="AH106" s="450"/>
      <c r="AI106" s="450"/>
      <c r="AJ106" s="450"/>
      <c r="AK106" s="319">
        <f t="shared" si="52"/>
        <v>13400</v>
      </c>
      <c r="AL106" s="450">
        <f t="shared" si="89"/>
        <v>13400</v>
      </c>
      <c r="AM106" s="450"/>
      <c r="AN106" s="451"/>
      <c r="AO106" s="451"/>
      <c r="AP106" s="319">
        <f t="shared" si="53"/>
        <v>13400</v>
      </c>
      <c r="AQ106" s="450">
        <f t="shared" si="94"/>
        <v>13400</v>
      </c>
      <c r="AR106" s="451"/>
      <c r="AS106" s="451"/>
      <c r="AT106" s="451"/>
      <c r="AU106" s="319">
        <f t="shared" si="54"/>
        <v>13400</v>
      </c>
      <c r="AV106" s="450">
        <f t="shared" si="90"/>
        <v>13400</v>
      </c>
      <c r="AW106" s="450"/>
      <c r="AX106" s="450"/>
      <c r="AY106" s="450"/>
      <c r="AZ106" s="319">
        <f t="shared" si="55"/>
        <v>13400</v>
      </c>
      <c r="BA106" s="450">
        <f t="shared" si="91"/>
        <v>13400</v>
      </c>
      <c r="BB106" s="450"/>
      <c r="BC106" s="451"/>
      <c r="BD106" s="451"/>
      <c r="BE106" s="319">
        <f t="shared" si="56"/>
        <v>13400</v>
      </c>
      <c r="BF106" s="450">
        <f t="shared" si="95"/>
        <v>13400</v>
      </c>
      <c r="BG106" s="451"/>
      <c r="BH106" s="451"/>
      <c r="BI106" s="451"/>
      <c r="BJ106" s="319">
        <f t="shared" si="57"/>
        <v>13400</v>
      </c>
      <c r="BK106" s="451"/>
      <c r="BL106" s="451"/>
      <c r="BM106" s="451"/>
      <c r="BN106" s="451"/>
      <c r="BO106" s="319">
        <f t="shared" si="58"/>
        <v>0</v>
      </c>
      <c r="BP106" s="451"/>
      <c r="BQ106" s="451"/>
      <c r="BR106" s="451"/>
      <c r="BS106" s="451"/>
      <c r="BT106" s="319">
        <f t="shared" si="59"/>
        <v>0</v>
      </c>
      <c r="BU106" s="451"/>
      <c r="BV106" s="451"/>
      <c r="BW106" s="451"/>
      <c r="BX106" s="451"/>
      <c r="BY106" s="319">
        <f t="shared" si="60"/>
        <v>0</v>
      </c>
      <c r="BZ106" s="451"/>
      <c r="CA106" s="451"/>
      <c r="CB106" s="451"/>
      <c r="CC106" s="451"/>
      <c r="CD106" s="319">
        <f t="shared" si="61"/>
        <v>0</v>
      </c>
      <c r="CE106" s="451"/>
      <c r="CF106" s="451"/>
      <c r="CG106" s="451"/>
      <c r="CH106" s="451"/>
      <c r="CI106" s="319">
        <f t="shared" si="62"/>
        <v>0</v>
      </c>
      <c r="CJ106" s="451"/>
      <c r="CK106" s="451"/>
      <c r="CL106" s="451"/>
      <c r="CM106" s="451"/>
      <c r="CN106" s="319">
        <f t="shared" si="63"/>
        <v>0</v>
      </c>
      <c r="CO106" s="451">
        <f t="shared" si="79"/>
        <v>80400</v>
      </c>
      <c r="CP106" s="451">
        <f t="shared" si="80"/>
        <v>80400</v>
      </c>
      <c r="CQ106" s="452">
        <f t="shared" si="51"/>
        <v>1</v>
      </c>
    </row>
    <row r="107" spans="1:95" ht="12.75">
      <c r="A107" s="318"/>
      <c r="B107" s="319" t="s">
        <v>323</v>
      </c>
      <c r="C107" s="319" t="s">
        <v>334</v>
      </c>
      <c r="D107" s="319">
        <v>2</v>
      </c>
      <c r="E107" s="319">
        <v>17500</v>
      </c>
      <c r="F107" s="319">
        <f t="shared" si="92"/>
        <v>35000</v>
      </c>
      <c r="G107" s="319">
        <f t="shared" si="81"/>
        <v>3398.058252427184</v>
      </c>
      <c r="H107" s="319"/>
      <c r="I107" s="319"/>
      <c r="J107" s="328"/>
      <c r="K107" s="319"/>
      <c r="L107" s="322"/>
      <c r="M107" s="328">
        <f t="shared" si="82"/>
        <v>18947.36842105263</v>
      </c>
      <c r="N107" s="319">
        <f t="shared" si="96"/>
        <v>263.15789473684208</v>
      </c>
      <c r="O107" s="322">
        <f t="shared" si="77"/>
        <v>0.25901367592208868</v>
      </c>
      <c r="P107" s="328">
        <f t="shared" si="83"/>
        <v>16052.631578947367</v>
      </c>
      <c r="Q107" s="319">
        <f t="shared" si="85"/>
        <v>263.15789473684208</v>
      </c>
      <c r="R107" s="322">
        <f t="shared" si="86"/>
        <v>0.21694797587538506</v>
      </c>
      <c r="S107" s="363">
        <f t="shared" si="84"/>
        <v>35000</v>
      </c>
      <c r="T107" s="330">
        <f t="shared" si="87"/>
        <v>263.15789473684208</v>
      </c>
      <c r="U107" s="322">
        <f t="shared" si="93"/>
        <v>0.2378606136803833</v>
      </c>
      <c r="V107" s="326">
        <f t="shared" si="78"/>
        <v>2.7509174210198582E-3</v>
      </c>
      <c r="W107" s="327">
        <f t="shared" si="43"/>
        <v>2.2580645860561938E-3</v>
      </c>
      <c r="X107" s="433"/>
      <c r="Y107" s="437"/>
      <c r="Z107" s="327"/>
      <c r="AA107" s="327"/>
      <c r="AB107" s="507"/>
      <c r="AC107" s="263"/>
      <c r="AD107" s="327"/>
      <c r="AE107" s="264"/>
      <c r="AF107" s="450" t="s">
        <v>323</v>
      </c>
      <c r="AG107" s="450">
        <f t="shared" si="88"/>
        <v>5833.333333333333</v>
      </c>
      <c r="AH107" s="450"/>
      <c r="AI107" s="450"/>
      <c r="AJ107" s="450"/>
      <c r="AK107" s="319">
        <f t="shared" si="52"/>
        <v>5833.333333333333</v>
      </c>
      <c r="AL107" s="450">
        <f t="shared" si="89"/>
        <v>5833.333333333333</v>
      </c>
      <c r="AM107" s="450"/>
      <c r="AN107" s="451"/>
      <c r="AO107" s="451"/>
      <c r="AP107" s="319">
        <f t="shared" si="53"/>
        <v>5833.333333333333</v>
      </c>
      <c r="AQ107" s="450">
        <f t="shared" si="94"/>
        <v>5833.333333333333</v>
      </c>
      <c r="AR107" s="451"/>
      <c r="AS107" s="451"/>
      <c r="AT107" s="451"/>
      <c r="AU107" s="319">
        <f t="shared" si="54"/>
        <v>5833.333333333333</v>
      </c>
      <c r="AV107" s="450">
        <f t="shared" si="90"/>
        <v>5833.333333333333</v>
      </c>
      <c r="AW107" s="450"/>
      <c r="AX107" s="450"/>
      <c r="AY107" s="450"/>
      <c r="AZ107" s="319">
        <f t="shared" si="55"/>
        <v>5833.333333333333</v>
      </c>
      <c r="BA107" s="450">
        <f t="shared" si="91"/>
        <v>5833.333333333333</v>
      </c>
      <c r="BB107" s="450"/>
      <c r="BC107" s="451"/>
      <c r="BD107" s="451"/>
      <c r="BE107" s="319">
        <f t="shared" si="56"/>
        <v>5833.333333333333</v>
      </c>
      <c r="BF107" s="450">
        <f t="shared" si="95"/>
        <v>5833.333333333333</v>
      </c>
      <c r="BG107" s="451"/>
      <c r="BH107" s="451"/>
      <c r="BI107" s="451"/>
      <c r="BJ107" s="319">
        <f t="shared" si="57"/>
        <v>5833.333333333333</v>
      </c>
      <c r="BK107" s="451"/>
      <c r="BL107" s="451"/>
      <c r="BM107" s="451"/>
      <c r="BN107" s="451"/>
      <c r="BO107" s="319">
        <f t="shared" si="58"/>
        <v>0</v>
      </c>
      <c r="BP107" s="451"/>
      <c r="BQ107" s="451"/>
      <c r="BR107" s="451"/>
      <c r="BS107" s="451"/>
      <c r="BT107" s="319">
        <f t="shared" si="59"/>
        <v>0</v>
      </c>
      <c r="BU107" s="451"/>
      <c r="BV107" s="451"/>
      <c r="BW107" s="451"/>
      <c r="BX107" s="451"/>
      <c r="BY107" s="319">
        <f t="shared" si="60"/>
        <v>0</v>
      </c>
      <c r="BZ107" s="451"/>
      <c r="CA107" s="451"/>
      <c r="CB107" s="451"/>
      <c r="CC107" s="451"/>
      <c r="CD107" s="319">
        <f t="shared" si="61"/>
        <v>0</v>
      </c>
      <c r="CE107" s="451"/>
      <c r="CF107" s="451"/>
      <c r="CG107" s="451"/>
      <c r="CH107" s="451"/>
      <c r="CI107" s="319">
        <f t="shared" si="62"/>
        <v>0</v>
      </c>
      <c r="CJ107" s="451"/>
      <c r="CK107" s="451"/>
      <c r="CL107" s="451"/>
      <c r="CM107" s="451"/>
      <c r="CN107" s="319">
        <f t="shared" si="63"/>
        <v>0</v>
      </c>
      <c r="CO107" s="451">
        <f t="shared" si="79"/>
        <v>35000</v>
      </c>
      <c r="CP107" s="451">
        <f t="shared" si="80"/>
        <v>35000</v>
      </c>
      <c r="CQ107" s="452">
        <f t="shared" si="51"/>
        <v>1</v>
      </c>
    </row>
    <row r="108" spans="1:95" ht="12.75">
      <c r="A108" s="318"/>
      <c r="B108" s="319" t="s">
        <v>324</v>
      </c>
      <c r="C108" s="319" t="s">
        <v>334</v>
      </c>
      <c r="D108" s="319">
        <v>9</v>
      </c>
      <c r="E108" s="319">
        <v>2000</v>
      </c>
      <c r="F108" s="319">
        <f t="shared" si="92"/>
        <v>18000</v>
      </c>
      <c r="G108" s="319">
        <f t="shared" si="81"/>
        <v>1747.5728155339805</v>
      </c>
      <c r="H108" s="319"/>
      <c r="I108" s="319"/>
      <c r="J108" s="328"/>
      <c r="K108" s="319"/>
      <c r="L108" s="322"/>
      <c r="M108" s="328">
        <f t="shared" si="82"/>
        <v>9744.3609022556393</v>
      </c>
      <c r="N108" s="319">
        <f t="shared" si="96"/>
        <v>135.33834586466165</v>
      </c>
      <c r="O108" s="322">
        <f t="shared" si="77"/>
        <v>0.13320703333135989</v>
      </c>
      <c r="P108" s="328">
        <f t="shared" si="83"/>
        <v>8255.6390977443607</v>
      </c>
      <c r="Q108" s="319">
        <f t="shared" si="85"/>
        <v>135.33834586466165</v>
      </c>
      <c r="R108" s="322">
        <f t="shared" si="86"/>
        <v>0.11157324473591232</v>
      </c>
      <c r="S108" s="363">
        <f t="shared" si="84"/>
        <v>18000</v>
      </c>
      <c r="T108" s="330">
        <f t="shared" si="87"/>
        <v>135.33834586466165</v>
      </c>
      <c r="U108" s="322">
        <f t="shared" si="93"/>
        <v>0.12232831560705426</v>
      </c>
      <c r="V108" s="326">
        <f t="shared" si="78"/>
        <v>1.4147575308102128E-3</v>
      </c>
      <c r="W108" s="327">
        <f t="shared" si="43"/>
        <v>1.1612903585431853E-3</v>
      </c>
      <c r="X108" s="433"/>
      <c r="Y108" s="437"/>
      <c r="Z108" s="327"/>
      <c r="AA108" s="327"/>
      <c r="AB108" s="507"/>
      <c r="AC108" s="263"/>
      <c r="AD108" s="327"/>
      <c r="AE108" s="264"/>
      <c r="AF108" s="450" t="s">
        <v>324</v>
      </c>
      <c r="AG108" s="450">
        <f t="shared" si="88"/>
        <v>3000</v>
      </c>
      <c r="AH108" s="450"/>
      <c r="AI108" s="450"/>
      <c r="AJ108" s="450"/>
      <c r="AK108" s="319">
        <f t="shared" si="52"/>
        <v>3000</v>
      </c>
      <c r="AL108" s="450">
        <f t="shared" si="89"/>
        <v>3000</v>
      </c>
      <c r="AM108" s="450"/>
      <c r="AN108" s="451"/>
      <c r="AO108" s="451"/>
      <c r="AP108" s="319">
        <f t="shared" si="53"/>
        <v>3000</v>
      </c>
      <c r="AQ108" s="450">
        <f t="shared" si="94"/>
        <v>3000</v>
      </c>
      <c r="AR108" s="451"/>
      <c r="AS108" s="451"/>
      <c r="AT108" s="451"/>
      <c r="AU108" s="319">
        <f t="shared" si="54"/>
        <v>3000</v>
      </c>
      <c r="AV108" s="450">
        <f t="shared" si="90"/>
        <v>3000</v>
      </c>
      <c r="AW108" s="450"/>
      <c r="AX108" s="450"/>
      <c r="AY108" s="450"/>
      <c r="AZ108" s="319">
        <f t="shared" si="55"/>
        <v>3000</v>
      </c>
      <c r="BA108" s="450">
        <f t="shared" si="91"/>
        <v>3000</v>
      </c>
      <c r="BB108" s="450"/>
      <c r="BC108" s="451"/>
      <c r="BD108" s="451"/>
      <c r="BE108" s="319">
        <f t="shared" si="56"/>
        <v>3000</v>
      </c>
      <c r="BF108" s="450">
        <f t="shared" si="95"/>
        <v>3000</v>
      </c>
      <c r="BG108" s="451"/>
      <c r="BH108" s="451"/>
      <c r="BI108" s="451"/>
      <c r="BJ108" s="319">
        <f t="shared" si="57"/>
        <v>3000</v>
      </c>
      <c r="BK108" s="451"/>
      <c r="BL108" s="451"/>
      <c r="BM108" s="451"/>
      <c r="BN108" s="451"/>
      <c r="BO108" s="319">
        <f t="shared" si="58"/>
        <v>0</v>
      </c>
      <c r="BP108" s="451"/>
      <c r="BQ108" s="451"/>
      <c r="BR108" s="451"/>
      <c r="BS108" s="451"/>
      <c r="BT108" s="319">
        <f t="shared" si="59"/>
        <v>0</v>
      </c>
      <c r="BU108" s="451"/>
      <c r="BV108" s="451"/>
      <c r="BW108" s="451"/>
      <c r="BX108" s="451"/>
      <c r="BY108" s="319">
        <f t="shared" si="60"/>
        <v>0</v>
      </c>
      <c r="BZ108" s="451"/>
      <c r="CA108" s="451"/>
      <c r="CB108" s="451"/>
      <c r="CC108" s="451"/>
      <c r="CD108" s="319">
        <f t="shared" si="61"/>
        <v>0</v>
      </c>
      <c r="CE108" s="451"/>
      <c r="CF108" s="451"/>
      <c r="CG108" s="451"/>
      <c r="CH108" s="451"/>
      <c r="CI108" s="319">
        <f t="shared" si="62"/>
        <v>0</v>
      </c>
      <c r="CJ108" s="451"/>
      <c r="CK108" s="451"/>
      <c r="CL108" s="451"/>
      <c r="CM108" s="451"/>
      <c r="CN108" s="319">
        <f t="shared" si="63"/>
        <v>0</v>
      </c>
      <c r="CO108" s="451">
        <f t="shared" si="79"/>
        <v>18000</v>
      </c>
      <c r="CP108" s="451">
        <f t="shared" si="80"/>
        <v>18000</v>
      </c>
      <c r="CQ108" s="452">
        <f t="shared" si="51"/>
        <v>1</v>
      </c>
    </row>
    <row r="109" spans="1:95" ht="12.75">
      <c r="A109" s="318"/>
      <c r="B109" s="319" t="s">
        <v>328</v>
      </c>
      <c r="C109" s="319" t="s">
        <v>333</v>
      </c>
      <c r="D109" s="319">
        <v>1860</v>
      </c>
      <c r="E109" s="322">
        <v>25</v>
      </c>
      <c r="F109" s="319">
        <f t="shared" si="92"/>
        <v>46500</v>
      </c>
      <c r="G109" s="319">
        <f t="shared" si="81"/>
        <v>4514.5631067961158</v>
      </c>
      <c r="H109" s="319"/>
      <c r="I109" s="319"/>
      <c r="J109" s="328"/>
      <c r="K109" s="319"/>
      <c r="L109" s="322"/>
      <c r="M109" s="328">
        <f t="shared" si="82"/>
        <v>25172.932330827069</v>
      </c>
      <c r="N109" s="319">
        <f t="shared" si="96"/>
        <v>349.62406015037595</v>
      </c>
      <c r="O109" s="322">
        <f t="shared" si="77"/>
        <v>0.34411816943934642</v>
      </c>
      <c r="P109" s="328">
        <f t="shared" si="83"/>
        <v>21327.067669172931</v>
      </c>
      <c r="Q109" s="319">
        <f t="shared" si="85"/>
        <v>349.62406015037595</v>
      </c>
      <c r="R109" s="322">
        <f t="shared" si="86"/>
        <v>0.28823088223444021</v>
      </c>
      <c r="S109" s="363">
        <f t="shared" si="84"/>
        <v>46500</v>
      </c>
      <c r="T109" s="330">
        <f t="shared" si="87"/>
        <v>349.62406015037595</v>
      </c>
      <c r="U109" s="322">
        <f t="shared" si="93"/>
        <v>0.31601481531822351</v>
      </c>
      <c r="V109" s="326">
        <f t="shared" si="78"/>
        <v>3.654790287926383E-3</v>
      </c>
      <c r="W109" s="327">
        <f t="shared" si="43"/>
        <v>3.0000000929032286E-3</v>
      </c>
      <c r="X109" s="433"/>
      <c r="Y109" s="437"/>
      <c r="Z109" s="327"/>
      <c r="AA109" s="327"/>
      <c r="AB109" s="507"/>
      <c r="AC109" s="263"/>
      <c r="AD109" s="327"/>
      <c r="AE109" s="264"/>
      <c r="AF109" s="450" t="s">
        <v>328</v>
      </c>
      <c r="AG109" s="450">
        <f t="shared" si="88"/>
        <v>7750</v>
      </c>
      <c r="AH109" s="450"/>
      <c r="AI109" s="450"/>
      <c r="AJ109" s="450"/>
      <c r="AK109" s="319">
        <f t="shared" si="52"/>
        <v>7750</v>
      </c>
      <c r="AL109" s="450">
        <f t="shared" si="89"/>
        <v>7750</v>
      </c>
      <c r="AM109" s="450"/>
      <c r="AN109" s="451"/>
      <c r="AO109" s="451"/>
      <c r="AP109" s="319">
        <f t="shared" si="53"/>
        <v>7750</v>
      </c>
      <c r="AQ109" s="450">
        <f t="shared" si="94"/>
        <v>7750</v>
      </c>
      <c r="AR109" s="451"/>
      <c r="AS109" s="451"/>
      <c r="AT109" s="451"/>
      <c r="AU109" s="319">
        <f t="shared" si="54"/>
        <v>7750</v>
      </c>
      <c r="AV109" s="450">
        <f t="shared" si="90"/>
        <v>7750</v>
      </c>
      <c r="AW109" s="450"/>
      <c r="AX109" s="450"/>
      <c r="AY109" s="450"/>
      <c r="AZ109" s="319">
        <f t="shared" si="55"/>
        <v>7750</v>
      </c>
      <c r="BA109" s="450">
        <f t="shared" si="91"/>
        <v>7750</v>
      </c>
      <c r="BB109" s="450"/>
      <c r="BC109" s="451"/>
      <c r="BD109" s="451"/>
      <c r="BE109" s="319">
        <f t="shared" si="56"/>
        <v>7750</v>
      </c>
      <c r="BF109" s="450">
        <f t="shared" si="95"/>
        <v>7750</v>
      </c>
      <c r="BG109" s="451"/>
      <c r="BH109" s="451"/>
      <c r="BI109" s="451"/>
      <c r="BJ109" s="319">
        <f t="shared" si="57"/>
        <v>7750</v>
      </c>
      <c r="BK109" s="451"/>
      <c r="BL109" s="451"/>
      <c r="BM109" s="451"/>
      <c r="BN109" s="451"/>
      <c r="BO109" s="319">
        <f t="shared" si="58"/>
        <v>0</v>
      </c>
      <c r="BP109" s="451"/>
      <c r="BQ109" s="451"/>
      <c r="BR109" s="451"/>
      <c r="BS109" s="451"/>
      <c r="BT109" s="319">
        <f t="shared" si="59"/>
        <v>0</v>
      </c>
      <c r="BU109" s="451"/>
      <c r="BV109" s="451"/>
      <c r="BW109" s="451"/>
      <c r="BX109" s="451"/>
      <c r="BY109" s="319">
        <f t="shared" si="60"/>
        <v>0</v>
      </c>
      <c r="BZ109" s="451"/>
      <c r="CA109" s="451"/>
      <c r="CB109" s="451"/>
      <c r="CC109" s="451"/>
      <c r="CD109" s="319">
        <f t="shared" si="61"/>
        <v>0</v>
      </c>
      <c r="CE109" s="451"/>
      <c r="CF109" s="451"/>
      <c r="CG109" s="451"/>
      <c r="CH109" s="451"/>
      <c r="CI109" s="319">
        <f t="shared" si="62"/>
        <v>0</v>
      </c>
      <c r="CJ109" s="451"/>
      <c r="CK109" s="451"/>
      <c r="CL109" s="451"/>
      <c r="CM109" s="451"/>
      <c r="CN109" s="319">
        <f t="shared" si="63"/>
        <v>0</v>
      </c>
      <c r="CO109" s="451">
        <f t="shared" si="79"/>
        <v>46500</v>
      </c>
      <c r="CP109" s="451">
        <f t="shared" si="80"/>
        <v>46500</v>
      </c>
      <c r="CQ109" s="452">
        <f t="shared" si="51"/>
        <v>1</v>
      </c>
    </row>
    <row r="110" spans="1:95" ht="12.75">
      <c r="A110" s="318"/>
      <c r="B110" s="319" t="s">
        <v>329</v>
      </c>
      <c r="C110" s="319" t="s">
        <v>334</v>
      </c>
      <c r="D110" s="319">
        <v>12</v>
      </c>
      <c r="E110" s="319">
        <v>2000</v>
      </c>
      <c r="F110" s="319">
        <f t="shared" si="92"/>
        <v>24000</v>
      </c>
      <c r="G110" s="319">
        <f t="shared" si="81"/>
        <v>2330.0970873786405</v>
      </c>
      <c r="H110" s="319"/>
      <c r="I110" s="319"/>
      <c r="J110" s="328"/>
      <c r="K110" s="319"/>
      <c r="L110" s="322"/>
      <c r="M110" s="328">
        <f t="shared" si="82"/>
        <v>12992.481203007519</v>
      </c>
      <c r="N110" s="319">
        <f t="shared" si="96"/>
        <v>180.45112781954887</v>
      </c>
      <c r="O110" s="322">
        <f t="shared" si="77"/>
        <v>0.17760937777514652</v>
      </c>
      <c r="P110" s="328">
        <f t="shared" si="83"/>
        <v>11007.518796992481</v>
      </c>
      <c r="Q110" s="319">
        <f t="shared" si="85"/>
        <v>180.45112781954887</v>
      </c>
      <c r="R110" s="322">
        <f t="shared" si="86"/>
        <v>0.14876432631454978</v>
      </c>
      <c r="S110" s="363">
        <f t="shared" si="84"/>
        <v>24000</v>
      </c>
      <c r="T110" s="330">
        <f t="shared" si="87"/>
        <v>180.45112781954887</v>
      </c>
      <c r="U110" s="322">
        <f t="shared" si="93"/>
        <v>0.16310442080940568</v>
      </c>
      <c r="V110" s="326">
        <f t="shared" si="78"/>
        <v>1.886343374413617E-3</v>
      </c>
      <c r="W110" s="327">
        <f t="shared" si="43"/>
        <v>1.5483871447242472E-3</v>
      </c>
      <c r="X110" s="433"/>
      <c r="Y110" s="437"/>
      <c r="Z110" s="327"/>
      <c r="AA110" s="327"/>
      <c r="AB110" s="507"/>
      <c r="AC110" s="263"/>
      <c r="AD110" s="327"/>
      <c r="AE110" s="264"/>
      <c r="AF110" s="450" t="s">
        <v>329</v>
      </c>
      <c r="AG110" s="450">
        <f t="shared" si="88"/>
        <v>4000</v>
      </c>
      <c r="AH110" s="450"/>
      <c r="AI110" s="450"/>
      <c r="AJ110" s="450"/>
      <c r="AK110" s="319">
        <f t="shared" si="52"/>
        <v>4000</v>
      </c>
      <c r="AL110" s="450">
        <f t="shared" si="89"/>
        <v>4000</v>
      </c>
      <c r="AM110" s="450"/>
      <c r="AN110" s="451"/>
      <c r="AO110" s="451"/>
      <c r="AP110" s="319">
        <f t="shared" si="53"/>
        <v>4000</v>
      </c>
      <c r="AQ110" s="450">
        <f t="shared" si="94"/>
        <v>4000</v>
      </c>
      <c r="AR110" s="451"/>
      <c r="AS110" s="451"/>
      <c r="AT110" s="451"/>
      <c r="AU110" s="319">
        <f t="shared" si="54"/>
        <v>4000</v>
      </c>
      <c r="AV110" s="450">
        <f t="shared" si="90"/>
        <v>4000</v>
      </c>
      <c r="AW110" s="450"/>
      <c r="AX110" s="450"/>
      <c r="AY110" s="450"/>
      <c r="AZ110" s="319">
        <f t="shared" si="55"/>
        <v>4000</v>
      </c>
      <c r="BA110" s="450">
        <f t="shared" si="91"/>
        <v>4000</v>
      </c>
      <c r="BB110" s="450"/>
      <c r="BC110" s="451"/>
      <c r="BD110" s="451"/>
      <c r="BE110" s="319">
        <f t="shared" si="56"/>
        <v>4000</v>
      </c>
      <c r="BF110" s="450">
        <f t="shared" si="95"/>
        <v>4000</v>
      </c>
      <c r="BG110" s="451"/>
      <c r="BH110" s="451"/>
      <c r="BI110" s="451"/>
      <c r="BJ110" s="319">
        <f t="shared" si="57"/>
        <v>4000</v>
      </c>
      <c r="BK110" s="451"/>
      <c r="BL110" s="451"/>
      <c r="BM110" s="451"/>
      <c r="BN110" s="451"/>
      <c r="BO110" s="319">
        <f t="shared" si="58"/>
        <v>0</v>
      </c>
      <c r="BP110" s="451"/>
      <c r="BQ110" s="451"/>
      <c r="BR110" s="451"/>
      <c r="BS110" s="451"/>
      <c r="BT110" s="319">
        <f t="shared" si="59"/>
        <v>0</v>
      </c>
      <c r="BU110" s="451"/>
      <c r="BV110" s="451"/>
      <c r="BW110" s="451"/>
      <c r="BX110" s="451"/>
      <c r="BY110" s="319">
        <f t="shared" si="60"/>
        <v>0</v>
      </c>
      <c r="BZ110" s="451"/>
      <c r="CA110" s="451"/>
      <c r="CB110" s="451"/>
      <c r="CC110" s="451"/>
      <c r="CD110" s="319">
        <f t="shared" si="61"/>
        <v>0</v>
      </c>
      <c r="CE110" s="451"/>
      <c r="CF110" s="451"/>
      <c r="CG110" s="451"/>
      <c r="CH110" s="451"/>
      <c r="CI110" s="319">
        <f t="shared" si="62"/>
        <v>0</v>
      </c>
      <c r="CJ110" s="451"/>
      <c r="CK110" s="451"/>
      <c r="CL110" s="451"/>
      <c r="CM110" s="451"/>
      <c r="CN110" s="319">
        <f t="shared" si="63"/>
        <v>0</v>
      </c>
      <c r="CO110" s="451">
        <f t="shared" si="79"/>
        <v>24000</v>
      </c>
      <c r="CP110" s="451">
        <f t="shared" si="80"/>
        <v>24000</v>
      </c>
      <c r="CQ110" s="452">
        <f t="shared" si="51"/>
        <v>1</v>
      </c>
    </row>
    <row r="111" spans="1:95" ht="12.75">
      <c r="A111" s="318"/>
      <c r="B111" s="319" t="s">
        <v>327</v>
      </c>
      <c r="C111" s="319" t="s">
        <v>334</v>
      </c>
      <c r="D111" s="319">
        <v>2</v>
      </c>
      <c r="E111" s="319">
        <v>2000</v>
      </c>
      <c r="F111" s="319">
        <f t="shared" si="92"/>
        <v>4000</v>
      </c>
      <c r="G111" s="319">
        <f t="shared" si="81"/>
        <v>388.34951456310677</v>
      </c>
      <c r="H111" s="319"/>
      <c r="I111" s="319"/>
      <c r="J111" s="328"/>
      <c r="K111" s="319"/>
      <c r="L111" s="322"/>
      <c r="M111" s="328">
        <f t="shared" si="82"/>
        <v>2165.4135338345864</v>
      </c>
      <c r="N111" s="319">
        <f t="shared" si="96"/>
        <v>30.075187969924812</v>
      </c>
      <c r="O111" s="322">
        <f t="shared" si="77"/>
        <v>2.9601562962524423E-2</v>
      </c>
      <c r="P111" s="328">
        <f t="shared" si="83"/>
        <v>1834.5864661654136</v>
      </c>
      <c r="Q111" s="319">
        <f t="shared" si="85"/>
        <v>30.075187969924812</v>
      </c>
      <c r="R111" s="322">
        <f t="shared" si="86"/>
        <v>2.4794054385758296E-2</v>
      </c>
      <c r="S111" s="363">
        <f t="shared" si="84"/>
        <v>4000</v>
      </c>
      <c r="T111" s="330">
        <f t="shared" si="87"/>
        <v>30.075187969924812</v>
      </c>
      <c r="U111" s="322">
        <f t="shared" si="93"/>
        <v>2.7184070134900949E-2</v>
      </c>
      <c r="V111" s="326">
        <f t="shared" si="78"/>
        <v>3.1439056240226951E-4</v>
      </c>
      <c r="W111" s="327">
        <f t="shared" si="43"/>
        <v>2.5806452412070784E-4</v>
      </c>
      <c r="X111" s="433"/>
      <c r="Y111" s="437"/>
      <c r="Z111" s="327"/>
      <c r="AA111" s="327"/>
      <c r="AB111" s="507"/>
      <c r="AC111" s="263"/>
      <c r="AD111" s="327"/>
      <c r="AE111" s="264"/>
      <c r="AF111" s="450" t="s">
        <v>327</v>
      </c>
      <c r="AG111" s="450">
        <f t="shared" si="88"/>
        <v>666.66666666666663</v>
      </c>
      <c r="AH111" s="450"/>
      <c r="AI111" s="450"/>
      <c r="AJ111" s="450"/>
      <c r="AK111" s="319">
        <f t="shared" si="52"/>
        <v>666.66666666666663</v>
      </c>
      <c r="AL111" s="450">
        <f t="shared" si="89"/>
        <v>666.66666666666663</v>
      </c>
      <c r="AM111" s="450"/>
      <c r="AN111" s="451"/>
      <c r="AO111" s="451"/>
      <c r="AP111" s="319">
        <f t="shared" si="53"/>
        <v>666.66666666666663</v>
      </c>
      <c r="AQ111" s="450">
        <f t="shared" si="94"/>
        <v>666.66666666666663</v>
      </c>
      <c r="AR111" s="451"/>
      <c r="AS111" s="451"/>
      <c r="AT111" s="451"/>
      <c r="AU111" s="319">
        <f t="shared" si="54"/>
        <v>666.66666666666663</v>
      </c>
      <c r="AV111" s="450">
        <f t="shared" si="90"/>
        <v>666.66666666666663</v>
      </c>
      <c r="AW111" s="450"/>
      <c r="AX111" s="450"/>
      <c r="AY111" s="450"/>
      <c r="AZ111" s="319">
        <f t="shared" si="55"/>
        <v>666.66666666666663</v>
      </c>
      <c r="BA111" s="450">
        <f t="shared" si="91"/>
        <v>666.66666666666663</v>
      </c>
      <c r="BB111" s="450"/>
      <c r="BC111" s="451"/>
      <c r="BD111" s="451"/>
      <c r="BE111" s="319">
        <f t="shared" si="56"/>
        <v>666.66666666666663</v>
      </c>
      <c r="BF111" s="450">
        <f t="shared" si="95"/>
        <v>666.66666666666663</v>
      </c>
      <c r="BG111" s="451"/>
      <c r="BH111" s="451"/>
      <c r="BI111" s="451"/>
      <c r="BJ111" s="319">
        <f t="shared" si="57"/>
        <v>666.66666666666663</v>
      </c>
      <c r="BK111" s="451"/>
      <c r="BL111" s="451"/>
      <c r="BM111" s="451"/>
      <c r="BN111" s="451"/>
      <c r="BO111" s="319">
        <f t="shared" si="58"/>
        <v>0</v>
      </c>
      <c r="BP111" s="451"/>
      <c r="BQ111" s="451"/>
      <c r="BR111" s="451"/>
      <c r="BS111" s="451"/>
      <c r="BT111" s="319">
        <f t="shared" si="59"/>
        <v>0</v>
      </c>
      <c r="BU111" s="451"/>
      <c r="BV111" s="451"/>
      <c r="BW111" s="451"/>
      <c r="BX111" s="451"/>
      <c r="BY111" s="319">
        <f t="shared" si="60"/>
        <v>0</v>
      </c>
      <c r="BZ111" s="451"/>
      <c r="CA111" s="451"/>
      <c r="CB111" s="451"/>
      <c r="CC111" s="451"/>
      <c r="CD111" s="319">
        <f t="shared" si="61"/>
        <v>0</v>
      </c>
      <c r="CE111" s="451"/>
      <c r="CF111" s="451"/>
      <c r="CG111" s="451"/>
      <c r="CH111" s="451"/>
      <c r="CI111" s="319">
        <f t="shared" si="62"/>
        <v>0</v>
      </c>
      <c r="CJ111" s="451"/>
      <c r="CK111" s="451"/>
      <c r="CL111" s="451"/>
      <c r="CM111" s="451"/>
      <c r="CN111" s="319">
        <f t="shared" si="63"/>
        <v>0</v>
      </c>
      <c r="CO111" s="451">
        <f t="shared" si="79"/>
        <v>3999.9999999999995</v>
      </c>
      <c r="CP111" s="451">
        <f t="shared" si="80"/>
        <v>4000</v>
      </c>
      <c r="CQ111" s="452">
        <f t="shared" si="51"/>
        <v>0.99999999999999989</v>
      </c>
    </row>
    <row r="112" spans="1:95" ht="12.75">
      <c r="A112" s="318"/>
      <c r="B112" s="319" t="s">
        <v>251</v>
      </c>
      <c r="C112" s="319" t="s">
        <v>326</v>
      </c>
      <c r="D112" s="319">
        <v>1</v>
      </c>
      <c r="E112" s="319">
        <v>10000</v>
      </c>
      <c r="F112" s="319">
        <f t="shared" si="92"/>
        <v>10000</v>
      </c>
      <c r="G112" s="319">
        <f>F112/10.3</f>
        <v>970.87378640776694</v>
      </c>
      <c r="H112" s="319"/>
      <c r="I112" s="319"/>
      <c r="J112" s="328"/>
      <c r="K112" s="319"/>
      <c r="L112" s="322"/>
      <c r="M112" s="328">
        <f t="shared" si="82"/>
        <v>5413.5338345864657</v>
      </c>
      <c r="N112" s="319">
        <f t="shared" si="96"/>
        <v>75.187969924812023</v>
      </c>
      <c r="O112" s="322">
        <f t="shared" si="77"/>
        <v>7.4003907406311048E-2</v>
      </c>
      <c r="P112" s="328">
        <f t="shared" si="83"/>
        <v>4586.4661654135334</v>
      </c>
      <c r="Q112" s="319">
        <f t="shared" si="85"/>
        <v>75.187969924812023</v>
      </c>
      <c r="R112" s="322">
        <f t="shared" si="86"/>
        <v>6.1985135964395734E-2</v>
      </c>
      <c r="S112" s="363">
        <f t="shared" si="84"/>
        <v>10000</v>
      </c>
      <c r="T112" s="330">
        <f t="shared" si="87"/>
        <v>75.187969924812023</v>
      </c>
      <c r="U112" s="322">
        <f t="shared" si="93"/>
        <v>6.7960175337252376E-2</v>
      </c>
      <c r="V112" s="326">
        <f t="shared" si="78"/>
        <v>7.8597640600567382E-4</v>
      </c>
      <c r="W112" s="327">
        <f t="shared" si="43"/>
        <v>6.4516131030176963E-4</v>
      </c>
      <c r="X112" s="433"/>
      <c r="Y112" s="437"/>
      <c r="Z112" s="327"/>
      <c r="AA112" s="327"/>
      <c r="AB112" s="507"/>
      <c r="AC112" s="263"/>
      <c r="AD112" s="327"/>
      <c r="AE112" s="264"/>
      <c r="AF112" s="450" t="s">
        <v>251</v>
      </c>
      <c r="AG112" s="450">
        <f t="shared" si="88"/>
        <v>1666.6666666666667</v>
      </c>
      <c r="AH112" s="450"/>
      <c r="AI112" s="450"/>
      <c r="AJ112" s="450"/>
      <c r="AK112" s="319">
        <f t="shared" si="52"/>
        <v>1666.6666666666667</v>
      </c>
      <c r="AL112" s="450">
        <f t="shared" si="89"/>
        <v>1666.6666666666667</v>
      </c>
      <c r="AM112" s="450"/>
      <c r="AN112" s="451"/>
      <c r="AO112" s="451"/>
      <c r="AP112" s="319">
        <f t="shared" si="53"/>
        <v>1666.6666666666667</v>
      </c>
      <c r="AQ112" s="450">
        <f t="shared" si="94"/>
        <v>1666.6666666666667</v>
      </c>
      <c r="AR112" s="451"/>
      <c r="AS112" s="451"/>
      <c r="AT112" s="451"/>
      <c r="AU112" s="319">
        <f t="shared" si="54"/>
        <v>1666.6666666666667</v>
      </c>
      <c r="AV112" s="450">
        <f t="shared" si="90"/>
        <v>1666.6666666666667</v>
      </c>
      <c r="AW112" s="450"/>
      <c r="AX112" s="450"/>
      <c r="AY112" s="450"/>
      <c r="AZ112" s="319">
        <f t="shared" si="55"/>
        <v>1666.6666666666667</v>
      </c>
      <c r="BA112" s="450">
        <f t="shared" si="91"/>
        <v>1666.6666666666667</v>
      </c>
      <c r="BB112" s="450"/>
      <c r="BC112" s="451"/>
      <c r="BD112" s="451"/>
      <c r="BE112" s="319">
        <f t="shared" si="56"/>
        <v>1666.6666666666667</v>
      </c>
      <c r="BF112" s="450">
        <f t="shared" si="95"/>
        <v>1666.6666666666667</v>
      </c>
      <c r="BG112" s="451"/>
      <c r="BH112" s="451"/>
      <c r="BI112" s="451"/>
      <c r="BJ112" s="319">
        <f t="shared" si="57"/>
        <v>1666.6666666666667</v>
      </c>
      <c r="BK112" s="451"/>
      <c r="BL112" s="451"/>
      <c r="BM112" s="451"/>
      <c r="BN112" s="451"/>
      <c r="BO112" s="319">
        <f t="shared" si="58"/>
        <v>0</v>
      </c>
      <c r="BP112" s="451"/>
      <c r="BQ112" s="451"/>
      <c r="BR112" s="451"/>
      <c r="BS112" s="451"/>
      <c r="BT112" s="319">
        <f t="shared" si="59"/>
        <v>0</v>
      </c>
      <c r="BU112" s="451"/>
      <c r="BV112" s="451"/>
      <c r="BW112" s="451"/>
      <c r="BX112" s="451"/>
      <c r="BY112" s="319">
        <f t="shared" si="60"/>
        <v>0</v>
      </c>
      <c r="BZ112" s="451"/>
      <c r="CA112" s="451"/>
      <c r="CB112" s="451"/>
      <c r="CC112" s="451"/>
      <c r="CD112" s="319">
        <f t="shared" si="61"/>
        <v>0</v>
      </c>
      <c r="CE112" s="451"/>
      <c r="CF112" s="451"/>
      <c r="CG112" s="451"/>
      <c r="CH112" s="451"/>
      <c r="CI112" s="319">
        <f t="shared" si="62"/>
        <v>0</v>
      </c>
      <c r="CJ112" s="451"/>
      <c r="CK112" s="451"/>
      <c r="CL112" s="451"/>
      <c r="CM112" s="451"/>
      <c r="CN112" s="319">
        <f t="shared" si="63"/>
        <v>0</v>
      </c>
      <c r="CO112" s="451">
        <f t="shared" si="79"/>
        <v>10000</v>
      </c>
      <c r="CP112" s="451">
        <f t="shared" si="80"/>
        <v>10000</v>
      </c>
      <c r="CQ112" s="452">
        <f t="shared" si="51"/>
        <v>1</v>
      </c>
    </row>
    <row r="113" spans="1:95" ht="12.75">
      <c r="A113" s="318"/>
      <c r="B113" s="319" t="s">
        <v>325</v>
      </c>
      <c r="C113" s="319" t="s">
        <v>326</v>
      </c>
      <c r="D113" s="319">
        <v>1</v>
      </c>
      <c r="E113" s="319">
        <v>75000</v>
      </c>
      <c r="F113" s="319">
        <f t="shared" si="92"/>
        <v>75000</v>
      </c>
      <c r="G113" s="319">
        <f>F113/10.3</f>
        <v>7281.5533980582522</v>
      </c>
      <c r="H113" s="319"/>
      <c r="I113" s="319"/>
      <c r="J113" s="328"/>
      <c r="K113" s="319"/>
      <c r="L113" s="322"/>
      <c r="M113" s="328">
        <f t="shared" si="82"/>
        <v>40601.503759398489</v>
      </c>
      <c r="N113" s="319">
        <f t="shared" si="96"/>
        <v>563.90977443609017</v>
      </c>
      <c r="O113" s="322">
        <f t="shared" si="77"/>
        <v>0.55502930554733287</v>
      </c>
      <c r="P113" s="328">
        <f t="shared" si="83"/>
        <v>34398.496240601504</v>
      </c>
      <c r="Q113" s="319">
        <f t="shared" si="85"/>
        <v>563.90977443609017</v>
      </c>
      <c r="R113" s="322">
        <f t="shared" si="86"/>
        <v>0.46488851973296802</v>
      </c>
      <c r="S113" s="363">
        <f t="shared" si="84"/>
        <v>75000</v>
      </c>
      <c r="T113" s="330">
        <f t="shared" si="87"/>
        <v>563.90977443609017</v>
      </c>
      <c r="U113" s="322">
        <f t="shared" si="93"/>
        <v>0.50970131502939275</v>
      </c>
      <c r="V113" s="326">
        <f>+S113/TotalCost</f>
        <v>5.8948230450425534E-3</v>
      </c>
      <c r="W113" s="327">
        <f t="shared" si="43"/>
        <v>4.8387098272632718E-3</v>
      </c>
      <c r="X113" s="433"/>
      <c r="Y113" s="437"/>
      <c r="Z113" s="327"/>
      <c r="AA113" s="327"/>
      <c r="AB113" s="507"/>
      <c r="AC113" s="263"/>
      <c r="AD113" s="327"/>
      <c r="AE113" s="264"/>
      <c r="AF113" s="450" t="s">
        <v>325</v>
      </c>
      <c r="AG113" s="450">
        <f t="shared" si="88"/>
        <v>12500</v>
      </c>
      <c r="AH113" s="450"/>
      <c r="AI113" s="450"/>
      <c r="AJ113" s="450"/>
      <c r="AK113" s="319">
        <f t="shared" si="52"/>
        <v>12500</v>
      </c>
      <c r="AL113" s="450">
        <f t="shared" si="89"/>
        <v>12500</v>
      </c>
      <c r="AM113" s="450"/>
      <c r="AN113" s="451"/>
      <c r="AO113" s="451"/>
      <c r="AP113" s="319">
        <f t="shared" si="53"/>
        <v>12500</v>
      </c>
      <c r="AQ113" s="450">
        <f t="shared" si="94"/>
        <v>12500</v>
      </c>
      <c r="AR113" s="451"/>
      <c r="AS113" s="451"/>
      <c r="AT113" s="451"/>
      <c r="AU113" s="319">
        <f t="shared" si="54"/>
        <v>12500</v>
      </c>
      <c r="AV113" s="450">
        <f t="shared" si="90"/>
        <v>12500</v>
      </c>
      <c r="AW113" s="450"/>
      <c r="AX113" s="450"/>
      <c r="AY113" s="450"/>
      <c r="AZ113" s="319">
        <f t="shared" si="55"/>
        <v>12500</v>
      </c>
      <c r="BA113" s="450">
        <f t="shared" si="91"/>
        <v>12500</v>
      </c>
      <c r="BB113" s="450"/>
      <c r="BC113" s="451"/>
      <c r="BD113" s="451"/>
      <c r="BE113" s="319">
        <f t="shared" si="56"/>
        <v>12500</v>
      </c>
      <c r="BF113" s="450">
        <f t="shared" si="95"/>
        <v>12500</v>
      </c>
      <c r="BG113" s="451"/>
      <c r="BH113" s="451"/>
      <c r="BI113" s="451"/>
      <c r="BJ113" s="319">
        <f t="shared" si="57"/>
        <v>12500</v>
      </c>
      <c r="BK113" s="451"/>
      <c r="BL113" s="451"/>
      <c r="BM113" s="451"/>
      <c r="BN113" s="451"/>
      <c r="BO113" s="319">
        <f t="shared" si="58"/>
        <v>0</v>
      </c>
      <c r="BP113" s="451"/>
      <c r="BQ113" s="451"/>
      <c r="BR113" s="451"/>
      <c r="BS113" s="451"/>
      <c r="BT113" s="319">
        <f t="shared" si="59"/>
        <v>0</v>
      </c>
      <c r="BU113" s="451"/>
      <c r="BV113" s="451"/>
      <c r="BW113" s="451"/>
      <c r="BX113" s="451"/>
      <c r="BY113" s="319">
        <f t="shared" si="60"/>
        <v>0</v>
      </c>
      <c r="BZ113" s="451"/>
      <c r="CA113" s="451"/>
      <c r="CB113" s="451"/>
      <c r="CC113" s="451"/>
      <c r="CD113" s="319">
        <f t="shared" si="61"/>
        <v>0</v>
      </c>
      <c r="CE113" s="451"/>
      <c r="CF113" s="451"/>
      <c r="CG113" s="451"/>
      <c r="CH113" s="451"/>
      <c r="CI113" s="319">
        <f t="shared" si="62"/>
        <v>0</v>
      </c>
      <c r="CJ113" s="451"/>
      <c r="CK113" s="451"/>
      <c r="CL113" s="451"/>
      <c r="CM113" s="451"/>
      <c r="CN113" s="319">
        <f t="shared" si="63"/>
        <v>0</v>
      </c>
      <c r="CO113" s="451">
        <f t="shared" si="79"/>
        <v>75000</v>
      </c>
      <c r="CP113" s="451">
        <f t="shared" si="80"/>
        <v>75000</v>
      </c>
      <c r="CQ113" s="452">
        <f t="shared" si="51"/>
        <v>1</v>
      </c>
    </row>
    <row r="114" spans="1:95" ht="12.75">
      <c r="A114" s="318"/>
      <c r="B114" s="319" t="s">
        <v>340</v>
      </c>
      <c r="C114" s="364" t="s">
        <v>326</v>
      </c>
      <c r="D114" s="365">
        <v>1</v>
      </c>
      <c r="E114" s="364">
        <v>53592</v>
      </c>
      <c r="F114" s="366">
        <f t="shared" si="92"/>
        <v>53592</v>
      </c>
      <c r="G114" s="319">
        <f>F114/10.3</f>
        <v>5203.1067961165045</v>
      </c>
      <c r="H114" s="319"/>
      <c r="I114" s="319"/>
      <c r="J114" s="367"/>
      <c r="K114" s="366"/>
      <c r="L114" s="365"/>
      <c r="M114" s="367">
        <f t="shared" si="82"/>
        <v>29012.21052631579</v>
      </c>
      <c r="N114" s="366">
        <f t="shared" si="96"/>
        <v>402.94736842105266</v>
      </c>
      <c r="O114" s="365">
        <f t="shared" si="77"/>
        <v>0.39660174057190223</v>
      </c>
      <c r="P114" s="367">
        <f t="shared" si="83"/>
        <v>24579.789473684214</v>
      </c>
      <c r="Q114" s="366">
        <f t="shared" si="85"/>
        <v>402.94736842105266</v>
      </c>
      <c r="R114" s="365">
        <f t="shared" si="86"/>
        <v>0.33219074066038967</v>
      </c>
      <c r="S114" s="363">
        <f t="shared" si="84"/>
        <v>53592</v>
      </c>
      <c r="T114" s="368">
        <f t="shared" si="87"/>
        <v>402.94736842105266</v>
      </c>
      <c r="U114" s="322">
        <f t="shared" si="93"/>
        <v>0.36421217166740288</v>
      </c>
      <c r="V114" s="348">
        <f>+S114/TotalCost</f>
        <v>4.212204755065607E-3</v>
      </c>
      <c r="W114" s="348">
        <f t="shared" si="43"/>
        <v>3.4575484941692437E-3</v>
      </c>
      <c r="X114" s="433"/>
      <c r="Y114" s="437"/>
      <c r="Z114" s="326"/>
      <c r="AA114" s="326"/>
      <c r="AB114" s="508"/>
      <c r="AC114" s="263"/>
      <c r="AD114" s="326"/>
      <c r="AE114" s="312"/>
      <c r="AF114" s="450" t="s">
        <v>340</v>
      </c>
      <c r="AG114" s="450">
        <f t="shared" si="88"/>
        <v>8932</v>
      </c>
      <c r="AH114" s="450"/>
      <c r="AI114" s="450"/>
      <c r="AJ114" s="450"/>
      <c r="AK114" s="319">
        <f t="shared" si="52"/>
        <v>8932</v>
      </c>
      <c r="AL114" s="450">
        <f t="shared" si="89"/>
        <v>8932</v>
      </c>
      <c r="AM114" s="450"/>
      <c r="AN114" s="451"/>
      <c r="AO114" s="451"/>
      <c r="AP114" s="319">
        <f t="shared" si="53"/>
        <v>8932</v>
      </c>
      <c r="AQ114" s="450">
        <f t="shared" si="94"/>
        <v>8932</v>
      </c>
      <c r="AR114" s="451"/>
      <c r="AS114" s="451"/>
      <c r="AT114" s="451"/>
      <c r="AU114" s="319">
        <f t="shared" si="54"/>
        <v>8932</v>
      </c>
      <c r="AV114" s="450">
        <f t="shared" si="90"/>
        <v>8932</v>
      </c>
      <c r="AW114" s="450"/>
      <c r="AX114" s="450"/>
      <c r="AY114" s="450"/>
      <c r="AZ114" s="319">
        <f t="shared" si="55"/>
        <v>8932</v>
      </c>
      <c r="BA114" s="450">
        <f t="shared" si="91"/>
        <v>8932</v>
      </c>
      <c r="BB114" s="450"/>
      <c r="BC114" s="451"/>
      <c r="BD114" s="451"/>
      <c r="BE114" s="319">
        <f t="shared" si="56"/>
        <v>8932</v>
      </c>
      <c r="BF114" s="450">
        <f t="shared" si="95"/>
        <v>8932</v>
      </c>
      <c r="BG114" s="451"/>
      <c r="BH114" s="451"/>
      <c r="BI114" s="451"/>
      <c r="BJ114" s="319">
        <f t="shared" si="57"/>
        <v>8932</v>
      </c>
      <c r="BK114" s="451"/>
      <c r="BL114" s="451"/>
      <c r="BM114" s="451"/>
      <c r="BN114" s="451"/>
      <c r="BO114" s="319">
        <f t="shared" si="58"/>
        <v>0</v>
      </c>
      <c r="BP114" s="451"/>
      <c r="BQ114" s="451"/>
      <c r="BR114" s="451"/>
      <c r="BS114" s="451"/>
      <c r="BT114" s="319">
        <f t="shared" si="59"/>
        <v>0</v>
      </c>
      <c r="BU114" s="451"/>
      <c r="BV114" s="451"/>
      <c r="BW114" s="451"/>
      <c r="BX114" s="451"/>
      <c r="BY114" s="319">
        <f t="shared" si="60"/>
        <v>0</v>
      </c>
      <c r="BZ114" s="451"/>
      <c r="CA114" s="451"/>
      <c r="CB114" s="451"/>
      <c r="CC114" s="451"/>
      <c r="CD114" s="319">
        <f t="shared" si="61"/>
        <v>0</v>
      </c>
      <c r="CE114" s="451"/>
      <c r="CF114" s="451"/>
      <c r="CG114" s="451"/>
      <c r="CH114" s="451"/>
      <c r="CI114" s="319">
        <f t="shared" si="62"/>
        <v>0</v>
      </c>
      <c r="CJ114" s="451"/>
      <c r="CK114" s="451"/>
      <c r="CL114" s="451"/>
      <c r="CM114" s="451"/>
      <c r="CN114" s="319">
        <f t="shared" si="63"/>
        <v>0</v>
      </c>
      <c r="CO114" s="451">
        <f t="shared" si="79"/>
        <v>53592</v>
      </c>
      <c r="CP114" s="451">
        <f t="shared" si="80"/>
        <v>53592</v>
      </c>
      <c r="CQ114" s="459">
        <f t="shared" si="51"/>
        <v>1</v>
      </c>
    </row>
    <row r="115" spans="1:95" ht="12.75">
      <c r="A115" s="318"/>
      <c r="B115" s="369" t="s">
        <v>263</v>
      </c>
      <c r="C115" s="319"/>
      <c r="D115" s="319"/>
      <c r="E115" s="319"/>
      <c r="F115" s="370">
        <f>SUM(F99:F114)</f>
        <v>627312</v>
      </c>
      <c r="G115" s="369">
        <f>SUM(G99:G114)</f>
        <v>60904.077669902916</v>
      </c>
      <c r="H115" s="319"/>
      <c r="I115" s="319"/>
      <c r="J115" s="371"/>
      <c r="K115" s="371"/>
      <c r="L115" s="372"/>
      <c r="M115" s="371">
        <f>SUM(M99:M114)</f>
        <v>339444.76355066762</v>
      </c>
      <c r="N115" s="371">
        <f>SUM(N99:N114)</f>
        <v>4714.5106048703847</v>
      </c>
      <c r="O115" s="372">
        <f t="shared" si="77"/>
        <v>4.6402663433763625</v>
      </c>
      <c r="P115" s="371">
        <f>SUM(P99:P114)</f>
        <v>287585.14689709351</v>
      </c>
      <c r="Q115" s="371">
        <f>SUM(Q99:Q114)</f>
        <v>4714.5106048703847</v>
      </c>
      <c r="R115" s="372">
        <f>SUM(R99:R114)</f>
        <v>3.8866534252847358</v>
      </c>
      <c r="S115" s="373">
        <f>SUM(S99:S114)</f>
        <v>627029.91044776118</v>
      </c>
      <c r="T115" s="371">
        <f t="shared" si="87"/>
        <v>4714.5106048703847</v>
      </c>
      <c r="U115" s="372">
        <f>+S115/U$8</f>
        <v>4.2613062655731504</v>
      </c>
      <c r="V115" s="327">
        <f>+S115/TotalCost</f>
        <v>4.9283071547179085E-2</v>
      </c>
      <c r="W115" s="327">
        <f>+$S115/TotalValue</f>
        <v>4.0453543862287888E-2</v>
      </c>
      <c r="X115" s="438"/>
      <c r="Y115" s="434"/>
      <c r="Z115" s="327"/>
      <c r="AA115" s="327"/>
      <c r="AB115" s="507"/>
      <c r="AC115" s="263"/>
      <c r="AD115" s="327"/>
      <c r="AE115" s="264"/>
      <c r="AF115" s="464" t="s">
        <v>263</v>
      </c>
      <c r="AG115" s="461">
        <f t="shared" ref="AG115:BL115" si="97">SUM(AG99:AG114)</f>
        <v>135769.91044776121</v>
      </c>
      <c r="AH115" s="461">
        <f t="shared" si="97"/>
        <v>0</v>
      </c>
      <c r="AI115" s="461">
        <f t="shared" si="97"/>
        <v>0</v>
      </c>
      <c r="AJ115" s="461">
        <f t="shared" si="97"/>
        <v>0</v>
      </c>
      <c r="AK115" s="461">
        <f t="shared" si="97"/>
        <v>135769.91044776121</v>
      </c>
      <c r="AL115" s="461">
        <f t="shared" si="97"/>
        <v>98252.002420510427</v>
      </c>
      <c r="AM115" s="461">
        <f t="shared" si="97"/>
        <v>0</v>
      </c>
      <c r="AN115" s="461">
        <f t="shared" si="97"/>
        <v>0</v>
      </c>
      <c r="AO115" s="461">
        <f t="shared" si="97"/>
        <v>0</v>
      </c>
      <c r="AP115" s="461">
        <f t="shared" si="97"/>
        <v>98252.002420510427</v>
      </c>
      <c r="AQ115" s="461">
        <f t="shared" si="97"/>
        <v>98252</v>
      </c>
      <c r="AR115" s="461">
        <f t="shared" si="97"/>
        <v>0</v>
      </c>
      <c r="AS115" s="461">
        <f t="shared" si="97"/>
        <v>0</v>
      </c>
      <c r="AT115" s="461">
        <f t="shared" si="97"/>
        <v>0</v>
      </c>
      <c r="AU115" s="461">
        <f t="shared" si="97"/>
        <v>98252</v>
      </c>
      <c r="AV115" s="461">
        <f t="shared" si="97"/>
        <v>98252</v>
      </c>
      <c r="AW115" s="461">
        <f t="shared" si="97"/>
        <v>0</v>
      </c>
      <c r="AX115" s="461">
        <f t="shared" si="97"/>
        <v>0</v>
      </c>
      <c r="AY115" s="461">
        <f t="shared" si="97"/>
        <v>0</v>
      </c>
      <c r="AZ115" s="461">
        <f t="shared" si="97"/>
        <v>98252</v>
      </c>
      <c r="BA115" s="461">
        <f t="shared" si="97"/>
        <v>98252</v>
      </c>
      <c r="BB115" s="461">
        <f t="shared" si="97"/>
        <v>0</v>
      </c>
      <c r="BC115" s="461">
        <f t="shared" si="97"/>
        <v>0</v>
      </c>
      <c r="BD115" s="461">
        <f t="shared" si="97"/>
        <v>0</v>
      </c>
      <c r="BE115" s="461">
        <f t="shared" si="97"/>
        <v>98252</v>
      </c>
      <c r="BF115" s="461">
        <f t="shared" si="97"/>
        <v>98252</v>
      </c>
      <c r="BG115" s="461">
        <f t="shared" si="97"/>
        <v>0</v>
      </c>
      <c r="BH115" s="461">
        <f t="shared" si="97"/>
        <v>0</v>
      </c>
      <c r="BI115" s="461">
        <f t="shared" si="97"/>
        <v>0</v>
      </c>
      <c r="BJ115" s="461">
        <f t="shared" si="97"/>
        <v>98252</v>
      </c>
      <c r="BK115" s="461">
        <f t="shared" si="97"/>
        <v>0</v>
      </c>
      <c r="BL115" s="461">
        <f t="shared" si="97"/>
        <v>0</v>
      </c>
      <c r="BM115" s="461">
        <f t="shared" ref="BM115:CP115" si="98">SUM(BM99:BM114)</f>
        <v>0</v>
      </c>
      <c r="BN115" s="461">
        <f t="shared" si="98"/>
        <v>0</v>
      </c>
      <c r="BO115" s="461">
        <f t="shared" si="98"/>
        <v>0</v>
      </c>
      <c r="BP115" s="461">
        <f t="shared" si="98"/>
        <v>0</v>
      </c>
      <c r="BQ115" s="461">
        <f t="shared" si="98"/>
        <v>0</v>
      </c>
      <c r="BR115" s="461">
        <f t="shared" si="98"/>
        <v>0</v>
      </c>
      <c r="BS115" s="461">
        <f t="shared" si="98"/>
        <v>0</v>
      </c>
      <c r="BT115" s="461">
        <f t="shared" si="98"/>
        <v>0</v>
      </c>
      <c r="BU115" s="461">
        <f t="shared" si="98"/>
        <v>0</v>
      </c>
      <c r="BV115" s="461">
        <f t="shared" si="98"/>
        <v>0</v>
      </c>
      <c r="BW115" s="461">
        <f t="shared" si="98"/>
        <v>0</v>
      </c>
      <c r="BX115" s="461">
        <f t="shared" si="98"/>
        <v>0</v>
      </c>
      <c r="BY115" s="461">
        <f t="shared" si="98"/>
        <v>0</v>
      </c>
      <c r="BZ115" s="461">
        <f t="shared" si="98"/>
        <v>0</v>
      </c>
      <c r="CA115" s="461">
        <f t="shared" si="98"/>
        <v>0</v>
      </c>
      <c r="CB115" s="461">
        <f t="shared" si="98"/>
        <v>0</v>
      </c>
      <c r="CC115" s="461">
        <f t="shared" si="98"/>
        <v>0</v>
      </c>
      <c r="CD115" s="461">
        <f t="shared" si="98"/>
        <v>0</v>
      </c>
      <c r="CE115" s="461">
        <f t="shared" si="98"/>
        <v>0</v>
      </c>
      <c r="CF115" s="461">
        <f t="shared" si="98"/>
        <v>0</v>
      </c>
      <c r="CG115" s="461">
        <f t="shared" si="98"/>
        <v>0</v>
      </c>
      <c r="CH115" s="461">
        <f t="shared" si="98"/>
        <v>0</v>
      </c>
      <c r="CI115" s="461">
        <f t="shared" si="98"/>
        <v>0</v>
      </c>
      <c r="CJ115" s="461">
        <f t="shared" si="98"/>
        <v>0</v>
      </c>
      <c r="CK115" s="461">
        <f t="shared" si="98"/>
        <v>0</v>
      </c>
      <c r="CL115" s="461">
        <f t="shared" si="98"/>
        <v>0</v>
      </c>
      <c r="CM115" s="461">
        <f t="shared" si="98"/>
        <v>0</v>
      </c>
      <c r="CN115" s="461">
        <f t="shared" si="98"/>
        <v>0</v>
      </c>
      <c r="CO115" s="465">
        <f t="shared" si="98"/>
        <v>627029.91286827158</v>
      </c>
      <c r="CP115" s="465">
        <f t="shared" si="98"/>
        <v>627029.91044776118</v>
      </c>
      <c r="CQ115" s="452">
        <f t="shared" ref="CQ115:CQ125" si="99">+CO115/CP115</f>
        <v>1.000000003860279</v>
      </c>
    </row>
    <row r="116" spans="1:95" ht="12.75">
      <c r="A116" s="318"/>
      <c r="B116" s="361" t="s">
        <v>341</v>
      </c>
      <c r="C116" s="319"/>
      <c r="D116" s="319"/>
      <c r="E116" s="319"/>
      <c r="F116" s="319"/>
      <c r="G116" s="319"/>
      <c r="H116" s="319"/>
      <c r="I116" s="319"/>
      <c r="J116" s="328"/>
      <c r="K116" s="319"/>
      <c r="L116" s="322"/>
      <c r="M116" s="328"/>
      <c r="N116" s="319"/>
      <c r="O116" s="322">
        <f t="shared" si="77"/>
        <v>0</v>
      </c>
      <c r="P116" s="328"/>
      <c r="Q116" s="319"/>
      <c r="R116" s="322"/>
      <c r="S116" s="333"/>
      <c r="T116" s="319"/>
      <c r="U116" s="319"/>
      <c r="V116" s="327"/>
      <c r="W116" s="327"/>
      <c r="X116" s="327"/>
      <c r="Y116" s="327"/>
      <c r="Z116" s="327"/>
      <c r="AA116" s="327"/>
      <c r="AB116" s="327"/>
      <c r="AC116" s="263"/>
      <c r="AD116" s="327"/>
      <c r="AE116" s="264"/>
      <c r="AF116" s="463" t="s">
        <v>341</v>
      </c>
      <c r="AG116" s="450"/>
      <c r="AH116" s="450"/>
      <c r="AI116" s="450"/>
      <c r="AJ116" s="462"/>
      <c r="AK116" s="319"/>
      <c r="AL116" s="450"/>
      <c r="AM116" s="451"/>
      <c r="AN116" s="451"/>
      <c r="AO116" s="451"/>
      <c r="AP116" s="319"/>
      <c r="AQ116" s="451"/>
      <c r="AR116" s="451"/>
      <c r="AS116" s="451"/>
      <c r="AT116" s="451"/>
      <c r="AU116" s="319"/>
      <c r="AV116" s="451"/>
      <c r="AW116" s="451"/>
      <c r="AX116" s="451"/>
      <c r="AY116" s="451"/>
      <c r="AZ116" s="319"/>
      <c r="BA116" s="451"/>
      <c r="BB116" s="451"/>
      <c r="BC116" s="451"/>
      <c r="BD116" s="451"/>
      <c r="BE116" s="319"/>
      <c r="BF116" s="451"/>
      <c r="BG116" s="451"/>
      <c r="BH116" s="451"/>
      <c r="BI116" s="451"/>
      <c r="BJ116" s="319"/>
      <c r="BK116" s="451"/>
      <c r="BL116" s="451"/>
      <c r="BM116" s="451"/>
      <c r="BN116" s="451"/>
      <c r="BO116" s="319"/>
      <c r="BP116" s="451"/>
      <c r="BQ116" s="451"/>
      <c r="BR116" s="451"/>
      <c r="BS116" s="451"/>
      <c r="BT116" s="319"/>
      <c r="BU116" s="451"/>
      <c r="BV116" s="451"/>
      <c r="BW116" s="451"/>
      <c r="BX116" s="451"/>
      <c r="BY116" s="319"/>
      <c r="BZ116" s="451"/>
      <c r="CA116" s="451"/>
      <c r="CB116" s="451"/>
      <c r="CC116" s="451"/>
      <c r="CD116" s="319"/>
      <c r="CE116" s="451"/>
      <c r="CF116" s="451"/>
      <c r="CG116" s="451"/>
      <c r="CH116" s="451"/>
      <c r="CI116" s="319"/>
      <c r="CJ116" s="451"/>
      <c r="CK116" s="451"/>
      <c r="CL116" s="451"/>
      <c r="CM116" s="451"/>
      <c r="CN116" s="319"/>
      <c r="CO116" s="451"/>
      <c r="CP116" s="451"/>
      <c r="CQ116" s="451"/>
    </row>
    <row r="117" spans="1:95" ht="12.75">
      <c r="A117" s="318"/>
      <c r="B117" s="319" t="s">
        <v>243</v>
      </c>
      <c r="C117" s="319" t="s">
        <v>333</v>
      </c>
      <c r="D117" s="319">
        <v>670</v>
      </c>
      <c r="E117" s="322">
        <v>55</v>
      </c>
      <c r="F117" s="319">
        <f t="shared" ref="F117:F127" si="100">+E117*D117</f>
        <v>36850</v>
      </c>
      <c r="G117" s="319">
        <f t="shared" ref="G117:G127" si="101">F117/10.3</f>
        <v>3577.6699029126212</v>
      </c>
      <c r="H117" s="319"/>
      <c r="I117" s="319"/>
      <c r="J117" s="328"/>
      <c r="K117" s="319"/>
      <c r="L117" s="322"/>
      <c r="M117" s="346">
        <f t="shared" ref="M117:M127" si="102">N117*N$8</f>
        <v>19948.872180451126</v>
      </c>
      <c r="N117" s="346">
        <f>+$F117/SM134Units</f>
        <v>277.06766917293231</v>
      </c>
      <c r="O117" s="324">
        <f t="shared" si="77"/>
        <v>0.27270439879225622</v>
      </c>
      <c r="P117" s="346">
        <f t="shared" ref="P117:P127" si="103">Q117*Q$8</f>
        <v>16901.12781954887</v>
      </c>
      <c r="Q117" s="346">
        <f>+$F117/SM134Units</f>
        <v>277.06766917293231</v>
      </c>
      <c r="R117" s="324">
        <f>+Q117/Q$11</f>
        <v>0.22841522602879827</v>
      </c>
      <c r="S117" s="360">
        <f t="shared" ref="S117:S127" si="104">+P117+M117</f>
        <v>36850</v>
      </c>
      <c r="T117" s="346">
        <f>+S117/S$8</f>
        <v>277.06766917293231</v>
      </c>
      <c r="U117" s="324">
        <f>+S117/U$8</f>
        <v>0.25043324611777501</v>
      </c>
      <c r="V117" s="327">
        <f>+S117/TotalCost</f>
        <v>2.8963230561309078E-3</v>
      </c>
      <c r="W117" s="327">
        <f t="shared" ref="W117:W126" si="105">+$S117/TotalValue</f>
        <v>2.377419428462021E-3</v>
      </c>
      <c r="X117" s="433"/>
      <c r="Y117" s="437"/>
      <c r="Z117" s="327"/>
      <c r="AA117" s="327"/>
      <c r="AB117" s="469"/>
      <c r="AC117" s="263"/>
      <c r="AD117" s="327"/>
      <c r="AE117" s="264"/>
      <c r="AF117" s="450" t="s">
        <v>243</v>
      </c>
      <c r="AG117" s="450"/>
      <c r="AH117" s="450"/>
      <c r="AI117" s="450"/>
      <c r="AJ117" s="462"/>
      <c r="AK117" s="319">
        <f t="shared" si="52"/>
        <v>0</v>
      </c>
      <c r="AL117" s="450"/>
      <c r="AM117" s="451"/>
      <c r="AN117" s="451"/>
      <c r="AO117" s="451"/>
      <c r="AP117" s="319">
        <f t="shared" si="53"/>
        <v>0</v>
      </c>
      <c r="AQ117" s="451"/>
      <c r="AR117" s="451"/>
      <c r="AS117" s="451"/>
      <c r="AT117" s="451"/>
      <c r="AU117" s="319">
        <f t="shared" si="54"/>
        <v>0</v>
      </c>
      <c r="AV117" s="451"/>
      <c r="AW117" s="451"/>
      <c r="AX117" s="451"/>
      <c r="AY117" s="451"/>
      <c r="AZ117" s="319">
        <f t="shared" si="55"/>
        <v>0</v>
      </c>
      <c r="BA117" s="451"/>
      <c r="BB117" s="451"/>
      <c r="BC117" s="451"/>
      <c r="BD117" s="451"/>
      <c r="BE117" s="319">
        <f t="shared" si="56"/>
        <v>0</v>
      </c>
      <c r="BF117" s="451"/>
      <c r="BG117" s="451"/>
      <c r="BH117" s="451"/>
      <c r="BI117" s="451"/>
      <c r="BJ117" s="319">
        <f t="shared" si="57"/>
        <v>0</v>
      </c>
      <c r="BK117" s="451"/>
      <c r="BL117" s="451"/>
      <c r="BM117" s="451"/>
      <c r="BN117" s="451"/>
      <c r="BO117" s="319">
        <f t="shared" si="58"/>
        <v>0</v>
      </c>
      <c r="BP117" s="451"/>
      <c r="BQ117" s="451"/>
      <c r="BR117" s="451"/>
      <c r="BS117" s="451"/>
      <c r="BT117" s="319">
        <f t="shared" si="59"/>
        <v>0</v>
      </c>
      <c r="BU117" s="451"/>
      <c r="BV117" s="451"/>
      <c r="BW117" s="451"/>
      <c r="BX117" s="451"/>
      <c r="BY117" s="319">
        <f t="shared" si="60"/>
        <v>0</v>
      </c>
      <c r="BZ117" s="451"/>
      <c r="CA117" s="451"/>
      <c r="CB117" s="451"/>
      <c r="CC117" s="451"/>
      <c r="CD117" s="319">
        <f t="shared" si="61"/>
        <v>0</v>
      </c>
      <c r="CE117" s="451"/>
      <c r="CF117" s="451"/>
      <c r="CG117" s="451"/>
      <c r="CH117" s="451"/>
      <c r="CI117" s="319">
        <f t="shared" si="62"/>
        <v>0</v>
      </c>
      <c r="CJ117" s="451"/>
      <c r="CK117" s="451"/>
      <c r="CL117" s="451">
        <f>S117</f>
        <v>36850</v>
      </c>
      <c r="CM117" s="451"/>
      <c r="CN117" s="319">
        <f t="shared" si="63"/>
        <v>36850</v>
      </c>
      <c r="CO117" s="451">
        <f t="shared" ref="CO117:CO127" si="106">+CN117+CI117+CD117+BY117+BT117+BO117+BJ117+BE117+AZ117+AU117+AP117+AK117</f>
        <v>36850</v>
      </c>
      <c r="CP117" s="451">
        <f t="shared" ref="CP117:CP125" si="107">S117</f>
        <v>36850</v>
      </c>
      <c r="CQ117" s="452">
        <f t="shared" si="99"/>
        <v>1</v>
      </c>
    </row>
    <row r="118" spans="1:95" ht="12.75">
      <c r="A118" s="318"/>
      <c r="B118" s="319" t="s">
        <v>338</v>
      </c>
      <c r="C118" s="319" t="s">
        <v>333</v>
      </c>
      <c r="D118" s="319">
        <f>670*3</f>
        <v>2010</v>
      </c>
      <c r="E118" s="322">
        <v>30</v>
      </c>
      <c r="F118" s="319">
        <f t="shared" si="100"/>
        <v>60300</v>
      </c>
      <c r="G118" s="319">
        <f t="shared" si="101"/>
        <v>5854.3689320388348</v>
      </c>
      <c r="H118" s="319"/>
      <c r="I118" s="319"/>
      <c r="J118" s="328"/>
      <c r="K118" s="319"/>
      <c r="L118" s="322"/>
      <c r="M118" s="328">
        <f t="shared" si="102"/>
        <v>32643.609022556389</v>
      </c>
      <c r="N118" s="319">
        <f t="shared" ref="N118:N127" si="108">+$F118/SM134Units</f>
        <v>453.38345864661653</v>
      </c>
      <c r="O118" s="322">
        <f t="shared" si="77"/>
        <v>0.44624356166005563</v>
      </c>
      <c r="P118" s="328">
        <f t="shared" si="103"/>
        <v>27656.390977443607</v>
      </c>
      <c r="Q118" s="319">
        <f t="shared" ref="Q118:Q127" si="109">+$F118/SM134Units</f>
        <v>453.38345864661653</v>
      </c>
      <c r="R118" s="322">
        <f t="shared" ref="R118:R127" si="110">+Q118/Q$11</f>
        <v>0.37377036986530632</v>
      </c>
      <c r="S118" s="363">
        <f t="shared" si="104"/>
        <v>60300</v>
      </c>
      <c r="T118" s="330">
        <f>+S118/S$8</f>
        <v>453.38345864661653</v>
      </c>
      <c r="U118" s="322">
        <f t="shared" ref="U118:U127" si="111">+S118/U$8</f>
        <v>0.40979985728363177</v>
      </c>
      <c r="V118" s="327">
        <f t="shared" ref="V118:V131" si="112">+S118/TotalCost</f>
        <v>4.7394377282142129E-3</v>
      </c>
      <c r="W118" s="327">
        <f t="shared" si="105"/>
        <v>3.8903227011196709E-3</v>
      </c>
      <c r="X118" s="433"/>
      <c r="Y118" s="437"/>
      <c r="Z118" s="327"/>
      <c r="AA118" s="327"/>
      <c r="AB118" s="469"/>
      <c r="AC118" s="263"/>
      <c r="AD118" s="327"/>
      <c r="AE118" s="264"/>
      <c r="AF118" s="450" t="s">
        <v>338</v>
      </c>
      <c r="AG118" s="450"/>
      <c r="AH118" s="450"/>
      <c r="AI118" s="450"/>
      <c r="AJ118" s="462"/>
      <c r="AK118" s="319">
        <f t="shared" si="52"/>
        <v>0</v>
      </c>
      <c r="AL118" s="450"/>
      <c r="AM118" s="451"/>
      <c r="AN118" s="451"/>
      <c r="AO118" s="451"/>
      <c r="AP118" s="319">
        <f t="shared" si="53"/>
        <v>0</v>
      </c>
      <c r="AQ118" s="451"/>
      <c r="AR118" s="451"/>
      <c r="AS118" s="451"/>
      <c r="AT118" s="451"/>
      <c r="AU118" s="319">
        <f t="shared" si="54"/>
        <v>0</v>
      </c>
      <c r="AV118" s="451"/>
      <c r="AW118" s="451"/>
      <c r="AX118" s="451"/>
      <c r="AY118" s="451"/>
      <c r="AZ118" s="319">
        <f t="shared" si="55"/>
        <v>0</v>
      </c>
      <c r="BA118" s="451"/>
      <c r="BB118" s="451"/>
      <c r="BC118" s="451"/>
      <c r="BD118" s="451"/>
      <c r="BE118" s="319">
        <f t="shared" si="56"/>
        <v>0</v>
      </c>
      <c r="BF118" s="451"/>
      <c r="BG118" s="451"/>
      <c r="BH118" s="451"/>
      <c r="BI118" s="451"/>
      <c r="BJ118" s="319">
        <f t="shared" si="57"/>
        <v>0</v>
      </c>
      <c r="BK118" s="451"/>
      <c r="BL118" s="451"/>
      <c r="BM118" s="451"/>
      <c r="BN118" s="451"/>
      <c r="BO118" s="319">
        <f t="shared" si="58"/>
        <v>0</v>
      </c>
      <c r="BP118" s="451"/>
      <c r="BQ118" s="451"/>
      <c r="BR118" s="451"/>
      <c r="BS118" s="451"/>
      <c r="BT118" s="319">
        <f t="shared" si="59"/>
        <v>0</v>
      </c>
      <c r="BU118" s="451"/>
      <c r="BV118" s="451"/>
      <c r="BW118" s="451"/>
      <c r="BX118" s="451"/>
      <c r="BY118" s="319">
        <f t="shared" si="60"/>
        <v>0</v>
      </c>
      <c r="BZ118" s="451"/>
      <c r="CA118" s="451"/>
      <c r="CB118" s="451"/>
      <c r="CC118" s="451"/>
      <c r="CD118" s="319">
        <f t="shared" si="61"/>
        <v>0</v>
      </c>
      <c r="CE118" s="451"/>
      <c r="CF118" s="451"/>
      <c r="CG118" s="451"/>
      <c r="CH118" s="451"/>
      <c r="CI118" s="319">
        <f t="shared" si="62"/>
        <v>0</v>
      </c>
      <c r="CJ118" s="451"/>
      <c r="CK118" s="451"/>
      <c r="CL118" s="451">
        <f>$S118</f>
        <v>60300</v>
      </c>
      <c r="CM118" s="451"/>
      <c r="CN118" s="319">
        <f t="shared" si="63"/>
        <v>60300</v>
      </c>
      <c r="CO118" s="451">
        <f t="shared" si="106"/>
        <v>60300</v>
      </c>
      <c r="CP118" s="451">
        <f t="shared" si="107"/>
        <v>60300</v>
      </c>
      <c r="CQ118" s="452">
        <f t="shared" si="99"/>
        <v>1</v>
      </c>
    </row>
    <row r="119" spans="1:95" ht="12.75">
      <c r="A119" s="318"/>
      <c r="B119" s="319" t="s">
        <v>296</v>
      </c>
      <c r="C119" s="319" t="s">
        <v>339</v>
      </c>
      <c r="D119" s="319">
        <f>LandscapeArea</f>
        <v>179968.68432960863</v>
      </c>
      <c r="E119" s="322">
        <v>2</v>
      </c>
      <c r="F119" s="319">
        <f t="shared" si="100"/>
        <v>359937.36865921726</v>
      </c>
      <c r="G119" s="319">
        <f t="shared" si="101"/>
        <v>34945.375597982253</v>
      </c>
      <c r="H119" s="319"/>
      <c r="I119" s="319"/>
      <c r="J119" s="328"/>
      <c r="K119" s="319"/>
      <c r="L119" s="322"/>
      <c r="M119" s="328">
        <f t="shared" si="102"/>
        <v>194853.31235686952</v>
      </c>
      <c r="N119" s="319">
        <f t="shared" si="108"/>
        <v>2706.2960049565208</v>
      </c>
      <c r="O119" s="322">
        <f t="shared" si="77"/>
        <v>2.6636771702327962</v>
      </c>
      <c r="P119" s="328">
        <f t="shared" si="103"/>
        <v>165084.05630234777</v>
      </c>
      <c r="Q119" s="319">
        <f t="shared" si="109"/>
        <v>2706.2960049565208</v>
      </c>
      <c r="R119" s="322">
        <f t="shared" si="110"/>
        <v>2.2310766735008416</v>
      </c>
      <c r="S119" s="363">
        <f t="shared" si="104"/>
        <v>359937.36865921726</v>
      </c>
      <c r="T119" s="330">
        <f t="shared" ref="T119:T132" si="113">+S119/S$8</f>
        <v>2706.2960049565208</v>
      </c>
      <c r="U119" s="322">
        <f t="shared" si="111"/>
        <v>2.446140668450965</v>
      </c>
      <c r="V119" s="327">
        <f t="shared" si="112"/>
        <v>2.8290227940591082E-2</v>
      </c>
      <c r="W119" s="327">
        <f t="shared" si="105"/>
        <v>2.3221766439075173E-2</v>
      </c>
      <c r="X119" s="433"/>
      <c r="Y119" s="437"/>
      <c r="Z119" s="327"/>
      <c r="AA119" s="327"/>
      <c r="AB119" s="469"/>
      <c r="AC119" s="263"/>
      <c r="AD119" s="327"/>
      <c r="AE119" s="264"/>
      <c r="AF119" s="450" t="s">
        <v>296</v>
      </c>
      <c r="AG119" s="450"/>
      <c r="AH119" s="450"/>
      <c r="AI119" s="450"/>
      <c r="AJ119" s="462"/>
      <c r="AK119" s="319">
        <f t="shared" si="52"/>
        <v>0</v>
      </c>
      <c r="AL119" s="450"/>
      <c r="AM119" s="451"/>
      <c r="AN119" s="451"/>
      <c r="AO119" s="451"/>
      <c r="AP119" s="319">
        <f t="shared" si="53"/>
        <v>0</v>
      </c>
      <c r="AQ119" s="451"/>
      <c r="AR119" s="451"/>
      <c r="AS119" s="451"/>
      <c r="AT119" s="451"/>
      <c r="AU119" s="319">
        <f t="shared" si="54"/>
        <v>0</v>
      </c>
      <c r="AV119" s="451"/>
      <c r="AW119" s="451"/>
      <c r="AX119" s="451"/>
      <c r="AY119" s="451"/>
      <c r="AZ119" s="319">
        <f t="shared" si="55"/>
        <v>0</v>
      </c>
      <c r="BA119" s="451"/>
      <c r="BB119" s="451"/>
      <c r="BC119" s="451"/>
      <c r="BD119" s="451"/>
      <c r="BE119" s="319">
        <f t="shared" si="56"/>
        <v>0</v>
      </c>
      <c r="BF119" s="451"/>
      <c r="BG119" s="451"/>
      <c r="BH119" s="451"/>
      <c r="BI119" s="451"/>
      <c r="BJ119" s="319">
        <f t="shared" si="57"/>
        <v>0</v>
      </c>
      <c r="BK119" s="451"/>
      <c r="BL119" s="451"/>
      <c r="BM119" s="451"/>
      <c r="BN119" s="451"/>
      <c r="BO119" s="319">
        <f t="shared" si="58"/>
        <v>0</v>
      </c>
      <c r="BP119" s="451"/>
      <c r="BQ119" s="451"/>
      <c r="BR119" s="451"/>
      <c r="BS119" s="451"/>
      <c r="BT119" s="319">
        <f t="shared" si="59"/>
        <v>0</v>
      </c>
      <c r="BU119" s="451"/>
      <c r="BV119" s="451"/>
      <c r="BW119" s="451"/>
      <c r="BX119" s="451"/>
      <c r="BY119" s="319">
        <f t="shared" si="60"/>
        <v>0</v>
      </c>
      <c r="BZ119" s="451"/>
      <c r="CA119" s="451"/>
      <c r="CB119" s="451"/>
      <c r="CC119" s="451"/>
      <c r="CD119" s="319">
        <f t="shared" si="61"/>
        <v>0</v>
      </c>
      <c r="CE119" s="451"/>
      <c r="CF119" s="451"/>
      <c r="CG119" s="451"/>
      <c r="CH119" s="451"/>
      <c r="CI119" s="319">
        <f t="shared" si="62"/>
        <v>0</v>
      </c>
      <c r="CJ119" s="451"/>
      <c r="CK119" s="451"/>
      <c r="CL119" s="451"/>
      <c r="CM119" s="451">
        <f>$S119</f>
        <v>359937.36865921726</v>
      </c>
      <c r="CN119" s="319">
        <f t="shared" si="63"/>
        <v>359937.36865921726</v>
      </c>
      <c r="CO119" s="451">
        <f t="shared" si="106"/>
        <v>359937.36865921726</v>
      </c>
      <c r="CP119" s="451">
        <f t="shared" si="107"/>
        <v>359937.36865921726</v>
      </c>
      <c r="CQ119" s="452">
        <f t="shared" si="99"/>
        <v>1</v>
      </c>
    </row>
    <row r="120" spans="1:95" ht="12.75">
      <c r="A120" s="318"/>
      <c r="B120" s="319" t="s">
        <v>242</v>
      </c>
      <c r="C120" s="319" t="s">
        <v>334</v>
      </c>
      <c r="D120" s="319">
        <v>2</v>
      </c>
      <c r="E120" s="322">
        <v>4000</v>
      </c>
      <c r="F120" s="319">
        <f t="shared" si="100"/>
        <v>8000</v>
      </c>
      <c r="G120" s="319">
        <f t="shared" si="101"/>
        <v>776.69902912621353</v>
      </c>
      <c r="H120" s="319"/>
      <c r="I120" s="319"/>
      <c r="J120" s="328"/>
      <c r="K120" s="319"/>
      <c r="L120" s="322"/>
      <c r="M120" s="328">
        <f t="shared" si="102"/>
        <v>4330.8270676691727</v>
      </c>
      <c r="N120" s="319">
        <f t="shared" si="108"/>
        <v>60.150375939849624</v>
      </c>
      <c r="O120" s="322">
        <f t="shared" si="77"/>
        <v>5.9203125925048845E-2</v>
      </c>
      <c r="P120" s="328">
        <f t="shared" si="103"/>
        <v>3669.1729323308273</v>
      </c>
      <c r="Q120" s="319">
        <f t="shared" si="109"/>
        <v>60.150375939849624</v>
      </c>
      <c r="R120" s="322">
        <f t="shared" si="110"/>
        <v>4.9588108771516592E-2</v>
      </c>
      <c r="S120" s="363">
        <f t="shared" si="104"/>
        <v>8000</v>
      </c>
      <c r="T120" s="330">
        <f t="shared" si="113"/>
        <v>60.150375939849624</v>
      </c>
      <c r="U120" s="322">
        <f t="shared" si="111"/>
        <v>5.4368140269801898E-2</v>
      </c>
      <c r="V120" s="327">
        <f t="shared" si="112"/>
        <v>6.2878112480453901E-4</v>
      </c>
      <c r="W120" s="327">
        <f t="shared" si="105"/>
        <v>5.1612904824141568E-4</v>
      </c>
      <c r="X120" s="433"/>
      <c r="Y120" s="437"/>
      <c r="Z120" s="327"/>
      <c r="AA120" s="327"/>
      <c r="AB120" s="469"/>
      <c r="AC120" s="263"/>
      <c r="AD120" s="327"/>
      <c r="AE120" s="264"/>
      <c r="AF120" s="450" t="s">
        <v>242</v>
      </c>
      <c r="AG120" s="450"/>
      <c r="AH120" s="450"/>
      <c r="AI120" s="450"/>
      <c r="AJ120" s="462"/>
      <c r="AK120" s="319">
        <f t="shared" si="52"/>
        <v>0</v>
      </c>
      <c r="AL120" s="450"/>
      <c r="AM120" s="451"/>
      <c r="AN120" s="451"/>
      <c r="AO120" s="451"/>
      <c r="AP120" s="319">
        <f t="shared" si="53"/>
        <v>0</v>
      </c>
      <c r="AQ120" s="451"/>
      <c r="AR120" s="451"/>
      <c r="AS120" s="451"/>
      <c r="AT120" s="451"/>
      <c r="AU120" s="319">
        <f t="shared" si="54"/>
        <v>0</v>
      </c>
      <c r="AV120" s="451"/>
      <c r="AW120" s="451"/>
      <c r="AX120" s="451"/>
      <c r="AY120" s="451"/>
      <c r="AZ120" s="319">
        <f t="shared" si="55"/>
        <v>0</v>
      </c>
      <c r="BA120" s="451"/>
      <c r="BB120" s="451"/>
      <c r="BC120" s="451"/>
      <c r="BD120" s="451"/>
      <c r="BE120" s="319">
        <f t="shared" si="56"/>
        <v>0</v>
      </c>
      <c r="BF120" s="451"/>
      <c r="BG120" s="451"/>
      <c r="BH120" s="451"/>
      <c r="BI120" s="451"/>
      <c r="BJ120" s="319">
        <f t="shared" si="57"/>
        <v>0</v>
      </c>
      <c r="BK120" s="451"/>
      <c r="BL120" s="451"/>
      <c r="BM120" s="451"/>
      <c r="BN120" s="451"/>
      <c r="BO120" s="319">
        <f t="shared" si="58"/>
        <v>0</v>
      </c>
      <c r="BP120" s="451"/>
      <c r="BQ120" s="451"/>
      <c r="BR120" s="451"/>
      <c r="BS120" s="451"/>
      <c r="BT120" s="319">
        <f t="shared" si="59"/>
        <v>0</v>
      </c>
      <c r="BU120" s="451"/>
      <c r="BV120" s="451"/>
      <c r="BW120" s="451"/>
      <c r="BX120" s="451"/>
      <c r="BY120" s="319">
        <f t="shared" si="60"/>
        <v>0</v>
      </c>
      <c r="BZ120" s="451"/>
      <c r="CA120" s="451"/>
      <c r="CB120" s="451"/>
      <c r="CC120" s="451"/>
      <c r="CD120" s="319">
        <f t="shared" si="61"/>
        <v>0</v>
      </c>
      <c r="CE120" s="451"/>
      <c r="CF120" s="451"/>
      <c r="CG120" s="451"/>
      <c r="CH120" s="451"/>
      <c r="CI120" s="319">
        <f t="shared" si="62"/>
        <v>0</v>
      </c>
      <c r="CJ120" s="451"/>
      <c r="CK120" s="451"/>
      <c r="CL120" s="451"/>
      <c r="CM120" s="451">
        <f>$S120</f>
        <v>8000</v>
      </c>
      <c r="CN120" s="319">
        <f t="shared" si="63"/>
        <v>8000</v>
      </c>
      <c r="CO120" s="451">
        <f t="shared" si="106"/>
        <v>8000</v>
      </c>
      <c r="CP120" s="451">
        <f t="shared" si="107"/>
        <v>8000</v>
      </c>
      <c r="CQ120" s="452">
        <f t="shared" si="99"/>
        <v>1</v>
      </c>
    </row>
    <row r="121" spans="1:95" ht="22.5">
      <c r="A121" s="318"/>
      <c r="B121" s="374" t="s">
        <v>361</v>
      </c>
      <c r="C121" s="375" t="s">
        <v>326</v>
      </c>
      <c r="D121" s="376">
        <v>1</v>
      </c>
      <c r="E121" s="375">
        <f>+K95</f>
        <v>83060.913353337775</v>
      </c>
      <c r="F121" s="319">
        <f>+E121*D121</f>
        <v>83060.913353337775</v>
      </c>
      <c r="G121" s="319">
        <f t="shared" si="101"/>
        <v>8064.1663449842499</v>
      </c>
      <c r="H121" s="319"/>
      <c r="I121" s="319"/>
      <c r="J121" s="328"/>
      <c r="K121" s="319"/>
      <c r="L121" s="322"/>
      <c r="M121" s="328">
        <f t="shared" si="102"/>
        <v>44965.306476994891</v>
      </c>
      <c r="N121" s="377">
        <f>+$K$95/SM134Units</f>
        <v>624.5181455138179</v>
      </c>
      <c r="O121" s="322">
        <f t="shared" si="77"/>
        <v>0.61468321408840343</v>
      </c>
      <c r="P121" s="328">
        <f t="shared" si="103"/>
        <v>38095.606876342892</v>
      </c>
      <c r="Q121" s="377">
        <f>+$K$95/SM134Units</f>
        <v>624.5181455138179</v>
      </c>
      <c r="R121" s="322">
        <f t="shared" si="110"/>
        <v>0.51485420075335353</v>
      </c>
      <c r="S121" s="378">
        <f t="shared" si="104"/>
        <v>83060.91335333779</v>
      </c>
      <c r="T121" s="330">
        <f t="shared" si="113"/>
        <v>624.51814551381801</v>
      </c>
      <c r="U121" s="322">
        <f t="shared" si="111"/>
        <v>0.56448342351651626</v>
      </c>
      <c r="V121" s="379">
        <f t="shared" si="112"/>
        <v>6.5283918157005112E-3</v>
      </c>
      <c r="W121" s="379">
        <f t="shared" si="105"/>
        <v>5.3587687693901166E-3</v>
      </c>
      <c r="X121" s="433"/>
      <c r="Y121" s="437"/>
      <c r="Z121" s="379"/>
      <c r="AA121" s="379"/>
      <c r="AB121" s="469"/>
      <c r="AC121" s="263"/>
      <c r="AD121" s="379"/>
      <c r="AE121" s="311"/>
      <c r="AF121" s="466" t="s">
        <v>361</v>
      </c>
      <c r="AG121" s="450"/>
      <c r="AH121" s="450"/>
      <c r="AI121" s="451"/>
      <c r="AJ121" s="451"/>
      <c r="AK121" s="319">
        <f t="shared" si="52"/>
        <v>0</v>
      </c>
      <c r="AL121" s="451"/>
      <c r="AM121" s="451"/>
      <c r="AN121" s="451">
        <f>$S121/6</f>
        <v>13843.485558889632</v>
      </c>
      <c r="AO121" s="451"/>
      <c r="AP121" s="319">
        <f t="shared" si="53"/>
        <v>13843.485558889632</v>
      </c>
      <c r="AQ121" s="451"/>
      <c r="AR121" s="451"/>
      <c r="AS121" s="451">
        <f>$S121/6</f>
        <v>13843.485558889632</v>
      </c>
      <c r="AT121" s="451"/>
      <c r="AU121" s="319">
        <f t="shared" si="54"/>
        <v>13843.485558889632</v>
      </c>
      <c r="AV121" s="451"/>
      <c r="AW121" s="451"/>
      <c r="AX121" s="451">
        <f>$S121/6</f>
        <v>13843.485558889632</v>
      </c>
      <c r="AY121" s="451"/>
      <c r="AZ121" s="319">
        <f t="shared" si="55"/>
        <v>13843.485558889632</v>
      </c>
      <c r="BA121" s="451"/>
      <c r="BB121" s="451"/>
      <c r="BC121" s="451">
        <f>$S121/6</f>
        <v>13843.485558889632</v>
      </c>
      <c r="BD121" s="451"/>
      <c r="BE121" s="319">
        <f t="shared" si="56"/>
        <v>13843.485558889632</v>
      </c>
      <c r="BF121" s="451"/>
      <c r="BG121" s="451"/>
      <c r="BH121" s="451">
        <f>$S121/6</f>
        <v>13843.485558889632</v>
      </c>
      <c r="BI121" s="451"/>
      <c r="BJ121" s="319">
        <f t="shared" si="57"/>
        <v>13843.485558889632</v>
      </c>
      <c r="BK121" s="451"/>
      <c r="BL121" s="451"/>
      <c r="BM121" s="451">
        <f>$S121/6</f>
        <v>13843.485558889632</v>
      </c>
      <c r="BN121" s="451"/>
      <c r="BO121" s="319">
        <f t="shared" si="58"/>
        <v>13843.485558889632</v>
      </c>
      <c r="BP121" s="451"/>
      <c r="BQ121" s="451"/>
      <c r="BR121" s="451"/>
      <c r="BS121" s="451"/>
      <c r="BT121" s="319">
        <f t="shared" si="59"/>
        <v>0</v>
      </c>
      <c r="BU121" s="451"/>
      <c r="BV121" s="451"/>
      <c r="BW121" s="451"/>
      <c r="BX121" s="451"/>
      <c r="BY121" s="319">
        <f t="shared" si="60"/>
        <v>0</v>
      </c>
      <c r="BZ121" s="451"/>
      <c r="CA121" s="451"/>
      <c r="CB121" s="451"/>
      <c r="CC121" s="451"/>
      <c r="CD121" s="319">
        <f t="shared" si="61"/>
        <v>0</v>
      </c>
      <c r="CE121" s="451"/>
      <c r="CF121" s="451"/>
      <c r="CG121" s="451"/>
      <c r="CH121" s="451"/>
      <c r="CI121" s="319">
        <f t="shared" si="62"/>
        <v>0</v>
      </c>
      <c r="CJ121" s="451"/>
      <c r="CK121" s="451"/>
      <c r="CL121" s="451"/>
      <c r="CM121" s="451"/>
      <c r="CN121" s="319">
        <f t="shared" si="63"/>
        <v>0</v>
      </c>
      <c r="CO121" s="451">
        <f t="shared" si="106"/>
        <v>83060.91335333779</v>
      </c>
      <c r="CP121" s="451">
        <f t="shared" si="107"/>
        <v>83060.91335333779</v>
      </c>
      <c r="CQ121" s="452">
        <f t="shared" si="99"/>
        <v>1</v>
      </c>
    </row>
    <row r="122" spans="1:95" ht="12.75">
      <c r="A122" s="318"/>
      <c r="B122" s="319" t="s">
        <v>256</v>
      </c>
      <c r="C122" s="375" t="s">
        <v>326</v>
      </c>
      <c r="D122" s="376">
        <v>3</v>
      </c>
      <c r="E122" s="375">
        <v>7500</v>
      </c>
      <c r="F122" s="319">
        <f t="shared" si="100"/>
        <v>22500</v>
      </c>
      <c r="G122" s="319">
        <f t="shared" si="101"/>
        <v>2184.4660194174758</v>
      </c>
      <c r="H122" s="319"/>
      <c r="I122" s="319"/>
      <c r="J122" s="328"/>
      <c r="K122" s="319"/>
      <c r="L122" s="322"/>
      <c r="M122" s="328">
        <f t="shared" si="102"/>
        <v>12180.45112781955</v>
      </c>
      <c r="N122" s="319">
        <f t="shared" si="108"/>
        <v>169.17293233082708</v>
      </c>
      <c r="O122" s="322">
        <f t="shared" si="77"/>
        <v>0.16650879166419988</v>
      </c>
      <c r="P122" s="328">
        <f t="shared" si="103"/>
        <v>10319.548872180452</v>
      </c>
      <c r="Q122" s="319">
        <f t="shared" si="109"/>
        <v>169.17293233082708</v>
      </c>
      <c r="R122" s="322">
        <f t="shared" si="110"/>
        <v>0.13946655591989043</v>
      </c>
      <c r="S122" s="363">
        <f t="shared" si="104"/>
        <v>22500</v>
      </c>
      <c r="T122" s="330">
        <f t="shared" si="113"/>
        <v>169.17293233082708</v>
      </c>
      <c r="U122" s="322">
        <f t="shared" si="111"/>
        <v>0.15291039450881783</v>
      </c>
      <c r="V122" s="327">
        <f t="shared" si="112"/>
        <v>1.768446913512766E-3</v>
      </c>
      <c r="W122" s="327">
        <f t="shared" si="105"/>
        <v>1.4516129481789816E-3</v>
      </c>
      <c r="X122" s="433"/>
      <c r="Y122" s="437"/>
      <c r="Z122" s="327"/>
      <c r="AA122" s="327"/>
      <c r="AB122" s="469"/>
      <c r="AC122" s="263"/>
      <c r="AD122" s="327"/>
      <c r="AE122" s="264"/>
      <c r="AF122" s="450" t="s">
        <v>256</v>
      </c>
      <c r="AG122" s="450"/>
      <c r="AH122" s="450"/>
      <c r="AI122" s="450"/>
      <c r="AJ122" s="462"/>
      <c r="AK122" s="319">
        <f t="shared" si="52"/>
        <v>0</v>
      </c>
      <c r="AL122" s="450"/>
      <c r="AM122" s="451"/>
      <c r="AN122" s="451"/>
      <c r="AO122" s="451"/>
      <c r="AP122" s="319">
        <f t="shared" si="53"/>
        <v>0</v>
      </c>
      <c r="AQ122" s="451"/>
      <c r="AR122" s="451"/>
      <c r="AS122" s="451"/>
      <c r="AT122" s="451"/>
      <c r="AU122" s="319">
        <f t="shared" si="54"/>
        <v>0</v>
      </c>
      <c r="AV122" s="451"/>
      <c r="AW122" s="451"/>
      <c r="AX122" s="451"/>
      <c r="AY122" s="451"/>
      <c r="AZ122" s="319">
        <f t="shared" si="55"/>
        <v>0</v>
      </c>
      <c r="BA122" s="451"/>
      <c r="BB122" s="451"/>
      <c r="BC122" s="451"/>
      <c r="BD122" s="451"/>
      <c r="BE122" s="319">
        <f t="shared" si="56"/>
        <v>0</v>
      </c>
      <c r="BF122" s="451"/>
      <c r="BG122" s="451"/>
      <c r="BH122" s="451"/>
      <c r="BI122" s="451"/>
      <c r="BJ122" s="319">
        <f t="shared" si="57"/>
        <v>0</v>
      </c>
      <c r="BK122" s="451"/>
      <c r="BL122" s="451"/>
      <c r="BM122" s="451">
        <f>S122</f>
        <v>22500</v>
      </c>
      <c r="BN122" s="451"/>
      <c r="BO122" s="319">
        <f t="shared" si="58"/>
        <v>22500</v>
      </c>
      <c r="BP122" s="451"/>
      <c r="BQ122" s="451"/>
      <c r="BR122" s="451"/>
      <c r="BS122" s="451"/>
      <c r="BT122" s="319">
        <f t="shared" si="59"/>
        <v>0</v>
      </c>
      <c r="BU122" s="451"/>
      <c r="BV122" s="451"/>
      <c r="BW122" s="451"/>
      <c r="BX122" s="451"/>
      <c r="BY122" s="319">
        <f t="shared" si="60"/>
        <v>0</v>
      </c>
      <c r="BZ122" s="451"/>
      <c r="CA122" s="451"/>
      <c r="CB122" s="451"/>
      <c r="CC122" s="451"/>
      <c r="CD122" s="319">
        <f t="shared" si="61"/>
        <v>0</v>
      </c>
      <c r="CE122" s="451"/>
      <c r="CF122" s="451"/>
      <c r="CG122" s="451"/>
      <c r="CH122" s="451"/>
      <c r="CI122" s="319">
        <f t="shared" si="62"/>
        <v>0</v>
      </c>
      <c r="CJ122" s="451"/>
      <c r="CK122" s="451"/>
      <c r="CL122" s="451"/>
      <c r="CM122" s="451"/>
      <c r="CN122" s="319">
        <f t="shared" si="63"/>
        <v>0</v>
      </c>
      <c r="CO122" s="451">
        <f t="shared" si="106"/>
        <v>22500</v>
      </c>
      <c r="CP122" s="451">
        <f t="shared" si="107"/>
        <v>22500</v>
      </c>
      <c r="CQ122" s="452">
        <f t="shared" si="99"/>
        <v>1</v>
      </c>
    </row>
    <row r="123" spans="1:95" ht="12.75">
      <c r="A123" s="318"/>
      <c r="B123" s="319" t="s">
        <v>351</v>
      </c>
      <c r="C123" s="375" t="s">
        <v>334</v>
      </c>
      <c r="D123" s="376">
        <v>134</v>
      </c>
      <c r="E123" s="375">
        <v>200</v>
      </c>
      <c r="F123" s="319">
        <f t="shared" si="100"/>
        <v>26800</v>
      </c>
      <c r="G123" s="319">
        <f t="shared" si="101"/>
        <v>2601.9417475728155</v>
      </c>
      <c r="H123" s="319"/>
      <c r="I123" s="319"/>
      <c r="J123" s="328"/>
      <c r="K123" s="319"/>
      <c r="L123" s="322"/>
      <c r="M123" s="328">
        <f t="shared" si="102"/>
        <v>14508.270676691729</v>
      </c>
      <c r="N123" s="319">
        <f t="shared" si="108"/>
        <v>201.50375939849624</v>
      </c>
      <c r="O123" s="322">
        <f t="shared" si="77"/>
        <v>0.19833047184891361</v>
      </c>
      <c r="P123" s="328">
        <f t="shared" si="103"/>
        <v>12291.729323308271</v>
      </c>
      <c r="Q123" s="319">
        <f t="shared" si="109"/>
        <v>201.50375939849624</v>
      </c>
      <c r="R123" s="322">
        <f t="shared" si="110"/>
        <v>0.16612016438458058</v>
      </c>
      <c r="S123" s="363">
        <f t="shared" si="104"/>
        <v>26800</v>
      </c>
      <c r="T123" s="330">
        <f t="shared" si="113"/>
        <v>201.50375939849624</v>
      </c>
      <c r="U123" s="322">
        <f t="shared" si="111"/>
        <v>0.18213326990383635</v>
      </c>
      <c r="V123" s="327">
        <f t="shared" si="112"/>
        <v>2.1064167680952058E-3</v>
      </c>
      <c r="W123" s="327">
        <f t="shared" si="105"/>
        <v>1.7290323116087426E-3</v>
      </c>
      <c r="X123" s="433"/>
      <c r="Y123" s="437"/>
      <c r="Z123" s="327"/>
      <c r="AA123" s="327"/>
      <c r="AB123" s="469"/>
      <c r="AC123" s="263"/>
      <c r="AD123" s="327"/>
      <c r="AE123" s="264"/>
      <c r="AF123" s="450" t="s">
        <v>351</v>
      </c>
      <c r="AG123" s="451"/>
      <c r="AH123" s="451"/>
      <c r="AI123" s="451"/>
      <c r="AJ123" s="451"/>
      <c r="AK123" s="319">
        <f t="shared" si="52"/>
        <v>0</v>
      </c>
      <c r="AL123" s="451"/>
      <c r="AM123" s="451">
        <f>$S123/4</f>
        <v>6700</v>
      </c>
      <c r="AN123" s="451"/>
      <c r="AO123" s="451"/>
      <c r="AP123" s="319">
        <f t="shared" si="53"/>
        <v>6700</v>
      </c>
      <c r="AQ123" s="451"/>
      <c r="AR123" s="451">
        <f>$S123/4</f>
        <v>6700</v>
      </c>
      <c r="AS123" s="451"/>
      <c r="AT123" s="451"/>
      <c r="AU123" s="319">
        <f t="shared" si="54"/>
        <v>6700</v>
      </c>
      <c r="AV123" s="451"/>
      <c r="AW123" s="451">
        <f>$S123/4</f>
        <v>6700</v>
      </c>
      <c r="AX123" s="451"/>
      <c r="AY123" s="451"/>
      <c r="AZ123" s="319">
        <f t="shared" si="55"/>
        <v>6700</v>
      </c>
      <c r="BA123" s="451"/>
      <c r="BB123" s="451">
        <f>$S123/4</f>
        <v>6700</v>
      </c>
      <c r="BC123" s="451"/>
      <c r="BD123" s="451"/>
      <c r="BE123" s="319">
        <f t="shared" si="56"/>
        <v>6700</v>
      </c>
      <c r="BF123" s="451"/>
      <c r="BG123" s="451"/>
      <c r="BH123" s="451"/>
      <c r="BI123" s="451"/>
      <c r="BJ123" s="319">
        <f t="shared" si="57"/>
        <v>0</v>
      </c>
      <c r="BK123" s="451"/>
      <c r="BL123" s="451"/>
      <c r="BM123" s="451"/>
      <c r="BN123" s="451"/>
      <c r="BO123" s="319">
        <f t="shared" si="58"/>
        <v>0</v>
      </c>
      <c r="BP123" s="451"/>
      <c r="BQ123" s="451"/>
      <c r="BR123" s="451"/>
      <c r="BS123" s="451"/>
      <c r="BT123" s="319">
        <f t="shared" si="59"/>
        <v>0</v>
      </c>
      <c r="BU123" s="451"/>
      <c r="BV123" s="451"/>
      <c r="BW123" s="451"/>
      <c r="BX123" s="451"/>
      <c r="BY123" s="319">
        <f t="shared" si="60"/>
        <v>0</v>
      </c>
      <c r="BZ123" s="451"/>
      <c r="CA123" s="451"/>
      <c r="CB123" s="451"/>
      <c r="CC123" s="451"/>
      <c r="CD123" s="319">
        <f t="shared" si="61"/>
        <v>0</v>
      </c>
      <c r="CE123" s="451"/>
      <c r="CF123" s="451"/>
      <c r="CG123" s="451"/>
      <c r="CH123" s="451"/>
      <c r="CI123" s="319">
        <f t="shared" si="62"/>
        <v>0</v>
      </c>
      <c r="CJ123" s="451"/>
      <c r="CK123" s="451"/>
      <c r="CL123" s="451"/>
      <c r="CM123" s="451"/>
      <c r="CN123" s="319">
        <f t="shared" si="63"/>
        <v>0</v>
      </c>
      <c r="CO123" s="451">
        <f t="shared" si="106"/>
        <v>26800</v>
      </c>
      <c r="CP123" s="451">
        <f t="shared" si="107"/>
        <v>26800</v>
      </c>
      <c r="CQ123" s="452">
        <f t="shared" si="99"/>
        <v>1</v>
      </c>
    </row>
    <row r="124" spans="1:95" ht="12.75">
      <c r="A124" s="318"/>
      <c r="B124" s="319" t="s">
        <v>244</v>
      </c>
      <c r="C124" s="319" t="s">
        <v>326</v>
      </c>
      <c r="D124" s="322">
        <v>1</v>
      </c>
      <c r="E124" s="346">
        <f>65000+5000+3000</f>
        <v>73000</v>
      </c>
      <c r="F124" s="319">
        <f t="shared" si="100"/>
        <v>73000</v>
      </c>
      <c r="G124" s="319">
        <f t="shared" si="101"/>
        <v>7087.3786407766984</v>
      </c>
      <c r="H124" s="319"/>
      <c r="I124" s="319"/>
      <c r="J124" s="328"/>
      <c r="K124" s="319"/>
      <c r="L124" s="322"/>
      <c r="M124" s="328">
        <f t="shared" si="102"/>
        <v>39518.796992481206</v>
      </c>
      <c r="N124" s="319">
        <f t="shared" si="108"/>
        <v>548.87218045112786</v>
      </c>
      <c r="O124" s="322">
        <f t="shared" si="77"/>
        <v>0.54022852406607069</v>
      </c>
      <c r="P124" s="328">
        <f t="shared" si="103"/>
        <v>33481.203007518801</v>
      </c>
      <c r="Q124" s="319">
        <f t="shared" si="109"/>
        <v>548.87218045112786</v>
      </c>
      <c r="R124" s="322">
        <f t="shared" si="110"/>
        <v>0.45249149254008891</v>
      </c>
      <c r="S124" s="363">
        <f t="shared" si="104"/>
        <v>73000</v>
      </c>
      <c r="T124" s="330">
        <f t="shared" si="113"/>
        <v>548.87218045112786</v>
      </c>
      <c r="U124" s="322">
        <f t="shared" si="111"/>
        <v>0.49610927996194232</v>
      </c>
      <c r="V124" s="327">
        <f t="shared" si="112"/>
        <v>5.7376277638414184E-3</v>
      </c>
      <c r="W124" s="327">
        <f t="shared" si="105"/>
        <v>4.7096775652029181E-3</v>
      </c>
      <c r="X124" s="433"/>
      <c r="Y124" s="437"/>
      <c r="Z124" s="327"/>
      <c r="AA124" s="327"/>
      <c r="AB124" s="469"/>
      <c r="AC124" s="263"/>
      <c r="AD124" s="327"/>
      <c r="AE124" s="264"/>
      <c r="AF124" s="450" t="s">
        <v>244</v>
      </c>
      <c r="AG124" s="450"/>
      <c r="AH124" s="450"/>
      <c r="AI124" s="450"/>
      <c r="AJ124" s="462"/>
      <c r="AK124" s="319">
        <f t="shared" si="52"/>
        <v>0</v>
      </c>
      <c r="AL124" s="450"/>
      <c r="AM124" s="451"/>
      <c r="AN124" s="451"/>
      <c r="AO124" s="451"/>
      <c r="AP124" s="319">
        <f t="shared" si="53"/>
        <v>0</v>
      </c>
      <c r="AQ124" s="451"/>
      <c r="AR124" s="451"/>
      <c r="AS124" s="451"/>
      <c r="AT124" s="451"/>
      <c r="AU124" s="319">
        <f t="shared" si="54"/>
        <v>0</v>
      </c>
      <c r="AV124" s="451"/>
      <c r="AW124" s="451"/>
      <c r="AX124" s="451"/>
      <c r="AY124" s="451"/>
      <c r="AZ124" s="319">
        <f t="shared" si="55"/>
        <v>0</v>
      </c>
      <c r="BA124" s="451"/>
      <c r="BB124" s="451"/>
      <c r="BC124" s="451"/>
      <c r="BD124" s="451"/>
      <c r="BE124" s="319">
        <f t="shared" si="56"/>
        <v>0</v>
      </c>
      <c r="BF124" s="451"/>
      <c r="BG124" s="451"/>
      <c r="BH124" s="451"/>
      <c r="BI124" s="451"/>
      <c r="BJ124" s="319">
        <f t="shared" si="57"/>
        <v>0</v>
      </c>
      <c r="BK124" s="451"/>
      <c r="BL124" s="451"/>
      <c r="BM124" s="451"/>
      <c r="BN124" s="451"/>
      <c r="BO124" s="319">
        <f t="shared" si="58"/>
        <v>0</v>
      </c>
      <c r="BP124" s="451"/>
      <c r="BQ124" s="451"/>
      <c r="BR124" s="451"/>
      <c r="BS124" s="451"/>
      <c r="BT124" s="319">
        <f t="shared" si="59"/>
        <v>0</v>
      </c>
      <c r="BU124" s="451"/>
      <c r="BV124" s="451"/>
      <c r="BW124" s="451"/>
      <c r="BX124" s="451"/>
      <c r="BY124" s="319">
        <f t="shared" si="60"/>
        <v>0</v>
      </c>
      <c r="BZ124" s="451"/>
      <c r="CA124" s="451"/>
      <c r="CB124" s="451"/>
      <c r="CC124" s="451"/>
      <c r="CD124" s="319">
        <f t="shared" si="61"/>
        <v>0</v>
      </c>
      <c r="CE124" s="451"/>
      <c r="CF124" s="451"/>
      <c r="CG124" s="451"/>
      <c r="CH124" s="451"/>
      <c r="CI124" s="319">
        <f t="shared" si="62"/>
        <v>0</v>
      </c>
      <c r="CJ124" s="451"/>
      <c r="CK124" s="451"/>
      <c r="CL124" s="451">
        <f>$S124/2</f>
        <v>36500</v>
      </c>
      <c r="CM124" s="451">
        <f>$S124/2</f>
        <v>36500</v>
      </c>
      <c r="CN124" s="319">
        <f t="shared" si="63"/>
        <v>73000</v>
      </c>
      <c r="CO124" s="451">
        <f t="shared" si="106"/>
        <v>73000</v>
      </c>
      <c r="CP124" s="451">
        <f t="shared" si="107"/>
        <v>73000</v>
      </c>
      <c r="CQ124" s="452">
        <f t="shared" si="99"/>
        <v>1</v>
      </c>
    </row>
    <row r="125" spans="1:95" ht="12.75">
      <c r="A125" s="318"/>
      <c r="B125" s="319" t="s">
        <v>441</v>
      </c>
      <c r="C125" s="319" t="s">
        <v>326</v>
      </c>
      <c r="D125" s="322">
        <v>1</v>
      </c>
      <c r="E125" s="346">
        <f>30000+800*30+2200+8000+2000*3</f>
        <v>70200</v>
      </c>
      <c r="F125" s="319">
        <f t="shared" si="100"/>
        <v>70200</v>
      </c>
      <c r="G125" s="319">
        <f t="shared" si="101"/>
        <v>6815.5339805825242</v>
      </c>
      <c r="H125" s="319"/>
      <c r="I125" s="319"/>
      <c r="J125" s="328"/>
      <c r="K125" s="319"/>
      <c r="L125" s="322"/>
      <c r="M125" s="328">
        <f t="shared" si="102"/>
        <v>38003.007518796992</v>
      </c>
      <c r="N125" s="319">
        <f t="shared" si="108"/>
        <v>527.81954887218046</v>
      </c>
      <c r="O125" s="322">
        <f t="shared" si="77"/>
        <v>0.51950742999230359</v>
      </c>
      <c r="P125" s="328">
        <f t="shared" si="103"/>
        <v>32196.992481203008</v>
      </c>
      <c r="Q125" s="319">
        <f t="shared" si="109"/>
        <v>527.81954887218046</v>
      </c>
      <c r="R125" s="322">
        <f t="shared" si="110"/>
        <v>0.43513565447005809</v>
      </c>
      <c r="S125" s="363">
        <f t="shared" si="104"/>
        <v>70200</v>
      </c>
      <c r="T125" s="330">
        <f t="shared" si="113"/>
        <v>527.81954887218046</v>
      </c>
      <c r="U125" s="322">
        <f t="shared" si="111"/>
        <v>0.47708043086751162</v>
      </c>
      <c r="V125" s="327">
        <f t="shared" si="112"/>
        <v>5.5175543701598299E-3</v>
      </c>
      <c r="W125" s="327">
        <f t="shared" si="105"/>
        <v>4.5290323983184231E-3</v>
      </c>
      <c r="X125" s="433"/>
      <c r="Y125" s="437"/>
      <c r="Z125" s="327"/>
      <c r="AA125" s="327"/>
      <c r="AB125" s="469"/>
      <c r="AC125" s="263"/>
      <c r="AD125" s="327"/>
      <c r="AE125" s="264"/>
      <c r="AF125" s="450" t="s">
        <v>441</v>
      </c>
      <c r="AG125" s="450"/>
      <c r="AH125" s="450"/>
      <c r="AI125" s="450"/>
      <c r="AJ125" s="462"/>
      <c r="AK125" s="319">
        <f t="shared" si="52"/>
        <v>0</v>
      </c>
      <c r="AL125" s="450"/>
      <c r="AM125" s="451"/>
      <c r="AN125" s="451"/>
      <c r="AO125" s="451"/>
      <c r="AP125" s="319">
        <f t="shared" si="53"/>
        <v>0</v>
      </c>
      <c r="AQ125" s="451"/>
      <c r="AR125" s="451"/>
      <c r="AS125" s="451"/>
      <c r="AT125" s="451"/>
      <c r="AU125" s="319">
        <f t="shared" si="54"/>
        <v>0</v>
      </c>
      <c r="AV125" s="451"/>
      <c r="AW125" s="451"/>
      <c r="AX125" s="451"/>
      <c r="AY125" s="451"/>
      <c r="AZ125" s="319">
        <f t="shared" si="55"/>
        <v>0</v>
      </c>
      <c r="BA125" s="451"/>
      <c r="BB125" s="451"/>
      <c r="BC125" s="451"/>
      <c r="BD125" s="451"/>
      <c r="BE125" s="319">
        <f t="shared" si="56"/>
        <v>0</v>
      </c>
      <c r="BF125" s="451"/>
      <c r="BG125" s="451"/>
      <c r="BH125" s="451"/>
      <c r="BI125" s="451"/>
      <c r="BJ125" s="319">
        <f t="shared" si="57"/>
        <v>0</v>
      </c>
      <c r="BK125" s="451"/>
      <c r="BL125" s="451">
        <f>$S125/2</f>
        <v>35100</v>
      </c>
      <c r="BM125" s="451">
        <f>$S125/2</f>
        <v>35100</v>
      </c>
      <c r="BN125" s="451"/>
      <c r="BO125" s="319">
        <f t="shared" si="58"/>
        <v>70200</v>
      </c>
      <c r="BP125" s="451"/>
      <c r="BQ125" s="451"/>
      <c r="BR125" s="451"/>
      <c r="BS125" s="451"/>
      <c r="BT125" s="319">
        <f t="shared" si="59"/>
        <v>0</v>
      </c>
      <c r="BU125" s="451"/>
      <c r="BV125" s="451"/>
      <c r="BW125" s="451"/>
      <c r="BX125" s="451"/>
      <c r="BY125" s="319">
        <f t="shared" si="60"/>
        <v>0</v>
      </c>
      <c r="BZ125" s="451"/>
      <c r="CA125" s="451"/>
      <c r="CB125" s="451"/>
      <c r="CC125" s="451"/>
      <c r="CD125" s="319">
        <f t="shared" si="61"/>
        <v>0</v>
      </c>
      <c r="CE125" s="451"/>
      <c r="CF125" s="451"/>
      <c r="CG125" s="451"/>
      <c r="CH125" s="451"/>
      <c r="CI125" s="319">
        <f t="shared" si="62"/>
        <v>0</v>
      </c>
      <c r="CJ125" s="451"/>
      <c r="CK125" s="451"/>
      <c r="CL125" s="451"/>
      <c r="CM125" s="451"/>
      <c r="CN125" s="319">
        <f t="shared" si="63"/>
        <v>0</v>
      </c>
      <c r="CO125" s="451">
        <f t="shared" si="106"/>
        <v>70200</v>
      </c>
      <c r="CP125" s="451">
        <f t="shared" si="107"/>
        <v>70200</v>
      </c>
      <c r="CQ125" s="452">
        <f t="shared" si="99"/>
        <v>1</v>
      </c>
    </row>
    <row r="126" spans="1:95" ht="12.75">
      <c r="A126" s="318"/>
      <c r="B126" s="319" t="s">
        <v>245</v>
      </c>
      <c r="C126" s="319" t="s">
        <v>326</v>
      </c>
      <c r="D126" s="376">
        <v>1</v>
      </c>
      <c r="E126" s="375">
        <v>20000</v>
      </c>
      <c r="F126" s="319">
        <f t="shared" si="100"/>
        <v>20000</v>
      </c>
      <c r="G126" s="319">
        <f t="shared" si="101"/>
        <v>1941.7475728155339</v>
      </c>
      <c r="H126" s="319"/>
      <c r="I126" s="319"/>
      <c r="J126" s="328"/>
      <c r="K126" s="319"/>
      <c r="L126" s="322"/>
      <c r="M126" s="328">
        <f t="shared" si="102"/>
        <v>10827.067669172931</v>
      </c>
      <c r="N126" s="319">
        <f t="shared" si="108"/>
        <v>150.37593984962405</v>
      </c>
      <c r="O126" s="322">
        <f t="shared" si="77"/>
        <v>0.1480078148126221</v>
      </c>
      <c r="P126" s="328">
        <f t="shared" si="103"/>
        <v>9172.9323308270668</v>
      </c>
      <c r="Q126" s="319">
        <f t="shared" si="109"/>
        <v>150.37593984962405</v>
      </c>
      <c r="R126" s="322">
        <f t="shared" si="110"/>
        <v>0.12397027192879147</v>
      </c>
      <c r="S126" s="363">
        <f t="shared" si="104"/>
        <v>20000</v>
      </c>
      <c r="T126" s="330">
        <f t="shared" si="113"/>
        <v>150.37593984962405</v>
      </c>
      <c r="U126" s="322">
        <f t="shared" si="111"/>
        <v>0.13592035067450475</v>
      </c>
      <c r="V126" s="327">
        <f t="shared" si="112"/>
        <v>1.5719528120113476E-3</v>
      </c>
      <c r="W126" s="327">
        <f t="shared" si="105"/>
        <v>1.2903226206035393E-3</v>
      </c>
      <c r="X126" s="433"/>
      <c r="Y126" s="437"/>
      <c r="Z126" s="327"/>
      <c r="AA126" s="327"/>
      <c r="AB126" s="469"/>
      <c r="AC126" s="263"/>
      <c r="AD126" s="327"/>
      <c r="AE126" s="264"/>
      <c r="AF126" s="450" t="s">
        <v>245</v>
      </c>
      <c r="AG126" s="450"/>
      <c r="AH126" s="450"/>
      <c r="AI126" s="450"/>
      <c r="AJ126" s="462"/>
      <c r="AK126" s="319">
        <f t="shared" si="52"/>
        <v>0</v>
      </c>
      <c r="AL126" s="450"/>
      <c r="AM126" s="451"/>
      <c r="AN126" s="451"/>
      <c r="AO126" s="451"/>
      <c r="AP126" s="319">
        <f t="shared" si="53"/>
        <v>0</v>
      </c>
      <c r="AQ126" s="451"/>
      <c r="AR126" s="451"/>
      <c r="AS126" s="451"/>
      <c r="AT126" s="451"/>
      <c r="AU126" s="319">
        <f t="shared" si="54"/>
        <v>0</v>
      </c>
      <c r="AV126" s="451"/>
      <c r="AW126" s="451"/>
      <c r="AX126" s="451"/>
      <c r="AY126" s="451"/>
      <c r="AZ126" s="319">
        <f t="shared" si="55"/>
        <v>0</v>
      </c>
      <c r="BA126" s="451"/>
      <c r="BB126" s="451"/>
      <c r="BC126" s="451"/>
      <c r="BD126" s="451"/>
      <c r="BE126" s="319">
        <f t="shared" si="56"/>
        <v>0</v>
      </c>
      <c r="BF126" s="451"/>
      <c r="BG126" s="451"/>
      <c r="BH126" s="451"/>
      <c r="BI126" s="451"/>
      <c r="BJ126" s="319">
        <f t="shared" si="57"/>
        <v>0</v>
      </c>
      <c r="BK126" s="451"/>
      <c r="BL126" s="451"/>
      <c r="BM126" s="451"/>
      <c r="BN126" s="451"/>
      <c r="BO126" s="319">
        <f t="shared" si="58"/>
        <v>0</v>
      </c>
      <c r="BP126" s="451"/>
      <c r="BQ126" s="451"/>
      <c r="BR126" s="451"/>
      <c r="BS126" s="451"/>
      <c r="BT126" s="319">
        <f t="shared" si="59"/>
        <v>0</v>
      </c>
      <c r="BU126" s="451"/>
      <c r="BV126" s="451"/>
      <c r="BW126" s="451"/>
      <c r="BX126" s="451"/>
      <c r="BY126" s="319">
        <f t="shared" si="60"/>
        <v>0</v>
      </c>
      <c r="BZ126" s="451"/>
      <c r="CA126" s="451"/>
      <c r="CB126" s="451"/>
      <c r="CC126" s="451"/>
      <c r="CD126" s="319">
        <f t="shared" si="61"/>
        <v>0</v>
      </c>
      <c r="CE126" s="451"/>
      <c r="CF126" s="451"/>
      <c r="CG126" s="451"/>
      <c r="CH126" s="451"/>
      <c r="CI126" s="319">
        <f t="shared" si="62"/>
        <v>0</v>
      </c>
      <c r="CJ126" s="451"/>
      <c r="CK126" s="451"/>
      <c r="CL126" s="451">
        <f>$S126/2</f>
        <v>10000</v>
      </c>
      <c r="CM126" s="451">
        <f>$S126/2</f>
        <v>10000</v>
      </c>
      <c r="CN126" s="319">
        <f t="shared" si="63"/>
        <v>20000</v>
      </c>
      <c r="CO126" s="451">
        <f t="shared" si="106"/>
        <v>20000</v>
      </c>
      <c r="CP126" s="451">
        <f>S126</f>
        <v>20000</v>
      </c>
      <c r="CQ126" s="452">
        <f t="shared" ref="CQ126:CQ132" si="114">+CO126/CP126</f>
        <v>1</v>
      </c>
    </row>
    <row r="127" spans="1:95" ht="12.75">
      <c r="A127" s="318"/>
      <c r="B127" s="319" t="s">
        <v>313</v>
      </c>
      <c r="C127" s="319" t="s">
        <v>326</v>
      </c>
      <c r="D127" s="376">
        <v>1</v>
      </c>
      <c r="E127" s="375">
        <v>25000</v>
      </c>
      <c r="F127" s="319">
        <f t="shared" si="100"/>
        <v>25000</v>
      </c>
      <c r="G127" s="319">
        <f t="shared" si="101"/>
        <v>2427.1844660194174</v>
      </c>
      <c r="H127" s="319"/>
      <c r="I127" s="319"/>
      <c r="J127" s="367"/>
      <c r="K127" s="366"/>
      <c r="L127" s="365"/>
      <c r="M127" s="367">
        <f t="shared" si="102"/>
        <v>13533.834586466166</v>
      </c>
      <c r="N127" s="366">
        <f t="shared" si="108"/>
        <v>187.96992481203009</v>
      </c>
      <c r="O127" s="365">
        <f t="shared" si="77"/>
        <v>0.18500976851577763</v>
      </c>
      <c r="P127" s="367">
        <f t="shared" si="103"/>
        <v>11466.165413533836</v>
      </c>
      <c r="Q127" s="366">
        <f t="shared" si="109"/>
        <v>187.96992481203009</v>
      </c>
      <c r="R127" s="365">
        <f t="shared" si="110"/>
        <v>0.15496283991098936</v>
      </c>
      <c r="S127" s="363">
        <f t="shared" si="104"/>
        <v>25000</v>
      </c>
      <c r="T127" s="330">
        <f t="shared" si="113"/>
        <v>187.96992481203009</v>
      </c>
      <c r="U127" s="322">
        <f t="shared" si="111"/>
        <v>0.16990043834313093</v>
      </c>
      <c r="V127" s="327">
        <f t="shared" si="112"/>
        <v>1.9649410150141843E-3</v>
      </c>
      <c r="W127" s="348">
        <f>+$S127/TotalValue</f>
        <v>1.612903275754424E-3</v>
      </c>
      <c r="X127" s="433"/>
      <c r="Y127" s="437"/>
      <c r="Z127" s="326"/>
      <c r="AA127" s="326"/>
      <c r="AB127" s="508"/>
      <c r="AC127" s="263"/>
      <c r="AD127" s="326"/>
      <c r="AE127" s="312"/>
      <c r="AF127" s="450" t="s">
        <v>313</v>
      </c>
      <c r="AG127" s="450"/>
      <c r="AH127" s="450"/>
      <c r="AI127" s="450"/>
      <c r="AJ127" s="462"/>
      <c r="AK127" s="319">
        <f t="shared" si="52"/>
        <v>0</v>
      </c>
      <c r="AL127" s="450"/>
      <c r="AM127" s="451"/>
      <c r="AN127" s="451"/>
      <c r="AO127" s="451"/>
      <c r="AP127" s="319">
        <f t="shared" si="53"/>
        <v>0</v>
      </c>
      <c r="AQ127" s="451"/>
      <c r="AR127" s="451"/>
      <c r="AS127" s="451"/>
      <c r="AT127" s="451"/>
      <c r="AU127" s="319">
        <f t="shared" si="54"/>
        <v>0</v>
      </c>
      <c r="AV127" s="451"/>
      <c r="AW127" s="451"/>
      <c r="AX127" s="451"/>
      <c r="AY127" s="451"/>
      <c r="AZ127" s="319">
        <f t="shared" si="55"/>
        <v>0</v>
      </c>
      <c r="BA127" s="451"/>
      <c r="BB127" s="451"/>
      <c r="BC127" s="451"/>
      <c r="BD127" s="451"/>
      <c r="BE127" s="319">
        <f t="shared" si="56"/>
        <v>0</v>
      </c>
      <c r="BF127" s="451"/>
      <c r="BG127" s="451"/>
      <c r="BH127" s="451"/>
      <c r="BI127" s="451"/>
      <c r="BJ127" s="319">
        <f t="shared" si="57"/>
        <v>0</v>
      </c>
      <c r="BK127" s="451"/>
      <c r="BL127" s="451"/>
      <c r="BM127" s="451"/>
      <c r="BN127" s="451"/>
      <c r="BO127" s="319">
        <f t="shared" si="58"/>
        <v>0</v>
      </c>
      <c r="BP127" s="451"/>
      <c r="BQ127" s="451"/>
      <c r="BR127" s="451"/>
      <c r="BS127" s="451"/>
      <c r="BT127" s="319">
        <f t="shared" si="59"/>
        <v>0</v>
      </c>
      <c r="BU127" s="451"/>
      <c r="BV127" s="451"/>
      <c r="BW127" s="451"/>
      <c r="BX127" s="451"/>
      <c r="BY127" s="319">
        <f t="shared" si="60"/>
        <v>0</v>
      </c>
      <c r="BZ127" s="451"/>
      <c r="CA127" s="451"/>
      <c r="CB127" s="451"/>
      <c r="CC127" s="451"/>
      <c r="CD127" s="319">
        <f t="shared" si="61"/>
        <v>0</v>
      </c>
      <c r="CE127" s="451"/>
      <c r="CF127" s="451"/>
      <c r="CG127" s="451"/>
      <c r="CH127" s="451"/>
      <c r="CI127" s="319">
        <f t="shared" si="62"/>
        <v>0</v>
      </c>
      <c r="CJ127" s="451"/>
      <c r="CK127" s="451"/>
      <c r="CL127" s="451">
        <f>$S127/2</f>
        <v>12500</v>
      </c>
      <c r="CM127" s="451">
        <f>$S127/2</f>
        <v>12500</v>
      </c>
      <c r="CN127" s="319">
        <f t="shared" si="63"/>
        <v>25000</v>
      </c>
      <c r="CO127" s="451">
        <f t="shared" si="106"/>
        <v>25000</v>
      </c>
      <c r="CP127" s="451">
        <f>S127</f>
        <v>25000</v>
      </c>
      <c r="CQ127" s="452">
        <f t="shared" si="114"/>
        <v>1</v>
      </c>
    </row>
    <row r="128" spans="1:95" ht="12.75">
      <c r="A128" s="318"/>
      <c r="B128" s="369" t="s">
        <v>248</v>
      </c>
      <c r="C128" s="380"/>
      <c r="D128" s="369"/>
      <c r="E128" s="369"/>
      <c r="F128" s="369">
        <f>SUM(F117:F127)</f>
        <v>785648.28201255505</v>
      </c>
      <c r="G128" s="369">
        <f>SUM(G124:G126)</f>
        <v>15844.660194174756</v>
      </c>
      <c r="H128" s="319"/>
      <c r="I128" s="319"/>
      <c r="J128" s="371"/>
      <c r="K128" s="371"/>
      <c r="L128" s="381"/>
      <c r="M128" s="371">
        <f>SUM(M117:M127)</f>
        <v>425313.35567596968</v>
      </c>
      <c r="N128" s="371">
        <f>SUM(N117:N127)</f>
        <v>5907.1299399440231</v>
      </c>
      <c r="O128" s="381">
        <f t="shared" si="77"/>
        <v>5.8141042715984481</v>
      </c>
      <c r="P128" s="371">
        <f>SUM(P117:P127)</f>
        <v>360334.92633658537</v>
      </c>
      <c r="Q128" s="371">
        <f>SUM(Q117:Q127)</f>
        <v>5907.1299399440231</v>
      </c>
      <c r="R128" s="381">
        <f>SUM(R117:R127)</f>
        <v>4.8698515580742159</v>
      </c>
      <c r="S128" s="373">
        <f>SUM(S117:S127)</f>
        <v>785648.28201255505</v>
      </c>
      <c r="T128" s="371">
        <f t="shared" si="113"/>
        <v>5907.1299399440231</v>
      </c>
      <c r="U128" s="372">
        <f>+S128/U$8</f>
        <v>5.3392794998984341</v>
      </c>
      <c r="V128" s="382">
        <f t="shared" si="112"/>
        <v>6.1750101308076004E-2</v>
      </c>
      <c r="W128" s="382">
        <f>+$S128/TotalValue</f>
        <v>5.0686987505955426E-2</v>
      </c>
      <c r="X128" s="438"/>
      <c r="Y128" s="443"/>
      <c r="Z128" s="326"/>
      <c r="AA128" s="326"/>
      <c r="AB128" s="508"/>
      <c r="AC128" s="471"/>
      <c r="AD128" s="326"/>
      <c r="AE128" s="312"/>
      <c r="AF128" s="464" t="s">
        <v>248</v>
      </c>
      <c r="AG128" s="461">
        <f t="shared" ref="AG128:BL128" si="115">SUM(AG117:AG127)</f>
        <v>0</v>
      </c>
      <c r="AH128" s="461">
        <f t="shared" si="115"/>
        <v>0</v>
      </c>
      <c r="AI128" s="461">
        <f t="shared" si="115"/>
        <v>0</v>
      </c>
      <c r="AJ128" s="461">
        <f t="shared" si="115"/>
        <v>0</v>
      </c>
      <c r="AK128" s="461">
        <f t="shared" si="115"/>
        <v>0</v>
      </c>
      <c r="AL128" s="461">
        <f t="shared" si="115"/>
        <v>0</v>
      </c>
      <c r="AM128" s="461">
        <f t="shared" si="115"/>
        <v>6700</v>
      </c>
      <c r="AN128" s="461">
        <f t="shared" si="115"/>
        <v>13843.485558889632</v>
      </c>
      <c r="AO128" s="461">
        <f t="shared" si="115"/>
        <v>0</v>
      </c>
      <c r="AP128" s="461">
        <f t="shared" si="115"/>
        <v>20543.485558889632</v>
      </c>
      <c r="AQ128" s="461">
        <f t="shared" si="115"/>
        <v>0</v>
      </c>
      <c r="AR128" s="461">
        <f t="shared" si="115"/>
        <v>6700</v>
      </c>
      <c r="AS128" s="461">
        <f t="shared" si="115"/>
        <v>13843.485558889632</v>
      </c>
      <c r="AT128" s="461">
        <f t="shared" si="115"/>
        <v>0</v>
      </c>
      <c r="AU128" s="461">
        <f t="shared" si="115"/>
        <v>20543.485558889632</v>
      </c>
      <c r="AV128" s="461">
        <f t="shared" si="115"/>
        <v>0</v>
      </c>
      <c r="AW128" s="461">
        <f t="shared" si="115"/>
        <v>6700</v>
      </c>
      <c r="AX128" s="461">
        <f t="shared" si="115"/>
        <v>13843.485558889632</v>
      </c>
      <c r="AY128" s="461">
        <f t="shared" si="115"/>
        <v>0</v>
      </c>
      <c r="AZ128" s="461">
        <f t="shared" si="115"/>
        <v>20543.485558889632</v>
      </c>
      <c r="BA128" s="461">
        <f t="shared" si="115"/>
        <v>0</v>
      </c>
      <c r="BB128" s="461">
        <f t="shared" si="115"/>
        <v>6700</v>
      </c>
      <c r="BC128" s="461">
        <f t="shared" si="115"/>
        <v>13843.485558889632</v>
      </c>
      <c r="BD128" s="461">
        <f t="shared" si="115"/>
        <v>0</v>
      </c>
      <c r="BE128" s="461">
        <f t="shared" si="115"/>
        <v>20543.485558889632</v>
      </c>
      <c r="BF128" s="461">
        <f t="shared" si="115"/>
        <v>0</v>
      </c>
      <c r="BG128" s="461">
        <f t="shared" si="115"/>
        <v>0</v>
      </c>
      <c r="BH128" s="461">
        <f t="shared" si="115"/>
        <v>13843.485558889632</v>
      </c>
      <c r="BI128" s="461">
        <f t="shared" si="115"/>
        <v>0</v>
      </c>
      <c r="BJ128" s="461">
        <f t="shared" si="115"/>
        <v>13843.485558889632</v>
      </c>
      <c r="BK128" s="461">
        <f t="shared" si="115"/>
        <v>0</v>
      </c>
      <c r="BL128" s="461">
        <f t="shared" si="115"/>
        <v>35100</v>
      </c>
      <c r="BM128" s="461">
        <f t="shared" ref="BM128:CP128" si="116">SUM(BM117:BM127)</f>
        <v>71443.485558889632</v>
      </c>
      <c r="BN128" s="461">
        <f t="shared" si="116"/>
        <v>0</v>
      </c>
      <c r="BO128" s="461">
        <f t="shared" si="116"/>
        <v>106543.48555888963</v>
      </c>
      <c r="BP128" s="461">
        <f t="shared" si="116"/>
        <v>0</v>
      </c>
      <c r="BQ128" s="461">
        <f t="shared" si="116"/>
        <v>0</v>
      </c>
      <c r="BR128" s="461">
        <f t="shared" si="116"/>
        <v>0</v>
      </c>
      <c r="BS128" s="461">
        <f t="shared" si="116"/>
        <v>0</v>
      </c>
      <c r="BT128" s="461">
        <f t="shared" si="116"/>
        <v>0</v>
      </c>
      <c r="BU128" s="461">
        <f t="shared" si="116"/>
        <v>0</v>
      </c>
      <c r="BV128" s="461">
        <f t="shared" si="116"/>
        <v>0</v>
      </c>
      <c r="BW128" s="461">
        <f t="shared" si="116"/>
        <v>0</v>
      </c>
      <c r="BX128" s="461">
        <f t="shared" si="116"/>
        <v>0</v>
      </c>
      <c r="BY128" s="461">
        <f t="shared" si="116"/>
        <v>0</v>
      </c>
      <c r="BZ128" s="461">
        <f t="shared" si="116"/>
        <v>0</v>
      </c>
      <c r="CA128" s="461">
        <f t="shared" si="116"/>
        <v>0</v>
      </c>
      <c r="CB128" s="461">
        <f t="shared" si="116"/>
        <v>0</v>
      </c>
      <c r="CC128" s="461">
        <f t="shared" si="116"/>
        <v>0</v>
      </c>
      <c r="CD128" s="461">
        <f t="shared" si="116"/>
        <v>0</v>
      </c>
      <c r="CE128" s="461">
        <f t="shared" si="116"/>
        <v>0</v>
      </c>
      <c r="CF128" s="461">
        <f t="shared" si="116"/>
        <v>0</v>
      </c>
      <c r="CG128" s="461">
        <f t="shared" si="116"/>
        <v>0</v>
      </c>
      <c r="CH128" s="461">
        <f t="shared" si="116"/>
        <v>0</v>
      </c>
      <c r="CI128" s="461">
        <f t="shared" si="116"/>
        <v>0</v>
      </c>
      <c r="CJ128" s="461">
        <f t="shared" si="116"/>
        <v>0</v>
      </c>
      <c r="CK128" s="461">
        <f t="shared" si="116"/>
        <v>0</v>
      </c>
      <c r="CL128" s="461">
        <f t="shared" si="116"/>
        <v>156150</v>
      </c>
      <c r="CM128" s="461">
        <f t="shared" si="116"/>
        <v>426937.36865921726</v>
      </c>
      <c r="CN128" s="461">
        <f t="shared" si="116"/>
        <v>583087.36865921726</v>
      </c>
      <c r="CO128" s="465">
        <f t="shared" si="116"/>
        <v>785648.28201255505</v>
      </c>
      <c r="CP128" s="465">
        <f t="shared" si="116"/>
        <v>785648.28201255505</v>
      </c>
      <c r="CQ128" s="467">
        <f t="shared" si="114"/>
        <v>1</v>
      </c>
    </row>
    <row r="129" spans="1:95" ht="12.75">
      <c r="A129" s="318"/>
      <c r="B129" s="350" t="s">
        <v>264</v>
      </c>
      <c r="C129" s="380"/>
      <c r="D129" s="380"/>
      <c r="E129" s="380"/>
      <c r="F129" s="369">
        <f>+F128+F115</f>
        <v>1412960.282012555</v>
      </c>
      <c r="G129" s="369">
        <f>+G128+G115</f>
        <v>76748.737864077673</v>
      </c>
      <c r="H129" s="319"/>
      <c r="I129" s="319"/>
      <c r="J129" s="371"/>
      <c r="K129" s="371"/>
      <c r="L129" s="381"/>
      <c r="M129" s="371">
        <f>+M128+M115</f>
        <v>764758.1192266373</v>
      </c>
      <c r="N129" s="371">
        <f>+N128+N115</f>
        <v>10621.640544814407</v>
      </c>
      <c r="O129" s="381">
        <f t="shared" si="77"/>
        <v>10.45437061497481</v>
      </c>
      <c r="P129" s="371">
        <f>+P128+P115</f>
        <v>647920.07323367894</v>
      </c>
      <c r="Q129" s="371">
        <f>+Q128+Q115</f>
        <v>10621.640544814407</v>
      </c>
      <c r="R129" s="381">
        <f>+R128+R115</f>
        <v>8.7565049833589512</v>
      </c>
      <c r="S129" s="373">
        <f>+S128+S115</f>
        <v>1412678.1924603162</v>
      </c>
      <c r="T129" s="371">
        <f t="shared" si="113"/>
        <v>10621.640544814407</v>
      </c>
      <c r="U129" s="372">
        <f>+S129/U$8</f>
        <v>9.6005857654715836</v>
      </c>
      <c r="V129" s="382">
        <f t="shared" si="112"/>
        <v>0.11103317285525509</v>
      </c>
      <c r="W129" s="382">
        <f>$S129/TotalValue</f>
        <v>9.1140531368243308E-2</v>
      </c>
      <c r="X129" s="438"/>
      <c r="Y129" s="443"/>
      <c r="Z129" s="326"/>
      <c r="AA129" s="326"/>
      <c r="AB129" s="508"/>
      <c r="AC129" s="471"/>
      <c r="AD129" s="326"/>
      <c r="AE129" s="312"/>
      <c r="AF129" s="460" t="s">
        <v>264</v>
      </c>
      <c r="AG129" s="461">
        <f t="shared" ref="AG129:BL129" si="117">+AG128+AG115</f>
        <v>135769.91044776121</v>
      </c>
      <c r="AH129" s="461">
        <f t="shared" si="117"/>
        <v>0</v>
      </c>
      <c r="AI129" s="461">
        <f t="shared" si="117"/>
        <v>0</v>
      </c>
      <c r="AJ129" s="461">
        <f t="shared" si="117"/>
        <v>0</v>
      </c>
      <c r="AK129" s="461">
        <f t="shared" si="117"/>
        <v>135769.91044776121</v>
      </c>
      <c r="AL129" s="461">
        <f t="shared" si="117"/>
        <v>98252.002420510427</v>
      </c>
      <c r="AM129" s="461">
        <f t="shared" si="117"/>
        <v>6700</v>
      </c>
      <c r="AN129" s="461">
        <f t="shared" si="117"/>
        <v>13843.485558889632</v>
      </c>
      <c r="AO129" s="461">
        <f t="shared" si="117"/>
        <v>0</v>
      </c>
      <c r="AP129" s="461">
        <f t="shared" si="117"/>
        <v>118795.48797940006</v>
      </c>
      <c r="AQ129" s="461">
        <f t="shared" si="117"/>
        <v>98252</v>
      </c>
      <c r="AR129" s="461">
        <f t="shared" si="117"/>
        <v>6700</v>
      </c>
      <c r="AS129" s="461">
        <f t="shared" si="117"/>
        <v>13843.485558889632</v>
      </c>
      <c r="AT129" s="461">
        <f t="shared" si="117"/>
        <v>0</v>
      </c>
      <c r="AU129" s="461">
        <f t="shared" si="117"/>
        <v>118795.48555888963</v>
      </c>
      <c r="AV129" s="461">
        <f t="shared" si="117"/>
        <v>98252</v>
      </c>
      <c r="AW129" s="461">
        <f t="shared" si="117"/>
        <v>6700</v>
      </c>
      <c r="AX129" s="461">
        <f t="shared" si="117"/>
        <v>13843.485558889632</v>
      </c>
      <c r="AY129" s="461">
        <f t="shared" si="117"/>
        <v>0</v>
      </c>
      <c r="AZ129" s="461">
        <f t="shared" si="117"/>
        <v>118795.48555888963</v>
      </c>
      <c r="BA129" s="461">
        <f t="shared" si="117"/>
        <v>98252</v>
      </c>
      <c r="BB129" s="461">
        <f t="shared" si="117"/>
        <v>6700</v>
      </c>
      <c r="BC129" s="461">
        <f t="shared" si="117"/>
        <v>13843.485558889632</v>
      </c>
      <c r="BD129" s="461">
        <f t="shared" si="117"/>
        <v>0</v>
      </c>
      <c r="BE129" s="461">
        <f t="shared" si="117"/>
        <v>118795.48555888963</v>
      </c>
      <c r="BF129" s="461">
        <f t="shared" si="117"/>
        <v>98252</v>
      </c>
      <c r="BG129" s="461">
        <f t="shared" si="117"/>
        <v>0</v>
      </c>
      <c r="BH129" s="461">
        <f t="shared" si="117"/>
        <v>13843.485558889632</v>
      </c>
      <c r="BI129" s="461">
        <f t="shared" si="117"/>
        <v>0</v>
      </c>
      <c r="BJ129" s="461">
        <f t="shared" si="117"/>
        <v>112095.48555888963</v>
      </c>
      <c r="BK129" s="461">
        <f t="shared" si="117"/>
        <v>0</v>
      </c>
      <c r="BL129" s="461">
        <f t="shared" si="117"/>
        <v>35100</v>
      </c>
      <c r="BM129" s="461">
        <f t="shared" ref="BM129:CP129" si="118">+BM128+BM115</f>
        <v>71443.485558889632</v>
      </c>
      <c r="BN129" s="461">
        <f t="shared" si="118"/>
        <v>0</v>
      </c>
      <c r="BO129" s="461">
        <f t="shared" si="118"/>
        <v>106543.48555888963</v>
      </c>
      <c r="BP129" s="461">
        <f t="shared" si="118"/>
        <v>0</v>
      </c>
      <c r="BQ129" s="461">
        <f t="shared" si="118"/>
        <v>0</v>
      </c>
      <c r="BR129" s="461">
        <f t="shared" si="118"/>
        <v>0</v>
      </c>
      <c r="BS129" s="461">
        <f t="shared" si="118"/>
        <v>0</v>
      </c>
      <c r="BT129" s="461">
        <f t="shared" si="118"/>
        <v>0</v>
      </c>
      <c r="BU129" s="461">
        <f t="shared" si="118"/>
        <v>0</v>
      </c>
      <c r="BV129" s="461">
        <f t="shared" si="118"/>
        <v>0</v>
      </c>
      <c r="BW129" s="461">
        <f t="shared" si="118"/>
        <v>0</v>
      </c>
      <c r="BX129" s="461">
        <f t="shared" si="118"/>
        <v>0</v>
      </c>
      <c r="BY129" s="461">
        <f t="shared" si="118"/>
        <v>0</v>
      </c>
      <c r="BZ129" s="461">
        <f t="shared" si="118"/>
        <v>0</v>
      </c>
      <c r="CA129" s="461">
        <f t="shared" si="118"/>
        <v>0</v>
      </c>
      <c r="CB129" s="461">
        <f t="shared" si="118"/>
        <v>0</v>
      </c>
      <c r="CC129" s="461">
        <f t="shared" si="118"/>
        <v>0</v>
      </c>
      <c r="CD129" s="461">
        <f t="shared" si="118"/>
        <v>0</v>
      </c>
      <c r="CE129" s="461">
        <f t="shared" si="118"/>
        <v>0</v>
      </c>
      <c r="CF129" s="461">
        <f t="shared" si="118"/>
        <v>0</v>
      </c>
      <c r="CG129" s="461">
        <f t="shared" si="118"/>
        <v>0</v>
      </c>
      <c r="CH129" s="461">
        <f t="shared" si="118"/>
        <v>0</v>
      </c>
      <c r="CI129" s="461">
        <f t="shared" si="118"/>
        <v>0</v>
      </c>
      <c r="CJ129" s="461">
        <f t="shared" si="118"/>
        <v>0</v>
      </c>
      <c r="CK129" s="461">
        <f t="shared" si="118"/>
        <v>0</v>
      </c>
      <c r="CL129" s="461">
        <f t="shared" si="118"/>
        <v>156150</v>
      </c>
      <c r="CM129" s="461">
        <f t="shared" si="118"/>
        <v>426937.36865921726</v>
      </c>
      <c r="CN129" s="461">
        <f t="shared" si="118"/>
        <v>583087.36865921726</v>
      </c>
      <c r="CO129" s="468">
        <f t="shared" si="118"/>
        <v>1412678.1948808266</v>
      </c>
      <c r="CP129" s="468">
        <f t="shared" si="118"/>
        <v>1412678.1924603162</v>
      </c>
      <c r="CQ129" s="467">
        <f t="shared" si="114"/>
        <v>1.0000000017134196</v>
      </c>
    </row>
    <row r="130" spans="1:95" ht="12.75">
      <c r="A130" s="318"/>
      <c r="B130" s="350" t="s">
        <v>255</v>
      </c>
      <c r="C130" s="319"/>
      <c r="D130" s="319"/>
      <c r="E130" s="319"/>
      <c r="F130" s="352">
        <f>+F129+F97</f>
        <v>2534630.2820125553</v>
      </c>
      <c r="G130" s="352">
        <f>+G129+G97</f>
        <v>185648.73786407767</v>
      </c>
      <c r="H130" s="351"/>
      <c r="I130" s="351"/>
      <c r="J130" s="352"/>
      <c r="K130" s="352"/>
      <c r="L130" s="354"/>
      <c r="M130" s="352">
        <f>+M129+M97</f>
        <v>1371977.9688506976</v>
      </c>
      <c r="N130" s="352">
        <f>+N129+N97</f>
        <v>19055.2495673708</v>
      </c>
      <c r="O130" s="354">
        <f t="shared" si="77"/>
        <v>18.755166897018505</v>
      </c>
      <c r="P130" s="352">
        <f>+P129+P97</f>
        <v>1162370.2236096188</v>
      </c>
      <c r="Q130" s="352">
        <f>+Q129+Q97</f>
        <v>19055.2495673708</v>
      </c>
      <c r="R130" s="354">
        <f>+R129+R97</f>
        <v>15.709191729077329</v>
      </c>
      <c r="S130" s="383">
        <f>+S129+S97</f>
        <v>2534348.1924603162</v>
      </c>
      <c r="T130" s="352">
        <f t="shared" si="113"/>
        <v>19055.2495673708</v>
      </c>
      <c r="U130" s="372">
        <f>+S130/U$8</f>
        <v>17.223474752525171</v>
      </c>
      <c r="V130" s="384">
        <f t="shared" si="112"/>
        <v>0.1991937883876935</v>
      </c>
      <c r="W130" s="384">
        <f>+$S130/TotalValue</f>
        <v>0.1635063400608619</v>
      </c>
      <c r="X130" s="439"/>
      <c r="Y130" s="437"/>
      <c r="Z130" s="326"/>
      <c r="AA130" s="326"/>
      <c r="AB130" s="470"/>
      <c r="AC130" s="263"/>
      <c r="AD130" s="326"/>
      <c r="AE130" s="312"/>
      <c r="AF130" s="460" t="s">
        <v>255</v>
      </c>
      <c r="AG130" s="472">
        <f t="shared" ref="AG130:BL130" si="119">+AG129+AG97</f>
        <v>135769.91044776121</v>
      </c>
      <c r="AH130" s="472">
        <f t="shared" si="119"/>
        <v>0</v>
      </c>
      <c r="AI130" s="472">
        <f t="shared" si="119"/>
        <v>0</v>
      </c>
      <c r="AJ130" s="472">
        <f t="shared" si="119"/>
        <v>0</v>
      </c>
      <c r="AK130" s="472">
        <f t="shared" si="119"/>
        <v>135769.91044776121</v>
      </c>
      <c r="AL130" s="472">
        <f t="shared" si="119"/>
        <v>98252.002420510427</v>
      </c>
      <c r="AM130" s="472">
        <f t="shared" si="119"/>
        <v>6700</v>
      </c>
      <c r="AN130" s="472">
        <f t="shared" si="119"/>
        <v>13843.485558889632</v>
      </c>
      <c r="AO130" s="472">
        <f t="shared" si="119"/>
        <v>0</v>
      </c>
      <c r="AP130" s="472">
        <f t="shared" si="119"/>
        <v>118795.48797940006</v>
      </c>
      <c r="AQ130" s="472">
        <f t="shared" si="119"/>
        <v>98252</v>
      </c>
      <c r="AR130" s="472">
        <f t="shared" si="119"/>
        <v>6700</v>
      </c>
      <c r="AS130" s="472">
        <f t="shared" si="119"/>
        <v>13843.485558889632</v>
      </c>
      <c r="AT130" s="472">
        <f t="shared" si="119"/>
        <v>0</v>
      </c>
      <c r="AU130" s="472">
        <f t="shared" si="119"/>
        <v>118795.48555888963</v>
      </c>
      <c r="AV130" s="472">
        <f t="shared" si="119"/>
        <v>98252</v>
      </c>
      <c r="AW130" s="472">
        <f t="shared" si="119"/>
        <v>6700</v>
      </c>
      <c r="AX130" s="472">
        <f t="shared" si="119"/>
        <v>13843.485558889632</v>
      </c>
      <c r="AY130" s="472">
        <f t="shared" si="119"/>
        <v>0</v>
      </c>
      <c r="AZ130" s="472">
        <f t="shared" si="119"/>
        <v>118795.48555888963</v>
      </c>
      <c r="BA130" s="472">
        <f t="shared" si="119"/>
        <v>98252</v>
      </c>
      <c r="BB130" s="472">
        <f t="shared" si="119"/>
        <v>6700</v>
      </c>
      <c r="BC130" s="472">
        <f t="shared" si="119"/>
        <v>13843.485558889632</v>
      </c>
      <c r="BD130" s="472">
        <f t="shared" si="119"/>
        <v>0</v>
      </c>
      <c r="BE130" s="472">
        <f t="shared" si="119"/>
        <v>118795.48555888963</v>
      </c>
      <c r="BF130" s="472">
        <f t="shared" si="119"/>
        <v>98252</v>
      </c>
      <c r="BG130" s="472">
        <f t="shared" si="119"/>
        <v>0</v>
      </c>
      <c r="BH130" s="472">
        <f t="shared" si="119"/>
        <v>13843.485558889632</v>
      </c>
      <c r="BI130" s="472">
        <f t="shared" si="119"/>
        <v>0</v>
      </c>
      <c r="BJ130" s="472">
        <f t="shared" si="119"/>
        <v>112095.48555888963</v>
      </c>
      <c r="BK130" s="472">
        <f t="shared" si="119"/>
        <v>0</v>
      </c>
      <c r="BL130" s="472">
        <f t="shared" si="119"/>
        <v>35100</v>
      </c>
      <c r="BM130" s="472">
        <f t="shared" ref="BM130:CP130" si="120">+BM129+BM97</f>
        <v>71443.485558889632</v>
      </c>
      <c r="BN130" s="472">
        <f t="shared" si="120"/>
        <v>0</v>
      </c>
      <c r="BO130" s="472">
        <f t="shared" si="120"/>
        <v>106543.48555888963</v>
      </c>
      <c r="BP130" s="472">
        <f t="shared" si="120"/>
        <v>0</v>
      </c>
      <c r="BQ130" s="472">
        <f t="shared" si="120"/>
        <v>0</v>
      </c>
      <c r="BR130" s="472">
        <f t="shared" si="120"/>
        <v>0</v>
      </c>
      <c r="BS130" s="472">
        <f t="shared" si="120"/>
        <v>0</v>
      </c>
      <c r="BT130" s="472">
        <f t="shared" si="120"/>
        <v>0</v>
      </c>
      <c r="BU130" s="472">
        <f t="shared" si="120"/>
        <v>0</v>
      </c>
      <c r="BV130" s="472">
        <f t="shared" si="120"/>
        <v>0</v>
      </c>
      <c r="BW130" s="472">
        <f t="shared" si="120"/>
        <v>0</v>
      </c>
      <c r="BX130" s="472">
        <f t="shared" si="120"/>
        <v>0</v>
      </c>
      <c r="BY130" s="472">
        <f t="shared" si="120"/>
        <v>0</v>
      </c>
      <c r="BZ130" s="472">
        <f t="shared" si="120"/>
        <v>0</v>
      </c>
      <c r="CA130" s="472">
        <f t="shared" si="120"/>
        <v>0</v>
      </c>
      <c r="CB130" s="472">
        <f t="shared" si="120"/>
        <v>0</v>
      </c>
      <c r="CC130" s="472">
        <f t="shared" si="120"/>
        <v>0</v>
      </c>
      <c r="CD130" s="472">
        <f t="shared" si="120"/>
        <v>0</v>
      </c>
      <c r="CE130" s="472">
        <f t="shared" si="120"/>
        <v>0</v>
      </c>
      <c r="CF130" s="472">
        <f t="shared" si="120"/>
        <v>0</v>
      </c>
      <c r="CG130" s="472">
        <f t="shared" si="120"/>
        <v>0</v>
      </c>
      <c r="CH130" s="472">
        <f t="shared" si="120"/>
        <v>0</v>
      </c>
      <c r="CI130" s="472">
        <f t="shared" si="120"/>
        <v>0</v>
      </c>
      <c r="CJ130" s="472">
        <f t="shared" si="120"/>
        <v>0</v>
      </c>
      <c r="CK130" s="472">
        <f t="shared" si="120"/>
        <v>0</v>
      </c>
      <c r="CL130" s="472">
        <f t="shared" si="120"/>
        <v>156150</v>
      </c>
      <c r="CM130" s="472">
        <f t="shared" si="120"/>
        <v>426937.36865921726</v>
      </c>
      <c r="CN130" s="472">
        <f t="shared" si="120"/>
        <v>583087.36865921726</v>
      </c>
      <c r="CO130" s="451">
        <f t="shared" si="120"/>
        <v>1412678.1948808266</v>
      </c>
      <c r="CP130" s="451">
        <f t="shared" si="120"/>
        <v>2534348.1924603162</v>
      </c>
      <c r="CQ130" s="452">
        <f t="shared" si="114"/>
        <v>0.55741282870425746</v>
      </c>
    </row>
    <row r="131" spans="1:95" ht="12.75">
      <c r="A131" s="318"/>
      <c r="B131" s="345" t="s">
        <v>217</v>
      </c>
      <c r="C131" s="319"/>
      <c r="D131" s="319"/>
      <c r="E131" s="319"/>
      <c r="F131" s="319"/>
      <c r="G131" s="319"/>
      <c r="H131" s="319"/>
      <c r="I131" s="319"/>
      <c r="J131" s="328"/>
      <c r="K131" s="385"/>
      <c r="L131" s="385"/>
      <c r="M131" s="328">
        <f>N131*N$8</f>
        <v>703042.64287256973</v>
      </c>
      <c r="N131" s="319">
        <f>(N129+N95)*Const_Profit</f>
        <v>9764.4811510079126</v>
      </c>
      <c r="O131" s="385">
        <f t="shared" si="77"/>
        <v>9.610709794299126</v>
      </c>
      <c r="P131" s="328">
        <f>Q131*Q$8</f>
        <v>698332.71489127446</v>
      </c>
      <c r="Q131" s="319">
        <f>(Q129+Q95)*Const_Profit</f>
        <v>11448.077293299581</v>
      </c>
      <c r="R131" s="385">
        <f>0.15*(R129+R95)</f>
        <v>9.4378213464959426</v>
      </c>
      <c r="S131" s="329">
        <f>+P131+M131</f>
        <v>1401375.3577638441</v>
      </c>
      <c r="T131" s="330">
        <f>+S131/S$8</f>
        <v>10536.656825292061</v>
      </c>
      <c r="U131" s="376">
        <f>+S131/U$8</f>
        <v>9.5237715026935614</v>
      </c>
      <c r="V131" s="348">
        <f t="shared" si="112"/>
        <v>0.11014479671601415</v>
      </c>
      <c r="W131" s="348">
        <f>+$S131/TotalValue</f>
        <v>9.041131620395329E-2</v>
      </c>
      <c r="X131" s="433"/>
      <c r="Y131" s="437"/>
      <c r="Z131" s="539"/>
      <c r="AA131" s="446"/>
      <c r="AB131" s="508"/>
      <c r="AC131" s="509"/>
      <c r="AD131" s="446"/>
      <c r="AE131" s="312"/>
      <c r="AF131" s="457" t="s">
        <v>217</v>
      </c>
      <c r="AG131" s="450">
        <v>0</v>
      </c>
      <c r="AH131" s="450">
        <v>0</v>
      </c>
      <c r="AI131" s="450">
        <v>0</v>
      </c>
      <c r="AJ131" s="450">
        <v>0</v>
      </c>
      <c r="AK131" s="450">
        <v>0</v>
      </c>
      <c r="AL131" s="450">
        <v>0</v>
      </c>
      <c r="AM131" s="450">
        <v>0</v>
      </c>
      <c r="AN131" s="450">
        <v>0</v>
      </c>
      <c r="AO131" s="450">
        <v>0</v>
      </c>
      <c r="AP131" s="450">
        <v>0</v>
      </c>
      <c r="AQ131" s="450">
        <v>0</v>
      </c>
      <c r="AR131" s="450">
        <v>0</v>
      </c>
      <c r="AS131" s="450">
        <v>0</v>
      </c>
      <c r="AT131" s="450">
        <v>0</v>
      </c>
      <c r="AU131" s="450">
        <v>0</v>
      </c>
      <c r="AV131" s="450">
        <v>0</v>
      </c>
      <c r="AW131" s="450">
        <v>0</v>
      </c>
      <c r="AX131" s="450">
        <v>0</v>
      </c>
      <c r="AY131" s="450">
        <v>0</v>
      </c>
      <c r="AZ131" s="450">
        <v>0</v>
      </c>
      <c r="BA131" s="450">
        <v>0</v>
      </c>
      <c r="BB131" s="450">
        <v>0</v>
      </c>
      <c r="BC131" s="450">
        <v>0</v>
      </c>
      <c r="BD131" s="450">
        <v>0</v>
      </c>
      <c r="BE131" s="450">
        <v>0</v>
      </c>
      <c r="BF131" s="450">
        <v>0</v>
      </c>
      <c r="BG131" s="450">
        <v>0</v>
      </c>
      <c r="BH131" s="450">
        <v>0</v>
      </c>
      <c r="BI131" s="450">
        <v>0</v>
      </c>
      <c r="BJ131" s="450">
        <v>0</v>
      </c>
      <c r="BK131" s="450">
        <v>0</v>
      </c>
      <c r="BL131" s="450">
        <v>0</v>
      </c>
      <c r="BM131" s="450">
        <v>0</v>
      </c>
      <c r="BN131" s="450">
        <v>0</v>
      </c>
      <c r="BO131" s="450">
        <v>0</v>
      </c>
      <c r="BP131" s="450">
        <v>0</v>
      </c>
      <c r="BQ131" s="450">
        <v>0</v>
      </c>
      <c r="BR131" s="450">
        <v>0</v>
      </c>
      <c r="BS131" s="450">
        <v>0</v>
      </c>
      <c r="BT131" s="450">
        <v>0</v>
      </c>
      <c r="BU131" s="450">
        <v>0</v>
      </c>
      <c r="BV131" s="450">
        <v>0</v>
      </c>
      <c r="BW131" s="450">
        <v>0</v>
      </c>
      <c r="BX131" s="450">
        <v>0</v>
      </c>
      <c r="BY131" s="450">
        <v>0</v>
      </c>
      <c r="BZ131" s="450">
        <v>0</v>
      </c>
      <c r="CA131" s="450">
        <v>0</v>
      </c>
      <c r="CB131" s="450">
        <v>0</v>
      </c>
      <c r="CC131" s="450">
        <v>0</v>
      </c>
      <c r="CD131" s="450">
        <v>0</v>
      </c>
      <c r="CE131" s="450">
        <v>0</v>
      </c>
      <c r="CF131" s="450">
        <v>0</v>
      </c>
      <c r="CG131" s="450">
        <v>0</v>
      </c>
      <c r="CH131" s="450">
        <v>0</v>
      </c>
      <c r="CI131" s="450">
        <v>0</v>
      </c>
      <c r="CJ131" s="450">
        <v>0</v>
      </c>
      <c r="CK131" s="450">
        <v>0</v>
      </c>
      <c r="CL131" s="450">
        <v>0</v>
      </c>
      <c r="CM131" s="450">
        <v>0</v>
      </c>
      <c r="CN131" s="450">
        <v>0</v>
      </c>
      <c r="CO131" s="451">
        <f>+CN131+CI131+CD131+BY131+BT131+BO131+BJ131+BE131+AZ131+AU131+AP131+AK131</f>
        <v>0</v>
      </c>
      <c r="CP131" s="451">
        <f>S131</f>
        <v>1401375.3577638441</v>
      </c>
      <c r="CQ131" s="452">
        <f t="shared" si="114"/>
        <v>0</v>
      </c>
    </row>
    <row r="132" spans="1:95" ht="12.75">
      <c r="A132" s="318"/>
      <c r="B132" s="350" t="s">
        <v>265</v>
      </c>
      <c r="C132" s="319"/>
      <c r="D132" s="319"/>
      <c r="E132" s="319"/>
      <c r="F132" s="319"/>
      <c r="G132" s="319"/>
      <c r="H132" s="319"/>
      <c r="I132" s="351"/>
      <c r="J132" s="352"/>
      <c r="K132" s="352"/>
      <c r="L132" s="354"/>
      <c r="M132" s="352">
        <f>+M131+M130+M95</f>
        <v>5997213.4449804276</v>
      </c>
      <c r="N132" s="352">
        <f>+N131+N130+N95</f>
        <v>83294.63118028373</v>
      </c>
      <c r="O132" s="354">
        <f t="shared" si="77"/>
        <v>81.982904705003676</v>
      </c>
      <c r="P132" s="352">
        <f>+P131+P130+P95</f>
        <v>5868334.2978757098</v>
      </c>
      <c r="Q132" s="352">
        <f>+Q131+Q130+Q95</f>
        <v>96202.20160451984</v>
      </c>
      <c r="R132" s="354">
        <f>+R131+R130+R95</f>
        <v>79.309317068853943</v>
      </c>
      <c r="S132" s="352">
        <f>+S131+S130+S95</f>
        <v>11865547.742856137</v>
      </c>
      <c r="T132" s="352">
        <f t="shared" si="113"/>
        <v>89214.644683128849</v>
      </c>
      <c r="U132" s="372">
        <f>+S132/U$8</f>
        <v>80.638470507704227</v>
      </c>
      <c r="V132" s="327">
        <f>+S132/TotalCost</f>
        <v>0.93260405702188021</v>
      </c>
      <c r="W132" s="327">
        <f>+$S132/TotalValue</f>
        <v>0.76551923292292712</v>
      </c>
      <c r="X132" s="371"/>
      <c r="Y132" s="434"/>
      <c r="Z132" s="525"/>
      <c r="AA132" s="445"/>
      <c r="AB132" s="470"/>
      <c r="AC132" s="263"/>
      <c r="AD132" s="445"/>
      <c r="AE132" s="264"/>
      <c r="AF132" s="460" t="s">
        <v>265</v>
      </c>
      <c r="AG132" s="472">
        <f t="shared" ref="AG132:BL132" si="121">+AG131+AG130+AG95</f>
        <v>396449.85455223883</v>
      </c>
      <c r="AH132" s="472">
        <f t="shared" si="121"/>
        <v>0</v>
      </c>
      <c r="AI132" s="472">
        <f t="shared" si="121"/>
        <v>0</v>
      </c>
      <c r="AJ132" s="472">
        <f t="shared" si="121"/>
        <v>0</v>
      </c>
      <c r="AK132" s="472">
        <f t="shared" si="121"/>
        <v>426321.72955223883</v>
      </c>
      <c r="AL132" s="472">
        <f t="shared" si="121"/>
        <v>132550.27742051042</v>
      </c>
      <c r="AM132" s="472">
        <f t="shared" si="121"/>
        <v>17700</v>
      </c>
      <c r="AN132" s="472">
        <f t="shared" si="121"/>
        <v>37653.810558889629</v>
      </c>
      <c r="AO132" s="472">
        <f t="shared" si="121"/>
        <v>41136.476562500007</v>
      </c>
      <c r="AP132" s="472">
        <f t="shared" si="121"/>
        <v>229040.56454190006</v>
      </c>
      <c r="AQ132" s="472">
        <f t="shared" si="121"/>
        <v>132550.27499999999</v>
      </c>
      <c r="AR132" s="472">
        <f t="shared" si="121"/>
        <v>103736.68906250001</v>
      </c>
      <c r="AS132" s="472">
        <f t="shared" si="121"/>
        <v>112829.38699638964</v>
      </c>
      <c r="AT132" s="472">
        <f t="shared" si="121"/>
        <v>133500.40550000002</v>
      </c>
      <c r="AU132" s="472">
        <f t="shared" si="121"/>
        <v>482616.75655888976</v>
      </c>
      <c r="AV132" s="472">
        <f t="shared" si="121"/>
        <v>317970.75310343754</v>
      </c>
      <c r="AW132" s="472">
        <f t="shared" si="121"/>
        <v>120661.28493750002</v>
      </c>
      <c r="AX132" s="472">
        <f t="shared" si="121"/>
        <v>185428.31270888963</v>
      </c>
      <c r="AY132" s="472">
        <f t="shared" si="121"/>
        <v>287661.40810343757</v>
      </c>
      <c r="AZ132" s="472">
        <f t="shared" si="121"/>
        <v>911721.75885326485</v>
      </c>
      <c r="BA132" s="472">
        <f t="shared" si="121"/>
        <v>263709.13181250001</v>
      </c>
      <c r="BB132" s="472">
        <f t="shared" si="121"/>
        <v>218952.02652499999</v>
      </c>
      <c r="BC132" s="472">
        <f t="shared" si="121"/>
        <v>384488.39991232718</v>
      </c>
      <c r="BD132" s="472">
        <f t="shared" si="121"/>
        <v>169317.32331250003</v>
      </c>
      <c r="BE132" s="472">
        <f t="shared" si="121"/>
        <v>1036466.8815623273</v>
      </c>
      <c r="BF132" s="472">
        <f t="shared" si="121"/>
        <v>448853.39152500004</v>
      </c>
      <c r="BG132" s="472">
        <f t="shared" si="121"/>
        <v>343331.12372843758</v>
      </c>
      <c r="BH132" s="472">
        <f t="shared" si="121"/>
        <v>230275.41074638968</v>
      </c>
      <c r="BI132" s="472">
        <f t="shared" si="121"/>
        <v>338271.76965000003</v>
      </c>
      <c r="BJ132" s="472">
        <f t="shared" si="121"/>
        <v>1360731.6956498269</v>
      </c>
      <c r="BK132" s="472">
        <f t="shared" si="121"/>
        <v>384030.02372843761</v>
      </c>
      <c r="BL132" s="472">
        <f t="shared" si="121"/>
        <v>251531.92518750005</v>
      </c>
      <c r="BM132" s="472">
        <f t="shared" ref="BM132:CO132" si="122">+BM131+BM130+BM95</f>
        <v>401961.35520888964</v>
      </c>
      <c r="BN132" s="472">
        <f t="shared" si="122"/>
        <v>357485.64872843761</v>
      </c>
      <c r="BO132" s="472">
        <f t="shared" si="122"/>
        <v>1395008.9528532645</v>
      </c>
      <c r="BP132" s="472">
        <f t="shared" si="122"/>
        <v>250730.20018750004</v>
      </c>
      <c r="BQ132" s="472">
        <f t="shared" si="122"/>
        <v>330517.86965000001</v>
      </c>
      <c r="BR132" s="472">
        <f t="shared" si="122"/>
        <v>325921.42372843763</v>
      </c>
      <c r="BS132" s="472">
        <f t="shared" si="122"/>
        <v>190803.24862500004</v>
      </c>
      <c r="BT132" s="472">
        <f t="shared" si="122"/>
        <v>1097972.7421909377</v>
      </c>
      <c r="BU132" s="472">
        <f t="shared" si="122"/>
        <v>364816.14465000003</v>
      </c>
      <c r="BV132" s="472">
        <f t="shared" si="122"/>
        <v>252695.05966593753</v>
      </c>
      <c r="BW132" s="472">
        <f t="shared" si="122"/>
        <v>117446.02375000001</v>
      </c>
      <c r="BX132" s="472">
        <f t="shared" si="122"/>
        <v>212525.26414999997</v>
      </c>
      <c r="BY132" s="472">
        <f t="shared" si="122"/>
        <v>947482.49221593759</v>
      </c>
      <c r="BZ132" s="472">
        <f t="shared" si="122"/>
        <v>198609.545625</v>
      </c>
      <c r="CA132" s="472">
        <f t="shared" si="122"/>
        <v>102470.64025</v>
      </c>
      <c r="CB132" s="472">
        <f t="shared" si="122"/>
        <v>158933.04250000001</v>
      </c>
      <c r="CC132" s="472">
        <f t="shared" si="122"/>
        <v>104891.93125000001</v>
      </c>
      <c r="CD132" s="472">
        <f t="shared" si="122"/>
        <v>564905.15962499997</v>
      </c>
      <c r="CE132" s="472">
        <f t="shared" si="122"/>
        <v>92257.552750000003</v>
      </c>
      <c r="CF132" s="472">
        <f t="shared" si="122"/>
        <v>118265.84312500001</v>
      </c>
      <c r="CG132" s="472">
        <f t="shared" si="122"/>
        <v>6400.6250000000009</v>
      </c>
      <c r="CH132" s="472">
        <f t="shared" si="122"/>
        <v>35308.611250000002</v>
      </c>
      <c r="CI132" s="472">
        <f t="shared" si="122"/>
        <v>252232.632125</v>
      </c>
      <c r="CJ132" s="472">
        <f t="shared" si="122"/>
        <v>48513.028124999997</v>
      </c>
      <c r="CK132" s="472">
        <f t="shared" si="122"/>
        <v>6400.6250000000009</v>
      </c>
      <c r="CL132" s="472">
        <f t="shared" si="122"/>
        <v>156150</v>
      </c>
      <c r="CM132" s="472">
        <f t="shared" si="122"/>
        <v>426937.36865921726</v>
      </c>
      <c r="CN132" s="472">
        <f t="shared" si="122"/>
        <v>638001.02178421721</v>
      </c>
      <c r="CO132" s="465">
        <f t="shared" si="122"/>
        <v>9342502.3875128031</v>
      </c>
      <c r="CP132" s="465">
        <f>S132</f>
        <v>11865547.742856137</v>
      </c>
      <c r="CQ132" s="473">
        <f t="shared" si="114"/>
        <v>0.78736376861638113</v>
      </c>
    </row>
    <row r="133" spans="1:95" ht="12.75">
      <c r="A133" s="318"/>
      <c r="B133" s="345"/>
      <c r="C133" s="319"/>
      <c r="D133" s="319"/>
      <c r="E133" s="319"/>
      <c r="F133" s="319"/>
      <c r="G133" s="319"/>
      <c r="H133" s="319"/>
      <c r="I133" s="319"/>
      <c r="J133" s="319"/>
      <c r="K133" s="319"/>
      <c r="L133" s="322"/>
      <c r="M133" s="319"/>
      <c r="N133" s="319"/>
      <c r="O133" s="319"/>
      <c r="P133" s="319"/>
      <c r="Q133" s="319"/>
      <c r="R133" s="319"/>
      <c r="S133" s="333"/>
      <c r="T133" s="319"/>
      <c r="U133" s="319"/>
      <c r="V133" s="319"/>
      <c r="W133" s="319"/>
      <c r="X133" s="319"/>
      <c r="Y133" s="319"/>
      <c r="Z133" s="319"/>
      <c r="AA133" s="319"/>
      <c r="AB133" s="319"/>
      <c r="AC133" s="263"/>
      <c r="AD133" s="319"/>
      <c r="AE133" s="263"/>
      <c r="AF133" s="457"/>
      <c r="AG133" s="450"/>
      <c r="AH133" s="450"/>
      <c r="AI133" s="450"/>
      <c r="AJ133" s="462"/>
      <c r="AK133" s="319"/>
      <c r="AL133" s="450"/>
      <c r="AM133" s="451"/>
      <c r="AN133" s="451"/>
      <c r="AO133" s="451"/>
      <c r="AP133" s="319"/>
      <c r="AQ133" s="451"/>
      <c r="AR133" s="451"/>
      <c r="AS133" s="451"/>
      <c r="AT133" s="451"/>
      <c r="AU133" s="319"/>
      <c r="AV133" s="451"/>
      <c r="AW133" s="451"/>
      <c r="AX133" s="451"/>
      <c r="AY133" s="451"/>
      <c r="AZ133" s="319"/>
      <c r="BA133" s="451"/>
      <c r="BB133" s="451"/>
      <c r="BC133" s="451"/>
      <c r="BD133" s="451"/>
      <c r="BE133" s="319"/>
      <c r="BF133" s="451"/>
      <c r="BG133" s="451"/>
      <c r="BH133" s="451"/>
      <c r="BI133" s="451"/>
      <c r="BJ133" s="319"/>
      <c r="BK133" s="451"/>
      <c r="BL133" s="451"/>
      <c r="BM133" s="451"/>
      <c r="BN133" s="451"/>
      <c r="BO133" s="319"/>
      <c r="BP133" s="451"/>
      <c r="BQ133" s="451"/>
      <c r="BR133" s="451"/>
      <c r="BS133" s="451"/>
      <c r="BT133" s="319"/>
      <c r="BU133" s="451"/>
      <c r="BV133" s="451"/>
      <c r="BW133" s="451"/>
      <c r="BX133" s="451"/>
      <c r="BY133" s="319"/>
      <c r="BZ133" s="451"/>
      <c r="CA133" s="451"/>
      <c r="CB133" s="451"/>
      <c r="CC133" s="451"/>
      <c r="CD133" s="319"/>
      <c r="CE133" s="451"/>
      <c r="CF133" s="451"/>
      <c r="CG133" s="451"/>
      <c r="CH133" s="451"/>
      <c r="CI133" s="319"/>
      <c r="CJ133" s="451"/>
      <c r="CK133" s="451"/>
      <c r="CL133" s="451"/>
      <c r="CM133" s="451"/>
      <c r="CN133" s="319"/>
      <c r="CO133" s="451"/>
      <c r="CP133" s="451"/>
      <c r="CQ133" s="451"/>
    </row>
    <row r="134" spans="1:95" ht="12.75">
      <c r="A134" s="318"/>
      <c r="B134" s="361" t="s">
        <v>257</v>
      </c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33"/>
      <c r="T134" s="319"/>
      <c r="U134" s="319"/>
      <c r="V134" s="319"/>
      <c r="W134" s="319"/>
      <c r="X134" s="319"/>
      <c r="Y134" s="319"/>
      <c r="Z134" s="319"/>
      <c r="AA134" s="319"/>
      <c r="AB134" s="469"/>
      <c r="AC134" s="263"/>
      <c r="AD134" s="319"/>
      <c r="AE134" s="263"/>
      <c r="AF134" s="463" t="s">
        <v>257</v>
      </c>
      <c r="AG134" s="450"/>
      <c r="AH134" s="450"/>
      <c r="AI134" s="450"/>
      <c r="AJ134" s="462"/>
      <c r="AK134" s="319"/>
      <c r="AL134" s="450"/>
      <c r="AM134" s="451"/>
      <c r="AN134" s="451"/>
      <c r="AO134" s="451"/>
      <c r="AP134" s="319"/>
      <c r="AQ134" s="451"/>
      <c r="AR134" s="451"/>
      <c r="AS134" s="451"/>
      <c r="AT134" s="451"/>
      <c r="AU134" s="319"/>
      <c r="AV134" s="451"/>
      <c r="AW134" s="451"/>
      <c r="AX134" s="451"/>
      <c r="AY134" s="451"/>
      <c r="AZ134" s="319"/>
      <c r="BA134" s="451"/>
      <c r="BB134" s="451"/>
      <c r="BC134" s="451"/>
      <c r="BD134" s="451"/>
      <c r="BE134" s="319"/>
      <c r="BF134" s="451"/>
      <c r="BG134" s="451"/>
      <c r="BH134" s="451"/>
      <c r="BI134" s="451"/>
      <c r="BJ134" s="319"/>
      <c r="BK134" s="451"/>
      <c r="BL134" s="451"/>
      <c r="BM134" s="451"/>
      <c r="BN134" s="451"/>
      <c r="BO134" s="319"/>
      <c r="BP134" s="451"/>
      <c r="BQ134" s="451"/>
      <c r="BR134" s="451"/>
      <c r="BS134" s="451"/>
      <c r="BT134" s="319"/>
      <c r="BU134" s="451"/>
      <c r="BV134" s="451"/>
      <c r="BW134" s="451"/>
      <c r="BX134" s="451"/>
      <c r="BY134" s="319"/>
      <c r="BZ134" s="451"/>
      <c r="CA134" s="451"/>
      <c r="CB134" s="451"/>
      <c r="CC134" s="451"/>
      <c r="CD134" s="319"/>
      <c r="CE134" s="451"/>
      <c r="CF134" s="451"/>
      <c r="CG134" s="451"/>
      <c r="CH134" s="451"/>
      <c r="CI134" s="319"/>
      <c r="CJ134" s="451"/>
      <c r="CK134" s="451"/>
      <c r="CL134" s="451"/>
      <c r="CM134" s="451"/>
      <c r="CN134" s="319"/>
      <c r="CO134" s="451"/>
      <c r="CP134" s="451"/>
      <c r="CQ134" s="451"/>
    </row>
    <row r="135" spans="1:95" ht="12.75">
      <c r="A135" s="318"/>
      <c r="B135" s="319" t="s">
        <v>69</v>
      </c>
      <c r="C135" s="319"/>
      <c r="D135" s="319"/>
      <c r="E135" s="319"/>
      <c r="F135" s="319">
        <v>3500</v>
      </c>
      <c r="G135" s="319"/>
      <c r="H135" s="319"/>
      <c r="I135" s="319"/>
      <c r="J135" s="346"/>
      <c r="K135" s="346"/>
      <c r="L135" s="324"/>
      <c r="M135" s="346">
        <f>N135*N$8</f>
        <v>1894.7368421052631</v>
      </c>
      <c r="N135" s="346">
        <f>+$F135/SM134Units</f>
        <v>26.315789473684209</v>
      </c>
      <c r="O135" s="324">
        <f t="shared" si="77"/>
        <v>2.5901367592208867E-2</v>
      </c>
      <c r="P135" s="346">
        <f>Q135*Q$8</f>
        <v>1605.2631578947367</v>
      </c>
      <c r="Q135" s="346">
        <f>+$F135/SM134Units</f>
        <v>26.315789473684209</v>
      </c>
      <c r="R135" s="324">
        <f>+Q135/Q$11</f>
        <v>2.1694797587538506E-2</v>
      </c>
      <c r="S135" s="360">
        <f>+P135+M135</f>
        <v>3500</v>
      </c>
      <c r="T135" s="346">
        <f>+S135/S$8</f>
        <v>26.315789473684209</v>
      </c>
      <c r="U135" s="324">
        <f>+T135/U$8</f>
        <v>1.7884256667697991E-4</v>
      </c>
      <c r="V135" s="327">
        <f>+S135/TotalCost</f>
        <v>2.750917421019858E-4</v>
      </c>
      <c r="W135" s="327">
        <f>+S135/TotalValue</f>
        <v>2.2580645860561938E-4</v>
      </c>
      <c r="X135" s="433"/>
      <c r="Y135" s="437"/>
      <c r="Z135" s="327"/>
      <c r="AA135" s="327"/>
      <c r="AB135" s="469"/>
      <c r="AC135" s="263"/>
      <c r="AD135" s="327"/>
      <c r="AE135" s="264"/>
      <c r="AF135" s="450" t="s">
        <v>69</v>
      </c>
      <c r="AG135" s="450">
        <v>0</v>
      </c>
      <c r="AH135" s="450"/>
      <c r="AI135" s="450"/>
      <c r="AJ135" s="462"/>
      <c r="AK135" s="319">
        <f t="shared" si="52"/>
        <v>0</v>
      </c>
      <c r="AL135" s="450"/>
      <c r="AM135" s="451"/>
      <c r="AN135" s="451"/>
      <c r="AO135" s="451"/>
      <c r="AP135" s="319">
        <f t="shared" si="53"/>
        <v>0</v>
      </c>
      <c r="AQ135" s="451"/>
      <c r="AR135" s="451"/>
      <c r="AS135" s="451"/>
      <c r="AT135" s="451"/>
      <c r="AU135" s="319">
        <f t="shared" si="54"/>
        <v>0</v>
      </c>
      <c r="AV135" s="451"/>
      <c r="AW135" s="451"/>
      <c r="AX135" s="451"/>
      <c r="AY135" s="451"/>
      <c r="AZ135" s="319">
        <f t="shared" si="55"/>
        <v>0</v>
      </c>
      <c r="BA135" s="451"/>
      <c r="BB135" s="451"/>
      <c r="BC135" s="451"/>
      <c r="BD135" s="451"/>
      <c r="BE135" s="319">
        <f t="shared" si="56"/>
        <v>0</v>
      </c>
      <c r="BF135" s="451"/>
      <c r="BG135" s="451"/>
      <c r="BH135" s="451"/>
      <c r="BI135" s="451"/>
      <c r="BJ135" s="319">
        <f t="shared" si="57"/>
        <v>0</v>
      </c>
      <c r="BK135" s="451"/>
      <c r="BL135" s="451"/>
      <c r="BM135" s="451"/>
      <c r="BN135" s="451"/>
      <c r="BO135" s="319">
        <f t="shared" si="58"/>
        <v>0</v>
      </c>
      <c r="BP135" s="451"/>
      <c r="BQ135" s="451"/>
      <c r="BR135" s="451"/>
      <c r="BS135" s="451"/>
      <c r="BT135" s="319">
        <f t="shared" si="59"/>
        <v>0</v>
      </c>
      <c r="BU135" s="451"/>
      <c r="BV135" s="451"/>
      <c r="BW135" s="451"/>
      <c r="BX135" s="451"/>
      <c r="BY135" s="319">
        <f t="shared" si="60"/>
        <v>0</v>
      </c>
      <c r="BZ135" s="451"/>
      <c r="CA135" s="451"/>
      <c r="CB135" s="451"/>
      <c r="CC135" s="451"/>
      <c r="CD135" s="319">
        <f t="shared" si="61"/>
        <v>0</v>
      </c>
      <c r="CE135" s="451"/>
      <c r="CF135" s="451"/>
      <c r="CG135" s="451"/>
      <c r="CH135" s="451"/>
      <c r="CI135" s="319">
        <f t="shared" si="62"/>
        <v>0</v>
      </c>
      <c r="CJ135" s="451"/>
      <c r="CK135" s="451"/>
      <c r="CL135" s="451"/>
      <c r="CM135" s="451"/>
      <c r="CN135" s="319">
        <f t="shared" si="63"/>
        <v>0</v>
      </c>
      <c r="CO135" s="451">
        <f>+CN135+CI135+CD135+BY135+BT135+BO135+BJ135+BE135+AZ135+AU135+AP135+AK135</f>
        <v>0</v>
      </c>
      <c r="CP135" s="451">
        <f>S135</f>
        <v>3500</v>
      </c>
      <c r="CQ135" s="452">
        <f>+CO135/CP135</f>
        <v>0</v>
      </c>
    </row>
    <row r="136" spans="1:95" ht="12.75">
      <c r="A136" s="318"/>
      <c r="B136" s="386" t="s">
        <v>420</v>
      </c>
      <c r="C136" s="319"/>
      <c r="D136" s="319"/>
      <c r="E136" s="319"/>
      <c r="F136" s="319"/>
      <c r="G136" s="319"/>
      <c r="H136" s="319"/>
      <c r="I136" s="319"/>
      <c r="J136" s="346"/>
      <c r="K136" s="346"/>
      <c r="L136" s="324"/>
      <c r="M136" s="346"/>
      <c r="N136" s="346"/>
      <c r="O136" s="324">
        <f t="shared" si="77"/>
        <v>0</v>
      </c>
      <c r="P136" s="346"/>
      <c r="Q136" s="346"/>
      <c r="R136" s="324"/>
      <c r="S136" s="360"/>
      <c r="T136" s="346"/>
      <c r="U136" s="324"/>
      <c r="V136" s="327"/>
      <c r="W136" s="319"/>
      <c r="X136" s="433"/>
      <c r="Y136" s="437"/>
      <c r="Z136" s="319"/>
      <c r="AA136" s="319"/>
      <c r="AB136" s="469"/>
      <c r="AC136" s="263"/>
      <c r="AD136" s="319"/>
      <c r="AE136" s="263"/>
      <c r="AF136" s="474" t="s">
        <v>420</v>
      </c>
      <c r="AG136" s="450"/>
      <c r="AH136" s="450"/>
      <c r="AI136" s="450"/>
      <c r="AJ136" s="462"/>
      <c r="AK136" s="319"/>
      <c r="AL136" s="450"/>
      <c r="AM136" s="451"/>
      <c r="AN136" s="451"/>
      <c r="AO136" s="451"/>
      <c r="AP136" s="319"/>
      <c r="AQ136" s="451"/>
      <c r="AR136" s="451"/>
      <c r="AS136" s="451"/>
      <c r="AT136" s="451"/>
      <c r="AU136" s="319"/>
      <c r="AV136" s="451"/>
      <c r="AW136" s="451"/>
      <c r="AX136" s="451"/>
      <c r="AY136" s="451"/>
      <c r="AZ136" s="319"/>
      <c r="BA136" s="451"/>
      <c r="BB136" s="451"/>
      <c r="BC136" s="451"/>
      <c r="BD136" s="451"/>
      <c r="BE136" s="319"/>
      <c r="BF136" s="451"/>
      <c r="BG136" s="451"/>
      <c r="BH136" s="451"/>
      <c r="BI136" s="451"/>
      <c r="BJ136" s="319"/>
      <c r="BK136" s="451"/>
      <c r="BL136" s="451"/>
      <c r="BM136" s="451"/>
      <c r="BN136" s="451"/>
      <c r="BO136" s="319"/>
      <c r="BP136" s="451"/>
      <c r="BQ136" s="451"/>
      <c r="BR136" s="451"/>
      <c r="BS136" s="451"/>
      <c r="BT136" s="319"/>
      <c r="BU136" s="451"/>
      <c r="BV136" s="451"/>
      <c r="BW136" s="451"/>
      <c r="BX136" s="451"/>
      <c r="BY136" s="319"/>
      <c r="BZ136" s="451"/>
      <c r="CA136" s="451"/>
      <c r="CB136" s="451"/>
      <c r="CC136" s="451"/>
      <c r="CD136" s="319"/>
      <c r="CE136" s="451"/>
      <c r="CF136" s="451"/>
      <c r="CG136" s="451"/>
      <c r="CH136" s="451"/>
      <c r="CI136" s="319"/>
      <c r="CJ136" s="451"/>
      <c r="CK136" s="451"/>
      <c r="CL136" s="451"/>
      <c r="CM136" s="451"/>
      <c r="CN136" s="319"/>
      <c r="CO136" s="451"/>
      <c r="CP136" s="451"/>
      <c r="CQ136" s="451"/>
    </row>
    <row r="137" spans="1:95" ht="12.75">
      <c r="A137" s="318"/>
      <c r="B137" s="387" t="s">
        <v>258</v>
      </c>
      <c r="C137" s="319"/>
      <c r="D137" s="327">
        <v>0.01</v>
      </c>
      <c r="E137" s="319"/>
      <c r="F137" s="319">
        <f>15500000*0.75*0.01</f>
        <v>116250</v>
      </c>
      <c r="G137" s="388"/>
      <c r="H137" s="319"/>
      <c r="I137" s="319"/>
      <c r="J137" s="328"/>
      <c r="K137" s="319"/>
      <c r="L137" s="322"/>
      <c r="M137" s="328">
        <f>N137*N$8</f>
        <v>62932.330827067672</v>
      </c>
      <c r="N137" s="319">
        <f>+$F137/SM134Units</f>
        <v>874.06015037593988</v>
      </c>
      <c r="O137" s="322">
        <f t="shared" si="77"/>
        <v>0.86029542359836608</v>
      </c>
      <c r="P137" s="328">
        <f>Q137*Q$8</f>
        <v>53317.669172932336</v>
      </c>
      <c r="Q137" s="319">
        <f>+$F137/SM134Units</f>
        <v>874.06015037593988</v>
      </c>
      <c r="R137" s="322">
        <f>+Q137/Q$11</f>
        <v>0.7205772055861005</v>
      </c>
      <c r="S137" s="363">
        <f>+P137+M137</f>
        <v>116250</v>
      </c>
      <c r="T137" s="330">
        <f>+S137/S$8</f>
        <v>874.06015037593988</v>
      </c>
      <c r="U137" s="322">
        <f>+T137/U$8</f>
        <v>5.9401281074854045E-3</v>
      </c>
      <c r="V137" s="327">
        <f>+S137/TotalCost</f>
        <v>9.1369757198159571E-3</v>
      </c>
      <c r="W137" s="327">
        <f>+S137/TotalValue</f>
        <v>7.5000002322580719E-3</v>
      </c>
      <c r="X137" s="433"/>
      <c r="Y137" s="437"/>
      <c r="Z137" s="327"/>
      <c r="AA137" s="327"/>
      <c r="AB137" s="469"/>
      <c r="AC137" s="263"/>
      <c r="AD137" s="327"/>
      <c r="AE137" s="264"/>
      <c r="AF137" s="450" t="s">
        <v>258</v>
      </c>
      <c r="AG137" s="450">
        <f>+$S137</f>
        <v>116250</v>
      </c>
      <c r="AH137" s="450"/>
      <c r="AI137" s="450"/>
      <c r="AJ137" s="462"/>
      <c r="AK137" s="319">
        <f t="shared" si="52"/>
        <v>116250</v>
      </c>
      <c r="AL137" s="450"/>
      <c r="AM137" s="451"/>
      <c r="AN137" s="451"/>
      <c r="AO137" s="451"/>
      <c r="AP137" s="319">
        <f t="shared" si="53"/>
        <v>0</v>
      </c>
      <c r="AQ137" s="451"/>
      <c r="AR137" s="451"/>
      <c r="AS137" s="451"/>
      <c r="AT137" s="451"/>
      <c r="AU137" s="319">
        <f t="shared" si="54"/>
        <v>0</v>
      </c>
      <c r="AV137" s="451"/>
      <c r="AW137" s="451"/>
      <c r="AX137" s="451"/>
      <c r="AY137" s="451"/>
      <c r="AZ137" s="319">
        <f t="shared" si="55"/>
        <v>0</v>
      </c>
      <c r="BA137" s="451"/>
      <c r="BB137" s="451"/>
      <c r="BC137" s="451"/>
      <c r="BD137" s="451"/>
      <c r="BE137" s="319">
        <f t="shared" si="56"/>
        <v>0</v>
      </c>
      <c r="BF137" s="451"/>
      <c r="BG137" s="451"/>
      <c r="BH137" s="451"/>
      <c r="BI137" s="451"/>
      <c r="BJ137" s="319">
        <f t="shared" si="57"/>
        <v>0</v>
      </c>
      <c r="BK137" s="451"/>
      <c r="BL137" s="451"/>
      <c r="BM137" s="451"/>
      <c r="BN137" s="451"/>
      <c r="BO137" s="319">
        <f t="shared" si="58"/>
        <v>0</v>
      </c>
      <c r="BP137" s="451"/>
      <c r="BQ137" s="451"/>
      <c r="BR137" s="451"/>
      <c r="BS137" s="451"/>
      <c r="BT137" s="319">
        <f t="shared" si="59"/>
        <v>0</v>
      </c>
      <c r="BU137" s="451"/>
      <c r="BV137" s="451"/>
      <c r="BW137" s="451"/>
      <c r="BX137" s="451"/>
      <c r="BY137" s="319">
        <f t="shared" si="60"/>
        <v>0</v>
      </c>
      <c r="BZ137" s="451"/>
      <c r="CA137" s="451"/>
      <c r="CB137" s="451"/>
      <c r="CC137" s="451"/>
      <c r="CD137" s="319">
        <f t="shared" si="61"/>
        <v>0</v>
      </c>
      <c r="CE137" s="451"/>
      <c r="CF137" s="451"/>
      <c r="CG137" s="451"/>
      <c r="CH137" s="451"/>
      <c r="CI137" s="319">
        <f t="shared" si="62"/>
        <v>0</v>
      </c>
      <c r="CJ137" s="451"/>
      <c r="CK137" s="451"/>
      <c r="CL137" s="451"/>
      <c r="CM137" s="451"/>
      <c r="CN137" s="319">
        <f t="shared" si="63"/>
        <v>0</v>
      </c>
      <c r="CO137" s="451">
        <f>+CN137+CI137+CD137+BY137+BT137+BO137+BJ137+BE137+AZ137+AU137+AP137+AK137</f>
        <v>116250</v>
      </c>
      <c r="CP137" s="451">
        <f>S137</f>
        <v>116250</v>
      </c>
      <c r="CQ137" s="452">
        <f>+CO137/CP137</f>
        <v>1</v>
      </c>
    </row>
    <row r="138" spans="1:95" ht="12.75">
      <c r="A138" s="318"/>
      <c r="B138" s="387" t="s">
        <v>262</v>
      </c>
      <c r="C138" s="319"/>
      <c r="D138" s="327">
        <v>2.5000000000000001E-3</v>
      </c>
      <c r="E138" s="319"/>
      <c r="F138" s="319">
        <f>15500000*0.75*0.0025</f>
        <v>29062.5</v>
      </c>
      <c r="G138" s="319"/>
      <c r="H138" s="319"/>
      <c r="I138" s="319"/>
      <c r="J138" s="328"/>
      <c r="K138" s="319"/>
      <c r="L138" s="322"/>
      <c r="M138" s="328">
        <f>N138*N$8</f>
        <v>15733.082706766918</v>
      </c>
      <c r="N138" s="319">
        <f>+$F138/SM134Units</f>
        <v>218.51503759398497</v>
      </c>
      <c r="O138" s="322">
        <f t="shared" si="77"/>
        <v>0.21507385589959152</v>
      </c>
      <c r="P138" s="328">
        <f>Q138*Q$8</f>
        <v>13329.417293233084</v>
      </c>
      <c r="Q138" s="319">
        <f>+$F138/SM134Units</f>
        <v>218.51503759398497</v>
      </c>
      <c r="R138" s="322">
        <f>+Q138/Q$11</f>
        <v>0.18014430139652512</v>
      </c>
      <c r="S138" s="363">
        <f>+P138+M138</f>
        <v>29062.5</v>
      </c>
      <c r="T138" s="330">
        <f>+S138/S$8</f>
        <v>218.51503759398497</v>
      </c>
      <c r="U138" s="322">
        <f>+T138/U$8</f>
        <v>1.4850320268713511E-3</v>
      </c>
      <c r="V138" s="327">
        <f>+S138/TotalCost</f>
        <v>2.2842439299539893E-3</v>
      </c>
      <c r="W138" s="327">
        <f>+S138/TotalValue</f>
        <v>1.875000058064518E-3</v>
      </c>
      <c r="X138" s="433"/>
      <c r="Y138" s="437"/>
      <c r="Z138" s="327"/>
      <c r="AA138" s="327"/>
      <c r="AB138" s="469"/>
      <c r="AC138" s="263"/>
      <c r="AD138" s="327"/>
      <c r="AE138" s="264"/>
      <c r="AF138" s="450" t="s">
        <v>262</v>
      </c>
      <c r="AG138" s="450">
        <f>+$S138</f>
        <v>29062.5</v>
      </c>
      <c r="AH138" s="450"/>
      <c r="AI138" s="450"/>
      <c r="AJ138" s="462"/>
      <c r="AK138" s="319">
        <f t="shared" si="52"/>
        <v>29062.5</v>
      </c>
      <c r="AL138" s="450"/>
      <c r="AM138" s="451"/>
      <c r="AN138" s="451"/>
      <c r="AO138" s="451"/>
      <c r="AP138" s="319">
        <f t="shared" si="53"/>
        <v>0</v>
      </c>
      <c r="AQ138" s="451"/>
      <c r="AR138" s="451"/>
      <c r="AS138" s="451"/>
      <c r="AT138" s="451"/>
      <c r="AU138" s="319">
        <f t="shared" si="54"/>
        <v>0</v>
      </c>
      <c r="AV138" s="451"/>
      <c r="AW138" s="451"/>
      <c r="AX138" s="451"/>
      <c r="AY138" s="451"/>
      <c r="AZ138" s="319">
        <f t="shared" si="55"/>
        <v>0</v>
      </c>
      <c r="BA138" s="451"/>
      <c r="BB138" s="451"/>
      <c r="BC138" s="451"/>
      <c r="BD138" s="451"/>
      <c r="BE138" s="319">
        <f t="shared" si="56"/>
        <v>0</v>
      </c>
      <c r="BF138" s="451"/>
      <c r="BG138" s="451"/>
      <c r="BH138" s="451"/>
      <c r="BI138" s="451"/>
      <c r="BJ138" s="319">
        <f t="shared" si="57"/>
        <v>0</v>
      </c>
      <c r="BK138" s="451"/>
      <c r="BL138" s="451"/>
      <c r="BM138" s="451"/>
      <c r="BN138" s="451"/>
      <c r="BO138" s="319">
        <f t="shared" si="58"/>
        <v>0</v>
      </c>
      <c r="BP138" s="451"/>
      <c r="BQ138" s="451"/>
      <c r="BR138" s="451"/>
      <c r="BS138" s="451"/>
      <c r="BT138" s="319">
        <f t="shared" si="59"/>
        <v>0</v>
      </c>
      <c r="BU138" s="451"/>
      <c r="BV138" s="451"/>
      <c r="BW138" s="451"/>
      <c r="BX138" s="451"/>
      <c r="BY138" s="319">
        <f t="shared" si="60"/>
        <v>0</v>
      </c>
      <c r="BZ138" s="451"/>
      <c r="CA138" s="451"/>
      <c r="CB138" s="451"/>
      <c r="CC138" s="451"/>
      <c r="CD138" s="319">
        <f t="shared" si="61"/>
        <v>0</v>
      </c>
      <c r="CE138" s="451"/>
      <c r="CF138" s="451"/>
      <c r="CG138" s="451"/>
      <c r="CH138" s="451"/>
      <c r="CI138" s="319">
        <f t="shared" si="62"/>
        <v>0</v>
      </c>
      <c r="CJ138" s="451"/>
      <c r="CK138" s="451"/>
      <c r="CL138" s="451"/>
      <c r="CM138" s="451"/>
      <c r="CN138" s="319">
        <f t="shared" si="63"/>
        <v>0</v>
      </c>
      <c r="CO138" s="451">
        <f>+CN138+CI138+CD138+BY138+BT138+BO138+BJ138+BE138+AZ138+AU138+AP138+AK138</f>
        <v>29062.5</v>
      </c>
      <c r="CP138" s="451">
        <f>S138</f>
        <v>29062.5</v>
      </c>
      <c r="CQ138" s="452">
        <f t="shared" ref="CQ138:CQ143" si="123">+CO138/CP138</f>
        <v>1</v>
      </c>
    </row>
    <row r="139" spans="1:95" ht="12.75">
      <c r="A139" s="318"/>
      <c r="B139" s="387" t="s">
        <v>421</v>
      </c>
      <c r="C139" s="319" t="s">
        <v>423</v>
      </c>
      <c r="D139" s="389">
        <f>0.0975</f>
        <v>9.7500000000000003E-2</v>
      </c>
      <c r="E139" s="319"/>
      <c r="F139" s="319">
        <f>(TotalDirectCost*1.1*0.9*0.75*Interim_Int_Rate*0.75)*1.1</f>
        <v>708667.98495024815</v>
      </c>
      <c r="G139" s="319"/>
      <c r="H139" s="319"/>
      <c r="I139" s="319"/>
      <c r="J139" s="328"/>
      <c r="K139" s="319"/>
      <c r="L139" s="322"/>
      <c r="M139" s="328">
        <f>N139*N$8</f>
        <v>383639.81140163809</v>
      </c>
      <c r="N139" s="319">
        <f>+$F139/SM134Units</f>
        <v>5328.3307139116405</v>
      </c>
      <c r="O139" s="322">
        <f t="shared" si="77"/>
        <v>5.2444199940075205</v>
      </c>
      <c r="P139" s="328">
        <f>Q139*Q$8</f>
        <v>325028.17354861007</v>
      </c>
      <c r="Q139" s="319">
        <f>+$F139/SM134Units</f>
        <v>5328.3307139116405</v>
      </c>
      <c r="R139" s="322">
        <f>+Q139/Q$11</f>
        <v>4.3926881400755482</v>
      </c>
      <c r="S139" s="363">
        <f>+P139+M139</f>
        <v>708667.98495024815</v>
      </c>
      <c r="T139" s="330">
        <f>+S139/S$8</f>
        <v>5328.3307139116405</v>
      </c>
      <c r="U139" s="322">
        <f>+T139/U$8</f>
        <v>3.6211428957230216E-2</v>
      </c>
      <c r="V139" s="327">
        <f>+S139/TotalCost</f>
        <v>5.5699631586247897E-2</v>
      </c>
      <c r="W139" s="327">
        <f>+S139/TotalValue</f>
        <v>4.5720516573941689E-2</v>
      </c>
      <c r="X139" s="433"/>
      <c r="Y139" s="437"/>
      <c r="Z139" s="327"/>
      <c r="AA139" s="327"/>
      <c r="AB139" s="469"/>
      <c r="AC139" s="263"/>
      <c r="AD139" s="327"/>
      <c r="AE139" s="264"/>
      <c r="AF139" s="450" t="s">
        <v>421</v>
      </c>
      <c r="AG139" s="450">
        <v>0</v>
      </c>
      <c r="AH139" s="450">
        <f>Interim_Int_Rate/52*AG144</f>
        <v>1015.8044147854479</v>
      </c>
      <c r="AI139" s="450">
        <f t="shared" ref="AI139:CM139" si="124">Interim_Int_Rate/52*AH144</f>
        <v>1017.7090480631706</v>
      </c>
      <c r="AJ139" s="450">
        <f t="shared" si="124"/>
        <v>1019.617252528289</v>
      </c>
      <c r="AK139" s="319">
        <f t="shared" si="52"/>
        <v>3053.1307153769076</v>
      </c>
      <c r="AL139" s="450">
        <f>Interim_Int_Rate/52*AJ144</f>
        <v>1021.5290348767796</v>
      </c>
      <c r="AM139" s="450">
        <f t="shared" si="124"/>
        <v>1271.9761719806306</v>
      </c>
      <c r="AN139" s="450">
        <f t="shared" si="124"/>
        <v>1307.5486273030942</v>
      </c>
      <c r="AO139" s="450">
        <f t="shared" si="124"/>
        <v>1380.6011757772055</v>
      </c>
      <c r="AP139" s="319">
        <f t="shared" si="53"/>
        <v>4981.65500993771</v>
      </c>
      <c r="AQ139" s="450">
        <f>Interim_Int_Rate/52*AO144</f>
        <v>1460.3206965364755</v>
      </c>
      <c r="AR139" s="450">
        <f t="shared" si="124"/>
        <v>1711.5905634674814</v>
      </c>
      <c r="AS139" s="450">
        <f t="shared" si="124"/>
        <v>1909.3060877661705</v>
      </c>
      <c r="AT139" s="450">
        <f t="shared" si="124"/>
        <v>2124.4411372989625</v>
      </c>
      <c r="AU139" s="319">
        <f t="shared" si="54"/>
        <v>7205.6584850690897</v>
      </c>
      <c r="AV139" s="450">
        <f>Interim_Int_Rate/52*AT144</f>
        <v>2378.7377247438985</v>
      </c>
      <c r="AW139" s="450">
        <f t="shared" si="124"/>
        <v>2979.3930200467385</v>
      </c>
      <c r="AX139" s="450">
        <f t="shared" si="124"/>
        <v>3211.2192912171386</v>
      </c>
      <c r="AY139" s="450">
        <f t="shared" si="124"/>
        <v>3564.9184137173388</v>
      </c>
      <c r="AZ139" s="319">
        <f t="shared" si="55"/>
        <v>12134.268449725114</v>
      </c>
      <c r="BA139" s="450">
        <f>Interim_Int_Rate/52*AY144</f>
        <v>4110.9677759370043</v>
      </c>
      <c r="BB139" s="450">
        <f t="shared" si="124"/>
        <v>4613.1304626653236</v>
      </c>
      <c r="BC139" s="450">
        <f t="shared" si="124"/>
        <v>5032.3151320171955</v>
      </c>
      <c r="BD139" s="450">
        <f t="shared" si="124"/>
        <v>5762.6664727253419</v>
      </c>
      <c r="BE139" s="319">
        <f t="shared" si="56"/>
        <v>19519.079843344865</v>
      </c>
      <c r="BF139" s="450">
        <f>Interim_Int_Rate/52*BD144</f>
        <v>6090.9414535726401</v>
      </c>
      <c r="BG139" s="450">
        <f t="shared" si="124"/>
        <v>6943.9620779074639</v>
      </c>
      <c r="BH139" s="450">
        <f t="shared" si="124"/>
        <v>7600.7278637943609</v>
      </c>
      <c r="BI139" s="450">
        <f t="shared" si="124"/>
        <v>8046.7456236884555</v>
      </c>
      <c r="BJ139" s="319">
        <f t="shared" si="57"/>
        <v>28682.377018962921</v>
      </c>
      <c r="BK139" s="450">
        <f>Interim_Int_Rate/52*BI144</f>
        <v>8696.0928398266205</v>
      </c>
      <c r="BL139" s="450">
        <f t="shared" si="124"/>
        <v>9432.4543083921162</v>
      </c>
      <c r="BM139" s="450">
        <f t="shared" si="124"/>
        <v>9921.7625199469148</v>
      </c>
      <c r="BN139" s="450">
        <f t="shared" si="124"/>
        <v>10694.043365688483</v>
      </c>
      <c r="BO139" s="319">
        <f t="shared" si="58"/>
        <v>38744.353033854131</v>
      </c>
      <c r="BP139" s="450">
        <f>Interim_Int_Rate/52*BN144</f>
        <v>11384.38028836497</v>
      </c>
      <c r="BQ139" s="450">
        <f t="shared" si="124"/>
        <v>11875.845126757216</v>
      </c>
      <c r="BR139" s="450">
        <f t="shared" si="124"/>
        <v>12517.833341963636</v>
      </c>
      <c r="BS139" s="450">
        <f t="shared" si="124"/>
        <v>13152.406948970638</v>
      </c>
      <c r="BT139" s="319">
        <f t="shared" si="59"/>
        <v>48930.465706056457</v>
      </c>
      <c r="BU139" s="450">
        <f>Interim_Int_Rate/52*BS144</f>
        <v>13534.823803171834</v>
      </c>
      <c r="BV139" s="450">
        <f t="shared" si="124"/>
        <v>14244.231869021531</v>
      </c>
      <c r="BW139" s="450">
        <f t="shared" si="124"/>
        <v>14744.743040649579</v>
      </c>
      <c r="BX139" s="450">
        <f t="shared" si="124"/>
        <v>14992.600728382047</v>
      </c>
      <c r="BY139" s="319">
        <f t="shared" si="60"/>
        <v>57516.399441224989</v>
      </c>
      <c r="BZ139" s="450">
        <f>Interim_Int_Rate/52*BX144</f>
        <v>15419.196725029013</v>
      </c>
      <c r="CA139" s="450">
        <f t="shared" si="124"/>
        <v>15820.50061693532</v>
      </c>
      <c r="CB139" s="450">
        <f t="shared" si="124"/>
        <v>16042.296506060822</v>
      </c>
      <c r="CC139" s="450">
        <f t="shared" si="124"/>
        <v>16370.375266697187</v>
      </c>
      <c r="CD139" s="319">
        <f t="shared" si="61"/>
        <v>63652.369114722344</v>
      </c>
      <c r="CE139" s="450">
        <f>Interim_Int_Rate/52*CC144</f>
        <v>16597.742091415996</v>
      </c>
      <c r="CF139" s="450">
        <f t="shared" si="124"/>
        <v>16801.84576924365</v>
      </c>
      <c r="CG139" s="450">
        <f t="shared" si="124"/>
        <v>17055.097685920358</v>
      </c>
      <c r="CH139" s="450">
        <f t="shared" si="124"/>
        <v>17099.077165956456</v>
      </c>
      <c r="CI139" s="319">
        <f t="shared" si="62"/>
        <v>67553.762712536467</v>
      </c>
      <c r="CJ139" s="450">
        <f>Interim_Int_Rate/52*CH144</f>
        <v>17197.341581736375</v>
      </c>
      <c r="CK139" s="450">
        <f t="shared" si="124"/>
        <v>17320.548524936505</v>
      </c>
      <c r="CL139" s="450">
        <f t="shared" si="124"/>
        <v>17365.025725295764</v>
      </c>
      <c r="CM139" s="450">
        <f t="shared" si="124"/>
        <v>17690.366398530692</v>
      </c>
      <c r="CN139" s="319">
        <f t="shared" si="63"/>
        <v>69573.282230499331</v>
      </c>
      <c r="CO139" s="451">
        <f>+CN139+CI139+CD139+BY139+BT139+BO139+BJ139+BE139+AZ139+AU139+AP139+AK139</f>
        <v>421546.80176131043</v>
      </c>
      <c r="CP139" s="451">
        <f>S139</f>
        <v>708667.98495024815</v>
      </c>
      <c r="CQ139" s="452">
        <f t="shared" si="123"/>
        <v>0.59484386301281134</v>
      </c>
    </row>
    <row r="140" spans="1:95" ht="12.75" hidden="1">
      <c r="A140" s="318"/>
      <c r="B140" s="319" t="s">
        <v>422</v>
      </c>
      <c r="C140" s="319" t="s">
        <v>424</v>
      </c>
      <c r="D140" s="327">
        <v>0.01</v>
      </c>
      <c r="E140" s="319"/>
      <c r="F140" s="319">
        <v>0</v>
      </c>
      <c r="G140" s="319"/>
      <c r="H140" s="319"/>
      <c r="I140" s="319"/>
      <c r="J140" s="328"/>
      <c r="K140" s="319"/>
      <c r="L140" s="322"/>
      <c r="M140" s="328">
        <f>N140*N$8</f>
        <v>0</v>
      </c>
      <c r="N140" s="319">
        <f>+$F140/SM134Units</f>
        <v>0</v>
      </c>
      <c r="O140" s="322">
        <f t="shared" si="77"/>
        <v>0</v>
      </c>
      <c r="P140" s="328">
        <f>Q140*Q$8</f>
        <v>0</v>
      </c>
      <c r="Q140" s="319">
        <f>+$F140/SM134Units</f>
        <v>0</v>
      </c>
      <c r="R140" s="322">
        <f>+Q140/Q$11</f>
        <v>0</v>
      </c>
      <c r="S140" s="363">
        <f>+P140+M140</f>
        <v>0</v>
      </c>
      <c r="T140" s="330">
        <f>+S140/S$8</f>
        <v>0</v>
      </c>
      <c r="U140" s="322">
        <f>+T140/U$8</f>
        <v>0</v>
      </c>
      <c r="V140" s="327">
        <f>+S140/TotalCost</f>
        <v>0</v>
      </c>
      <c r="W140" s="327">
        <f>+S140/TotalValue</f>
        <v>0</v>
      </c>
      <c r="X140" s="327"/>
      <c r="Y140" s="437"/>
      <c r="Z140" s="327"/>
      <c r="AA140" s="327"/>
      <c r="AB140" s="508"/>
      <c r="AC140" s="263"/>
      <c r="AD140" s="327"/>
      <c r="AE140" s="264"/>
      <c r="AF140" s="450" t="s">
        <v>422</v>
      </c>
      <c r="AG140" s="450"/>
      <c r="AH140" s="450"/>
      <c r="AI140" s="450"/>
      <c r="AJ140" s="462"/>
      <c r="AK140" s="462"/>
      <c r="AL140" s="450"/>
      <c r="AM140" s="451"/>
      <c r="AN140" s="451"/>
      <c r="AO140" s="451"/>
      <c r="AP140" s="462"/>
      <c r="AQ140" s="451"/>
      <c r="AR140" s="451"/>
      <c r="AS140" s="451"/>
      <c r="AT140" s="451"/>
      <c r="AU140" s="462"/>
      <c r="AV140" s="451"/>
      <c r="AW140" s="451"/>
      <c r="AX140" s="451"/>
      <c r="AY140" s="451"/>
      <c r="AZ140" s="462"/>
      <c r="BA140" s="451"/>
      <c r="BB140" s="451"/>
      <c r="BC140" s="451"/>
      <c r="BD140" s="451"/>
      <c r="BE140" s="462"/>
      <c r="BF140" s="451"/>
      <c r="BG140" s="451"/>
      <c r="BH140" s="451"/>
      <c r="BI140" s="451"/>
      <c r="BJ140" s="462"/>
      <c r="BK140" s="451"/>
      <c r="BL140" s="451"/>
      <c r="BM140" s="451"/>
      <c r="BN140" s="451"/>
      <c r="BO140" s="462"/>
      <c r="BP140" s="451"/>
      <c r="BQ140" s="451"/>
      <c r="BR140" s="451"/>
      <c r="BS140" s="451"/>
      <c r="BT140" s="462"/>
      <c r="BU140" s="451"/>
      <c r="BV140" s="451"/>
      <c r="BW140" s="451"/>
      <c r="BX140" s="451"/>
      <c r="BY140" s="462"/>
      <c r="BZ140" s="451"/>
      <c r="CA140" s="451"/>
      <c r="CB140" s="451"/>
      <c r="CC140" s="451"/>
      <c r="CD140" s="462"/>
      <c r="CE140" s="451"/>
      <c r="CF140" s="451"/>
      <c r="CG140" s="451"/>
      <c r="CH140" s="451"/>
      <c r="CI140" s="462"/>
      <c r="CJ140" s="451"/>
      <c r="CK140" s="451"/>
      <c r="CL140" s="451"/>
      <c r="CM140" s="451"/>
      <c r="CN140" s="462"/>
      <c r="CO140" s="451"/>
      <c r="CP140" s="451"/>
      <c r="CQ140" s="452" t="e">
        <f t="shared" si="123"/>
        <v>#DIV/0!</v>
      </c>
    </row>
    <row r="141" spans="1:95" ht="12.75">
      <c r="A141" s="318"/>
      <c r="B141" s="380" t="s">
        <v>260</v>
      </c>
      <c r="C141" s="319"/>
      <c r="D141" s="319"/>
      <c r="E141" s="319"/>
      <c r="F141" s="380">
        <f>SUM(F135:F140)</f>
        <v>857480.48495024815</v>
      </c>
      <c r="G141" s="380"/>
      <c r="H141" s="319"/>
      <c r="I141" s="319"/>
      <c r="J141" s="390"/>
      <c r="K141" s="390"/>
      <c r="L141" s="391"/>
      <c r="M141" s="390">
        <f>SUM(M135:M140)</f>
        <v>464199.96177757793</v>
      </c>
      <c r="N141" s="390">
        <f>SUM(N135:N140)</f>
        <v>6447.2216913552493</v>
      </c>
      <c r="O141" s="391">
        <f t="shared" si="77"/>
        <v>6.3456906410976863</v>
      </c>
      <c r="P141" s="390">
        <f t="shared" ref="P141:U141" si="125">SUM(P135:P140)</f>
        <v>393280.52317267022</v>
      </c>
      <c r="Q141" s="390">
        <f t="shared" si="125"/>
        <v>6447.2216913552493</v>
      </c>
      <c r="R141" s="391">
        <f t="shared" si="125"/>
        <v>5.3151044446457121</v>
      </c>
      <c r="S141" s="392">
        <f t="shared" si="125"/>
        <v>857480.48495024815</v>
      </c>
      <c r="T141" s="371">
        <f>+S141/S$8</f>
        <v>6447.2216913552493</v>
      </c>
      <c r="U141" s="391">
        <f t="shared" si="125"/>
        <v>4.3815431658263952E-2</v>
      </c>
      <c r="V141" s="382">
        <f>+S141/TotalCost</f>
        <v>6.7395942978119835E-2</v>
      </c>
      <c r="W141" s="382">
        <f>+S141/TotalValue</f>
        <v>5.5321323322869896E-2</v>
      </c>
      <c r="X141" s="440"/>
      <c r="Y141" s="443"/>
      <c r="Z141" s="326"/>
      <c r="AA141" s="326"/>
      <c r="AB141" s="508"/>
      <c r="AC141" s="471"/>
      <c r="AD141" s="326"/>
      <c r="AE141" s="312"/>
      <c r="AF141" s="475" t="s">
        <v>260</v>
      </c>
      <c r="AG141" s="476">
        <f t="shared" ref="AG141:BL141" si="126">SUM(AG135:AG140)</f>
        <v>145312.5</v>
      </c>
      <c r="AH141" s="476">
        <f t="shared" si="126"/>
        <v>1015.8044147854479</v>
      </c>
      <c r="AI141" s="476">
        <f t="shared" si="126"/>
        <v>1017.7090480631706</v>
      </c>
      <c r="AJ141" s="476">
        <f t="shared" si="126"/>
        <v>1019.617252528289</v>
      </c>
      <c r="AK141" s="476">
        <f t="shared" si="126"/>
        <v>148365.6307153769</v>
      </c>
      <c r="AL141" s="476">
        <f t="shared" si="126"/>
        <v>1021.5290348767796</v>
      </c>
      <c r="AM141" s="476">
        <f t="shared" si="126"/>
        <v>1271.9761719806306</v>
      </c>
      <c r="AN141" s="476">
        <f t="shared" si="126"/>
        <v>1307.5486273030942</v>
      </c>
      <c r="AO141" s="476">
        <f t="shared" si="126"/>
        <v>1380.6011757772055</v>
      </c>
      <c r="AP141" s="476">
        <f t="shared" si="126"/>
        <v>4981.65500993771</v>
      </c>
      <c r="AQ141" s="476">
        <f t="shared" si="126"/>
        <v>1460.3206965364755</v>
      </c>
      <c r="AR141" s="476">
        <f t="shared" si="126"/>
        <v>1711.5905634674814</v>
      </c>
      <c r="AS141" s="476">
        <f t="shared" si="126"/>
        <v>1909.3060877661705</v>
      </c>
      <c r="AT141" s="476">
        <f t="shared" si="126"/>
        <v>2124.4411372989625</v>
      </c>
      <c r="AU141" s="476">
        <f t="shared" si="126"/>
        <v>7205.6584850690897</v>
      </c>
      <c r="AV141" s="476">
        <f t="shared" si="126"/>
        <v>2378.7377247438985</v>
      </c>
      <c r="AW141" s="476">
        <f t="shared" si="126"/>
        <v>2979.3930200467385</v>
      </c>
      <c r="AX141" s="476">
        <f t="shared" si="126"/>
        <v>3211.2192912171386</v>
      </c>
      <c r="AY141" s="476">
        <f t="shared" si="126"/>
        <v>3564.9184137173388</v>
      </c>
      <c r="AZ141" s="476">
        <f t="shared" si="126"/>
        <v>12134.268449725114</v>
      </c>
      <c r="BA141" s="476">
        <f t="shared" si="126"/>
        <v>4110.9677759370043</v>
      </c>
      <c r="BB141" s="476">
        <f t="shared" si="126"/>
        <v>4613.1304626653236</v>
      </c>
      <c r="BC141" s="476">
        <f t="shared" si="126"/>
        <v>5032.3151320171955</v>
      </c>
      <c r="BD141" s="476">
        <f t="shared" si="126"/>
        <v>5762.6664727253419</v>
      </c>
      <c r="BE141" s="476">
        <f t="shared" si="126"/>
        <v>19519.079843344865</v>
      </c>
      <c r="BF141" s="476">
        <f t="shared" si="126"/>
        <v>6090.9414535726401</v>
      </c>
      <c r="BG141" s="476">
        <f t="shared" si="126"/>
        <v>6943.9620779074639</v>
      </c>
      <c r="BH141" s="476">
        <f t="shared" si="126"/>
        <v>7600.7278637943609</v>
      </c>
      <c r="BI141" s="476">
        <f t="shared" si="126"/>
        <v>8046.7456236884555</v>
      </c>
      <c r="BJ141" s="476">
        <f t="shared" si="126"/>
        <v>28682.377018962921</v>
      </c>
      <c r="BK141" s="476">
        <f t="shared" si="126"/>
        <v>8696.0928398266205</v>
      </c>
      <c r="BL141" s="476">
        <f t="shared" si="126"/>
        <v>9432.4543083921162</v>
      </c>
      <c r="BM141" s="476">
        <f t="shared" ref="BM141:CO141" si="127">SUM(BM135:BM140)</f>
        <v>9921.7625199469148</v>
      </c>
      <c r="BN141" s="476">
        <f t="shared" si="127"/>
        <v>10694.043365688483</v>
      </c>
      <c r="BO141" s="476">
        <f t="shared" si="127"/>
        <v>38744.353033854131</v>
      </c>
      <c r="BP141" s="476">
        <f t="shared" si="127"/>
        <v>11384.38028836497</v>
      </c>
      <c r="BQ141" s="476">
        <f t="shared" si="127"/>
        <v>11875.845126757216</v>
      </c>
      <c r="BR141" s="476">
        <f t="shared" si="127"/>
        <v>12517.833341963636</v>
      </c>
      <c r="BS141" s="476">
        <f t="shared" si="127"/>
        <v>13152.406948970638</v>
      </c>
      <c r="BT141" s="476">
        <f t="shared" si="127"/>
        <v>48930.465706056457</v>
      </c>
      <c r="BU141" s="476">
        <f t="shared" si="127"/>
        <v>13534.823803171834</v>
      </c>
      <c r="BV141" s="476">
        <f t="shared" si="127"/>
        <v>14244.231869021531</v>
      </c>
      <c r="BW141" s="476">
        <f t="shared" si="127"/>
        <v>14744.743040649579</v>
      </c>
      <c r="BX141" s="476">
        <f t="shared" si="127"/>
        <v>14992.600728382047</v>
      </c>
      <c r="BY141" s="476">
        <f t="shared" si="127"/>
        <v>57516.399441224989</v>
      </c>
      <c r="BZ141" s="476">
        <f t="shared" si="127"/>
        <v>15419.196725029013</v>
      </c>
      <c r="CA141" s="476">
        <f t="shared" si="127"/>
        <v>15820.50061693532</v>
      </c>
      <c r="CB141" s="476">
        <f t="shared" si="127"/>
        <v>16042.296506060822</v>
      </c>
      <c r="CC141" s="476">
        <f t="shared" si="127"/>
        <v>16370.375266697187</v>
      </c>
      <c r="CD141" s="476">
        <f t="shared" si="127"/>
        <v>63652.369114722344</v>
      </c>
      <c r="CE141" s="476">
        <f t="shared" si="127"/>
        <v>16597.742091415996</v>
      </c>
      <c r="CF141" s="476">
        <f t="shared" si="127"/>
        <v>16801.84576924365</v>
      </c>
      <c r="CG141" s="476">
        <f t="shared" si="127"/>
        <v>17055.097685920358</v>
      </c>
      <c r="CH141" s="476">
        <f t="shared" si="127"/>
        <v>17099.077165956456</v>
      </c>
      <c r="CI141" s="476">
        <f t="shared" si="127"/>
        <v>67553.762712536467</v>
      </c>
      <c r="CJ141" s="476">
        <f t="shared" si="127"/>
        <v>17197.341581736375</v>
      </c>
      <c r="CK141" s="476">
        <f t="shared" si="127"/>
        <v>17320.548524936505</v>
      </c>
      <c r="CL141" s="476">
        <f t="shared" si="127"/>
        <v>17365.025725295764</v>
      </c>
      <c r="CM141" s="476">
        <f t="shared" si="127"/>
        <v>17690.366398530692</v>
      </c>
      <c r="CN141" s="476">
        <f t="shared" si="127"/>
        <v>69573.282230499331</v>
      </c>
      <c r="CO141" s="476">
        <f t="shared" si="127"/>
        <v>566859.30176131043</v>
      </c>
      <c r="CP141" s="468">
        <f>S141</f>
        <v>857480.48495024815</v>
      </c>
      <c r="CQ141" s="467">
        <f t="shared" si="123"/>
        <v>0.6610754550223964</v>
      </c>
    </row>
    <row r="142" spans="1:95" ht="12.75">
      <c r="A142" s="318"/>
      <c r="B142" s="369"/>
      <c r="C142" s="319"/>
      <c r="D142" s="319"/>
      <c r="E142" s="319"/>
      <c r="F142" s="369"/>
      <c r="G142" s="369"/>
      <c r="H142" s="319"/>
      <c r="I142" s="319"/>
      <c r="J142" s="371"/>
      <c r="K142" s="371"/>
      <c r="L142" s="372"/>
      <c r="M142" s="371"/>
      <c r="N142" s="371"/>
      <c r="O142" s="372">
        <f t="shared" si="77"/>
        <v>0</v>
      </c>
      <c r="P142" s="371"/>
      <c r="Q142" s="371"/>
      <c r="R142" s="372"/>
      <c r="S142" s="373"/>
      <c r="T142" s="371"/>
      <c r="U142" s="372"/>
      <c r="V142" s="319"/>
      <c r="W142" s="319"/>
      <c r="X142" s="438"/>
      <c r="Y142" s="437"/>
      <c r="Z142" s="319"/>
      <c r="AA142" s="319"/>
      <c r="AD142" s="319"/>
      <c r="AE142" s="263"/>
      <c r="AF142" s="464"/>
      <c r="AG142" s="477"/>
      <c r="AH142" s="477"/>
      <c r="AI142" s="477"/>
      <c r="AJ142" s="477"/>
      <c r="AK142" s="477"/>
      <c r="AL142" s="477"/>
      <c r="AM142" s="477"/>
      <c r="AN142" s="477"/>
      <c r="AO142" s="477"/>
      <c r="AP142" s="477"/>
      <c r="AQ142" s="477"/>
      <c r="AR142" s="477"/>
      <c r="AS142" s="477"/>
      <c r="AT142" s="477"/>
      <c r="AU142" s="477"/>
      <c r="AV142" s="477"/>
      <c r="AW142" s="477"/>
      <c r="AX142" s="477"/>
      <c r="AY142" s="451"/>
      <c r="AZ142" s="477"/>
      <c r="BA142" s="451"/>
      <c r="BB142" s="451"/>
      <c r="BC142" s="451"/>
      <c r="BD142" s="451"/>
      <c r="BE142" s="477"/>
      <c r="BF142" s="451"/>
      <c r="BG142" s="451"/>
      <c r="BH142" s="451"/>
      <c r="BI142" s="451"/>
      <c r="BJ142" s="477"/>
      <c r="BK142" s="451"/>
      <c r="BL142" s="451"/>
      <c r="BM142" s="451"/>
      <c r="BN142" s="451"/>
      <c r="BO142" s="477"/>
      <c r="BP142" s="451"/>
      <c r="BQ142" s="451"/>
      <c r="BR142" s="451"/>
      <c r="BS142" s="451"/>
      <c r="BT142" s="477"/>
      <c r="BU142" s="451"/>
      <c r="BV142" s="451"/>
      <c r="BW142" s="451"/>
      <c r="BX142" s="451"/>
      <c r="BY142" s="477"/>
      <c r="BZ142" s="451"/>
      <c r="CA142" s="451"/>
      <c r="CB142" s="451"/>
      <c r="CC142" s="451"/>
      <c r="CD142" s="477"/>
      <c r="CE142" s="451"/>
      <c r="CF142" s="451"/>
      <c r="CG142" s="451"/>
      <c r="CH142" s="451"/>
      <c r="CI142" s="477"/>
      <c r="CJ142" s="451"/>
      <c r="CK142" s="451"/>
      <c r="CL142" s="451"/>
      <c r="CM142" s="451"/>
      <c r="CN142" s="477"/>
      <c r="CO142" s="451"/>
      <c r="CP142" s="451"/>
      <c r="CQ142" s="452"/>
    </row>
    <row r="143" spans="1:95" ht="13.5" thickBot="1">
      <c r="A143" s="318"/>
      <c r="B143" s="393" t="s">
        <v>261</v>
      </c>
      <c r="C143" s="319"/>
      <c r="D143" s="319"/>
      <c r="E143" s="319"/>
      <c r="F143" s="393">
        <f>+F141+F132+D95</f>
        <v>857480.48495024815</v>
      </c>
      <c r="G143" s="393"/>
      <c r="H143" s="319"/>
      <c r="I143" s="319"/>
      <c r="J143" s="394"/>
      <c r="K143" s="394"/>
      <c r="L143" s="395"/>
      <c r="M143" s="394">
        <f>+M141+M132</f>
        <v>6461413.4067580057</v>
      </c>
      <c r="N143" s="394">
        <f>+N141+N132</f>
        <v>89741.852871638985</v>
      </c>
      <c r="O143" s="395">
        <f t="shared" si="77"/>
        <v>88.328595346101366</v>
      </c>
      <c r="P143" s="394">
        <f t="shared" ref="P143:U143" si="128">+P141+P132</f>
        <v>6261614.8210483799</v>
      </c>
      <c r="Q143" s="394">
        <f t="shared" si="128"/>
        <v>102649.42329587509</v>
      </c>
      <c r="R143" s="395">
        <f t="shared" si="128"/>
        <v>84.624421513499655</v>
      </c>
      <c r="S143" s="396">
        <f t="shared" si="128"/>
        <v>12723028.227806386</v>
      </c>
      <c r="T143" s="394">
        <f>+S143/S$8</f>
        <v>95661.866374484103</v>
      </c>
      <c r="U143" s="395">
        <f t="shared" si="128"/>
        <v>80.682285939362487</v>
      </c>
      <c r="V143" s="397">
        <f>+$S143/TotalCost</f>
        <v>1</v>
      </c>
      <c r="W143" s="397">
        <f>+$S143/TotalValue</f>
        <v>0.82084055624579699</v>
      </c>
      <c r="X143" s="441"/>
      <c r="Y143" s="442"/>
      <c r="Z143" s="355"/>
      <c r="AA143" s="355"/>
      <c r="AB143" s="508"/>
      <c r="AC143" s="471"/>
      <c r="AD143" s="355"/>
      <c r="AE143" s="314"/>
      <c r="AF143" s="478" t="s">
        <v>529</v>
      </c>
      <c r="AG143" s="479">
        <f t="shared" ref="AG143:CO143" si="129">+AG141+AG132</f>
        <v>541762.35455223883</v>
      </c>
      <c r="AH143" s="479">
        <f t="shared" si="129"/>
        <v>1015.8044147854479</v>
      </c>
      <c r="AI143" s="479">
        <f t="shared" si="129"/>
        <v>1017.7090480631706</v>
      </c>
      <c r="AJ143" s="479">
        <f t="shared" si="129"/>
        <v>1019.617252528289</v>
      </c>
      <c r="AK143" s="479">
        <f>+AK141+AK132</f>
        <v>574687.36026761576</v>
      </c>
      <c r="AL143" s="479">
        <f t="shared" si="129"/>
        <v>133571.80645538721</v>
      </c>
      <c r="AM143" s="479">
        <f t="shared" si="129"/>
        <v>18971.97617198063</v>
      </c>
      <c r="AN143" s="479">
        <f t="shared" si="129"/>
        <v>38961.35918619272</v>
      </c>
      <c r="AO143" s="479">
        <f t="shared" si="129"/>
        <v>42517.077738277214</v>
      </c>
      <c r="AP143" s="479">
        <f t="shared" si="129"/>
        <v>234022.21955183777</v>
      </c>
      <c r="AQ143" s="479">
        <f t="shared" si="129"/>
        <v>134010.59569653647</v>
      </c>
      <c r="AR143" s="479">
        <f t="shared" si="129"/>
        <v>105448.27962596749</v>
      </c>
      <c r="AS143" s="479">
        <f t="shared" si="129"/>
        <v>114738.69308415582</v>
      </c>
      <c r="AT143" s="479">
        <f t="shared" si="129"/>
        <v>135624.84663729899</v>
      </c>
      <c r="AU143" s="479">
        <f>+AU141+AU132</f>
        <v>489822.41504395887</v>
      </c>
      <c r="AV143" s="479">
        <f t="shared" si="129"/>
        <v>320349.49082818144</v>
      </c>
      <c r="AW143" s="479">
        <f t="shared" si="129"/>
        <v>123640.67795754677</v>
      </c>
      <c r="AX143" s="479">
        <f t="shared" si="129"/>
        <v>188639.53200010676</v>
      </c>
      <c r="AY143" s="479">
        <f t="shared" si="129"/>
        <v>291226.32651715493</v>
      </c>
      <c r="AZ143" s="479">
        <f t="shared" si="129"/>
        <v>923856.02730298997</v>
      </c>
      <c r="BA143" s="479">
        <f t="shared" si="129"/>
        <v>267820.09958843701</v>
      </c>
      <c r="BB143" s="479">
        <f t="shared" si="129"/>
        <v>223565.15698766531</v>
      </c>
      <c r="BC143" s="479">
        <f t="shared" si="129"/>
        <v>389520.71504434437</v>
      </c>
      <c r="BD143" s="479">
        <f t="shared" si="129"/>
        <v>175079.98978522536</v>
      </c>
      <c r="BE143" s="479">
        <f>+BE141+BE132</f>
        <v>1055985.9614056721</v>
      </c>
      <c r="BF143" s="479">
        <f t="shared" si="129"/>
        <v>454944.3329785727</v>
      </c>
      <c r="BG143" s="479">
        <f t="shared" si="129"/>
        <v>350275.08580634504</v>
      </c>
      <c r="BH143" s="479">
        <f t="shared" si="129"/>
        <v>237876.13861018405</v>
      </c>
      <c r="BI143" s="479">
        <f t="shared" si="129"/>
        <v>346318.51527368848</v>
      </c>
      <c r="BJ143" s="479">
        <f t="shared" si="129"/>
        <v>1389414.0726687899</v>
      </c>
      <c r="BK143" s="479">
        <f t="shared" si="129"/>
        <v>392726.1165682642</v>
      </c>
      <c r="BL143" s="479">
        <f t="shared" si="129"/>
        <v>260964.37949589215</v>
      </c>
      <c r="BM143" s="479">
        <f t="shared" si="129"/>
        <v>411883.11772883654</v>
      </c>
      <c r="BN143" s="479">
        <f t="shared" si="129"/>
        <v>368179.69209412608</v>
      </c>
      <c r="BO143" s="479">
        <f>+BO141+BO132</f>
        <v>1433753.3058871187</v>
      </c>
      <c r="BP143" s="479">
        <f t="shared" si="129"/>
        <v>262114.58047586502</v>
      </c>
      <c r="BQ143" s="479">
        <f t="shared" si="129"/>
        <v>342393.71477675723</v>
      </c>
      <c r="BR143" s="479">
        <f t="shared" si="129"/>
        <v>338439.25707040128</v>
      </c>
      <c r="BS143" s="479">
        <f t="shared" si="129"/>
        <v>203955.65557397067</v>
      </c>
      <c r="BT143" s="479">
        <f t="shared" si="129"/>
        <v>1146903.2078969942</v>
      </c>
      <c r="BU143" s="479">
        <f t="shared" si="129"/>
        <v>378350.96845317184</v>
      </c>
      <c r="BV143" s="479">
        <f t="shared" si="129"/>
        <v>266939.29153495905</v>
      </c>
      <c r="BW143" s="479">
        <f t="shared" si="129"/>
        <v>132190.76679064959</v>
      </c>
      <c r="BX143" s="479">
        <f t="shared" si="129"/>
        <v>227517.86487838201</v>
      </c>
      <c r="BY143" s="479">
        <f>+BY141+BY132</f>
        <v>1004998.8916571626</v>
      </c>
      <c r="BZ143" s="479">
        <f t="shared" si="129"/>
        <v>214028.742350029</v>
      </c>
      <c r="CA143" s="479">
        <f t="shared" si="129"/>
        <v>118291.14086693531</v>
      </c>
      <c r="CB143" s="479">
        <f t="shared" si="129"/>
        <v>174975.33900606082</v>
      </c>
      <c r="CC143" s="479">
        <f t="shared" si="129"/>
        <v>121262.30651669719</v>
      </c>
      <c r="CD143" s="479">
        <f t="shared" si="129"/>
        <v>628557.52873972233</v>
      </c>
      <c r="CE143" s="479">
        <f t="shared" si="129"/>
        <v>108855.29484141601</v>
      </c>
      <c r="CF143" s="479">
        <f t="shared" si="129"/>
        <v>135067.68889424368</v>
      </c>
      <c r="CG143" s="479">
        <f t="shared" si="129"/>
        <v>23455.722685920358</v>
      </c>
      <c r="CH143" s="479">
        <f t="shared" si="129"/>
        <v>52407.688415956458</v>
      </c>
      <c r="CI143" s="479">
        <f>+CI141+CI132</f>
        <v>319786.3948375365</v>
      </c>
      <c r="CJ143" s="479">
        <f t="shared" si="129"/>
        <v>65710.369706736368</v>
      </c>
      <c r="CK143" s="479">
        <f t="shared" si="129"/>
        <v>23721.173524936505</v>
      </c>
      <c r="CL143" s="479">
        <f t="shared" si="129"/>
        <v>173515.02572529577</v>
      </c>
      <c r="CM143" s="479">
        <f t="shared" si="129"/>
        <v>444627.73505774792</v>
      </c>
      <c r="CN143" s="479">
        <f t="shared" si="129"/>
        <v>707574.30401471653</v>
      </c>
      <c r="CO143" s="479">
        <f t="shared" si="129"/>
        <v>9909361.6892741136</v>
      </c>
      <c r="CP143" s="480">
        <f>S143</f>
        <v>12723028.227806386</v>
      </c>
      <c r="CQ143" s="481">
        <f t="shared" si="123"/>
        <v>0.77885244863459802</v>
      </c>
    </row>
    <row r="144" spans="1:95" ht="13.5" thickTop="1">
      <c r="A144" s="318"/>
      <c r="B144" s="319"/>
      <c r="C144" s="319"/>
      <c r="D144" s="319"/>
      <c r="E144" s="319"/>
      <c r="F144" s="319"/>
      <c r="G144" s="319"/>
      <c r="H144" s="319"/>
      <c r="I144" s="319"/>
      <c r="J144" s="319"/>
      <c r="K144" s="319"/>
      <c r="L144" s="319"/>
      <c r="M144" s="319"/>
      <c r="N144" s="319"/>
      <c r="O144" s="319"/>
      <c r="P144" s="319"/>
      <c r="Q144" s="319"/>
      <c r="R144" s="319"/>
      <c r="S144" s="333"/>
      <c r="T144" s="319"/>
      <c r="U144" s="319"/>
      <c r="V144" s="319"/>
      <c r="W144" s="319"/>
      <c r="X144" s="319"/>
      <c r="Y144" s="319"/>
      <c r="Z144" s="319"/>
      <c r="AA144" s="319"/>
      <c r="AD144" s="319"/>
      <c r="AE144" s="263"/>
      <c r="AF144" s="482" t="s">
        <v>530</v>
      </c>
      <c r="AG144" s="450">
        <f>+AG143</f>
        <v>541762.35455223883</v>
      </c>
      <c r="AH144" s="450">
        <f>+AH143+AG144</f>
        <v>542778.1589670243</v>
      </c>
      <c r="AI144" s="450">
        <f t="shared" ref="AI144:CM144" si="130">+AI143+AH144</f>
        <v>543795.86801508744</v>
      </c>
      <c r="AJ144" s="450">
        <f t="shared" si="130"/>
        <v>544815.48526761576</v>
      </c>
      <c r="AK144" s="450">
        <f>+AK143</f>
        <v>574687.36026761576</v>
      </c>
      <c r="AL144" s="450">
        <f>+AL143+AJ144</f>
        <v>678387.29172300291</v>
      </c>
      <c r="AM144" s="450">
        <f t="shared" si="130"/>
        <v>697359.26789498352</v>
      </c>
      <c r="AN144" s="450">
        <f t="shared" si="130"/>
        <v>736320.62708117627</v>
      </c>
      <c r="AO144" s="450">
        <f t="shared" si="130"/>
        <v>778837.70481945353</v>
      </c>
      <c r="AP144" s="450">
        <f>+AP143+AK144</f>
        <v>808709.57981945353</v>
      </c>
      <c r="AQ144" s="450">
        <f>+AQ143+AO144</f>
        <v>912848.30051599001</v>
      </c>
      <c r="AR144" s="450">
        <f t="shared" si="130"/>
        <v>1018296.5801419575</v>
      </c>
      <c r="AS144" s="450">
        <f t="shared" si="130"/>
        <v>1133035.2732261133</v>
      </c>
      <c r="AT144" s="450">
        <f t="shared" si="130"/>
        <v>1268660.1198634123</v>
      </c>
      <c r="AU144" s="450">
        <f>+AU143+AP144</f>
        <v>1298531.9948634123</v>
      </c>
      <c r="AV144" s="450">
        <f>+AV143+AT144</f>
        <v>1589009.6106915937</v>
      </c>
      <c r="AW144" s="450">
        <f t="shared" si="130"/>
        <v>1712650.2886491404</v>
      </c>
      <c r="AX144" s="450">
        <f t="shared" si="130"/>
        <v>1901289.8206492472</v>
      </c>
      <c r="AY144" s="450">
        <f t="shared" si="130"/>
        <v>2192516.1471664021</v>
      </c>
      <c r="AZ144" s="450">
        <f>+AZ143+AU144</f>
        <v>2222388.0221664021</v>
      </c>
      <c r="BA144" s="450">
        <f>+BA143+AY144</f>
        <v>2460336.2467548391</v>
      </c>
      <c r="BB144" s="450">
        <f t="shared" si="130"/>
        <v>2683901.4037425043</v>
      </c>
      <c r="BC144" s="450">
        <f t="shared" si="130"/>
        <v>3073422.1187868486</v>
      </c>
      <c r="BD144" s="450">
        <f t="shared" si="130"/>
        <v>3248502.1085720742</v>
      </c>
      <c r="BE144" s="450">
        <f>+BE143+AZ144</f>
        <v>3278373.9835720742</v>
      </c>
      <c r="BF144" s="450">
        <f>+BF143+BD144</f>
        <v>3703446.4415506469</v>
      </c>
      <c r="BG144" s="450">
        <f t="shared" si="130"/>
        <v>4053721.527356992</v>
      </c>
      <c r="BH144" s="450">
        <f t="shared" si="130"/>
        <v>4291597.6659671757</v>
      </c>
      <c r="BI144" s="450">
        <f t="shared" si="130"/>
        <v>4637916.1812408641</v>
      </c>
      <c r="BJ144" s="450">
        <f>+BJ143+BE144</f>
        <v>4667788.0562408641</v>
      </c>
      <c r="BK144" s="450">
        <f>+BK143+BI144</f>
        <v>5030642.2978091286</v>
      </c>
      <c r="BL144" s="450">
        <f t="shared" si="130"/>
        <v>5291606.6773050204</v>
      </c>
      <c r="BM144" s="450">
        <f t="shared" si="130"/>
        <v>5703489.7950338572</v>
      </c>
      <c r="BN144" s="450">
        <f t="shared" si="130"/>
        <v>6071669.487127983</v>
      </c>
      <c r="BO144" s="450">
        <f>+BO143+BJ144</f>
        <v>6101541.362127983</v>
      </c>
      <c r="BP144" s="450">
        <f>+BP143+BN144</f>
        <v>6333784.0676038479</v>
      </c>
      <c r="BQ144" s="450">
        <f t="shared" si="130"/>
        <v>6676177.7823806051</v>
      </c>
      <c r="BR144" s="450">
        <f t="shared" si="130"/>
        <v>7014617.0394510068</v>
      </c>
      <c r="BS144" s="450">
        <f t="shared" si="130"/>
        <v>7218572.6950249774</v>
      </c>
      <c r="BT144" s="450">
        <f>+BT143+BO144</f>
        <v>7248444.5700249774</v>
      </c>
      <c r="BU144" s="450">
        <f>+BU143+BS144</f>
        <v>7596923.6634781491</v>
      </c>
      <c r="BV144" s="450">
        <f t="shared" si="130"/>
        <v>7863862.9550131084</v>
      </c>
      <c r="BW144" s="450">
        <f t="shared" si="130"/>
        <v>7996053.7218037583</v>
      </c>
      <c r="BX144" s="450">
        <f t="shared" si="130"/>
        <v>8223571.5866821399</v>
      </c>
      <c r="BY144" s="450">
        <f>+BY143+BT144</f>
        <v>8253443.4616821399</v>
      </c>
      <c r="BZ144" s="450">
        <f>+BZ143+BX144</f>
        <v>8437600.3290321697</v>
      </c>
      <c r="CA144" s="450">
        <f t="shared" si="130"/>
        <v>8555891.4698991049</v>
      </c>
      <c r="CB144" s="450">
        <f t="shared" si="130"/>
        <v>8730866.8089051656</v>
      </c>
      <c r="CC144" s="450">
        <f t="shared" si="130"/>
        <v>8852129.1154218633</v>
      </c>
      <c r="CD144" s="450">
        <f>+CD143+BY144</f>
        <v>8882000.9904218614</v>
      </c>
      <c r="CE144" s="450">
        <f>+CE143+CC144</f>
        <v>8960984.4102632795</v>
      </c>
      <c r="CF144" s="450">
        <f t="shared" si="130"/>
        <v>9096052.0991575234</v>
      </c>
      <c r="CG144" s="450">
        <f t="shared" si="130"/>
        <v>9119507.8218434434</v>
      </c>
      <c r="CH144" s="450">
        <f t="shared" si="130"/>
        <v>9171915.5102593992</v>
      </c>
      <c r="CI144" s="450">
        <f>+CI143+CD144</f>
        <v>9201787.3852593973</v>
      </c>
      <c r="CJ144" s="450">
        <f>+CJ143+CH144</f>
        <v>9237625.8799661361</v>
      </c>
      <c r="CK144" s="450">
        <f t="shared" si="130"/>
        <v>9261347.0534910727</v>
      </c>
      <c r="CL144" s="450">
        <f t="shared" si="130"/>
        <v>9434862.0792163685</v>
      </c>
      <c r="CM144" s="450">
        <f t="shared" si="130"/>
        <v>9879489.8142741174</v>
      </c>
      <c r="CN144" s="450">
        <f>+CN143+CI144</f>
        <v>9909361.6892741136</v>
      </c>
      <c r="CO144" s="450"/>
      <c r="CP144" s="450"/>
      <c r="CQ144" s="450"/>
    </row>
    <row r="145" spans="1:95" ht="12.75">
      <c r="A145" s="318"/>
      <c r="B145" s="319"/>
      <c r="C145" s="319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33"/>
      <c r="T145" s="319"/>
      <c r="U145" s="319"/>
      <c r="V145" s="319"/>
      <c r="W145" s="319"/>
      <c r="X145" s="319"/>
      <c r="Y145" s="319"/>
      <c r="Z145" s="319"/>
      <c r="AA145" s="319"/>
      <c r="AB145" s="319"/>
      <c r="AC145" s="319"/>
      <c r="AD145" s="319"/>
      <c r="AE145" s="263"/>
      <c r="AF145" s="482" t="s">
        <v>267</v>
      </c>
      <c r="AG145" s="452">
        <f>AG144/TotalCost</f>
        <v>4.2581242834014023E-2</v>
      </c>
      <c r="AH145" s="452">
        <f t="shared" ref="AH145:CN145" si="131">AH144/TotalCost</f>
        <v>4.2661082664327804E-2</v>
      </c>
      <c r="AI145" s="452">
        <f t="shared" si="131"/>
        <v>4.2741072194323416E-2</v>
      </c>
      <c r="AJ145" s="452">
        <f t="shared" si="131"/>
        <v>4.2821211704687778E-2</v>
      </c>
      <c r="AK145" s="452">
        <f t="shared" si="131"/>
        <v>4.5169070600002852E-2</v>
      </c>
      <c r="AL145" s="452">
        <f t="shared" si="131"/>
        <v>5.3319640542836839E-2</v>
      </c>
      <c r="AM145" s="452">
        <f t="shared" si="131"/>
        <v>5.4810793107484698E-2</v>
      </c>
      <c r="AN145" s="452">
        <f t="shared" si="131"/>
        <v>5.7873064014110694E-2</v>
      </c>
      <c r="AO145" s="452">
        <f t="shared" si="131"/>
        <v>6.1214806009570195E-2</v>
      </c>
      <c r="AP145" s="452">
        <f t="shared" si="131"/>
        <v>6.3562664904885269E-2</v>
      </c>
      <c r="AQ145" s="452">
        <f t="shared" si="131"/>
        <v>7.1747722646794507E-2</v>
      </c>
      <c r="AR145" s="452">
        <f t="shared" si="131"/>
        <v>8.0035708630784436E-2</v>
      </c>
      <c r="AS145" s="452">
        <f t="shared" si="131"/>
        <v>8.9053899192791719E-2</v>
      </c>
      <c r="AT145" s="452">
        <f t="shared" si="131"/>
        <v>9.9713692145297211E-2</v>
      </c>
      <c r="AU145" s="452">
        <f t="shared" si="131"/>
        <v>0.10206155104061229</v>
      </c>
      <c r="AV145" s="452">
        <f t="shared" si="131"/>
        <v>0.12489240629198538</v>
      </c>
      <c r="AW145" s="452">
        <f t="shared" si="131"/>
        <v>0.13461027186170313</v>
      </c>
      <c r="AX145" s="452">
        <f t="shared" si="131"/>
        <v>0.14943689400090673</v>
      </c>
      <c r="AY145" s="452">
        <f t="shared" si="131"/>
        <v>0.17232659614592558</v>
      </c>
      <c r="AZ145" s="452">
        <f t="shared" si="131"/>
        <v>0.17467445504124063</v>
      </c>
      <c r="BA145" s="452">
        <f t="shared" si="131"/>
        <v>0.1933766240789857</v>
      </c>
      <c r="BB145" s="452">
        <f t="shared" si="131"/>
        <v>0.21094831793871163</v>
      </c>
      <c r="BC145" s="452">
        <f t="shared" si="131"/>
        <v>0.24156372710624302</v>
      </c>
      <c r="BD145" s="452">
        <f t="shared" si="131"/>
        <v>0.25532460121973322</v>
      </c>
      <c r="BE145" s="452">
        <f t="shared" si="131"/>
        <v>0.2576724601150483</v>
      </c>
      <c r="BF145" s="452">
        <f t="shared" si="131"/>
        <v>0.29108215239644791</v>
      </c>
      <c r="BG145" s="452">
        <f t="shared" si="131"/>
        <v>0.31861294770198795</v>
      </c>
      <c r="BH145" s="452">
        <f t="shared" si="131"/>
        <v>0.33730945095192189</v>
      </c>
      <c r="BI145" s="452">
        <f t="shared" si="131"/>
        <v>0.36452926914872535</v>
      </c>
      <c r="BJ145" s="452">
        <f t="shared" si="131"/>
        <v>0.36687712804404043</v>
      </c>
      <c r="BK145" s="452">
        <f t="shared" si="131"/>
        <v>0.39539661531321435</v>
      </c>
      <c r="BL145" s="452">
        <f t="shared" si="131"/>
        <v>0.41590779982238252</v>
      </c>
      <c r="BM145" s="452">
        <f t="shared" si="131"/>
        <v>0.44828084107907479</v>
      </c>
      <c r="BN145" s="452">
        <f t="shared" si="131"/>
        <v>0.47721889619471647</v>
      </c>
      <c r="BO145" s="452">
        <f t="shared" si="131"/>
        <v>0.47956675509003155</v>
      </c>
      <c r="BP145" s="452">
        <f t="shared" si="131"/>
        <v>0.49782048378712701</v>
      </c>
      <c r="BQ145" s="452">
        <f t="shared" si="131"/>
        <v>0.52473182192504375</v>
      </c>
      <c r="BR145" s="452">
        <f t="shared" si="131"/>
        <v>0.55133234901738615</v>
      </c>
      <c r="BS145" s="452">
        <f t="shared" si="131"/>
        <v>0.56736278233264226</v>
      </c>
      <c r="BT145" s="452">
        <f t="shared" si="131"/>
        <v>0.56971064122795734</v>
      </c>
      <c r="BU145" s="452">
        <f t="shared" si="131"/>
        <v>0.5971002757720012</v>
      </c>
      <c r="BV145" s="452">
        <f t="shared" si="131"/>
        <v>0.61808107427023606</v>
      </c>
      <c r="BW145" s="452">
        <f t="shared" si="131"/>
        <v>0.62847095664916097</v>
      </c>
      <c r="BX145" s="452">
        <f t="shared" si="131"/>
        <v>0.64635332402308043</v>
      </c>
      <c r="BY145" s="452">
        <f t="shared" si="131"/>
        <v>0.64870118291839551</v>
      </c>
      <c r="BZ145" s="452">
        <f t="shared" si="131"/>
        <v>0.66317547819249956</v>
      </c>
      <c r="CA145" s="452">
        <f t="shared" si="131"/>
        <v>0.67247288276858996</v>
      </c>
      <c r="CB145" s="452">
        <f t="shared" si="131"/>
        <v>0.68622553157775079</v>
      </c>
      <c r="CC145" s="452">
        <f t="shared" si="131"/>
        <v>0.69575646276374603</v>
      </c>
      <c r="CD145" s="452">
        <f t="shared" si="131"/>
        <v>0.698104321659061</v>
      </c>
      <c r="CE145" s="452">
        <f t="shared" si="131"/>
        <v>0.70431223210516047</v>
      </c>
      <c r="CF145" s="452">
        <f t="shared" si="131"/>
        <v>0.71492823377361947</v>
      </c>
      <c r="CG145" s="452">
        <f t="shared" si="131"/>
        <v>0.71677179823531401</v>
      </c>
      <c r="CH145" s="452">
        <f t="shared" si="131"/>
        <v>0.72089091889413781</v>
      </c>
      <c r="CI145" s="452">
        <f t="shared" si="131"/>
        <v>0.72323877778945278</v>
      </c>
      <c r="CJ145" s="452">
        <f t="shared" si="131"/>
        <v>0.72605559891607829</v>
      </c>
      <c r="CK145" s="452">
        <f t="shared" si="131"/>
        <v>0.727920027187415</v>
      </c>
      <c r="CL145" s="452">
        <f t="shared" si="131"/>
        <v>0.74155789881817002</v>
      </c>
      <c r="CM145" s="452">
        <f t="shared" si="131"/>
        <v>0.77650458973928327</v>
      </c>
      <c r="CN145" s="452">
        <f t="shared" si="131"/>
        <v>0.77885244863459802</v>
      </c>
      <c r="CO145" s="451"/>
      <c r="CP145" s="451"/>
      <c r="CQ145" s="451"/>
    </row>
    <row r="146" spans="1:95" ht="12.75">
      <c r="A146" s="318"/>
      <c r="B146" s="361" t="s">
        <v>402</v>
      </c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19"/>
      <c r="Y146" s="319"/>
      <c r="Z146" s="319"/>
      <c r="AA146" s="319"/>
      <c r="AB146" s="319"/>
      <c r="AC146" s="319"/>
      <c r="AD146" s="319"/>
      <c r="AE146" s="263"/>
      <c r="AF146" s="482" t="s">
        <v>4</v>
      </c>
      <c r="AG146" s="452">
        <f>AG144/15500000</f>
        <v>3.4952409971112181E-2</v>
      </c>
      <c r="AH146" s="452">
        <f>AH144/15500000</f>
        <v>3.5017945739808022E-2</v>
      </c>
      <c r="AI146" s="452">
        <f>AI144/15500000</f>
        <v>3.5083604388070157E-2</v>
      </c>
      <c r="AJ146" s="452">
        <f>AJ144/15500000</f>
        <v>3.5149386146297791E-2</v>
      </c>
      <c r="AK146" s="452">
        <f t="shared" ref="AK146:CI146" si="132">AK144/TotalValue</f>
        <v>3.7076605036412011E-2</v>
      </c>
      <c r="AL146" s="452">
        <f t="shared" si="132"/>
        <v>4.3766923402008141E-2</v>
      </c>
      <c r="AM146" s="452">
        <f t="shared" si="132"/>
        <v>4.4990921902621037E-2</v>
      </c>
      <c r="AN146" s="452">
        <f t="shared" si="132"/>
        <v>4.7504558056991233E-2</v>
      </c>
      <c r="AO146" s="452">
        <f t="shared" si="132"/>
        <v>5.0247595415374151E-2</v>
      </c>
      <c r="AP146" s="452">
        <f t="shared" si="132"/>
        <v>5.2174813216991217E-2</v>
      </c>
      <c r="AQ146" s="452">
        <f t="shared" si="132"/>
        <v>5.8893440566763967E-2</v>
      </c>
      <c r="AR146" s="452">
        <f t="shared" si="132"/>
        <v>6.5696555592019631E-2</v>
      </c>
      <c r="AS146" s="452">
        <f t="shared" si="132"/>
        <v>7.3099052149268276E-2</v>
      </c>
      <c r="AT146" s="452">
        <f t="shared" si="132"/>
        <v>8.1849042525867916E-2</v>
      </c>
      <c r="AU146" s="452">
        <f t="shared" si="132"/>
        <v>8.3776260327484989E-2</v>
      </c>
      <c r="AV146" s="452">
        <f t="shared" si="132"/>
        <v>0.10251675225158935</v>
      </c>
      <c r="AW146" s="452">
        <f t="shared" si="132"/>
        <v>0.11049357043135834</v>
      </c>
      <c r="AX146" s="452">
        <f t="shared" si="132"/>
        <v>0.12266386319534849</v>
      </c>
      <c r="AY146" s="452">
        <f t="shared" si="132"/>
        <v>0.14145265903636636</v>
      </c>
      <c r="AZ146" s="452">
        <f t="shared" si="132"/>
        <v>0.14337987683798342</v>
      </c>
      <c r="BA146" s="452">
        <f t="shared" si="132"/>
        <v>0.158731375673929</v>
      </c>
      <c r="BB146" s="452">
        <f t="shared" si="132"/>
        <v>0.17315493463592729</v>
      </c>
      <c r="BC146" s="452">
        <f t="shared" si="132"/>
        <v>0.19828530412669643</v>
      </c>
      <c r="BD146" s="452">
        <f t="shared" si="132"/>
        <v>0.2095807876884421</v>
      </c>
      <c r="BE146" s="452">
        <f t="shared" si="132"/>
        <v>0.21150800549005916</v>
      </c>
      <c r="BF146" s="452">
        <f t="shared" si="132"/>
        <v>0.23893203588632414</v>
      </c>
      <c r="BG146" s="452">
        <f t="shared" si="132"/>
        <v>0.26153042921881281</v>
      </c>
      <c r="BH146" s="452">
        <f t="shared" si="132"/>
        <v>0.27687727734633993</v>
      </c>
      <c r="BI146" s="452">
        <f t="shared" si="132"/>
        <v>0.29922040805591354</v>
      </c>
      <c r="BJ146" s="452">
        <f t="shared" si="132"/>
        <v>0.30114762585753063</v>
      </c>
      <c r="BK146" s="452">
        <f t="shared" si="132"/>
        <v>0.32455757765140425</v>
      </c>
      <c r="BL146" s="452">
        <f t="shared" si="132"/>
        <v>0.34139398975317004</v>
      </c>
      <c r="BM146" s="452">
        <f t="shared" si="132"/>
        <v>0.36796709494568147</v>
      </c>
      <c r="BN146" s="452">
        <f t="shared" si="132"/>
        <v>0.39172062420347631</v>
      </c>
      <c r="BO146" s="452">
        <f t="shared" si="132"/>
        <v>0.3936478420050934</v>
      </c>
      <c r="BP146" s="452">
        <f t="shared" si="132"/>
        <v>0.40863124282237706</v>
      </c>
      <c r="BQ146" s="452">
        <f t="shared" si="132"/>
        <v>0.43072116058882337</v>
      </c>
      <c r="BR146" s="452">
        <f t="shared" si="132"/>
        <v>0.45255595204373317</v>
      </c>
      <c r="BS146" s="452">
        <f t="shared" si="132"/>
        <v>0.46571438184308911</v>
      </c>
      <c r="BT146" s="452">
        <f t="shared" si="132"/>
        <v>0.46764159964470614</v>
      </c>
      <c r="BU146" s="452">
        <f t="shared" si="132"/>
        <v>0.49012412249920828</v>
      </c>
      <c r="BV146" s="452">
        <f t="shared" si="132"/>
        <v>0.50734601280898028</v>
      </c>
      <c r="BW146" s="452">
        <f t="shared" si="132"/>
        <v>0.51587444964022544</v>
      </c>
      <c r="BX146" s="452">
        <f t="shared" si="132"/>
        <v>0.53055302202242516</v>
      </c>
      <c r="BY146" s="452">
        <f t="shared" si="132"/>
        <v>0.53248023982404225</v>
      </c>
      <c r="BZ146" s="452">
        <f t="shared" si="132"/>
        <v>0.5443613284081037</v>
      </c>
      <c r="CA146" s="452">
        <f t="shared" si="132"/>
        <v>0.55199301515198407</v>
      </c>
      <c r="CB146" s="452">
        <f t="shared" si="132"/>
        <v>0.56328174705034872</v>
      </c>
      <c r="CC146" s="452">
        <f t="shared" si="132"/>
        <v>0.57110512190660145</v>
      </c>
      <c r="CD146" s="452">
        <f t="shared" si="132"/>
        <v>0.57303233970821832</v>
      </c>
      <c r="CE146" s="452">
        <f t="shared" si="132"/>
        <v>0.57812804437191878</v>
      </c>
      <c r="CF146" s="452">
        <f t="shared" si="132"/>
        <v>0.58684208908656299</v>
      </c>
      <c r="CG146" s="452">
        <f t="shared" si="132"/>
        <v>0.5883553615647753</v>
      </c>
      <c r="CH146" s="452">
        <f t="shared" si="132"/>
        <v>0.59173650285760782</v>
      </c>
      <c r="CI146" s="452">
        <f t="shared" si="132"/>
        <v>0.59366372065922479</v>
      </c>
      <c r="CJ146" s="452">
        <f>CJ144/15500000</f>
        <v>0.59597586322362173</v>
      </c>
      <c r="CK146" s="452">
        <f>CK144/15500000</f>
        <v>0.59750626151555308</v>
      </c>
      <c r="CL146" s="452">
        <f>CL144/15500000</f>
        <v>0.60870077930428179</v>
      </c>
      <c r="CM146" s="452">
        <f>CM144/15500000</f>
        <v>0.63738643963058816</v>
      </c>
      <c r="CN146" s="452">
        <f>CN144/TotalValue</f>
        <v>0.63931367717062448</v>
      </c>
      <c r="CO146" s="451"/>
      <c r="CP146" s="451"/>
      <c r="CQ146" s="451"/>
    </row>
    <row r="147" spans="1:95" ht="12.75" hidden="1">
      <c r="A147" s="318"/>
      <c r="B147" s="386" t="s">
        <v>312</v>
      </c>
      <c r="C147" s="319"/>
      <c r="D147" s="319"/>
      <c r="E147" s="319"/>
      <c r="F147" s="319"/>
      <c r="G147" s="319"/>
      <c r="H147" s="319"/>
      <c r="I147" s="319"/>
      <c r="J147" s="319"/>
      <c r="K147" s="319"/>
      <c r="L147" s="319"/>
      <c r="M147" s="319"/>
      <c r="N147" s="319"/>
      <c r="O147" s="319"/>
      <c r="P147" s="319"/>
      <c r="Q147" s="319"/>
      <c r="R147" s="319"/>
      <c r="S147" s="333"/>
      <c r="T147" s="319"/>
      <c r="U147" s="319"/>
      <c r="V147" s="319"/>
      <c r="W147" s="319"/>
      <c r="X147" s="319"/>
      <c r="Y147" s="319"/>
      <c r="Z147" s="319"/>
      <c r="AA147" s="319"/>
      <c r="AB147" s="319"/>
      <c r="AC147" s="319"/>
      <c r="AD147" s="319"/>
      <c r="AE147" s="263"/>
      <c r="AF147" s="450"/>
      <c r="AG147" s="450"/>
      <c r="AH147" s="450"/>
      <c r="AI147" s="450"/>
      <c r="AJ147" s="483"/>
      <c r="AK147" s="483"/>
      <c r="AL147" s="450"/>
      <c r="AM147" s="451"/>
      <c r="AN147" s="451"/>
      <c r="AO147" s="451"/>
      <c r="AP147" s="451"/>
      <c r="AQ147" s="451"/>
      <c r="AR147" s="451"/>
      <c r="AS147" s="451"/>
      <c r="AT147" s="451"/>
      <c r="AU147" s="451"/>
      <c r="AV147" s="451"/>
      <c r="AW147" s="451"/>
      <c r="AX147" s="451"/>
      <c r="AY147" s="451"/>
      <c r="AZ147" s="451"/>
      <c r="BA147" s="451"/>
      <c r="BB147" s="451"/>
      <c r="BC147" s="451"/>
      <c r="BD147" s="451"/>
      <c r="BE147" s="451"/>
      <c r="BF147" s="451"/>
      <c r="BG147" s="451"/>
      <c r="BH147" s="451"/>
      <c r="BI147" s="451"/>
      <c r="BJ147" s="451"/>
      <c r="BK147" s="451"/>
      <c r="BL147" s="451"/>
      <c r="BM147" s="451"/>
      <c r="BN147" s="451"/>
      <c r="BO147" s="451"/>
      <c r="BP147" s="451"/>
      <c r="BQ147" s="451"/>
      <c r="BR147" s="451"/>
      <c r="BS147" s="451"/>
      <c r="BT147" s="451"/>
      <c r="BU147" s="451"/>
      <c r="BV147" s="451"/>
      <c r="BW147" s="451"/>
      <c r="BX147" s="451"/>
      <c r="BY147" s="451"/>
      <c r="BZ147" s="451"/>
      <c r="CA147" s="451"/>
      <c r="CB147" s="451"/>
      <c r="CC147" s="451"/>
      <c r="CD147" s="451"/>
      <c r="CE147" s="451"/>
      <c r="CF147" s="451"/>
      <c r="CG147" s="451"/>
      <c r="CH147" s="451"/>
      <c r="CI147" s="451"/>
      <c r="CJ147" s="451"/>
      <c r="CK147" s="451"/>
      <c r="CL147" s="451"/>
      <c r="CM147" s="451"/>
      <c r="CN147" s="451"/>
      <c r="CO147" s="451"/>
      <c r="CP147" s="451"/>
      <c r="CQ147" s="451"/>
    </row>
    <row r="148" spans="1:95" ht="12.75" hidden="1">
      <c r="A148" s="318"/>
      <c r="B148" s="319" t="s">
        <v>253</v>
      </c>
      <c r="C148" s="319"/>
      <c r="D148" s="319"/>
      <c r="E148" s="319"/>
      <c r="F148" s="319"/>
      <c r="G148" s="319"/>
      <c r="H148" s="319"/>
      <c r="I148" s="319"/>
      <c r="J148" s="319" t="e">
        <f>J$8*K148</f>
        <v>#REF!</v>
      </c>
      <c r="K148" s="319" t="e">
        <f>+K$143-#REF!</f>
        <v>#REF!</v>
      </c>
      <c r="L148" s="322" t="e">
        <f>+K148/K$11</f>
        <v>#REF!</v>
      </c>
      <c r="M148" s="319" t="e">
        <f>N$8*N148</f>
        <v>#REF!</v>
      </c>
      <c r="N148" s="319" t="e">
        <f>+N$143-#REF!</f>
        <v>#REF!</v>
      </c>
      <c r="O148" s="322" t="e">
        <f>+N148/N$11</f>
        <v>#REF!</v>
      </c>
      <c r="P148" s="319" t="e">
        <f>Q$8*Q148</f>
        <v>#REF!</v>
      </c>
      <c r="Q148" s="319" t="e">
        <f>+Q$143-#REF!</f>
        <v>#REF!</v>
      </c>
      <c r="R148" s="322" t="e">
        <f t="shared" ref="R148:R155" si="133">+Q148/Q$11</f>
        <v>#REF!</v>
      </c>
      <c r="S148" s="333"/>
      <c r="T148" s="319" t="e">
        <f>+T$143-#REF!</f>
        <v>#REF!</v>
      </c>
      <c r="U148" s="322" t="e">
        <f>+T148/U$8</f>
        <v>#REF!</v>
      </c>
      <c r="V148" s="319"/>
      <c r="W148" s="319"/>
      <c r="X148" s="319"/>
      <c r="Y148" s="319"/>
      <c r="Z148" s="319"/>
      <c r="AA148" s="319"/>
      <c r="AB148" s="319"/>
      <c r="AC148" s="319"/>
      <c r="AD148" s="319"/>
      <c r="AE148" s="263"/>
      <c r="AF148" s="450"/>
      <c r="AG148" s="450"/>
      <c r="AH148" s="450"/>
      <c r="AI148" s="450"/>
      <c r="AJ148" s="483"/>
      <c r="AK148" s="483"/>
      <c r="AL148" s="450"/>
      <c r="AM148" s="451"/>
      <c r="AN148" s="451"/>
      <c r="AO148" s="451"/>
      <c r="AP148" s="451"/>
      <c r="AQ148" s="451"/>
      <c r="AR148" s="451"/>
      <c r="AS148" s="451"/>
      <c r="AT148" s="451"/>
      <c r="AU148" s="451"/>
      <c r="AV148" s="451"/>
      <c r="AW148" s="451"/>
      <c r="AX148" s="451"/>
      <c r="AY148" s="451"/>
      <c r="AZ148" s="451"/>
      <c r="BA148" s="451"/>
      <c r="BB148" s="451"/>
      <c r="BC148" s="451"/>
      <c r="BD148" s="451"/>
      <c r="BE148" s="451"/>
      <c r="BF148" s="451"/>
      <c r="BG148" s="451"/>
      <c r="BH148" s="451"/>
      <c r="BI148" s="451"/>
      <c r="BJ148" s="451"/>
      <c r="BK148" s="451"/>
      <c r="BL148" s="451"/>
      <c r="BM148" s="451"/>
      <c r="BN148" s="451"/>
      <c r="BO148" s="451"/>
      <c r="BP148" s="451"/>
      <c r="BQ148" s="451"/>
      <c r="BR148" s="451"/>
      <c r="BS148" s="451"/>
      <c r="BT148" s="451"/>
      <c r="BU148" s="451"/>
      <c r="BV148" s="451"/>
      <c r="BW148" s="451"/>
      <c r="BX148" s="451"/>
      <c r="BY148" s="451"/>
      <c r="BZ148" s="451"/>
      <c r="CA148" s="451"/>
      <c r="CB148" s="451"/>
      <c r="CC148" s="451"/>
      <c r="CD148" s="451"/>
      <c r="CE148" s="451"/>
      <c r="CF148" s="451"/>
      <c r="CG148" s="451"/>
      <c r="CH148" s="451"/>
      <c r="CI148" s="451"/>
      <c r="CJ148" s="451"/>
      <c r="CK148" s="451"/>
      <c r="CL148" s="451"/>
      <c r="CM148" s="451"/>
      <c r="CN148" s="451"/>
      <c r="CO148" s="451"/>
      <c r="CP148" s="451"/>
      <c r="CQ148" s="451"/>
    </row>
    <row r="149" spans="1:95" ht="12.75" hidden="1">
      <c r="A149" s="318"/>
      <c r="B149" s="319" t="s">
        <v>269</v>
      </c>
      <c r="C149" s="319"/>
      <c r="D149" s="319"/>
      <c r="E149" s="319"/>
      <c r="F149" s="319"/>
      <c r="G149" s="319"/>
      <c r="H149" s="319"/>
      <c r="I149" s="319"/>
      <c r="J149" s="319">
        <f>J$8*K149</f>
        <v>0</v>
      </c>
      <c r="K149" s="319">
        <f>-K$131</f>
        <v>0</v>
      </c>
      <c r="L149" s="385">
        <f>+K149/K$11</f>
        <v>0</v>
      </c>
      <c r="M149" s="319">
        <f>N$8*N149</f>
        <v>-703042.64287256973</v>
      </c>
      <c r="N149" s="319">
        <f>-N$131</f>
        <v>-9764.4811510079126</v>
      </c>
      <c r="O149" s="385">
        <f>+N149/N$11</f>
        <v>-9.610709794299126</v>
      </c>
      <c r="P149" s="319">
        <f>Q$8*Q149</f>
        <v>-698332.71489127446</v>
      </c>
      <c r="Q149" s="319">
        <f>-Q$131</f>
        <v>-11448.077293299581</v>
      </c>
      <c r="R149" s="385">
        <f t="shared" si="133"/>
        <v>-9.4378213464959444</v>
      </c>
      <c r="S149" s="333"/>
      <c r="T149" s="319">
        <f>-T$131</f>
        <v>-10536.656825292061</v>
      </c>
      <c r="U149" s="385">
        <f>+T149/U$8</f>
        <v>-7.1607304531530538E-2</v>
      </c>
      <c r="V149" s="319"/>
      <c r="W149" s="319"/>
      <c r="X149" s="319"/>
      <c r="Y149" s="319"/>
      <c r="Z149" s="319"/>
      <c r="AA149" s="319"/>
      <c r="AB149" s="319"/>
      <c r="AC149" s="319"/>
      <c r="AD149" s="319"/>
      <c r="AE149" s="263"/>
      <c r="AF149" s="450"/>
      <c r="AG149" s="450"/>
      <c r="AH149" s="450"/>
      <c r="AI149" s="450"/>
      <c r="AJ149" s="483"/>
      <c r="AK149" s="483"/>
      <c r="AL149" s="450"/>
      <c r="AM149" s="451"/>
      <c r="AN149" s="451"/>
      <c r="AO149" s="451"/>
      <c r="AP149" s="451"/>
      <c r="AQ149" s="451"/>
      <c r="AR149" s="451"/>
      <c r="AS149" s="451"/>
      <c r="AT149" s="451"/>
      <c r="AU149" s="451"/>
      <c r="AV149" s="451"/>
      <c r="AW149" s="451"/>
      <c r="AX149" s="451"/>
      <c r="AY149" s="451"/>
      <c r="AZ149" s="451"/>
      <c r="BA149" s="451"/>
      <c r="BB149" s="451"/>
      <c r="BC149" s="451"/>
      <c r="BD149" s="451"/>
      <c r="BE149" s="451"/>
      <c r="BF149" s="451"/>
      <c r="BG149" s="451"/>
      <c r="BH149" s="451"/>
      <c r="BI149" s="451"/>
      <c r="BJ149" s="451"/>
      <c r="BK149" s="451"/>
      <c r="BL149" s="451"/>
      <c r="BM149" s="451"/>
      <c r="BN149" s="451"/>
      <c r="BO149" s="451"/>
      <c r="BP149" s="451"/>
      <c r="BQ149" s="451"/>
      <c r="BR149" s="451"/>
      <c r="BS149" s="451"/>
      <c r="BT149" s="451"/>
      <c r="BU149" s="451"/>
      <c r="BV149" s="451"/>
      <c r="BW149" s="451"/>
      <c r="BX149" s="451"/>
      <c r="BY149" s="451"/>
      <c r="BZ149" s="451"/>
      <c r="CA149" s="451"/>
      <c r="CB149" s="451"/>
      <c r="CC149" s="451"/>
      <c r="CD149" s="451"/>
      <c r="CE149" s="451"/>
      <c r="CF149" s="451"/>
      <c r="CG149" s="451"/>
      <c r="CH149" s="451"/>
      <c r="CI149" s="451"/>
      <c r="CJ149" s="451"/>
      <c r="CK149" s="451"/>
      <c r="CL149" s="451"/>
      <c r="CM149" s="451"/>
      <c r="CN149" s="451"/>
      <c r="CO149" s="451"/>
      <c r="CP149" s="451"/>
      <c r="CQ149" s="451"/>
    </row>
    <row r="150" spans="1:95" ht="12.75" hidden="1">
      <c r="A150" s="318"/>
      <c r="B150" s="319" t="s">
        <v>301</v>
      </c>
      <c r="C150" s="319"/>
      <c r="D150" s="319"/>
      <c r="E150" s="319"/>
      <c r="F150" s="319"/>
      <c r="G150" s="319"/>
      <c r="H150" s="319"/>
      <c r="I150" s="319"/>
      <c r="J150" s="319" t="e">
        <f>J$8*K150</f>
        <v>#REF!</v>
      </c>
      <c r="K150" s="319" t="e">
        <f>N150</f>
        <v>#REF!</v>
      </c>
      <c r="L150" s="385" t="e">
        <f>+K150/K$11</f>
        <v>#REF!</v>
      </c>
      <c r="M150" s="319" t="e">
        <f>N$8*N150</f>
        <v>#REF!</v>
      </c>
      <c r="N150" s="319" t="e">
        <f>Q150</f>
        <v>#REF!</v>
      </c>
      <c r="O150" s="385" t="e">
        <f>+N150/N$11</f>
        <v>#REF!</v>
      </c>
      <c r="P150" s="319" t="e">
        <f>Q$8*Q150</f>
        <v>#REF!</v>
      </c>
      <c r="Q150" s="319" t="e">
        <f>#REF!</f>
        <v>#REF!</v>
      </c>
      <c r="R150" s="385" t="e">
        <f t="shared" si="133"/>
        <v>#REF!</v>
      </c>
      <c r="S150" s="333"/>
      <c r="T150" s="319">
        <f>S150/SM134Units</f>
        <v>0</v>
      </c>
      <c r="U150" s="385">
        <f>+T150/U$8</f>
        <v>0</v>
      </c>
      <c r="V150" s="319"/>
      <c r="W150" s="319"/>
      <c r="X150" s="319"/>
      <c r="Y150" s="319"/>
      <c r="Z150" s="319"/>
      <c r="AA150" s="319"/>
      <c r="AB150" s="319"/>
      <c r="AC150" s="319"/>
      <c r="AD150" s="319"/>
      <c r="AE150" s="263"/>
      <c r="AF150" s="450"/>
      <c r="AG150" s="450"/>
      <c r="AH150" s="450"/>
      <c r="AI150" s="450"/>
      <c r="AJ150" s="483"/>
      <c r="AK150" s="483"/>
      <c r="AL150" s="450"/>
      <c r="AM150" s="451"/>
      <c r="AN150" s="451"/>
      <c r="AO150" s="451"/>
      <c r="AP150" s="451"/>
      <c r="AQ150" s="451"/>
      <c r="AR150" s="451"/>
      <c r="AS150" s="451"/>
      <c r="AT150" s="451"/>
      <c r="AU150" s="451"/>
      <c r="AV150" s="451"/>
      <c r="AW150" s="451"/>
      <c r="AX150" s="451"/>
      <c r="AY150" s="451"/>
      <c r="AZ150" s="451"/>
      <c r="BA150" s="451"/>
      <c r="BB150" s="451"/>
      <c r="BC150" s="451"/>
      <c r="BD150" s="451"/>
      <c r="BE150" s="451"/>
      <c r="BF150" s="451"/>
      <c r="BG150" s="451"/>
      <c r="BH150" s="451"/>
      <c r="BI150" s="451"/>
      <c r="BJ150" s="451"/>
      <c r="BK150" s="451"/>
      <c r="BL150" s="451"/>
      <c r="BM150" s="451"/>
      <c r="BN150" s="451"/>
      <c r="BO150" s="451"/>
      <c r="BP150" s="451"/>
      <c r="BQ150" s="451"/>
      <c r="BR150" s="451"/>
      <c r="BS150" s="451"/>
      <c r="BT150" s="451"/>
      <c r="BU150" s="451"/>
      <c r="BV150" s="451"/>
      <c r="BW150" s="451"/>
      <c r="BX150" s="451"/>
      <c r="BY150" s="451"/>
      <c r="BZ150" s="451"/>
      <c r="CA150" s="451"/>
      <c r="CB150" s="451"/>
      <c r="CC150" s="451"/>
      <c r="CD150" s="451"/>
      <c r="CE150" s="451"/>
      <c r="CF150" s="451"/>
      <c r="CG150" s="451"/>
      <c r="CH150" s="451"/>
      <c r="CI150" s="451"/>
      <c r="CJ150" s="451"/>
      <c r="CK150" s="451"/>
      <c r="CL150" s="451"/>
      <c r="CM150" s="451"/>
      <c r="CN150" s="451"/>
      <c r="CO150" s="451"/>
      <c r="CP150" s="451"/>
      <c r="CQ150" s="451"/>
    </row>
    <row r="151" spans="1:95" ht="12.75" hidden="1">
      <c r="A151" s="318"/>
      <c r="B151" s="319" t="s">
        <v>299</v>
      </c>
      <c r="C151" s="319"/>
      <c r="D151" s="319"/>
      <c r="E151" s="319"/>
      <c r="F151" s="319"/>
      <c r="G151" s="319"/>
      <c r="H151" s="319"/>
      <c r="I151" s="319"/>
      <c r="J151" s="319" t="e">
        <f>J$8*K151</f>
        <v>#REF!</v>
      </c>
      <c r="K151" s="319" t="e">
        <f>+K149+K148+K150</f>
        <v>#REF!</v>
      </c>
      <c r="L151" s="322" t="e">
        <f>+K151/K$11</f>
        <v>#REF!</v>
      </c>
      <c r="M151" s="319" t="e">
        <f>N$8*N151</f>
        <v>#REF!</v>
      </c>
      <c r="N151" s="319" t="e">
        <f>+N149+N148+N150</f>
        <v>#REF!</v>
      </c>
      <c r="O151" s="322" t="e">
        <f>+N151/N$11</f>
        <v>#REF!</v>
      </c>
      <c r="P151" s="319" t="e">
        <f>Q$8*Q151</f>
        <v>#REF!</v>
      </c>
      <c r="Q151" s="319" t="e">
        <f>+Q149+Q148+Q150</f>
        <v>#REF!</v>
      </c>
      <c r="R151" s="322" t="e">
        <f t="shared" si="133"/>
        <v>#REF!</v>
      </c>
      <c r="S151" s="333"/>
      <c r="T151" s="319" t="e">
        <f>+T149+T148+T150</f>
        <v>#REF!</v>
      </c>
      <c r="U151" s="322" t="e">
        <f>+T151/U$8</f>
        <v>#REF!</v>
      </c>
      <c r="V151" s="319"/>
      <c r="W151" s="319"/>
      <c r="X151" s="319"/>
      <c r="Y151" s="319"/>
      <c r="Z151" s="319"/>
      <c r="AA151" s="319"/>
      <c r="AB151" s="319"/>
      <c r="AC151" s="319"/>
      <c r="AD151" s="319"/>
      <c r="AE151" s="263"/>
      <c r="AF151" s="450"/>
      <c r="AG151" s="450"/>
      <c r="AH151" s="450"/>
      <c r="AI151" s="450"/>
      <c r="AJ151" s="483"/>
      <c r="AK151" s="483"/>
      <c r="AL151" s="450"/>
      <c r="AM151" s="451"/>
      <c r="AN151" s="451"/>
      <c r="AO151" s="451"/>
      <c r="AP151" s="451"/>
      <c r="AQ151" s="451"/>
      <c r="AR151" s="451"/>
      <c r="AS151" s="451"/>
      <c r="AT151" s="451"/>
      <c r="AU151" s="451"/>
      <c r="AV151" s="451"/>
      <c r="AW151" s="451"/>
      <c r="AX151" s="451"/>
      <c r="AY151" s="451"/>
      <c r="AZ151" s="451"/>
      <c r="BA151" s="451"/>
      <c r="BB151" s="451"/>
      <c r="BC151" s="451"/>
      <c r="BD151" s="451"/>
      <c r="BE151" s="451"/>
      <c r="BF151" s="451"/>
      <c r="BG151" s="451"/>
      <c r="BH151" s="451"/>
      <c r="BI151" s="451"/>
      <c r="BJ151" s="451"/>
      <c r="BK151" s="451"/>
      <c r="BL151" s="451"/>
      <c r="BM151" s="451"/>
      <c r="BN151" s="451"/>
      <c r="BO151" s="451"/>
      <c r="BP151" s="451"/>
      <c r="BQ151" s="451"/>
      <c r="BR151" s="451"/>
      <c r="BS151" s="451"/>
      <c r="BT151" s="451"/>
      <c r="BU151" s="451"/>
      <c r="BV151" s="451"/>
      <c r="BW151" s="451"/>
      <c r="BX151" s="451"/>
      <c r="BY151" s="451"/>
      <c r="BZ151" s="451"/>
      <c r="CA151" s="451"/>
      <c r="CB151" s="451"/>
      <c r="CC151" s="451"/>
      <c r="CD151" s="451"/>
      <c r="CE151" s="451"/>
      <c r="CF151" s="451"/>
      <c r="CG151" s="451"/>
      <c r="CH151" s="451"/>
      <c r="CI151" s="451"/>
      <c r="CJ151" s="451"/>
      <c r="CK151" s="451"/>
      <c r="CL151" s="451"/>
      <c r="CM151" s="451"/>
      <c r="CN151" s="451"/>
      <c r="CO151" s="451"/>
      <c r="CP151" s="451"/>
      <c r="CQ151" s="451"/>
    </row>
    <row r="152" spans="1:95" ht="12.75">
      <c r="A152" s="318"/>
      <c r="B152" s="398" t="s">
        <v>465</v>
      </c>
      <c r="C152" s="345"/>
      <c r="D152" s="345"/>
      <c r="E152" s="345"/>
      <c r="F152" s="345"/>
      <c r="G152" s="345"/>
      <c r="H152" s="345"/>
      <c r="I152" s="345"/>
      <c r="J152" s="345"/>
      <c r="K152" s="345"/>
      <c r="L152" s="399"/>
      <c r="M152" s="345"/>
      <c r="N152" s="345"/>
      <c r="O152" s="399"/>
      <c r="P152" s="345"/>
      <c r="Q152" s="345"/>
      <c r="R152" s="399"/>
      <c r="S152" s="1"/>
      <c r="T152" s="345"/>
      <c r="U152" s="399"/>
      <c r="V152" s="345"/>
      <c r="W152" s="319"/>
      <c r="X152" s="319"/>
      <c r="Y152" s="319"/>
      <c r="Z152" s="319"/>
      <c r="AA152" s="319"/>
      <c r="AB152" s="319"/>
      <c r="AC152" s="319"/>
      <c r="AD152" s="319"/>
      <c r="AE152" s="263"/>
      <c r="AF152" s="450"/>
      <c r="AG152" s="450"/>
      <c r="AH152" s="450"/>
      <c r="AI152" s="450"/>
      <c r="AJ152" s="483"/>
      <c r="AK152" s="483"/>
      <c r="AL152" s="450"/>
      <c r="AM152" s="451"/>
      <c r="AN152" s="451"/>
      <c r="AO152" s="451"/>
      <c r="AP152" s="451"/>
      <c r="AQ152" s="451"/>
      <c r="AR152" s="451"/>
      <c r="AS152" s="451"/>
      <c r="AT152" s="451"/>
      <c r="AU152" s="451"/>
      <c r="AV152" s="451"/>
      <c r="AW152" s="451"/>
      <c r="AX152" s="451"/>
      <c r="AY152" s="451"/>
      <c r="AZ152" s="451"/>
      <c r="BA152" s="451"/>
      <c r="BB152" s="451"/>
      <c r="BC152" s="451"/>
      <c r="BD152" s="451"/>
      <c r="BE152" s="451"/>
      <c r="BF152" s="451"/>
      <c r="BG152" s="451"/>
      <c r="BH152" s="451"/>
      <c r="BI152" s="451"/>
      <c r="BJ152" s="451"/>
      <c r="BK152" s="451"/>
      <c r="BL152" s="451"/>
      <c r="BM152" s="451"/>
      <c r="BN152" s="451"/>
      <c r="BO152" s="451"/>
      <c r="BP152" s="451"/>
      <c r="BQ152" s="451"/>
      <c r="BR152" s="451"/>
      <c r="BS152" s="451"/>
      <c r="BT152" s="451"/>
      <c r="BU152" s="451"/>
      <c r="BV152" s="451"/>
      <c r="BW152" s="451"/>
      <c r="BX152" s="451"/>
      <c r="BY152" s="451"/>
      <c r="BZ152" s="451"/>
      <c r="CA152" s="451"/>
      <c r="CB152" s="451"/>
      <c r="CC152" s="451"/>
      <c r="CD152" s="451"/>
      <c r="CE152" s="451"/>
      <c r="CF152" s="451"/>
      <c r="CG152" s="451"/>
      <c r="CH152" s="451"/>
      <c r="CI152" s="451"/>
      <c r="CJ152" s="451"/>
      <c r="CK152" s="451"/>
      <c r="CL152" s="451"/>
      <c r="CM152" s="451"/>
      <c r="CN152" s="451"/>
      <c r="CO152" s="451"/>
      <c r="CP152" s="451"/>
      <c r="CQ152" s="451"/>
    </row>
    <row r="153" spans="1:95" ht="12.75">
      <c r="A153" s="318"/>
      <c r="B153" s="401"/>
      <c r="C153" s="345"/>
      <c r="D153" s="345"/>
      <c r="E153" s="345"/>
      <c r="F153" s="345"/>
      <c r="G153" s="345"/>
      <c r="H153" s="345"/>
      <c r="I153" s="345"/>
      <c r="J153" s="345"/>
      <c r="K153" s="345"/>
      <c r="L153" s="399"/>
      <c r="M153" s="345"/>
      <c r="N153" s="345"/>
      <c r="O153" s="399"/>
      <c r="P153" s="345"/>
      <c r="Q153" s="345"/>
      <c r="R153" s="399"/>
      <c r="S153" s="400"/>
      <c r="T153" s="345"/>
      <c r="U153" s="399"/>
      <c r="V153" s="345"/>
      <c r="W153" s="319"/>
      <c r="X153" s="319"/>
      <c r="Y153" s="319"/>
      <c r="Z153" s="319"/>
      <c r="AA153" s="319"/>
      <c r="AB153" s="319"/>
      <c r="AC153" s="319"/>
      <c r="AD153" s="319"/>
      <c r="AE153" s="263"/>
      <c r="AF153" s="484" t="s">
        <v>547</v>
      </c>
      <c r="AG153" s="451"/>
      <c r="AH153" s="451"/>
      <c r="AI153" s="451"/>
      <c r="AJ153" s="451"/>
      <c r="AK153" s="451"/>
      <c r="AL153" s="451"/>
      <c r="AM153" s="451"/>
      <c r="AN153" s="451"/>
      <c r="AO153" s="451"/>
      <c r="AP153" s="451"/>
      <c r="AQ153" s="451"/>
      <c r="AR153" s="451"/>
      <c r="AS153" s="451"/>
      <c r="AT153" s="451"/>
      <c r="AU153" s="451"/>
      <c r="AV153" s="451"/>
      <c r="AW153" s="451"/>
      <c r="AX153" s="451"/>
      <c r="AY153" s="451"/>
      <c r="AZ153" s="451"/>
      <c r="BA153" s="451"/>
      <c r="BB153" s="451"/>
      <c r="BC153" s="451"/>
      <c r="BD153" s="451"/>
      <c r="BE153" s="451"/>
      <c r="BF153" s="451"/>
      <c r="BG153" s="451"/>
      <c r="BH153" s="451"/>
      <c r="BI153" s="451"/>
      <c r="BJ153" s="451"/>
      <c r="BK153" s="451"/>
      <c r="BL153" s="451"/>
      <c r="BM153" s="451"/>
      <c r="BN153" s="451"/>
      <c r="BO153" s="451"/>
      <c r="BP153" s="451"/>
      <c r="BQ153" s="451"/>
      <c r="BR153" s="451"/>
      <c r="BS153" s="451"/>
      <c r="BT153" s="451"/>
      <c r="BU153" s="451"/>
      <c r="BV153" s="451"/>
      <c r="BW153" s="451"/>
      <c r="BX153" s="451"/>
      <c r="BY153" s="451"/>
      <c r="BZ153" s="451"/>
      <c r="CA153" s="451"/>
      <c r="CB153" s="451"/>
      <c r="CC153" s="451"/>
      <c r="CD153" s="451"/>
      <c r="CE153" s="451"/>
      <c r="CF153" s="451"/>
      <c r="CG153" s="451"/>
      <c r="CH153" s="451"/>
      <c r="CI153" s="451"/>
      <c r="CJ153" s="451"/>
      <c r="CK153" s="451"/>
      <c r="CL153" s="451"/>
      <c r="CM153" s="451"/>
      <c r="CN153" s="451"/>
      <c r="CO153" s="485"/>
      <c r="CP153" s="485"/>
      <c r="CQ153" s="485"/>
    </row>
    <row r="154" spans="1:95" ht="12.75">
      <c r="A154" s="318"/>
      <c r="B154" s="370" t="s">
        <v>471</v>
      </c>
      <c r="C154" s="370"/>
      <c r="D154" s="370"/>
      <c r="E154" s="370"/>
      <c r="F154" s="370"/>
      <c r="G154" s="370"/>
      <c r="H154" s="370"/>
      <c r="I154" s="370"/>
      <c r="J154" s="370"/>
      <c r="K154" s="370"/>
      <c r="L154" s="370"/>
      <c r="M154" s="402">
        <f>+M97</f>
        <v>607219.84962406033</v>
      </c>
      <c r="N154" s="402">
        <f>+M154/N$8</f>
        <v>8433.609022556393</v>
      </c>
      <c r="O154" s="403">
        <f t="shared" ref="O154:O171" si="134">+N154/N$11</f>
        <v>8.3007962820436934</v>
      </c>
      <c r="P154" s="402">
        <f>+P97</f>
        <v>514450.15037593996</v>
      </c>
      <c r="Q154" s="402">
        <f>+P154/Q$8</f>
        <v>8433.609022556393</v>
      </c>
      <c r="R154" s="403">
        <f t="shared" si="133"/>
        <v>6.9526867457183785</v>
      </c>
      <c r="S154" s="404">
        <f>+P154+M154</f>
        <v>1121670.0000000002</v>
      </c>
      <c r="T154" s="402">
        <f>+S154/S$8</f>
        <v>8433.609022556393</v>
      </c>
      <c r="U154" s="403">
        <f>+S154/U$8</f>
        <v>7.6228889870535879</v>
      </c>
      <c r="V154" s="405">
        <f>+S154/S$169</f>
        <v>8.8160615532438411E-2</v>
      </c>
      <c r="W154" s="327">
        <f t="shared" ref="W154:W169" si="135">+S154/TotalValue</f>
        <v>7.2365808692618605E-2</v>
      </c>
      <c r="X154" s="327"/>
      <c r="Y154" s="327"/>
      <c r="Z154" s="327"/>
      <c r="AA154" s="327"/>
      <c r="AB154" s="319"/>
      <c r="AC154" s="319"/>
      <c r="AD154" s="327"/>
      <c r="AE154" s="264"/>
      <c r="AF154" s="451"/>
      <c r="AG154" s="451"/>
      <c r="AH154" s="451"/>
      <c r="AI154" s="451"/>
      <c r="AJ154" s="451"/>
      <c r="AK154" s="451"/>
      <c r="AL154" s="451"/>
      <c r="AM154" s="451"/>
      <c r="AN154" s="451"/>
      <c r="AO154" s="451"/>
      <c r="AP154" s="451"/>
      <c r="AQ154" s="451"/>
      <c r="AR154" s="451"/>
      <c r="AS154" s="451"/>
      <c r="AT154" s="451"/>
      <c r="AU154" s="451"/>
      <c r="AV154" s="451"/>
      <c r="AW154" s="451"/>
      <c r="AX154" s="451"/>
      <c r="AY154" s="451"/>
      <c r="AZ154" s="451"/>
      <c r="BA154" s="451"/>
      <c r="BB154" s="451"/>
      <c r="BC154" s="451"/>
      <c r="BD154" s="451"/>
      <c r="BE154" s="451"/>
      <c r="BF154" s="451"/>
      <c r="BG154" s="451"/>
      <c r="BH154" s="451"/>
      <c r="BI154" s="451"/>
      <c r="BJ154" s="451"/>
      <c r="BK154" s="451"/>
      <c r="BL154" s="451"/>
      <c r="BM154" s="451"/>
      <c r="BN154" s="451"/>
      <c r="BO154" s="451"/>
      <c r="BP154" s="451"/>
      <c r="BQ154" s="451"/>
      <c r="BR154" s="451"/>
      <c r="BS154" s="451"/>
      <c r="BT154" s="451"/>
      <c r="BU154" s="451"/>
      <c r="BV154" s="451"/>
      <c r="BW154" s="451"/>
      <c r="BX154" s="451"/>
      <c r="BY154" s="451"/>
      <c r="BZ154" s="451"/>
      <c r="CA154" s="451"/>
      <c r="CB154" s="451"/>
      <c r="CC154" s="451"/>
      <c r="CD154" s="451"/>
      <c r="CE154" s="451"/>
      <c r="CF154" s="451"/>
      <c r="CG154" s="451"/>
      <c r="CH154" s="451"/>
      <c r="CI154" s="451"/>
      <c r="CJ154" s="451"/>
      <c r="CK154" s="451"/>
      <c r="CL154" s="451"/>
      <c r="CM154" s="451"/>
      <c r="CN154" s="451"/>
      <c r="CO154" s="451"/>
      <c r="CP154" s="451"/>
      <c r="CQ154" s="451"/>
    </row>
    <row r="155" spans="1:95" ht="12.75">
      <c r="A155" s="318"/>
      <c r="B155" s="370" t="s">
        <v>466</v>
      </c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70">
        <f>+M115</f>
        <v>339444.76355066762</v>
      </c>
      <c r="N155" s="370">
        <f>+M155/N$8</f>
        <v>4714.5106048703838</v>
      </c>
      <c r="O155" s="376">
        <f t="shared" si="134"/>
        <v>4.6402663433763616</v>
      </c>
      <c r="P155" s="370">
        <f>+P115</f>
        <v>287585.14689709351</v>
      </c>
      <c r="Q155" s="370">
        <f>+P155/Q$8</f>
        <v>4714.5106048703856</v>
      </c>
      <c r="R155" s="376">
        <f t="shared" si="133"/>
        <v>3.8866534252847367</v>
      </c>
      <c r="S155" s="406">
        <f>+P155+M155</f>
        <v>627029.91044776118</v>
      </c>
      <c r="T155" s="370">
        <f t="shared" ref="T155:T171" si="136">+S155/S$8</f>
        <v>4714.5106048703847</v>
      </c>
      <c r="U155" s="376">
        <f>+S155/U$8</f>
        <v>4.2613062655731504</v>
      </c>
      <c r="V155" s="405">
        <f>+S155/S$169</f>
        <v>4.9283071547179078E-2</v>
      </c>
      <c r="W155" s="327">
        <f t="shared" si="135"/>
        <v>4.0453543862287888E-2</v>
      </c>
      <c r="X155" s="327"/>
      <c r="Y155" s="327"/>
      <c r="Z155" s="327"/>
      <c r="AA155" s="327"/>
      <c r="AB155" s="327"/>
      <c r="AC155" s="327"/>
      <c r="AD155" s="327"/>
      <c r="AE155" s="264"/>
      <c r="AF155" s="463" t="s">
        <v>539</v>
      </c>
      <c r="AG155" s="450"/>
      <c r="AH155" s="450"/>
      <c r="AI155" s="450"/>
      <c r="AJ155" s="483"/>
      <c r="AK155" s="483"/>
      <c r="AL155" s="450"/>
      <c r="AM155" s="451"/>
      <c r="AN155" s="451"/>
      <c r="AO155" s="451"/>
      <c r="AP155" s="451"/>
      <c r="AQ155" s="451"/>
      <c r="AR155" s="451"/>
      <c r="AS155" s="451"/>
      <c r="AT155" s="451"/>
      <c r="AU155" s="451"/>
      <c r="AV155" s="451"/>
      <c r="AW155" s="451"/>
      <c r="AX155" s="451"/>
      <c r="AY155" s="451"/>
      <c r="AZ155" s="451"/>
      <c r="BA155" s="451"/>
      <c r="BB155" s="451"/>
      <c r="BC155" s="451"/>
      <c r="BD155" s="451"/>
      <c r="BE155" s="451"/>
      <c r="BF155" s="451"/>
      <c r="BG155" s="451"/>
      <c r="BH155" s="451"/>
      <c r="BI155" s="451"/>
      <c r="BJ155" s="451"/>
      <c r="BK155" s="451"/>
      <c r="BL155" s="451"/>
      <c r="BM155" s="451"/>
      <c r="BN155" s="451"/>
      <c r="BO155" s="451"/>
      <c r="BP155" s="451"/>
      <c r="BQ155" s="451"/>
      <c r="BR155" s="451"/>
      <c r="BS155" s="451"/>
      <c r="BT155" s="451"/>
      <c r="BU155" s="451"/>
      <c r="BV155" s="451"/>
      <c r="BW155" s="451"/>
      <c r="BX155" s="451"/>
      <c r="BY155" s="451"/>
      <c r="BZ155" s="451"/>
      <c r="CA155" s="451"/>
      <c r="CB155" s="451"/>
      <c r="CC155" s="451"/>
      <c r="CD155" s="451"/>
      <c r="CE155" s="451"/>
      <c r="CF155" s="451"/>
      <c r="CG155" s="451"/>
      <c r="CH155" s="451"/>
      <c r="CI155" s="451"/>
      <c r="CJ155" s="451"/>
      <c r="CK155" s="451"/>
      <c r="CL155" s="451"/>
      <c r="CM155" s="451"/>
      <c r="CN155" s="451"/>
      <c r="CO155" s="451"/>
      <c r="CP155" s="451"/>
      <c r="CQ155" s="451"/>
    </row>
    <row r="156" spans="1:95" ht="12.75">
      <c r="A156" s="318"/>
      <c r="B156" s="370"/>
      <c r="C156" s="370"/>
      <c r="D156" s="370"/>
      <c r="E156" s="370"/>
      <c r="F156" s="370"/>
      <c r="G156" s="370"/>
      <c r="H156" s="370"/>
      <c r="I156" s="370"/>
      <c r="J156" s="370"/>
      <c r="K156" s="370"/>
      <c r="L156" s="370"/>
      <c r="M156" s="370"/>
      <c r="N156" s="370"/>
      <c r="O156" s="376"/>
      <c r="P156" s="370"/>
      <c r="Q156" s="370"/>
      <c r="R156" s="407"/>
      <c r="S156" s="406"/>
      <c r="T156" s="370"/>
      <c r="U156" s="376"/>
      <c r="V156" s="405"/>
      <c r="W156" s="327"/>
      <c r="X156" s="327"/>
      <c r="Y156" s="327"/>
      <c r="Z156" s="327"/>
      <c r="AA156" s="327"/>
      <c r="AB156" s="327"/>
      <c r="AC156" s="327"/>
      <c r="AD156" s="327"/>
      <c r="AE156" s="264"/>
      <c r="AF156" s="450" t="s">
        <v>534</v>
      </c>
      <c r="AG156" s="450"/>
      <c r="AH156" s="450"/>
      <c r="AI156" s="450"/>
      <c r="AJ156" s="483"/>
      <c r="AK156" s="486">
        <f>+AK97</f>
        <v>0</v>
      </c>
      <c r="AL156" s="486"/>
      <c r="AM156" s="486"/>
      <c r="AN156" s="486"/>
      <c r="AO156" s="486"/>
      <c r="AP156" s="486">
        <f t="shared" ref="AP156:CN156" si="137">+AP97</f>
        <v>0</v>
      </c>
      <c r="AQ156" s="486">
        <f t="shared" si="137"/>
        <v>0</v>
      </c>
      <c r="AR156" s="486">
        <f t="shared" si="137"/>
        <v>0</v>
      </c>
      <c r="AS156" s="486">
        <f t="shared" si="137"/>
        <v>0</v>
      </c>
      <c r="AT156" s="486">
        <f t="shared" si="137"/>
        <v>0</v>
      </c>
      <c r="AU156" s="486">
        <f t="shared" si="137"/>
        <v>0</v>
      </c>
      <c r="AV156" s="486">
        <f t="shared" si="137"/>
        <v>0</v>
      </c>
      <c r="AW156" s="486">
        <f t="shared" si="137"/>
        <v>0</v>
      </c>
      <c r="AX156" s="486">
        <f t="shared" si="137"/>
        <v>0</v>
      </c>
      <c r="AY156" s="486">
        <f t="shared" si="137"/>
        <v>0</v>
      </c>
      <c r="AZ156" s="486">
        <f t="shared" si="137"/>
        <v>0</v>
      </c>
      <c r="BA156" s="486">
        <f t="shared" si="137"/>
        <v>0</v>
      </c>
      <c r="BB156" s="486">
        <f t="shared" si="137"/>
        <v>0</v>
      </c>
      <c r="BC156" s="486">
        <f t="shared" si="137"/>
        <v>0</v>
      </c>
      <c r="BD156" s="486">
        <f t="shared" si="137"/>
        <v>0</v>
      </c>
      <c r="BE156" s="486">
        <f t="shared" si="137"/>
        <v>0</v>
      </c>
      <c r="BF156" s="486">
        <f t="shared" si="137"/>
        <v>0</v>
      </c>
      <c r="BG156" s="486">
        <f t="shared" si="137"/>
        <v>0</v>
      </c>
      <c r="BH156" s="486">
        <f t="shared" si="137"/>
        <v>0</v>
      </c>
      <c r="BI156" s="486">
        <f t="shared" si="137"/>
        <v>0</v>
      </c>
      <c r="BJ156" s="486">
        <f t="shared" si="137"/>
        <v>0</v>
      </c>
      <c r="BK156" s="486">
        <f t="shared" si="137"/>
        <v>0</v>
      </c>
      <c r="BL156" s="486">
        <f t="shared" si="137"/>
        <v>0</v>
      </c>
      <c r="BM156" s="486">
        <f t="shared" si="137"/>
        <v>0</v>
      </c>
      <c r="BN156" s="486">
        <f t="shared" si="137"/>
        <v>0</v>
      </c>
      <c r="BO156" s="486">
        <f t="shared" si="137"/>
        <v>0</v>
      </c>
      <c r="BP156" s="486">
        <f t="shared" si="137"/>
        <v>0</v>
      </c>
      <c r="BQ156" s="486">
        <f t="shared" si="137"/>
        <v>0</v>
      </c>
      <c r="BR156" s="486">
        <f t="shared" si="137"/>
        <v>0</v>
      </c>
      <c r="BS156" s="486">
        <f t="shared" si="137"/>
        <v>0</v>
      </c>
      <c r="BT156" s="486">
        <f t="shared" si="137"/>
        <v>0</v>
      </c>
      <c r="BU156" s="486">
        <f t="shared" si="137"/>
        <v>0</v>
      </c>
      <c r="BV156" s="486">
        <f t="shared" si="137"/>
        <v>0</v>
      </c>
      <c r="BW156" s="486">
        <f t="shared" si="137"/>
        <v>0</v>
      </c>
      <c r="BX156" s="486">
        <f t="shared" si="137"/>
        <v>0</v>
      </c>
      <c r="BY156" s="486">
        <f t="shared" si="137"/>
        <v>0</v>
      </c>
      <c r="BZ156" s="486">
        <f t="shared" si="137"/>
        <v>0</v>
      </c>
      <c r="CA156" s="486">
        <f t="shared" si="137"/>
        <v>0</v>
      </c>
      <c r="CB156" s="486">
        <f t="shared" si="137"/>
        <v>0</v>
      </c>
      <c r="CC156" s="486">
        <f t="shared" si="137"/>
        <v>0</v>
      </c>
      <c r="CD156" s="486">
        <f t="shared" si="137"/>
        <v>0</v>
      </c>
      <c r="CE156" s="486">
        <f t="shared" si="137"/>
        <v>0</v>
      </c>
      <c r="CF156" s="486">
        <f t="shared" si="137"/>
        <v>0</v>
      </c>
      <c r="CG156" s="486">
        <f t="shared" si="137"/>
        <v>0</v>
      </c>
      <c r="CH156" s="486">
        <f t="shared" si="137"/>
        <v>0</v>
      </c>
      <c r="CI156" s="486">
        <f t="shared" si="137"/>
        <v>0</v>
      </c>
      <c r="CJ156" s="486">
        <f t="shared" si="137"/>
        <v>0</v>
      </c>
      <c r="CK156" s="486">
        <f t="shared" si="137"/>
        <v>0</v>
      </c>
      <c r="CL156" s="486">
        <f t="shared" si="137"/>
        <v>0</v>
      </c>
      <c r="CM156" s="486">
        <f t="shared" si="137"/>
        <v>0</v>
      </c>
      <c r="CN156" s="486">
        <f t="shared" si="137"/>
        <v>0</v>
      </c>
      <c r="CO156" s="486">
        <f>+CO97</f>
        <v>0</v>
      </c>
      <c r="CP156" s="451">
        <f>+$S97</f>
        <v>1121670.0000000002</v>
      </c>
      <c r="CQ156" s="452">
        <f>+CO156/CP156</f>
        <v>0</v>
      </c>
    </row>
    <row r="157" spans="1:95" ht="12.75">
      <c r="A157" s="318"/>
      <c r="B157" s="408" t="s">
        <v>397</v>
      </c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409">
        <f>+M155+M154</f>
        <v>946664.61317472789</v>
      </c>
      <c r="N157" s="409">
        <f>+M157/N$8</f>
        <v>13148.119627426777</v>
      </c>
      <c r="O157" s="407">
        <f t="shared" si="134"/>
        <v>12.941062625420056</v>
      </c>
      <c r="P157" s="409">
        <f>+P155+P154</f>
        <v>802035.29727303353</v>
      </c>
      <c r="Q157" s="409">
        <f>+P157/Q$8</f>
        <v>13148.119627426779</v>
      </c>
      <c r="R157" s="407">
        <f>+Q157/Q$11</f>
        <v>10.839340171003116</v>
      </c>
      <c r="S157" s="404">
        <f>+P157+M157</f>
        <v>1748699.9104477614</v>
      </c>
      <c r="T157" s="409">
        <f t="shared" si="136"/>
        <v>13148.119627426777</v>
      </c>
      <c r="U157" s="407">
        <f>+S157/U$8</f>
        <v>11.884195252626739</v>
      </c>
      <c r="V157" s="410">
        <f>+S157/S$169</f>
        <v>0.13744368707961749</v>
      </c>
      <c r="W157" s="356">
        <f t="shared" si="135"/>
        <v>0.11281935255490649</v>
      </c>
      <c r="X157" s="356"/>
      <c r="Y157" s="356"/>
      <c r="Z157" s="356"/>
      <c r="AA157" s="356"/>
      <c r="AB157" s="327"/>
      <c r="AC157" s="327"/>
      <c r="AD157" s="356"/>
      <c r="AE157" s="313"/>
      <c r="AF157" s="450" t="s">
        <v>466</v>
      </c>
      <c r="AG157" s="450"/>
      <c r="AH157" s="450"/>
      <c r="AI157" s="450"/>
      <c r="AJ157" s="483"/>
      <c r="AK157" s="462">
        <f>+AK115</f>
        <v>135769.91044776121</v>
      </c>
      <c r="AL157" s="450"/>
      <c r="AM157" s="451"/>
      <c r="AN157" s="451"/>
      <c r="AO157" s="451"/>
      <c r="AP157" s="462">
        <f t="shared" ref="AP157:CN157" si="138">+AP115</f>
        <v>98252.002420510427</v>
      </c>
      <c r="AQ157" s="462">
        <f t="shared" si="138"/>
        <v>98252</v>
      </c>
      <c r="AR157" s="462">
        <f t="shared" si="138"/>
        <v>0</v>
      </c>
      <c r="AS157" s="462">
        <f t="shared" si="138"/>
        <v>0</v>
      </c>
      <c r="AT157" s="462">
        <f t="shared" si="138"/>
        <v>0</v>
      </c>
      <c r="AU157" s="462">
        <f t="shared" si="138"/>
        <v>98252</v>
      </c>
      <c r="AV157" s="462">
        <f t="shared" si="138"/>
        <v>98252</v>
      </c>
      <c r="AW157" s="462">
        <f t="shared" si="138"/>
        <v>0</v>
      </c>
      <c r="AX157" s="462">
        <f t="shared" si="138"/>
        <v>0</v>
      </c>
      <c r="AY157" s="462">
        <f t="shared" si="138"/>
        <v>0</v>
      </c>
      <c r="AZ157" s="462">
        <f t="shared" si="138"/>
        <v>98252</v>
      </c>
      <c r="BA157" s="462">
        <f t="shared" si="138"/>
        <v>98252</v>
      </c>
      <c r="BB157" s="462">
        <f t="shared" si="138"/>
        <v>0</v>
      </c>
      <c r="BC157" s="462">
        <f t="shared" si="138"/>
        <v>0</v>
      </c>
      <c r="BD157" s="462">
        <f t="shared" si="138"/>
        <v>0</v>
      </c>
      <c r="BE157" s="462">
        <f t="shared" si="138"/>
        <v>98252</v>
      </c>
      <c r="BF157" s="462">
        <f t="shared" si="138"/>
        <v>98252</v>
      </c>
      <c r="BG157" s="462">
        <f t="shared" si="138"/>
        <v>0</v>
      </c>
      <c r="BH157" s="462">
        <f t="shared" si="138"/>
        <v>0</v>
      </c>
      <c r="BI157" s="462">
        <f t="shared" si="138"/>
        <v>0</v>
      </c>
      <c r="BJ157" s="462">
        <f t="shared" si="138"/>
        <v>98252</v>
      </c>
      <c r="BK157" s="462">
        <f t="shared" si="138"/>
        <v>0</v>
      </c>
      <c r="BL157" s="462">
        <f t="shared" si="138"/>
        <v>0</v>
      </c>
      <c r="BM157" s="462">
        <f t="shared" si="138"/>
        <v>0</v>
      </c>
      <c r="BN157" s="462">
        <f t="shared" si="138"/>
        <v>0</v>
      </c>
      <c r="BO157" s="462">
        <f t="shared" si="138"/>
        <v>0</v>
      </c>
      <c r="BP157" s="462">
        <f t="shared" si="138"/>
        <v>0</v>
      </c>
      <c r="BQ157" s="462">
        <f t="shared" si="138"/>
        <v>0</v>
      </c>
      <c r="BR157" s="462">
        <f t="shared" si="138"/>
        <v>0</v>
      </c>
      <c r="BS157" s="462">
        <f t="shared" si="138"/>
        <v>0</v>
      </c>
      <c r="BT157" s="462">
        <f t="shared" si="138"/>
        <v>0</v>
      </c>
      <c r="BU157" s="462">
        <f t="shared" si="138"/>
        <v>0</v>
      </c>
      <c r="BV157" s="462">
        <f t="shared" si="138"/>
        <v>0</v>
      </c>
      <c r="BW157" s="462">
        <f t="shared" si="138"/>
        <v>0</v>
      </c>
      <c r="BX157" s="462">
        <f t="shared" si="138"/>
        <v>0</v>
      </c>
      <c r="BY157" s="462">
        <f t="shared" si="138"/>
        <v>0</v>
      </c>
      <c r="BZ157" s="462">
        <f t="shared" si="138"/>
        <v>0</v>
      </c>
      <c r="CA157" s="462">
        <f t="shared" si="138"/>
        <v>0</v>
      </c>
      <c r="CB157" s="462">
        <f t="shared" si="138"/>
        <v>0</v>
      </c>
      <c r="CC157" s="462">
        <f t="shared" si="138"/>
        <v>0</v>
      </c>
      <c r="CD157" s="462">
        <f t="shared" si="138"/>
        <v>0</v>
      </c>
      <c r="CE157" s="462">
        <f t="shared" si="138"/>
        <v>0</v>
      </c>
      <c r="CF157" s="462">
        <f t="shared" si="138"/>
        <v>0</v>
      </c>
      <c r="CG157" s="462">
        <f t="shared" si="138"/>
        <v>0</v>
      </c>
      <c r="CH157" s="462">
        <f t="shared" si="138"/>
        <v>0</v>
      </c>
      <c r="CI157" s="462">
        <f t="shared" si="138"/>
        <v>0</v>
      </c>
      <c r="CJ157" s="462">
        <f t="shared" si="138"/>
        <v>0</v>
      </c>
      <c r="CK157" s="462">
        <f t="shared" si="138"/>
        <v>0</v>
      </c>
      <c r="CL157" s="462">
        <f t="shared" si="138"/>
        <v>0</v>
      </c>
      <c r="CM157" s="462">
        <f t="shared" si="138"/>
        <v>0</v>
      </c>
      <c r="CN157" s="462">
        <f t="shared" si="138"/>
        <v>0</v>
      </c>
      <c r="CO157" s="462">
        <f>+CO115</f>
        <v>627029.91286827158</v>
      </c>
      <c r="CP157" s="451">
        <f>+$S115</f>
        <v>627029.91044776118</v>
      </c>
      <c r="CQ157" s="452">
        <f>+CO157/CP157</f>
        <v>1.000000003860279</v>
      </c>
    </row>
    <row r="158" spans="1:95" ht="12.75">
      <c r="A158" s="318"/>
      <c r="B158" s="408"/>
      <c r="C158" s="370"/>
      <c r="D158" s="370"/>
      <c r="E158" s="370"/>
      <c r="F158" s="370"/>
      <c r="G158" s="370"/>
      <c r="H158" s="370"/>
      <c r="I158" s="370"/>
      <c r="J158" s="370"/>
      <c r="K158" s="370"/>
      <c r="L158" s="370"/>
      <c r="M158" s="409"/>
      <c r="N158" s="409"/>
      <c r="O158" s="407"/>
      <c r="P158" s="409"/>
      <c r="Q158" s="409"/>
      <c r="R158" s="407"/>
      <c r="S158" s="404"/>
      <c r="T158" s="409"/>
      <c r="U158" s="407"/>
      <c r="V158" s="410"/>
      <c r="W158" s="327"/>
      <c r="X158" s="327"/>
      <c r="Y158" s="327"/>
      <c r="Z158" s="327"/>
      <c r="AA158" s="327"/>
      <c r="AB158" s="356"/>
      <c r="AC158" s="356"/>
      <c r="AD158" s="327"/>
      <c r="AE158" s="264"/>
      <c r="AF158" s="450" t="s">
        <v>535</v>
      </c>
      <c r="AG158" s="450"/>
      <c r="AH158" s="450"/>
      <c r="AI158" s="450"/>
      <c r="AJ158" s="483"/>
      <c r="AK158" s="462">
        <f>+AK128</f>
        <v>0</v>
      </c>
      <c r="AL158" s="450"/>
      <c r="AM158" s="451"/>
      <c r="AN158" s="451"/>
      <c r="AO158" s="451"/>
      <c r="AP158" s="462">
        <f t="shared" ref="AP158:CN158" si="139">+AP128</f>
        <v>20543.485558889632</v>
      </c>
      <c r="AQ158" s="462">
        <f t="shared" si="139"/>
        <v>0</v>
      </c>
      <c r="AR158" s="462">
        <f t="shared" si="139"/>
        <v>6700</v>
      </c>
      <c r="AS158" s="462">
        <f t="shared" si="139"/>
        <v>13843.485558889632</v>
      </c>
      <c r="AT158" s="462">
        <f t="shared" si="139"/>
        <v>0</v>
      </c>
      <c r="AU158" s="462">
        <f t="shared" si="139"/>
        <v>20543.485558889632</v>
      </c>
      <c r="AV158" s="462">
        <f t="shared" si="139"/>
        <v>0</v>
      </c>
      <c r="AW158" s="462">
        <f t="shared" si="139"/>
        <v>6700</v>
      </c>
      <c r="AX158" s="462">
        <f t="shared" si="139"/>
        <v>13843.485558889632</v>
      </c>
      <c r="AY158" s="462">
        <f t="shared" si="139"/>
        <v>0</v>
      </c>
      <c r="AZ158" s="462">
        <f t="shared" si="139"/>
        <v>20543.485558889632</v>
      </c>
      <c r="BA158" s="462">
        <f t="shared" si="139"/>
        <v>0</v>
      </c>
      <c r="BB158" s="462">
        <f t="shared" si="139"/>
        <v>6700</v>
      </c>
      <c r="BC158" s="462">
        <f t="shared" si="139"/>
        <v>13843.485558889632</v>
      </c>
      <c r="BD158" s="462">
        <f t="shared" si="139"/>
        <v>0</v>
      </c>
      <c r="BE158" s="462">
        <f t="shared" si="139"/>
        <v>20543.485558889632</v>
      </c>
      <c r="BF158" s="462">
        <f t="shared" si="139"/>
        <v>0</v>
      </c>
      <c r="BG158" s="462">
        <f t="shared" si="139"/>
        <v>0</v>
      </c>
      <c r="BH158" s="462">
        <f t="shared" si="139"/>
        <v>13843.485558889632</v>
      </c>
      <c r="BI158" s="462">
        <f t="shared" si="139"/>
        <v>0</v>
      </c>
      <c r="BJ158" s="462">
        <f t="shared" si="139"/>
        <v>13843.485558889632</v>
      </c>
      <c r="BK158" s="462">
        <f t="shared" si="139"/>
        <v>0</v>
      </c>
      <c r="BL158" s="462">
        <f t="shared" si="139"/>
        <v>35100</v>
      </c>
      <c r="BM158" s="462">
        <f t="shared" si="139"/>
        <v>71443.485558889632</v>
      </c>
      <c r="BN158" s="462">
        <f t="shared" si="139"/>
        <v>0</v>
      </c>
      <c r="BO158" s="462">
        <f t="shared" si="139"/>
        <v>106543.48555888963</v>
      </c>
      <c r="BP158" s="462">
        <f t="shared" si="139"/>
        <v>0</v>
      </c>
      <c r="BQ158" s="462">
        <f t="shared" si="139"/>
        <v>0</v>
      </c>
      <c r="BR158" s="462">
        <f t="shared" si="139"/>
        <v>0</v>
      </c>
      <c r="BS158" s="462">
        <f t="shared" si="139"/>
        <v>0</v>
      </c>
      <c r="BT158" s="462">
        <f t="shared" si="139"/>
        <v>0</v>
      </c>
      <c r="BU158" s="462">
        <f t="shared" si="139"/>
        <v>0</v>
      </c>
      <c r="BV158" s="462">
        <f t="shared" si="139"/>
        <v>0</v>
      </c>
      <c r="BW158" s="462">
        <f t="shared" si="139"/>
        <v>0</v>
      </c>
      <c r="BX158" s="462">
        <f t="shared" si="139"/>
        <v>0</v>
      </c>
      <c r="BY158" s="462">
        <f t="shared" si="139"/>
        <v>0</v>
      </c>
      <c r="BZ158" s="462">
        <f t="shared" si="139"/>
        <v>0</v>
      </c>
      <c r="CA158" s="462">
        <f t="shared" si="139"/>
        <v>0</v>
      </c>
      <c r="CB158" s="462">
        <f t="shared" si="139"/>
        <v>0</v>
      </c>
      <c r="CC158" s="462">
        <f t="shared" si="139"/>
        <v>0</v>
      </c>
      <c r="CD158" s="462">
        <f t="shared" si="139"/>
        <v>0</v>
      </c>
      <c r="CE158" s="462">
        <f t="shared" si="139"/>
        <v>0</v>
      </c>
      <c r="CF158" s="462">
        <f t="shared" si="139"/>
        <v>0</v>
      </c>
      <c r="CG158" s="462">
        <f t="shared" si="139"/>
        <v>0</v>
      </c>
      <c r="CH158" s="462">
        <f t="shared" si="139"/>
        <v>0</v>
      </c>
      <c r="CI158" s="462">
        <f t="shared" si="139"/>
        <v>0</v>
      </c>
      <c r="CJ158" s="462">
        <f t="shared" si="139"/>
        <v>0</v>
      </c>
      <c r="CK158" s="462">
        <f t="shared" si="139"/>
        <v>0</v>
      </c>
      <c r="CL158" s="462">
        <f t="shared" si="139"/>
        <v>156150</v>
      </c>
      <c r="CM158" s="462">
        <f t="shared" si="139"/>
        <v>426937.36865921726</v>
      </c>
      <c r="CN158" s="462">
        <f t="shared" si="139"/>
        <v>583087.36865921726</v>
      </c>
      <c r="CO158" s="462">
        <f>+CO128</f>
        <v>785648.28201255505</v>
      </c>
      <c r="CP158" s="451">
        <f>$S128</f>
        <v>785648.28201255505</v>
      </c>
      <c r="CQ158" s="452">
        <f>+CO158/CP158</f>
        <v>1</v>
      </c>
    </row>
    <row r="159" spans="1:95" ht="12.75">
      <c r="A159" s="318"/>
      <c r="B159" s="398" t="s">
        <v>399</v>
      </c>
      <c r="C159" s="345"/>
      <c r="D159" s="345"/>
      <c r="E159" s="345"/>
      <c r="F159" s="345"/>
      <c r="G159" s="345"/>
      <c r="H159" s="345"/>
      <c r="I159" s="345"/>
      <c r="J159" s="345"/>
      <c r="K159" s="345"/>
      <c r="L159" s="399"/>
      <c r="M159" s="345"/>
      <c r="N159" s="345"/>
      <c r="O159" s="399"/>
      <c r="P159" s="345"/>
      <c r="Q159" s="345"/>
      <c r="R159" s="399"/>
      <c r="S159" s="400"/>
      <c r="T159" s="345"/>
      <c r="U159" s="399"/>
      <c r="V159" s="411"/>
      <c r="W159" s="327"/>
      <c r="X159" s="327"/>
      <c r="Y159" s="327"/>
      <c r="Z159" s="327"/>
      <c r="AA159" s="327"/>
      <c r="AB159" s="327"/>
      <c r="AC159" s="327"/>
      <c r="AD159" s="327"/>
      <c r="AE159" s="264"/>
      <c r="AF159" s="464" t="s">
        <v>536</v>
      </c>
      <c r="AG159" s="464"/>
      <c r="AH159" s="464"/>
      <c r="AI159" s="464"/>
      <c r="AJ159" s="487"/>
      <c r="AK159" s="488">
        <f>SUM(AK156:AK158)</f>
        <v>135769.91044776121</v>
      </c>
      <c r="AL159" s="488"/>
      <c r="AM159" s="488"/>
      <c r="AN159" s="488"/>
      <c r="AO159" s="488"/>
      <c r="AP159" s="488">
        <f t="shared" ref="AP159:CN159" si="140">SUM(AP156:AP158)</f>
        <v>118795.48797940006</v>
      </c>
      <c r="AQ159" s="488">
        <f t="shared" si="140"/>
        <v>98252</v>
      </c>
      <c r="AR159" s="488">
        <f t="shared" si="140"/>
        <v>6700</v>
      </c>
      <c r="AS159" s="488">
        <f t="shared" si="140"/>
        <v>13843.485558889632</v>
      </c>
      <c r="AT159" s="488">
        <f t="shared" si="140"/>
        <v>0</v>
      </c>
      <c r="AU159" s="488">
        <f t="shared" si="140"/>
        <v>118795.48555888963</v>
      </c>
      <c r="AV159" s="488">
        <f t="shared" si="140"/>
        <v>98252</v>
      </c>
      <c r="AW159" s="488">
        <f t="shared" si="140"/>
        <v>6700</v>
      </c>
      <c r="AX159" s="488">
        <f t="shared" si="140"/>
        <v>13843.485558889632</v>
      </c>
      <c r="AY159" s="488">
        <f t="shared" si="140"/>
        <v>0</v>
      </c>
      <c r="AZ159" s="488">
        <f t="shared" si="140"/>
        <v>118795.48555888963</v>
      </c>
      <c r="BA159" s="488">
        <f t="shared" si="140"/>
        <v>98252</v>
      </c>
      <c r="BB159" s="488">
        <f t="shared" si="140"/>
        <v>6700</v>
      </c>
      <c r="BC159" s="488">
        <f t="shared" si="140"/>
        <v>13843.485558889632</v>
      </c>
      <c r="BD159" s="488">
        <f t="shared" si="140"/>
        <v>0</v>
      </c>
      <c r="BE159" s="488">
        <f t="shared" si="140"/>
        <v>118795.48555888963</v>
      </c>
      <c r="BF159" s="488">
        <f t="shared" si="140"/>
        <v>98252</v>
      </c>
      <c r="BG159" s="488">
        <f t="shared" si="140"/>
        <v>0</v>
      </c>
      <c r="BH159" s="488">
        <f t="shared" si="140"/>
        <v>13843.485558889632</v>
      </c>
      <c r="BI159" s="488">
        <f t="shared" si="140"/>
        <v>0</v>
      </c>
      <c r="BJ159" s="488">
        <f t="shared" si="140"/>
        <v>112095.48555888963</v>
      </c>
      <c r="BK159" s="488">
        <f t="shared" si="140"/>
        <v>0</v>
      </c>
      <c r="BL159" s="488">
        <f t="shared" si="140"/>
        <v>35100</v>
      </c>
      <c r="BM159" s="488">
        <f t="shared" si="140"/>
        <v>71443.485558889632</v>
      </c>
      <c r="BN159" s="488">
        <f t="shared" si="140"/>
        <v>0</v>
      </c>
      <c r="BO159" s="488">
        <f t="shared" si="140"/>
        <v>106543.48555888963</v>
      </c>
      <c r="BP159" s="488">
        <f t="shared" si="140"/>
        <v>0</v>
      </c>
      <c r="BQ159" s="488">
        <f t="shared" si="140"/>
        <v>0</v>
      </c>
      <c r="BR159" s="488">
        <f t="shared" si="140"/>
        <v>0</v>
      </c>
      <c r="BS159" s="488">
        <f t="shared" si="140"/>
        <v>0</v>
      </c>
      <c r="BT159" s="488">
        <f t="shared" si="140"/>
        <v>0</v>
      </c>
      <c r="BU159" s="488">
        <f t="shared" si="140"/>
        <v>0</v>
      </c>
      <c r="BV159" s="488">
        <f t="shared" si="140"/>
        <v>0</v>
      </c>
      <c r="BW159" s="488">
        <f t="shared" si="140"/>
        <v>0</v>
      </c>
      <c r="BX159" s="488">
        <f t="shared" si="140"/>
        <v>0</v>
      </c>
      <c r="BY159" s="488">
        <f t="shared" si="140"/>
        <v>0</v>
      </c>
      <c r="BZ159" s="488">
        <f t="shared" si="140"/>
        <v>0</v>
      </c>
      <c r="CA159" s="488">
        <f t="shared" si="140"/>
        <v>0</v>
      </c>
      <c r="CB159" s="488">
        <f t="shared" si="140"/>
        <v>0</v>
      </c>
      <c r="CC159" s="488">
        <f t="shared" si="140"/>
        <v>0</v>
      </c>
      <c r="CD159" s="488">
        <f t="shared" si="140"/>
        <v>0</v>
      </c>
      <c r="CE159" s="488">
        <f t="shared" si="140"/>
        <v>0</v>
      </c>
      <c r="CF159" s="488">
        <f t="shared" si="140"/>
        <v>0</v>
      </c>
      <c r="CG159" s="488">
        <f t="shared" si="140"/>
        <v>0</v>
      </c>
      <c r="CH159" s="488">
        <f t="shared" si="140"/>
        <v>0</v>
      </c>
      <c r="CI159" s="488">
        <f t="shared" si="140"/>
        <v>0</v>
      </c>
      <c r="CJ159" s="488">
        <f t="shared" si="140"/>
        <v>0</v>
      </c>
      <c r="CK159" s="488">
        <f t="shared" si="140"/>
        <v>0</v>
      </c>
      <c r="CL159" s="488">
        <f t="shared" si="140"/>
        <v>156150</v>
      </c>
      <c r="CM159" s="488">
        <f t="shared" si="140"/>
        <v>426937.36865921726</v>
      </c>
      <c r="CN159" s="488">
        <f t="shared" si="140"/>
        <v>583087.36865921726</v>
      </c>
      <c r="CO159" s="488">
        <f>SUM(CO156:CO158)</f>
        <v>1412678.1948808266</v>
      </c>
      <c r="CP159" s="465">
        <f>SUM(CP156:CP158)</f>
        <v>2534348.1924603162</v>
      </c>
      <c r="CQ159" s="473">
        <f>+CO159/CP159</f>
        <v>0.55741282870425746</v>
      </c>
    </row>
    <row r="160" spans="1:95" ht="12.75">
      <c r="A160" s="318"/>
      <c r="B160" s="401"/>
      <c r="C160" s="345"/>
      <c r="D160" s="345"/>
      <c r="E160" s="345"/>
      <c r="F160" s="345"/>
      <c r="G160" s="345"/>
      <c r="H160" s="345"/>
      <c r="I160" s="345"/>
      <c r="J160" s="345"/>
      <c r="K160" s="345"/>
      <c r="L160" s="399"/>
      <c r="M160" s="345"/>
      <c r="N160" s="345"/>
      <c r="O160" s="399"/>
      <c r="P160" s="345"/>
      <c r="Q160" s="345"/>
      <c r="R160" s="399"/>
      <c r="S160" s="400"/>
      <c r="T160" s="345"/>
      <c r="U160" s="399"/>
      <c r="V160" s="411"/>
      <c r="W160" s="327"/>
      <c r="X160" s="327"/>
      <c r="Y160" s="327"/>
      <c r="Z160" s="327"/>
      <c r="AA160" s="327"/>
      <c r="AB160" s="327"/>
      <c r="AC160" s="327"/>
      <c r="AD160" s="327"/>
      <c r="AE160" s="264"/>
      <c r="AF160" s="450"/>
      <c r="AG160" s="450"/>
      <c r="AH160" s="450"/>
      <c r="AI160" s="450"/>
      <c r="AJ160" s="483"/>
      <c r="AK160" s="483"/>
      <c r="AL160" s="450"/>
      <c r="AM160" s="451"/>
      <c r="AN160" s="451"/>
      <c r="AO160" s="451"/>
      <c r="AP160" s="483"/>
      <c r="AQ160" s="483"/>
      <c r="AR160" s="483"/>
      <c r="AS160" s="483"/>
      <c r="AT160" s="483"/>
      <c r="AU160" s="483"/>
      <c r="AV160" s="483"/>
      <c r="AW160" s="483"/>
      <c r="AX160" s="483"/>
      <c r="AY160" s="483"/>
      <c r="AZ160" s="483"/>
      <c r="BA160" s="483"/>
      <c r="BB160" s="483"/>
      <c r="BC160" s="483"/>
      <c r="BD160" s="483"/>
      <c r="BE160" s="483"/>
      <c r="BF160" s="483"/>
      <c r="BG160" s="483"/>
      <c r="BH160" s="483"/>
      <c r="BI160" s="483"/>
      <c r="BJ160" s="483"/>
      <c r="BK160" s="483"/>
      <c r="BL160" s="483"/>
      <c r="BM160" s="483"/>
      <c r="BN160" s="483"/>
      <c r="BO160" s="483"/>
      <c r="BP160" s="483"/>
      <c r="BQ160" s="483"/>
      <c r="BR160" s="483"/>
      <c r="BS160" s="483"/>
      <c r="BT160" s="483"/>
      <c r="BU160" s="483"/>
      <c r="BV160" s="483"/>
      <c r="BW160" s="483"/>
      <c r="BX160" s="483"/>
      <c r="BY160" s="483"/>
      <c r="BZ160" s="483"/>
      <c r="CA160" s="483"/>
      <c r="CB160" s="483"/>
      <c r="CC160" s="483"/>
      <c r="CD160" s="483"/>
      <c r="CE160" s="483"/>
      <c r="CF160" s="483"/>
      <c r="CG160" s="483"/>
      <c r="CH160" s="483"/>
      <c r="CI160" s="483"/>
      <c r="CJ160" s="483"/>
      <c r="CK160" s="483"/>
      <c r="CL160" s="483"/>
      <c r="CM160" s="483"/>
      <c r="CN160" s="483"/>
      <c r="CO160" s="483"/>
      <c r="CP160" s="451"/>
      <c r="CQ160" s="451"/>
    </row>
    <row r="161" spans="1:95" ht="12.75">
      <c r="A161" s="318"/>
      <c r="B161" s="370" t="s">
        <v>398</v>
      </c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>
        <f>+M128</f>
        <v>425313.35567596968</v>
      </c>
      <c r="N161" s="370">
        <f>+M161/N$8</f>
        <v>5907.1299399440231</v>
      </c>
      <c r="O161" s="376">
        <f t="shared" si="134"/>
        <v>5.8141042715984481</v>
      </c>
      <c r="P161" s="370">
        <f>+P128</f>
        <v>360334.92633658537</v>
      </c>
      <c r="Q161" s="370">
        <f>+P161/Q$8</f>
        <v>5907.1299399440222</v>
      </c>
      <c r="R161" s="376">
        <f>+Q161/Q$11</f>
        <v>4.8698515580742141</v>
      </c>
      <c r="S161" s="406">
        <f>+P161+M161</f>
        <v>785648.28201255505</v>
      </c>
      <c r="T161" s="370">
        <f t="shared" si="136"/>
        <v>5907.1299399440231</v>
      </c>
      <c r="U161" s="376">
        <f>+S161/U$8</f>
        <v>5.3392794998984341</v>
      </c>
      <c r="V161" s="405">
        <f>+S161/S$169</f>
        <v>6.1750101308075997E-2</v>
      </c>
      <c r="W161" s="327">
        <f t="shared" si="135"/>
        <v>5.0686987505955426E-2</v>
      </c>
      <c r="X161" s="327"/>
      <c r="Y161" s="327"/>
      <c r="Z161" s="327"/>
      <c r="AA161" s="327"/>
      <c r="AB161" s="327"/>
      <c r="AC161" s="327"/>
      <c r="AD161" s="327"/>
      <c r="AE161" s="264"/>
      <c r="AF161" s="463" t="s">
        <v>399</v>
      </c>
      <c r="AG161" s="450"/>
      <c r="AH161" s="450"/>
      <c r="AI161" s="450"/>
      <c r="AJ161" s="483"/>
      <c r="AK161" s="483"/>
      <c r="AL161" s="450"/>
      <c r="AM161" s="451"/>
      <c r="AN161" s="451"/>
      <c r="AO161" s="451"/>
      <c r="AP161" s="483"/>
      <c r="AQ161" s="483"/>
      <c r="AR161" s="483"/>
      <c r="AS161" s="483"/>
      <c r="AT161" s="483"/>
      <c r="AU161" s="483"/>
      <c r="AV161" s="483"/>
      <c r="AW161" s="483"/>
      <c r="AX161" s="483"/>
      <c r="AY161" s="483"/>
      <c r="AZ161" s="483"/>
      <c r="BA161" s="483"/>
      <c r="BB161" s="483"/>
      <c r="BC161" s="483"/>
      <c r="BD161" s="483"/>
      <c r="BE161" s="483"/>
      <c r="BF161" s="483"/>
      <c r="BG161" s="483"/>
      <c r="BH161" s="483"/>
      <c r="BI161" s="483"/>
      <c r="BJ161" s="483"/>
      <c r="BK161" s="483"/>
      <c r="BL161" s="483"/>
      <c r="BM161" s="483"/>
      <c r="BN161" s="483"/>
      <c r="BO161" s="483"/>
      <c r="BP161" s="483"/>
      <c r="BQ161" s="483"/>
      <c r="BR161" s="483"/>
      <c r="BS161" s="483"/>
      <c r="BT161" s="483"/>
      <c r="BU161" s="483"/>
      <c r="BV161" s="483"/>
      <c r="BW161" s="483"/>
      <c r="BX161" s="483"/>
      <c r="BY161" s="483"/>
      <c r="BZ161" s="483"/>
      <c r="CA161" s="483"/>
      <c r="CB161" s="483"/>
      <c r="CC161" s="483"/>
      <c r="CD161" s="483"/>
      <c r="CE161" s="483"/>
      <c r="CF161" s="483"/>
      <c r="CG161" s="483"/>
      <c r="CH161" s="483"/>
      <c r="CI161" s="483"/>
      <c r="CJ161" s="483"/>
      <c r="CK161" s="483"/>
      <c r="CL161" s="483"/>
      <c r="CM161" s="483"/>
      <c r="CN161" s="483"/>
      <c r="CO161" s="483"/>
      <c r="CP161" s="451"/>
      <c r="CQ161" s="451"/>
    </row>
    <row r="162" spans="1:95" ht="12.75">
      <c r="A162" s="318"/>
      <c r="B162" s="370" t="s">
        <v>399</v>
      </c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>
        <f>+M95</f>
        <v>3922192.8332571606</v>
      </c>
      <c r="N162" s="370">
        <f>+M162/N$8</f>
        <v>54474.90046190501</v>
      </c>
      <c r="O162" s="376">
        <f t="shared" si="134"/>
        <v>53.617028013686031</v>
      </c>
      <c r="P162" s="370">
        <f>+P95</f>
        <v>4007631.359374817</v>
      </c>
      <c r="Q162" s="370">
        <f>+P162/Q$8</f>
        <v>65698.874743849461</v>
      </c>
      <c r="R162" s="376">
        <f>+Q162/Q$11</f>
        <v>54.162303993280673</v>
      </c>
      <c r="S162" s="406">
        <f>+P162+M162</f>
        <v>7929824.1926319776</v>
      </c>
      <c r="T162" s="370">
        <f t="shared" si="136"/>
        <v>59622.738290465997</v>
      </c>
      <c r="U162" s="376">
        <f>+S162/U$8</f>
        <v>53.891224252485493</v>
      </c>
      <c r="V162" s="405">
        <f>+S162/S$169</f>
        <v>0.6232654719181725</v>
      </c>
      <c r="W162" s="327">
        <f t="shared" si="135"/>
        <v>0.5116015766581119</v>
      </c>
      <c r="X162" s="327"/>
      <c r="Y162" s="327"/>
      <c r="Z162" s="327"/>
      <c r="AA162" s="327"/>
      <c r="AB162" s="327"/>
      <c r="AC162" s="327"/>
      <c r="AD162" s="327"/>
      <c r="AE162" s="264"/>
      <c r="AF162" s="450" t="s">
        <v>537</v>
      </c>
      <c r="AG162" s="450"/>
      <c r="AH162" s="450"/>
      <c r="AI162" s="450"/>
      <c r="AJ162" s="483"/>
      <c r="AK162" s="489">
        <f>+AK95</f>
        <v>290551.81910447759</v>
      </c>
      <c r="AL162" s="486"/>
      <c r="AM162" s="486"/>
      <c r="AN162" s="486"/>
      <c r="AO162" s="486"/>
      <c r="AP162" s="489">
        <f t="shared" ref="AP162:CN162" si="141">+AP95</f>
        <v>110245.07656250001</v>
      </c>
      <c r="AQ162" s="489">
        <f t="shared" si="141"/>
        <v>34298.275000000001</v>
      </c>
      <c r="AR162" s="489">
        <f t="shared" si="141"/>
        <v>97036.689062500009</v>
      </c>
      <c r="AS162" s="489">
        <f t="shared" si="141"/>
        <v>98985.901437500012</v>
      </c>
      <c r="AT162" s="489">
        <f t="shared" si="141"/>
        <v>133500.40550000002</v>
      </c>
      <c r="AU162" s="489">
        <f t="shared" si="141"/>
        <v>363821.27100000012</v>
      </c>
      <c r="AV162" s="489">
        <f t="shared" si="141"/>
        <v>219718.75310343754</v>
      </c>
      <c r="AW162" s="489">
        <f t="shared" si="141"/>
        <v>113961.28493750002</v>
      </c>
      <c r="AX162" s="489">
        <f t="shared" si="141"/>
        <v>171584.82715</v>
      </c>
      <c r="AY162" s="489">
        <f t="shared" si="141"/>
        <v>287661.40810343757</v>
      </c>
      <c r="AZ162" s="489">
        <f t="shared" si="141"/>
        <v>792926.27329437516</v>
      </c>
      <c r="BA162" s="489">
        <f t="shared" si="141"/>
        <v>165457.13181250001</v>
      </c>
      <c r="BB162" s="489">
        <f t="shared" si="141"/>
        <v>212252.02652499999</v>
      </c>
      <c r="BC162" s="489">
        <f t="shared" si="141"/>
        <v>370644.91435343755</v>
      </c>
      <c r="BD162" s="489">
        <f t="shared" si="141"/>
        <v>169317.32331250003</v>
      </c>
      <c r="BE162" s="489">
        <f t="shared" si="141"/>
        <v>917671.39600343769</v>
      </c>
      <c r="BF162" s="489">
        <f t="shared" si="141"/>
        <v>350601.39152500004</v>
      </c>
      <c r="BG162" s="489">
        <f t="shared" si="141"/>
        <v>343331.12372843758</v>
      </c>
      <c r="BH162" s="489">
        <f t="shared" si="141"/>
        <v>216431.92518750005</v>
      </c>
      <c r="BI162" s="489">
        <f t="shared" si="141"/>
        <v>338271.76965000003</v>
      </c>
      <c r="BJ162" s="489">
        <f t="shared" si="141"/>
        <v>1248636.2100909373</v>
      </c>
      <c r="BK162" s="489">
        <f t="shared" si="141"/>
        <v>384030.02372843761</v>
      </c>
      <c r="BL162" s="489">
        <f t="shared" si="141"/>
        <v>216431.92518750005</v>
      </c>
      <c r="BM162" s="489">
        <f t="shared" si="141"/>
        <v>330517.86965000001</v>
      </c>
      <c r="BN162" s="489">
        <f t="shared" si="141"/>
        <v>357485.64872843761</v>
      </c>
      <c r="BO162" s="489">
        <f t="shared" si="141"/>
        <v>1288465.4672943749</v>
      </c>
      <c r="BP162" s="489">
        <f t="shared" si="141"/>
        <v>250730.20018750004</v>
      </c>
      <c r="BQ162" s="489">
        <f t="shared" si="141"/>
        <v>330517.86965000001</v>
      </c>
      <c r="BR162" s="489">
        <f t="shared" si="141"/>
        <v>325921.42372843763</v>
      </c>
      <c r="BS162" s="489">
        <f t="shared" si="141"/>
        <v>190803.24862500004</v>
      </c>
      <c r="BT162" s="489">
        <f t="shared" si="141"/>
        <v>1097972.7421909377</v>
      </c>
      <c r="BU162" s="489">
        <f t="shared" si="141"/>
        <v>364816.14465000003</v>
      </c>
      <c r="BV162" s="489">
        <f t="shared" si="141"/>
        <v>252695.05966593753</v>
      </c>
      <c r="BW162" s="489">
        <f t="shared" si="141"/>
        <v>117446.02375000001</v>
      </c>
      <c r="BX162" s="489">
        <f t="shared" si="141"/>
        <v>212525.26414999997</v>
      </c>
      <c r="BY162" s="489">
        <f t="shared" si="141"/>
        <v>947482.49221593759</v>
      </c>
      <c r="BZ162" s="489">
        <f t="shared" si="141"/>
        <v>198609.545625</v>
      </c>
      <c r="CA162" s="489">
        <f t="shared" si="141"/>
        <v>102470.64025</v>
      </c>
      <c r="CB162" s="489">
        <f t="shared" si="141"/>
        <v>158933.04250000001</v>
      </c>
      <c r="CC162" s="489">
        <f t="shared" si="141"/>
        <v>104891.93125000001</v>
      </c>
      <c r="CD162" s="489">
        <f t="shared" si="141"/>
        <v>564905.15962499997</v>
      </c>
      <c r="CE162" s="489">
        <f t="shared" si="141"/>
        <v>92257.552750000003</v>
      </c>
      <c r="CF162" s="489">
        <f t="shared" si="141"/>
        <v>118265.84312500001</v>
      </c>
      <c r="CG162" s="489">
        <f t="shared" si="141"/>
        <v>6400.6250000000009</v>
      </c>
      <c r="CH162" s="489">
        <f t="shared" si="141"/>
        <v>35308.611250000002</v>
      </c>
      <c r="CI162" s="489">
        <f t="shared" si="141"/>
        <v>252232.632125</v>
      </c>
      <c r="CJ162" s="489">
        <f t="shared" si="141"/>
        <v>48513.028124999997</v>
      </c>
      <c r="CK162" s="489">
        <f t="shared" si="141"/>
        <v>6400.6250000000009</v>
      </c>
      <c r="CL162" s="489">
        <f t="shared" si="141"/>
        <v>0</v>
      </c>
      <c r="CM162" s="489">
        <f t="shared" si="141"/>
        <v>0</v>
      </c>
      <c r="CN162" s="489">
        <f t="shared" si="141"/>
        <v>54913.653124999997</v>
      </c>
      <c r="CO162" s="489">
        <f>+CO95</f>
        <v>7929824.1926319767</v>
      </c>
      <c r="CP162" s="451">
        <f>+$S95</f>
        <v>7929824.1926319767</v>
      </c>
      <c r="CQ162" s="452">
        <f>+CO162/CP162</f>
        <v>1</v>
      </c>
    </row>
    <row r="163" spans="1:95" ht="12.75">
      <c r="A163" s="318"/>
      <c r="B163" s="370" t="s">
        <v>401</v>
      </c>
      <c r="C163" s="370"/>
      <c r="D163" s="370"/>
      <c r="E163" s="370"/>
      <c r="F163" s="370"/>
      <c r="G163" s="370"/>
      <c r="H163" s="370"/>
      <c r="I163" s="370"/>
      <c r="J163" s="370"/>
      <c r="K163" s="370"/>
      <c r="L163" s="370"/>
      <c r="M163" s="370">
        <f>+M131</f>
        <v>703042.64287256973</v>
      </c>
      <c r="N163" s="370">
        <f>+M163/N$8</f>
        <v>9764.4811510079126</v>
      </c>
      <c r="O163" s="376">
        <f t="shared" si="134"/>
        <v>9.610709794299126</v>
      </c>
      <c r="P163" s="370">
        <f>+P131</f>
        <v>698332.71489127446</v>
      </c>
      <c r="Q163" s="370">
        <f>+P163/Q$8</f>
        <v>11448.077293299581</v>
      </c>
      <c r="R163" s="376">
        <f>+Q163/Q$11</f>
        <v>9.4378213464959444</v>
      </c>
      <c r="S163" s="406">
        <f>+P163+M163</f>
        <v>1401375.3577638441</v>
      </c>
      <c r="T163" s="370">
        <f t="shared" si="136"/>
        <v>10536.656825292061</v>
      </c>
      <c r="U163" s="376">
        <f>+S163/U$8</f>
        <v>9.5237715026935614</v>
      </c>
      <c r="V163" s="405">
        <f>+S163/S$169</f>
        <v>0.11014479671601413</v>
      </c>
      <c r="W163" s="327">
        <f t="shared" si="135"/>
        <v>9.041131620395329E-2</v>
      </c>
      <c r="X163" s="327"/>
      <c r="Y163" s="327"/>
      <c r="Z163" s="327"/>
      <c r="AA163" s="327"/>
      <c r="AB163" s="327"/>
      <c r="AC163" s="327"/>
      <c r="AD163" s="327"/>
      <c r="AE163" s="264"/>
      <c r="AF163" s="450" t="s">
        <v>538</v>
      </c>
      <c r="AG163" s="450"/>
      <c r="AH163" s="450"/>
      <c r="AI163" s="450"/>
      <c r="AJ163" s="483"/>
      <c r="AK163" s="462">
        <f>+AK131</f>
        <v>0</v>
      </c>
      <c r="AL163" s="450"/>
      <c r="AM163" s="451"/>
      <c r="AN163" s="451"/>
      <c r="AO163" s="451"/>
      <c r="AP163" s="462">
        <f t="shared" ref="AP163:CN163" si="142">+AP131</f>
        <v>0</v>
      </c>
      <c r="AQ163" s="462">
        <f t="shared" si="142"/>
        <v>0</v>
      </c>
      <c r="AR163" s="462">
        <f t="shared" si="142"/>
        <v>0</v>
      </c>
      <c r="AS163" s="462">
        <f t="shared" si="142"/>
        <v>0</v>
      </c>
      <c r="AT163" s="462">
        <f t="shared" si="142"/>
        <v>0</v>
      </c>
      <c r="AU163" s="462">
        <f t="shared" si="142"/>
        <v>0</v>
      </c>
      <c r="AV163" s="462">
        <f t="shared" si="142"/>
        <v>0</v>
      </c>
      <c r="AW163" s="462">
        <f t="shared" si="142"/>
        <v>0</v>
      </c>
      <c r="AX163" s="462">
        <f t="shared" si="142"/>
        <v>0</v>
      </c>
      <c r="AY163" s="462">
        <f t="shared" si="142"/>
        <v>0</v>
      </c>
      <c r="AZ163" s="462">
        <f t="shared" si="142"/>
        <v>0</v>
      </c>
      <c r="BA163" s="462">
        <f t="shared" si="142"/>
        <v>0</v>
      </c>
      <c r="BB163" s="462">
        <f t="shared" si="142"/>
        <v>0</v>
      </c>
      <c r="BC163" s="462">
        <f t="shared" si="142"/>
        <v>0</v>
      </c>
      <c r="BD163" s="462">
        <f t="shared" si="142"/>
        <v>0</v>
      </c>
      <c r="BE163" s="462">
        <f t="shared" si="142"/>
        <v>0</v>
      </c>
      <c r="BF163" s="462">
        <f t="shared" si="142"/>
        <v>0</v>
      </c>
      <c r="BG163" s="462">
        <f t="shared" si="142"/>
        <v>0</v>
      </c>
      <c r="BH163" s="462">
        <f t="shared" si="142"/>
        <v>0</v>
      </c>
      <c r="BI163" s="462">
        <f t="shared" si="142"/>
        <v>0</v>
      </c>
      <c r="BJ163" s="462">
        <f t="shared" si="142"/>
        <v>0</v>
      </c>
      <c r="BK163" s="462">
        <f t="shared" si="142"/>
        <v>0</v>
      </c>
      <c r="BL163" s="462">
        <f t="shared" si="142"/>
        <v>0</v>
      </c>
      <c r="BM163" s="462">
        <f t="shared" si="142"/>
        <v>0</v>
      </c>
      <c r="BN163" s="462">
        <f t="shared" si="142"/>
        <v>0</v>
      </c>
      <c r="BO163" s="462">
        <f t="shared" si="142"/>
        <v>0</v>
      </c>
      <c r="BP163" s="462">
        <f t="shared" si="142"/>
        <v>0</v>
      </c>
      <c r="BQ163" s="462">
        <f t="shared" si="142"/>
        <v>0</v>
      </c>
      <c r="BR163" s="462">
        <f t="shared" si="142"/>
        <v>0</v>
      </c>
      <c r="BS163" s="462">
        <f t="shared" si="142"/>
        <v>0</v>
      </c>
      <c r="BT163" s="462">
        <f t="shared" si="142"/>
        <v>0</v>
      </c>
      <c r="BU163" s="462">
        <f t="shared" si="142"/>
        <v>0</v>
      </c>
      <c r="BV163" s="462">
        <f t="shared" si="142"/>
        <v>0</v>
      </c>
      <c r="BW163" s="462">
        <f t="shared" si="142"/>
        <v>0</v>
      </c>
      <c r="BX163" s="462">
        <f t="shared" si="142"/>
        <v>0</v>
      </c>
      <c r="BY163" s="462">
        <f t="shared" si="142"/>
        <v>0</v>
      </c>
      <c r="BZ163" s="462">
        <f t="shared" si="142"/>
        <v>0</v>
      </c>
      <c r="CA163" s="462">
        <f t="shared" si="142"/>
        <v>0</v>
      </c>
      <c r="CB163" s="462">
        <f t="shared" si="142"/>
        <v>0</v>
      </c>
      <c r="CC163" s="462">
        <f t="shared" si="142"/>
        <v>0</v>
      </c>
      <c r="CD163" s="462">
        <f t="shared" si="142"/>
        <v>0</v>
      </c>
      <c r="CE163" s="462">
        <f t="shared" si="142"/>
        <v>0</v>
      </c>
      <c r="CF163" s="462">
        <f t="shared" si="142"/>
        <v>0</v>
      </c>
      <c r="CG163" s="462">
        <f t="shared" si="142"/>
        <v>0</v>
      </c>
      <c r="CH163" s="462">
        <f t="shared" si="142"/>
        <v>0</v>
      </c>
      <c r="CI163" s="462">
        <f t="shared" si="142"/>
        <v>0</v>
      </c>
      <c r="CJ163" s="462">
        <f t="shared" si="142"/>
        <v>0</v>
      </c>
      <c r="CK163" s="462">
        <f t="shared" si="142"/>
        <v>0</v>
      </c>
      <c r="CL163" s="462">
        <f t="shared" si="142"/>
        <v>0</v>
      </c>
      <c r="CM163" s="462">
        <f t="shared" si="142"/>
        <v>0</v>
      </c>
      <c r="CN163" s="462">
        <f t="shared" si="142"/>
        <v>0</v>
      </c>
      <c r="CO163" s="462">
        <f>+CO131</f>
        <v>0</v>
      </c>
      <c r="CP163" s="451">
        <f>+$S131</f>
        <v>1401375.3577638441</v>
      </c>
      <c r="CQ163" s="452">
        <f>+CO163/CP163</f>
        <v>0</v>
      </c>
    </row>
    <row r="164" spans="1:95" ht="12.75">
      <c r="A164" s="318"/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6"/>
      <c r="P164" s="370"/>
      <c r="Q164" s="370"/>
      <c r="R164" s="376"/>
      <c r="S164" s="406"/>
      <c r="T164" s="370"/>
      <c r="U164" s="376"/>
      <c r="V164" s="405"/>
      <c r="W164" s="327"/>
      <c r="X164" s="327"/>
      <c r="Y164" s="327"/>
      <c r="Z164" s="327"/>
      <c r="AA164" s="327"/>
      <c r="AB164" s="327"/>
      <c r="AC164" s="327"/>
      <c r="AD164" s="327"/>
      <c r="AE164" s="264"/>
      <c r="AF164" s="464" t="s">
        <v>352</v>
      </c>
      <c r="AG164" s="464"/>
      <c r="AH164" s="464"/>
      <c r="AI164" s="464"/>
      <c r="AJ164" s="487"/>
      <c r="AK164" s="488">
        <f>SUM(AK162:AK163)</f>
        <v>290551.81910447759</v>
      </c>
      <c r="AL164" s="488"/>
      <c r="AM164" s="488"/>
      <c r="AN164" s="488"/>
      <c r="AO164" s="488"/>
      <c r="AP164" s="488">
        <f t="shared" ref="AP164:BU164" si="143">SUM(AP162:AP163)</f>
        <v>110245.07656250001</v>
      </c>
      <c r="AQ164" s="488">
        <f t="shared" si="143"/>
        <v>34298.275000000001</v>
      </c>
      <c r="AR164" s="488">
        <f t="shared" si="143"/>
        <v>97036.689062500009</v>
      </c>
      <c r="AS164" s="488">
        <f t="shared" si="143"/>
        <v>98985.901437500012</v>
      </c>
      <c r="AT164" s="488">
        <f t="shared" si="143"/>
        <v>133500.40550000002</v>
      </c>
      <c r="AU164" s="488">
        <f t="shared" si="143"/>
        <v>363821.27100000012</v>
      </c>
      <c r="AV164" s="488">
        <f t="shared" si="143"/>
        <v>219718.75310343754</v>
      </c>
      <c r="AW164" s="488">
        <f t="shared" si="143"/>
        <v>113961.28493750002</v>
      </c>
      <c r="AX164" s="488">
        <f t="shared" si="143"/>
        <v>171584.82715</v>
      </c>
      <c r="AY164" s="488">
        <f t="shared" si="143"/>
        <v>287661.40810343757</v>
      </c>
      <c r="AZ164" s="488">
        <f t="shared" si="143"/>
        <v>792926.27329437516</v>
      </c>
      <c r="BA164" s="488">
        <f t="shared" si="143"/>
        <v>165457.13181250001</v>
      </c>
      <c r="BB164" s="488">
        <f t="shared" si="143"/>
        <v>212252.02652499999</v>
      </c>
      <c r="BC164" s="488">
        <f t="shared" si="143"/>
        <v>370644.91435343755</v>
      </c>
      <c r="BD164" s="488">
        <f t="shared" si="143"/>
        <v>169317.32331250003</v>
      </c>
      <c r="BE164" s="488">
        <f t="shared" si="143"/>
        <v>917671.39600343769</v>
      </c>
      <c r="BF164" s="488">
        <f t="shared" si="143"/>
        <v>350601.39152500004</v>
      </c>
      <c r="BG164" s="488">
        <f t="shared" si="143"/>
        <v>343331.12372843758</v>
      </c>
      <c r="BH164" s="488">
        <f t="shared" si="143"/>
        <v>216431.92518750005</v>
      </c>
      <c r="BI164" s="488">
        <f t="shared" si="143"/>
        <v>338271.76965000003</v>
      </c>
      <c r="BJ164" s="488">
        <f t="shared" si="143"/>
        <v>1248636.2100909373</v>
      </c>
      <c r="BK164" s="488">
        <f t="shared" si="143"/>
        <v>384030.02372843761</v>
      </c>
      <c r="BL164" s="488">
        <f t="shared" si="143"/>
        <v>216431.92518750005</v>
      </c>
      <c r="BM164" s="488">
        <f t="shared" si="143"/>
        <v>330517.86965000001</v>
      </c>
      <c r="BN164" s="488">
        <f t="shared" si="143"/>
        <v>357485.64872843761</v>
      </c>
      <c r="BO164" s="488">
        <f t="shared" si="143"/>
        <v>1288465.4672943749</v>
      </c>
      <c r="BP164" s="488">
        <f t="shared" si="143"/>
        <v>250730.20018750004</v>
      </c>
      <c r="BQ164" s="488">
        <f t="shared" si="143"/>
        <v>330517.86965000001</v>
      </c>
      <c r="BR164" s="488">
        <f t="shared" si="143"/>
        <v>325921.42372843763</v>
      </c>
      <c r="BS164" s="488">
        <f t="shared" si="143"/>
        <v>190803.24862500004</v>
      </c>
      <c r="BT164" s="488">
        <f t="shared" si="143"/>
        <v>1097972.7421909377</v>
      </c>
      <c r="BU164" s="488">
        <f t="shared" si="143"/>
        <v>364816.14465000003</v>
      </c>
      <c r="BV164" s="488">
        <f t="shared" ref="BV164:CN164" si="144">SUM(BV162:BV163)</f>
        <v>252695.05966593753</v>
      </c>
      <c r="BW164" s="488">
        <f t="shared" si="144"/>
        <v>117446.02375000001</v>
      </c>
      <c r="BX164" s="488">
        <f t="shared" si="144"/>
        <v>212525.26414999997</v>
      </c>
      <c r="BY164" s="488">
        <f t="shared" si="144"/>
        <v>947482.49221593759</v>
      </c>
      <c r="BZ164" s="488">
        <f t="shared" si="144"/>
        <v>198609.545625</v>
      </c>
      <c r="CA164" s="488">
        <f t="shared" si="144"/>
        <v>102470.64025</v>
      </c>
      <c r="CB164" s="488">
        <f t="shared" si="144"/>
        <v>158933.04250000001</v>
      </c>
      <c r="CC164" s="488">
        <f t="shared" si="144"/>
        <v>104891.93125000001</v>
      </c>
      <c r="CD164" s="488">
        <f t="shared" si="144"/>
        <v>564905.15962499997</v>
      </c>
      <c r="CE164" s="488">
        <f t="shared" si="144"/>
        <v>92257.552750000003</v>
      </c>
      <c r="CF164" s="488">
        <f t="shared" si="144"/>
        <v>118265.84312500001</v>
      </c>
      <c r="CG164" s="488">
        <f t="shared" si="144"/>
        <v>6400.6250000000009</v>
      </c>
      <c r="CH164" s="488">
        <f t="shared" si="144"/>
        <v>35308.611250000002</v>
      </c>
      <c r="CI164" s="488">
        <f t="shared" si="144"/>
        <v>252232.632125</v>
      </c>
      <c r="CJ164" s="488">
        <f t="shared" si="144"/>
        <v>48513.028124999997</v>
      </c>
      <c r="CK164" s="488">
        <f t="shared" si="144"/>
        <v>6400.6250000000009</v>
      </c>
      <c r="CL164" s="488">
        <f t="shared" si="144"/>
        <v>0</v>
      </c>
      <c r="CM164" s="488">
        <f t="shared" si="144"/>
        <v>0</v>
      </c>
      <c r="CN164" s="488">
        <f t="shared" si="144"/>
        <v>54913.653124999997</v>
      </c>
      <c r="CO164" s="488">
        <f>+CO163+CO162</f>
        <v>7929824.1926319767</v>
      </c>
      <c r="CP164" s="488">
        <f>+CP163+CP162</f>
        <v>9331199.5503958203</v>
      </c>
      <c r="CQ164" s="473">
        <f>+CO164/CP164</f>
        <v>0.84981830576065664</v>
      </c>
    </row>
    <row r="165" spans="1:95" ht="12.75">
      <c r="A165" s="318"/>
      <c r="B165" s="408" t="s">
        <v>265</v>
      </c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409">
        <f>SUM(M157:M163)</f>
        <v>5997213.4449804286</v>
      </c>
      <c r="N165" s="409">
        <f>+M165/N$8</f>
        <v>83294.63118028373</v>
      </c>
      <c r="O165" s="407">
        <f t="shared" si="134"/>
        <v>81.982904705003676</v>
      </c>
      <c r="P165" s="409">
        <f>SUM(P157:P163)</f>
        <v>5868334.2978757108</v>
      </c>
      <c r="Q165" s="409">
        <f>+P165/Q$8</f>
        <v>96202.201604519854</v>
      </c>
      <c r="R165" s="407">
        <f>+Q165/Q$11</f>
        <v>79.309317068853957</v>
      </c>
      <c r="S165" s="404">
        <f>+P165+M165</f>
        <v>11865547.742856139</v>
      </c>
      <c r="T165" s="409">
        <f t="shared" si="136"/>
        <v>89214.644683128863</v>
      </c>
      <c r="U165" s="407">
        <f>+S165/U$8</f>
        <v>80.638470507704227</v>
      </c>
      <c r="V165" s="410">
        <f>+S165/S$169</f>
        <v>0.93260405702188021</v>
      </c>
      <c r="W165" s="356">
        <f t="shared" si="135"/>
        <v>0.76551923292292723</v>
      </c>
      <c r="X165" s="356"/>
      <c r="Y165" s="356"/>
      <c r="Z165" s="356"/>
      <c r="AA165" s="356"/>
      <c r="AB165" s="327"/>
      <c r="AC165" s="327"/>
      <c r="AD165" s="356"/>
      <c r="AE165" s="313"/>
      <c r="AF165" s="451"/>
      <c r="AG165" s="451"/>
      <c r="AH165" s="451"/>
      <c r="AI165" s="451"/>
      <c r="AJ165" s="451"/>
      <c r="AK165" s="451"/>
      <c r="AL165" s="451"/>
      <c r="AM165" s="451"/>
      <c r="AN165" s="451"/>
      <c r="AO165" s="451"/>
      <c r="AP165" s="451"/>
      <c r="AQ165" s="451"/>
      <c r="AR165" s="451"/>
      <c r="AS165" s="451"/>
      <c r="AT165" s="451"/>
      <c r="AU165" s="451"/>
      <c r="AV165" s="451"/>
      <c r="AW165" s="451"/>
      <c r="AX165" s="451"/>
      <c r="AY165" s="451"/>
      <c r="AZ165" s="451"/>
      <c r="BA165" s="451"/>
      <c r="BB165" s="451"/>
      <c r="BC165" s="451"/>
      <c r="BD165" s="451"/>
      <c r="BE165" s="451"/>
      <c r="BF165" s="451"/>
      <c r="BG165" s="451"/>
      <c r="BH165" s="451"/>
      <c r="BI165" s="451"/>
      <c r="BJ165" s="451"/>
      <c r="BK165" s="451"/>
      <c r="BL165" s="451"/>
      <c r="BM165" s="451"/>
      <c r="BN165" s="451"/>
      <c r="BO165" s="451"/>
      <c r="BP165" s="451"/>
      <c r="BQ165" s="451"/>
      <c r="BR165" s="451"/>
      <c r="BS165" s="451"/>
      <c r="BT165" s="451"/>
      <c r="BU165" s="451"/>
      <c r="BV165" s="451"/>
      <c r="BW165" s="451"/>
      <c r="BX165" s="451"/>
      <c r="BY165" s="451"/>
      <c r="BZ165" s="451"/>
      <c r="CA165" s="451"/>
      <c r="CB165" s="451"/>
      <c r="CC165" s="451"/>
      <c r="CD165" s="451"/>
      <c r="CE165" s="451"/>
      <c r="CF165" s="451"/>
      <c r="CG165" s="451"/>
      <c r="CH165" s="451"/>
      <c r="CI165" s="451"/>
      <c r="CJ165" s="451"/>
      <c r="CK165" s="451"/>
      <c r="CL165" s="451"/>
      <c r="CM165" s="451"/>
      <c r="CN165" s="451"/>
      <c r="CO165" s="451"/>
      <c r="CP165" s="451"/>
      <c r="CQ165" s="451"/>
    </row>
    <row r="166" spans="1:95" ht="12.75">
      <c r="A166" s="318"/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70"/>
      <c r="N166" s="370"/>
      <c r="O166" s="370"/>
      <c r="P166" s="370"/>
      <c r="Q166" s="370"/>
      <c r="R166" s="370"/>
      <c r="S166" s="406"/>
      <c r="T166" s="370"/>
      <c r="U166" s="376"/>
      <c r="V166" s="412"/>
      <c r="W166" s="327"/>
      <c r="X166" s="327"/>
      <c r="Y166" s="327"/>
      <c r="Z166" s="327"/>
      <c r="AA166" s="327"/>
      <c r="AB166" s="356"/>
      <c r="AC166" s="356"/>
      <c r="AD166" s="327"/>
      <c r="AE166" s="264"/>
      <c r="AF166" s="490" t="s">
        <v>265</v>
      </c>
      <c r="AG166" s="450"/>
      <c r="AH166" s="450"/>
      <c r="AI166" s="450"/>
      <c r="AJ166" s="483"/>
      <c r="AK166" s="489">
        <f>+AK164+AK159</f>
        <v>426321.72955223883</v>
      </c>
      <c r="AL166" s="489"/>
      <c r="AM166" s="489"/>
      <c r="AN166" s="489"/>
      <c r="AO166" s="489"/>
      <c r="AP166" s="489">
        <f t="shared" ref="AP166:BU166" si="145">+AP164+AP159</f>
        <v>229040.56454190006</v>
      </c>
      <c r="AQ166" s="489">
        <f t="shared" si="145"/>
        <v>132550.27499999999</v>
      </c>
      <c r="AR166" s="489">
        <f t="shared" si="145"/>
        <v>103736.68906250001</v>
      </c>
      <c r="AS166" s="489">
        <f t="shared" si="145"/>
        <v>112829.38699638964</v>
      </c>
      <c r="AT166" s="489">
        <f t="shared" si="145"/>
        <v>133500.40550000002</v>
      </c>
      <c r="AU166" s="489">
        <f t="shared" si="145"/>
        <v>482616.75655888976</v>
      </c>
      <c r="AV166" s="489">
        <f t="shared" si="145"/>
        <v>317970.75310343754</v>
      </c>
      <c r="AW166" s="489">
        <f t="shared" si="145"/>
        <v>120661.28493750002</v>
      </c>
      <c r="AX166" s="489">
        <f t="shared" si="145"/>
        <v>185428.31270888963</v>
      </c>
      <c r="AY166" s="489">
        <f t="shared" si="145"/>
        <v>287661.40810343757</v>
      </c>
      <c r="AZ166" s="489">
        <f t="shared" si="145"/>
        <v>911721.75885326485</v>
      </c>
      <c r="BA166" s="489">
        <f t="shared" si="145"/>
        <v>263709.13181250001</v>
      </c>
      <c r="BB166" s="489">
        <f t="shared" si="145"/>
        <v>218952.02652499999</v>
      </c>
      <c r="BC166" s="489">
        <f t="shared" si="145"/>
        <v>384488.39991232718</v>
      </c>
      <c r="BD166" s="489">
        <f t="shared" si="145"/>
        <v>169317.32331250003</v>
      </c>
      <c r="BE166" s="489">
        <f t="shared" si="145"/>
        <v>1036466.8815623273</v>
      </c>
      <c r="BF166" s="489">
        <f t="shared" si="145"/>
        <v>448853.39152500004</v>
      </c>
      <c r="BG166" s="489">
        <f t="shared" si="145"/>
        <v>343331.12372843758</v>
      </c>
      <c r="BH166" s="489">
        <f t="shared" si="145"/>
        <v>230275.41074638968</v>
      </c>
      <c r="BI166" s="489">
        <f t="shared" si="145"/>
        <v>338271.76965000003</v>
      </c>
      <c r="BJ166" s="489">
        <f t="shared" si="145"/>
        <v>1360731.6956498269</v>
      </c>
      <c r="BK166" s="489">
        <f t="shared" si="145"/>
        <v>384030.02372843761</v>
      </c>
      <c r="BL166" s="489">
        <f t="shared" si="145"/>
        <v>251531.92518750005</v>
      </c>
      <c r="BM166" s="489">
        <f t="shared" si="145"/>
        <v>401961.35520888964</v>
      </c>
      <c r="BN166" s="489">
        <f t="shared" si="145"/>
        <v>357485.64872843761</v>
      </c>
      <c r="BO166" s="489">
        <f t="shared" si="145"/>
        <v>1395008.9528532645</v>
      </c>
      <c r="BP166" s="489">
        <f t="shared" si="145"/>
        <v>250730.20018750004</v>
      </c>
      <c r="BQ166" s="489">
        <f t="shared" si="145"/>
        <v>330517.86965000001</v>
      </c>
      <c r="BR166" s="489">
        <f t="shared" si="145"/>
        <v>325921.42372843763</v>
      </c>
      <c r="BS166" s="489">
        <f t="shared" si="145"/>
        <v>190803.24862500004</v>
      </c>
      <c r="BT166" s="489">
        <f t="shared" si="145"/>
        <v>1097972.7421909377</v>
      </c>
      <c r="BU166" s="489">
        <f t="shared" si="145"/>
        <v>364816.14465000003</v>
      </c>
      <c r="BV166" s="489">
        <f t="shared" ref="BV166:CP166" si="146">+BV164+BV159</f>
        <v>252695.05966593753</v>
      </c>
      <c r="BW166" s="489">
        <f t="shared" si="146"/>
        <v>117446.02375000001</v>
      </c>
      <c r="BX166" s="489">
        <f t="shared" si="146"/>
        <v>212525.26414999997</v>
      </c>
      <c r="BY166" s="489">
        <f t="shared" si="146"/>
        <v>947482.49221593759</v>
      </c>
      <c r="BZ166" s="489">
        <f t="shared" si="146"/>
        <v>198609.545625</v>
      </c>
      <c r="CA166" s="489">
        <f t="shared" si="146"/>
        <v>102470.64025</v>
      </c>
      <c r="CB166" s="489">
        <f t="shared" si="146"/>
        <v>158933.04250000001</v>
      </c>
      <c r="CC166" s="489">
        <f t="shared" si="146"/>
        <v>104891.93125000001</v>
      </c>
      <c r="CD166" s="489">
        <f t="shared" si="146"/>
        <v>564905.15962499997</v>
      </c>
      <c r="CE166" s="489">
        <f t="shared" si="146"/>
        <v>92257.552750000003</v>
      </c>
      <c r="CF166" s="489">
        <f t="shared" si="146"/>
        <v>118265.84312500001</v>
      </c>
      <c r="CG166" s="489">
        <f t="shared" si="146"/>
        <v>6400.6250000000009</v>
      </c>
      <c r="CH166" s="489">
        <f t="shared" si="146"/>
        <v>35308.611250000002</v>
      </c>
      <c r="CI166" s="489">
        <f t="shared" si="146"/>
        <v>252232.632125</v>
      </c>
      <c r="CJ166" s="489">
        <f t="shared" si="146"/>
        <v>48513.028124999997</v>
      </c>
      <c r="CK166" s="489">
        <f t="shared" si="146"/>
        <v>6400.6250000000009</v>
      </c>
      <c r="CL166" s="489">
        <f t="shared" si="146"/>
        <v>156150</v>
      </c>
      <c r="CM166" s="489">
        <f t="shared" si="146"/>
        <v>426937.36865921726</v>
      </c>
      <c r="CN166" s="489">
        <f t="shared" si="146"/>
        <v>638001.02178421721</v>
      </c>
      <c r="CO166" s="489">
        <f t="shared" si="146"/>
        <v>9342502.3875128031</v>
      </c>
      <c r="CP166" s="489">
        <f t="shared" si="146"/>
        <v>11865547.742856137</v>
      </c>
      <c r="CQ166" s="452">
        <f>+CO166/CP166</f>
        <v>0.78736376861638113</v>
      </c>
    </row>
    <row r="167" spans="1:95" ht="12.75">
      <c r="A167" s="318"/>
      <c r="B167" s="370" t="s">
        <v>400</v>
      </c>
      <c r="C167" s="370"/>
      <c r="D167" s="370"/>
      <c r="E167" s="370"/>
      <c r="F167" s="370"/>
      <c r="G167" s="370"/>
      <c r="H167" s="370"/>
      <c r="I167" s="370"/>
      <c r="J167" s="370"/>
      <c r="K167" s="370"/>
      <c r="L167" s="370"/>
      <c r="M167" s="370">
        <f>+M141</f>
        <v>464199.96177757793</v>
      </c>
      <c r="N167" s="370">
        <f>+M167/N$8</f>
        <v>6447.2216913552493</v>
      </c>
      <c r="O167" s="376">
        <f t="shared" si="134"/>
        <v>6.3456906410976863</v>
      </c>
      <c r="P167" s="370">
        <f>+P141</f>
        <v>393280.52317267022</v>
      </c>
      <c r="Q167" s="370">
        <f>+P167/Q$8</f>
        <v>6447.2216913552493</v>
      </c>
      <c r="R167" s="376">
        <f>+Q167/Q$11</f>
        <v>5.3151044446457121</v>
      </c>
      <c r="S167" s="406">
        <f>+P167+M167</f>
        <v>857480.48495024815</v>
      </c>
      <c r="T167" s="370">
        <f t="shared" si="136"/>
        <v>6447.2216913552493</v>
      </c>
      <c r="U167" s="376">
        <f>+S167/U$8</f>
        <v>5.8274524105491059</v>
      </c>
      <c r="V167" s="405">
        <f>+S167/S$169</f>
        <v>6.7395942978119822E-2</v>
      </c>
      <c r="W167" s="327">
        <f t="shared" si="135"/>
        <v>5.5321323322869896E-2</v>
      </c>
      <c r="X167" s="327"/>
      <c r="Y167" s="327"/>
      <c r="Z167" s="327"/>
      <c r="AA167" s="327"/>
      <c r="AB167" s="327"/>
      <c r="AC167" s="327"/>
      <c r="AD167" s="327"/>
      <c r="AE167" s="264"/>
      <c r="AF167" s="451"/>
      <c r="AG167" s="451"/>
      <c r="AH167" s="451"/>
      <c r="AI167" s="451"/>
      <c r="AJ167" s="451"/>
      <c r="AK167" s="451"/>
      <c r="AL167" s="451"/>
      <c r="AM167" s="451"/>
      <c r="AN167" s="451"/>
      <c r="AO167" s="451"/>
      <c r="AP167" s="451"/>
      <c r="AQ167" s="451"/>
      <c r="AR167" s="451"/>
      <c r="AS167" s="451"/>
      <c r="AT167" s="451"/>
      <c r="AU167" s="451"/>
      <c r="AV167" s="451"/>
      <c r="AW167" s="451"/>
      <c r="AX167" s="451"/>
      <c r="AY167" s="451"/>
      <c r="AZ167" s="451"/>
      <c r="BA167" s="451"/>
      <c r="BB167" s="451"/>
      <c r="BC167" s="451"/>
      <c r="BD167" s="451"/>
      <c r="BE167" s="451"/>
      <c r="BF167" s="451"/>
      <c r="BG167" s="451"/>
      <c r="BH167" s="451"/>
      <c r="BI167" s="451"/>
      <c r="BJ167" s="451"/>
      <c r="BK167" s="451"/>
      <c r="BL167" s="451"/>
      <c r="BM167" s="451"/>
      <c r="BN167" s="451"/>
      <c r="BO167" s="451"/>
      <c r="BP167" s="451"/>
      <c r="BQ167" s="451"/>
      <c r="BR167" s="451"/>
      <c r="BS167" s="451"/>
      <c r="BT167" s="451"/>
      <c r="BU167" s="451"/>
      <c r="BV167" s="451"/>
      <c r="BW167" s="451"/>
      <c r="BX167" s="451"/>
      <c r="BY167" s="451"/>
      <c r="BZ167" s="451"/>
      <c r="CA167" s="451"/>
      <c r="CB167" s="451"/>
      <c r="CC167" s="451"/>
      <c r="CD167" s="451"/>
      <c r="CE167" s="451"/>
      <c r="CF167" s="451"/>
      <c r="CG167" s="451"/>
      <c r="CH167" s="451"/>
      <c r="CI167" s="451"/>
      <c r="CJ167" s="451"/>
      <c r="CK167" s="451"/>
      <c r="CL167" s="451"/>
      <c r="CM167" s="451"/>
      <c r="CN167" s="451"/>
      <c r="CO167" s="451"/>
      <c r="CP167" s="451"/>
      <c r="CQ167" s="451"/>
    </row>
    <row r="168" spans="1:95" ht="12.75">
      <c r="A168" s="318"/>
      <c r="B168" s="370"/>
      <c r="C168" s="370"/>
      <c r="D168" s="370"/>
      <c r="E168" s="370"/>
      <c r="F168" s="370"/>
      <c r="G168" s="370"/>
      <c r="H168" s="370"/>
      <c r="I168" s="370"/>
      <c r="J168" s="370"/>
      <c r="K168" s="370"/>
      <c r="L168" s="370"/>
      <c r="M168" s="370"/>
      <c r="N168" s="370"/>
      <c r="O168" s="376"/>
      <c r="P168" s="370"/>
      <c r="Q168" s="370"/>
      <c r="R168" s="376"/>
      <c r="S168" s="406"/>
      <c r="T168" s="370"/>
      <c r="U168" s="376"/>
      <c r="V168" s="412"/>
      <c r="W168" s="327"/>
      <c r="X168" s="327"/>
      <c r="Y168" s="327"/>
      <c r="Z168" s="327"/>
      <c r="AA168" s="327"/>
      <c r="AB168" s="327"/>
      <c r="AC168" s="327"/>
      <c r="AD168" s="327"/>
      <c r="AE168" s="264"/>
      <c r="AF168" s="463" t="s">
        <v>400</v>
      </c>
      <c r="AG168" s="450"/>
      <c r="AH168" s="450"/>
      <c r="AI168" s="450"/>
      <c r="AJ168" s="483"/>
      <c r="AK168" s="483"/>
      <c r="AL168" s="450"/>
      <c r="AM168" s="451"/>
      <c r="AN168" s="451"/>
      <c r="AO168" s="451"/>
      <c r="AP168" s="483"/>
      <c r="AQ168" s="483"/>
      <c r="AR168" s="483"/>
      <c r="AS168" s="483"/>
      <c r="AT168" s="483"/>
      <c r="AU168" s="483"/>
      <c r="AV168" s="483"/>
      <c r="AW168" s="483"/>
      <c r="AX168" s="483"/>
      <c r="AY168" s="483"/>
      <c r="AZ168" s="483"/>
      <c r="BA168" s="483"/>
      <c r="BB168" s="483"/>
      <c r="BC168" s="483"/>
      <c r="BD168" s="483"/>
      <c r="BE168" s="483"/>
      <c r="BF168" s="483"/>
      <c r="BG168" s="483"/>
      <c r="BH168" s="483"/>
      <c r="BI168" s="483"/>
      <c r="BJ168" s="483"/>
      <c r="BK168" s="483"/>
      <c r="BL168" s="483"/>
      <c r="BM168" s="483"/>
      <c r="BN168" s="483"/>
      <c r="BO168" s="483"/>
      <c r="BP168" s="483"/>
      <c r="BQ168" s="483"/>
      <c r="BR168" s="483"/>
      <c r="BS168" s="483"/>
      <c r="BT168" s="483"/>
      <c r="BU168" s="483"/>
      <c r="BV168" s="483"/>
      <c r="BW168" s="483"/>
      <c r="BX168" s="483"/>
      <c r="BY168" s="483"/>
      <c r="BZ168" s="483"/>
      <c r="CA168" s="483"/>
      <c r="CB168" s="483"/>
      <c r="CC168" s="483"/>
      <c r="CD168" s="483"/>
      <c r="CE168" s="483"/>
      <c r="CF168" s="483"/>
      <c r="CG168" s="483"/>
      <c r="CH168" s="483"/>
      <c r="CI168" s="483"/>
      <c r="CJ168" s="483"/>
      <c r="CK168" s="483"/>
      <c r="CL168" s="483"/>
      <c r="CM168" s="483"/>
      <c r="CN168" s="483"/>
      <c r="CO168" s="483"/>
      <c r="CP168" s="451"/>
      <c r="CQ168" s="451"/>
    </row>
    <row r="169" spans="1:95" ht="12.75">
      <c r="A169" s="318"/>
      <c r="B169" s="413" t="s">
        <v>261</v>
      </c>
      <c r="C169" s="414"/>
      <c r="D169" s="414"/>
      <c r="E169" s="414"/>
      <c r="F169" s="414"/>
      <c r="G169" s="414"/>
      <c r="H169" s="414"/>
      <c r="I169" s="414"/>
      <c r="J169" s="414"/>
      <c r="K169" s="414"/>
      <c r="L169" s="414"/>
      <c r="M169" s="415">
        <f>+M167+M165</f>
        <v>6461413.4067580067</v>
      </c>
      <c r="N169" s="415">
        <f>+M169/N$8</f>
        <v>89741.852871638985</v>
      </c>
      <c r="O169" s="416">
        <f t="shared" si="134"/>
        <v>88.328595346101366</v>
      </c>
      <c r="P169" s="415">
        <f>+P167+P165</f>
        <v>6261614.8210483808</v>
      </c>
      <c r="Q169" s="415">
        <f>+P169/Q$8</f>
        <v>102649.42329587509</v>
      </c>
      <c r="R169" s="416">
        <f>+Q169/Q$11</f>
        <v>84.624421513499669</v>
      </c>
      <c r="S169" s="417">
        <f>+P169+M169</f>
        <v>12723028.227806387</v>
      </c>
      <c r="T169" s="415">
        <f t="shared" si="136"/>
        <v>95661.866374484118</v>
      </c>
      <c r="U169" s="510">
        <f>+S169/U$8</f>
        <v>86.465922918253341</v>
      </c>
      <c r="V169" s="418">
        <f>+S169/S$169</f>
        <v>1</v>
      </c>
      <c r="W169" s="418">
        <f t="shared" si="135"/>
        <v>0.8208405562457971</v>
      </c>
      <c r="X169" s="422"/>
      <c r="Y169" s="422"/>
      <c r="Z169" s="422"/>
      <c r="AA169" s="422"/>
      <c r="AB169" s="327"/>
      <c r="AC169" s="327"/>
      <c r="AD169" s="422"/>
      <c r="AE169" s="286"/>
      <c r="AF169" s="451"/>
      <c r="AG169" s="450"/>
      <c r="AH169" s="450"/>
      <c r="AI169" s="450"/>
      <c r="AJ169" s="483"/>
      <c r="AK169" s="483"/>
      <c r="AL169" s="450"/>
      <c r="AM169" s="451"/>
      <c r="AN169" s="451"/>
      <c r="AO169" s="451"/>
      <c r="AP169" s="483"/>
      <c r="AQ169" s="483"/>
      <c r="AR169" s="483"/>
      <c r="AS169" s="483"/>
      <c r="AT169" s="483"/>
      <c r="AU169" s="483"/>
      <c r="AV169" s="483"/>
      <c r="AW169" s="483"/>
      <c r="AX169" s="483"/>
      <c r="AY169" s="483"/>
      <c r="AZ169" s="483"/>
      <c r="BA169" s="483"/>
      <c r="BB169" s="483"/>
      <c r="BC169" s="483"/>
      <c r="BD169" s="483"/>
      <c r="BE169" s="483"/>
      <c r="BF169" s="483"/>
      <c r="BG169" s="483"/>
      <c r="BH169" s="483"/>
      <c r="BI169" s="483"/>
      <c r="BJ169" s="483"/>
      <c r="BK169" s="483"/>
      <c r="BL169" s="483"/>
      <c r="BM169" s="483"/>
      <c r="BN169" s="483"/>
      <c r="BO169" s="483"/>
      <c r="BP169" s="483"/>
      <c r="BQ169" s="483"/>
      <c r="BR169" s="483"/>
      <c r="BS169" s="483"/>
      <c r="BT169" s="483"/>
      <c r="BU169" s="483"/>
      <c r="BV169" s="483"/>
      <c r="BW169" s="483"/>
      <c r="BX169" s="483"/>
      <c r="BY169" s="483"/>
      <c r="BZ169" s="483"/>
      <c r="CA169" s="483"/>
      <c r="CB169" s="483"/>
      <c r="CC169" s="483"/>
      <c r="CD169" s="483"/>
      <c r="CE169" s="483"/>
      <c r="CF169" s="483"/>
      <c r="CG169" s="483"/>
      <c r="CH169" s="483"/>
      <c r="CI169" s="483"/>
      <c r="CJ169" s="483"/>
      <c r="CK169" s="483"/>
      <c r="CL169" s="483"/>
      <c r="CM169" s="483"/>
      <c r="CN169" s="483"/>
      <c r="CO169" s="483"/>
      <c r="CP169" s="451"/>
      <c r="CQ169" s="451"/>
    </row>
    <row r="170" spans="1:95" ht="12.75">
      <c r="A170" s="318"/>
      <c r="B170" s="401"/>
      <c r="C170" s="345"/>
      <c r="D170" s="345"/>
      <c r="E170" s="345"/>
      <c r="F170" s="345"/>
      <c r="G170" s="345"/>
      <c r="H170" s="345"/>
      <c r="I170" s="345"/>
      <c r="J170" s="345"/>
      <c r="K170" s="345"/>
      <c r="L170" s="345"/>
      <c r="M170" s="419"/>
      <c r="N170" s="419"/>
      <c r="O170" s="420"/>
      <c r="P170" s="419"/>
      <c r="Q170" s="419"/>
      <c r="R170" s="420"/>
      <c r="S170" s="421"/>
      <c r="T170" s="419"/>
      <c r="U170" s="420"/>
      <c r="V170" s="422"/>
      <c r="W170" s="422"/>
      <c r="X170" s="422"/>
      <c r="Y170" s="422"/>
      <c r="Z170" s="422"/>
      <c r="AA170" s="422"/>
      <c r="AB170" s="422"/>
      <c r="AC170" s="422"/>
      <c r="AD170" s="422"/>
      <c r="AE170" s="286"/>
      <c r="AF170" s="450" t="s">
        <v>540</v>
      </c>
      <c r="AG170" s="450"/>
      <c r="AH170" s="450"/>
      <c r="AI170" s="450"/>
      <c r="AJ170" s="483"/>
      <c r="AK170" s="489">
        <f>+AK137+AK138+AK135</f>
        <v>145312.5</v>
      </c>
      <c r="AL170" s="489"/>
      <c r="AM170" s="489"/>
      <c r="AN170" s="489"/>
      <c r="AO170" s="489"/>
      <c r="AP170" s="489">
        <f t="shared" ref="AP170:CN170" si="147">+AP137+AP138+AP135</f>
        <v>0</v>
      </c>
      <c r="AQ170" s="489">
        <f t="shared" si="147"/>
        <v>0</v>
      </c>
      <c r="AR170" s="489">
        <f t="shared" si="147"/>
        <v>0</v>
      </c>
      <c r="AS170" s="489">
        <f t="shared" si="147"/>
        <v>0</v>
      </c>
      <c r="AT170" s="489">
        <f t="shared" si="147"/>
        <v>0</v>
      </c>
      <c r="AU170" s="489">
        <f t="shared" si="147"/>
        <v>0</v>
      </c>
      <c r="AV170" s="489">
        <f t="shared" si="147"/>
        <v>0</v>
      </c>
      <c r="AW170" s="489">
        <f t="shared" si="147"/>
        <v>0</v>
      </c>
      <c r="AX170" s="489">
        <f t="shared" si="147"/>
        <v>0</v>
      </c>
      <c r="AY170" s="489">
        <f t="shared" si="147"/>
        <v>0</v>
      </c>
      <c r="AZ170" s="489">
        <f t="shared" si="147"/>
        <v>0</v>
      </c>
      <c r="BA170" s="489">
        <f t="shared" si="147"/>
        <v>0</v>
      </c>
      <c r="BB170" s="489">
        <f t="shared" si="147"/>
        <v>0</v>
      </c>
      <c r="BC170" s="489">
        <f t="shared" si="147"/>
        <v>0</v>
      </c>
      <c r="BD170" s="489">
        <f t="shared" si="147"/>
        <v>0</v>
      </c>
      <c r="BE170" s="489">
        <f t="shared" si="147"/>
        <v>0</v>
      </c>
      <c r="BF170" s="489">
        <f t="shared" si="147"/>
        <v>0</v>
      </c>
      <c r="BG170" s="489">
        <f t="shared" si="147"/>
        <v>0</v>
      </c>
      <c r="BH170" s="489">
        <f t="shared" si="147"/>
        <v>0</v>
      </c>
      <c r="BI170" s="489">
        <f t="shared" si="147"/>
        <v>0</v>
      </c>
      <c r="BJ170" s="489">
        <f t="shared" si="147"/>
        <v>0</v>
      </c>
      <c r="BK170" s="489">
        <f t="shared" si="147"/>
        <v>0</v>
      </c>
      <c r="BL170" s="489">
        <f t="shared" si="147"/>
        <v>0</v>
      </c>
      <c r="BM170" s="489">
        <f t="shared" si="147"/>
        <v>0</v>
      </c>
      <c r="BN170" s="489">
        <f t="shared" si="147"/>
        <v>0</v>
      </c>
      <c r="BO170" s="489">
        <f t="shared" si="147"/>
        <v>0</v>
      </c>
      <c r="BP170" s="489">
        <f t="shared" si="147"/>
        <v>0</v>
      </c>
      <c r="BQ170" s="489">
        <f t="shared" si="147"/>
        <v>0</v>
      </c>
      <c r="BR170" s="489">
        <f t="shared" si="147"/>
        <v>0</v>
      </c>
      <c r="BS170" s="489">
        <f t="shared" si="147"/>
        <v>0</v>
      </c>
      <c r="BT170" s="489">
        <f t="shared" si="147"/>
        <v>0</v>
      </c>
      <c r="BU170" s="489">
        <f t="shared" si="147"/>
        <v>0</v>
      </c>
      <c r="BV170" s="489">
        <f t="shared" si="147"/>
        <v>0</v>
      </c>
      <c r="BW170" s="489">
        <f t="shared" si="147"/>
        <v>0</v>
      </c>
      <c r="BX170" s="489">
        <f t="shared" si="147"/>
        <v>0</v>
      </c>
      <c r="BY170" s="489">
        <f t="shared" si="147"/>
        <v>0</v>
      </c>
      <c r="BZ170" s="489">
        <f t="shared" si="147"/>
        <v>0</v>
      </c>
      <c r="CA170" s="489">
        <f t="shared" si="147"/>
        <v>0</v>
      </c>
      <c r="CB170" s="489">
        <f t="shared" si="147"/>
        <v>0</v>
      </c>
      <c r="CC170" s="489">
        <f t="shared" si="147"/>
        <v>0</v>
      </c>
      <c r="CD170" s="489">
        <f t="shared" si="147"/>
        <v>0</v>
      </c>
      <c r="CE170" s="489">
        <f t="shared" si="147"/>
        <v>0</v>
      </c>
      <c r="CF170" s="489">
        <f t="shared" si="147"/>
        <v>0</v>
      </c>
      <c r="CG170" s="489">
        <f t="shared" si="147"/>
        <v>0</v>
      </c>
      <c r="CH170" s="489">
        <f t="shared" si="147"/>
        <v>0</v>
      </c>
      <c r="CI170" s="489">
        <f t="shared" si="147"/>
        <v>0</v>
      </c>
      <c r="CJ170" s="489">
        <f t="shared" si="147"/>
        <v>0</v>
      </c>
      <c r="CK170" s="489">
        <f t="shared" si="147"/>
        <v>0</v>
      </c>
      <c r="CL170" s="489">
        <f t="shared" si="147"/>
        <v>0</v>
      </c>
      <c r="CM170" s="489">
        <f t="shared" si="147"/>
        <v>0</v>
      </c>
      <c r="CN170" s="489">
        <f t="shared" si="147"/>
        <v>0</v>
      </c>
      <c r="CO170" s="489">
        <f>+CO137+CO138+CO135</f>
        <v>145312.5</v>
      </c>
      <c r="CP170" s="451">
        <f>SUM(S135:S138)</f>
        <v>148812.5</v>
      </c>
      <c r="CQ170" s="452">
        <f>+CO170/CP170</f>
        <v>0.97648047039059216</v>
      </c>
    </row>
    <row r="171" spans="1:95" ht="12.75">
      <c r="A171" s="318"/>
      <c r="B171" s="413" t="s">
        <v>548</v>
      </c>
      <c r="C171" s="414"/>
      <c r="D171" s="414"/>
      <c r="E171" s="414"/>
      <c r="F171" s="414"/>
      <c r="G171" s="414"/>
      <c r="H171" s="414"/>
      <c r="I171" s="414"/>
      <c r="J171" s="414"/>
      <c r="K171" s="414"/>
      <c r="L171" s="414"/>
      <c r="M171" s="423">
        <f>N171*N8</f>
        <v>7868880</v>
      </c>
      <c r="N171" s="415">
        <v>109290</v>
      </c>
      <c r="O171" s="416">
        <f t="shared" si="134"/>
        <v>107.56889763779527</v>
      </c>
      <c r="P171" s="423">
        <f>Q171*Q8</f>
        <v>7631119.5200000005</v>
      </c>
      <c r="Q171" s="415">
        <v>125100.32</v>
      </c>
      <c r="R171" s="416">
        <f>+Q171/Q$11</f>
        <v>103.13299258037924</v>
      </c>
      <c r="S171" s="417">
        <f>+P171+M171</f>
        <v>15499999.52</v>
      </c>
      <c r="T171" s="415">
        <f t="shared" si="136"/>
        <v>116541.34977443609</v>
      </c>
      <c r="U171" s="510">
        <f>+S171/U$8</f>
        <v>105.33826851065275</v>
      </c>
      <c r="V171" s="418">
        <f>+S171/S$169</f>
        <v>1.2182633915819268</v>
      </c>
      <c r="W171" s="418">
        <f>+S171/TotalValue</f>
        <v>1</v>
      </c>
      <c r="X171" s="422"/>
      <c r="Y171" s="422"/>
      <c r="Z171" s="422"/>
      <c r="AA171" s="422"/>
      <c r="AB171" s="422"/>
      <c r="AC171" s="422"/>
      <c r="AD171" s="422"/>
      <c r="AE171" s="286"/>
      <c r="AF171" s="450" t="s">
        <v>541</v>
      </c>
      <c r="AG171" s="450"/>
      <c r="AH171" s="450"/>
      <c r="AI171" s="450"/>
      <c r="AJ171" s="483"/>
      <c r="AK171" s="462">
        <f>+AK139</f>
        <v>3053.1307153769076</v>
      </c>
      <c r="AL171" s="450"/>
      <c r="AM171" s="451"/>
      <c r="AN171" s="451"/>
      <c r="AO171" s="451"/>
      <c r="AP171" s="462">
        <f t="shared" ref="AP171:CN171" si="148">+AP139</f>
        <v>4981.65500993771</v>
      </c>
      <c r="AQ171" s="462">
        <f t="shared" si="148"/>
        <v>1460.3206965364755</v>
      </c>
      <c r="AR171" s="462">
        <f t="shared" si="148"/>
        <v>1711.5905634674814</v>
      </c>
      <c r="AS171" s="462">
        <f t="shared" si="148"/>
        <v>1909.3060877661705</v>
      </c>
      <c r="AT171" s="462">
        <f t="shared" si="148"/>
        <v>2124.4411372989625</v>
      </c>
      <c r="AU171" s="462">
        <f t="shared" si="148"/>
        <v>7205.6584850690897</v>
      </c>
      <c r="AV171" s="462">
        <f t="shared" si="148"/>
        <v>2378.7377247438985</v>
      </c>
      <c r="AW171" s="462">
        <f t="shared" si="148"/>
        <v>2979.3930200467385</v>
      </c>
      <c r="AX171" s="462">
        <f t="shared" si="148"/>
        <v>3211.2192912171386</v>
      </c>
      <c r="AY171" s="462">
        <f t="shared" si="148"/>
        <v>3564.9184137173388</v>
      </c>
      <c r="AZ171" s="462">
        <f t="shared" si="148"/>
        <v>12134.268449725114</v>
      </c>
      <c r="BA171" s="462">
        <f t="shared" si="148"/>
        <v>4110.9677759370043</v>
      </c>
      <c r="BB171" s="462">
        <f t="shared" si="148"/>
        <v>4613.1304626653236</v>
      </c>
      <c r="BC171" s="462">
        <f t="shared" si="148"/>
        <v>5032.3151320171955</v>
      </c>
      <c r="BD171" s="462">
        <f t="shared" si="148"/>
        <v>5762.6664727253419</v>
      </c>
      <c r="BE171" s="462">
        <f t="shared" si="148"/>
        <v>19519.079843344865</v>
      </c>
      <c r="BF171" s="462">
        <f t="shared" si="148"/>
        <v>6090.9414535726401</v>
      </c>
      <c r="BG171" s="462">
        <f t="shared" si="148"/>
        <v>6943.9620779074639</v>
      </c>
      <c r="BH171" s="462">
        <f t="shared" si="148"/>
        <v>7600.7278637943609</v>
      </c>
      <c r="BI171" s="462">
        <f t="shared" si="148"/>
        <v>8046.7456236884555</v>
      </c>
      <c r="BJ171" s="462">
        <f t="shared" si="148"/>
        <v>28682.377018962921</v>
      </c>
      <c r="BK171" s="462">
        <f t="shared" si="148"/>
        <v>8696.0928398266205</v>
      </c>
      <c r="BL171" s="462">
        <f t="shared" si="148"/>
        <v>9432.4543083921162</v>
      </c>
      <c r="BM171" s="462">
        <f t="shared" si="148"/>
        <v>9921.7625199469148</v>
      </c>
      <c r="BN171" s="462">
        <f t="shared" si="148"/>
        <v>10694.043365688483</v>
      </c>
      <c r="BO171" s="462">
        <f t="shared" si="148"/>
        <v>38744.353033854131</v>
      </c>
      <c r="BP171" s="462">
        <f t="shared" si="148"/>
        <v>11384.38028836497</v>
      </c>
      <c r="BQ171" s="462">
        <f t="shared" si="148"/>
        <v>11875.845126757216</v>
      </c>
      <c r="BR171" s="462">
        <f t="shared" si="148"/>
        <v>12517.833341963636</v>
      </c>
      <c r="BS171" s="462">
        <f t="shared" si="148"/>
        <v>13152.406948970638</v>
      </c>
      <c r="BT171" s="462">
        <f t="shared" si="148"/>
        <v>48930.465706056457</v>
      </c>
      <c r="BU171" s="462">
        <f t="shared" si="148"/>
        <v>13534.823803171834</v>
      </c>
      <c r="BV171" s="462">
        <f t="shared" si="148"/>
        <v>14244.231869021531</v>
      </c>
      <c r="BW171" s="462">
        <f t="shared" si="148"/>
        <v>14744.743040649579</v>
      </c>
      <c r="BX171" s="462">
        <f t="shared" si="148"/>
        <v>14992.600728382047</v>
      </c>
      <c r="BY171" s="462">
        <f t="shared" si="148"/>
        <v>57516.399441224989</v>
      </c>
      <c r="BZ171" s="462">
        <f t="shared" si="148"/>
        <v>15419.196725029013</v>
      </c>
      <c r="CA171" s="462">
        <f t="shared" si="148"/>
        <v>15820.50061693532</v>
      </c>
      <c r="CB171" s="462">
        <f t="shared" si="148"/>
        <v>16042.296506060822</v>
      </c>
      <c r="CC171" s="462">
        <f t="shared" si="148"/>
        <v>16370.375266697187</v>
      </c>
      <c r="CD171" s="462">
        <f t="shared" si="148"/>
        <v>63652.369114722344</v>
      </c>
      <c r="CE171" s="462">
        <f t="shared" si="148"/>
        <v>16597.742091415996</v>
      </c>
      <c r="CF171" s="462">
        <f t="shared" si="148"/>
        <v>16801.84576924365</v>
      </c>
      <c r="CG171" s="462">
        <f t="shared" si="148"/>
        <v>17055.097685920358</v>
      </c>
      <c r="CH171" s="462">
        <f t="shared" si="148"/>
        <v>17099.077165956456</v>
      </c>
      <c r="CI171" s="462">
        <f t="shared" si="148"/>
        <v>67553.762712536467</v>
      </c>
      <c r="CJ171" s="462">
        <f t="shared" si="148"/>
        <v>17197.341581736375</v>
      </c>
      <c r="CK171" s="462">
        <f t="shared" si="148"/>
        <v>17320.548524936505</v>
      </c>
      <c r="CL171" s="462">
        <f t="shared" si="148"/>
        <v>17365.025725295764</v>
      </c>
      <c r="CM171" s="462">
        <f t="shared" si="148"/>
        <v>17690.366398530692</v>
      </c>
      <c r="CN171" s="462">
        <f t="shared" si="148"/>
        <v>69573.282230499331</v>
      </c>
      <c r="CO171" s="462">
        <f>+CO139</f>
        <v>421546.80176131043</v>
      </c>
      <c r="CP171" s="451">
        <f>+$S139</f>
        <v>708667.98495024815</v>
      </c>
      <c r="CQ171" s="452">
        <f>+CO171/CP171</f>
        <v>0.59484386301281134</v>
      </c>
    </row>
    <row r="172" spans="1:95" ht="12.75">
      <c r="A172" s="318"/>
      <c r="B172" s="318"/>
      <c r="C172" s="318"/>
      <c r="D172" s="318"/>
      <c r="E172" s="318"/>
      <c r="F172" s="318"/>
      <c r="G172" s="318"/>
      <c r="H172" s="318"/>
      <c r="I172" s="318"/>
      <c r="J172" s="318"/>
      <c r="K172" s="318"/>
      <c r="L172" s="318"/>
      <c r="M172" s="318"/>
      <c r="N172" s="318"/>
      <c r="O172" s="318"/>
      <c r="P172" s="318"/>
      <c r="Q172" s="318"/>
      <c r="R172" s="318"/>
      <c r="S172" s="424"/>
      <c r="T172" s="318"/>
      <c r="U172" s="341"/>
      <c r="V172" s="318"/>
      <c r="W172" s="319"/>
      <c r="X172" s="319"/>
      <c r="Y172" s="319"/>
      <c r="Z172" s="319"/>
      <c r="AA172" s="319"/>
      <c r="AB172" s="422"/>
      <c r="AC172" s="422"/>
      <c r="AD172" s="319"/>
      <c r="AE172" s="263"/>
      <c r="AF172" s="464" t="s">
        <v>542</v>
      </c>
      <c r="AG172" s="464"/>
      <c r="AH172" s="464"/>
      <c r="AI172" s="464"/>
      <c r="AJ172" s="487"/>
      <c r="AK172" s="491">
        <f>+AK171+AK170</f>
        <v>148365.6307153769</v>
      </c>
      <c r="AL172" s="464"/>
      <c r="AM172" s="465"/>
      <c r="AN172" s="465"/>
      <c r="AO172" s="465"/>
      <c r="AP172" s="491">
        <f t="shared" ref="AP172:CP172" si="149">+AP171+AP170</f>
        <v>4981.65500993771</v>
      </c>
      <c r="AQ172" s="491">
        <f t="shared" si="149"/>
        <v>1460.3206965364755</v>
      </c>
      <c r="AR172" s="491">
        <f t="shared" si="149"/>
        <v>1711.5905634674814</v>
      </c>
      <c r="AS172" s="491">
        <f t="shared" si="149"/>
        <v>1909.3060877661705</v>
      </c>
      <c r="AT172" s="491">
        <f t="shared" si="149"/>
        <v>2124.4411372989625</v>
      </c>
      <c r="AU172" s="491">
        <f t="shared" si="149"/>
        <v>7205.6584850690897</v>
      </c>
      <c r="AV172" s="491">
        <f t="shared" si="149"/>
        <v>2378.7377247438985</v>
      </c>
      <c r="AW172" s="491">
        <f t="shared" si="149"/>
        <v>2979.3930200467385</v>
      </c>
      <c r="AX172" s="491">
        <f t="shared" si="149"/>
        <v>3211.2192912171386</v>
      </c>
      <c r="AY172" s="491">
        <f t="shared" si="149"/>
        <v>3564.9184137173388</v>
      </c>
      <c r="AZ172" s="491">
        <f t="shared" si="149"/>
        <v>12134.268449725114</v>
      </c>
      <c r="BA172" s="491">
        <f t="shared" si="149"/>
        <v>4110.9677759370043</v>
      </c>
      <c r="BB172" s="491">
        <f t="shared" si="149"/>
        <v>4613.1304626653236</v>
      </c>
      <c r="BC172" s="491">
        <f t="shared" si="149"/>
        <v>5032.3151320171955</v>
      </c>
      <c r="BD172" s="491">
        <f t="shared" si="149"/>
        <v>5762.6664727253419</v>
      </c>
      <c r="BE172" s="491">
        <f t="shared" si="149"/>
        <v>19519.079843344865</v>
      </c>
      <c r="BF172" s="491">
        <f t="shared" si="149"/>
        <v>6090.9414535726401</v>
      </c>
      <c r="BG172" s="491">
        <f t="shared" si="149"/>
        <v>6943.9620779074639</v>
      </c>
      <c r="BH172" s="491">
        <f t="shared" si="149"/>
        <v>7600.7278637943609</v>
      </c>
      <c r="BI172" s="491">
        <f t="shared" si="149"/>
        <v>8046.7456236884555</v>
      </c>
      <c r="BJ172" s="491">
        <f t="shared" si="149"/>
        <v>28682.377018962921</v>
      </c>
      <c r="BK172" s="491">
        <f t="shared" si="149"/>
        <v>8696.0928398266205</v>
      </c>
      <c r="BL172" s="491">
        <f t="shared" si="149"/>
        <v>9432.4543083921162</v>
      </c>
      <c r="BM172" s="491">
        <f t="shared" si="149"/>
        <v>9921.7625199469148</v>
      </c>
      <c r="BN172" s="491">
        <f t="shared" si="149"/>
        <v>10694.043365688483</v>
      </c>
      <c r="BO172" s="491">
        <f t="shared" si="149"/>
        <v>38744.353033854131</v>
      </c>
      <c r="BP172" s="491">
        <f t="shared" si="149"/>
        <v>11384.38028836497</v>
      </c>
      <c r="BQ172" s="491">
        <f t="shared" si="149"/>
        <v>11875.845126757216</v>
      </c>
      <c r="BR172" s="491">
        <f t="shared" si="149"/>
        <v>12517.833341963636</v>
      </c>
      <c r="BS172" s="491">
        <f t="shared" si="149"/>
        <v>13152.406948970638</v>
      </c>
      <c r="BT172" s="491">
        <f t="shared" si="149"/>
        <v>48930.465706056457</v>
      </c>
      <c r="BU172" s="491">
        <f t="shared" si="149"/>
        <v>13534.823803171834</v>
      </c>
      <c r="BV172" s="491">
        <f t="shared" si="149"/>
        <v>14244.231869021531</v>
      </c>
      <c r="BW172" s="491">
        <f t="shared" si="149"/>
        <v>14744.743040649579</v>
      </c>
      <c r="BX172" s="491">
        <f t="shared" si="149"/>
        <v>14992.600728382047</v>
      </c>
      <c r="BY172" s="491">
        <f t="shared" si="149"/>
        <v>57516.399441224989</v>
      </c>
      <c r="BZ172" s="491">
        <f t="shared" si="149"/>
        <v>15419.196725029013</v>
      </c>
      <c r="CA172" s="491">
        <f t="shared" si="149"/>
        <v>15820.50061693532</v>
      </c>
      <c r="CB172" s="491">
        <f t="shared" si="149"/>
        <v>16042.296506060822</v>
      </c>
      <c r="CC172" s="491">
        <f t="shared" si="149"/>
        <v>16370.375266697187</v>
      </c>
      <c r="CD172" s="491">
        <f t="shared" si="149"/>
        <v>63652.369114722344</v>
      </c>
      <c r="CE172" s="491">
        <f t="shared" si="149"/>
        <v>16597.742091415996</v>
      </c>
      <c r="CF172" s="491">
        <f t="shared" si="149"/>
        <v>16801.84576924365</v>
      </c>
      <c r="CG172" s="491">
        <f t="shared" si="149"/>
        <v>17055.097685920358</v>
      </c>
      <c r="CH172" s="491">
        <f t="shared" si="149"/>
        <v>17099.077165956456</v>
      </c>
      <c r="CI172" s="491">
        <f t="shared" si="149"/>
        <v>67553.762712536467</v>
      </c>
      <c r="CJ172" s="491">
        <f t="shared" si="149"/>
        <v>17197.341581736375</v>
      </c>
      <c r="CK172" s="491">
        <f t="shared" si="149"/>
        <v>17320.548524936505</v>
      </c>
      <c r="CL172" s="491">
        <f t="shared" si="149"/>
        <v>17365.025725295764</v>
      </c>
      <c r="CM172" s="491">
        <f t="shared" si="149"/>
        <v>17690.366398530692</v>
      </c>
      <c r="CN172" s="491">
        <f t="shared" si="149"/>
        <v>69573.282230499331</v>
      </c>
      <c r="CO172" s="491">
        <f t="shared" si="149"/>
        <v>566859.30176131043</v>
      </c>
      <c r="CP172" s="491">
        <f t="shared" si="149"/>
        <v>857480.48495024815</v>
      </c>
      <c r="CQ172" s="473">
        <f>+CO172/CP172</f>
        <v>0.6610754550223964</v>
      </c>
    </row>
    <row r="173" spans="1:95" ht="12.75">
      <c r="A173" s="318"/>
      <c r="B173" s="398" t="s">
        <v>467</v>
      </c>
      <c r="C173" s="318"/>
      <c r="D173" s="318"/>
      <c r="E173" s="318"/>
      <c r="F173" s="318"/>
      <c r="G173" s="318"/>
      <c r="H173" s="318"/>
      <c r="I173" s="318"/>
      <c r="J173" s="318"/>
      <c r="K173" s="318"/>
      <c r="L173" s="318"/>
      <c r="M173" s="318"/>
      <c r="N173" s="318"/>
      <c r="O173" s="318"/>
      <c r="P173" s="318"/>
      <c r="Q173" s="318"/>
      <c r="R173" s="318"/>
      <c r="S173" s="424"/>
      <c r="T173" s="318"/>
      <c r="U173" s="341"/>
      <c r="V173" s="318"/>
      <c r="W173" s="319"/>
      <c r="X173" s="319"/>
      <c r="Y173" s="319"/>
      <c r="Z173" s="319"/>
      <c r="AA173" s="319"/>
      <c r="AB173" s="319"/>
      <c r="AC173" s="319"/>
      <c r="AD173" s="319"/>
      <c r="AE173" s="263"/>
      <c r="AF173" s="450"/>
      <c r="AG173" s="450"/>
      <c r="AH173" s="450"/>
      <c r="AI173" s="450"/>
      <c r="AJ173" s="483"/>
      <c r="AK173" s="483"/>
      <c r="AL173" s="450"/>
      <c r="AM173" s="451"/>
      <c r="AN173" s="451"/>
      <c r="AO173" s="451"/>
      <c r="AP173" s="483"/>
      <c r="AQ173" s="483"/>
      <c r="AR173" s="483"/>
      <c r="AS173" s="483"/>
      <c r="AT173" s="483"/>
      <c r="AU173" s="483"/>
      <c r="AV173" s="483"/>
      <c r="AW173" s="483"/>
      <c r="AX173" s="483"/>
      <c r="AY173" s="483"/>
      <c r="AZ173" s="483"/>
      <c r="BA173" s="483"/>
      <c r="BB173" s="483"/>
      <c r="BC173" s="483"/>
      <c r="BD173" s="483"/>
      <c r="BE173" s="483"/>
      <c r="BF173" s="483"/>
      <c r="BG173" s="483"/>
      <c r="BH173" s="483"/>
      <c r="BI173" s="483"/>
      <c r="BJ173" s="483"/>
      <c r="BK173" s="483"/>
      <c r="BL173" s="483"/>
      <c r="BM173" s="483"/>
      <c r="BN173" s="483"/>
      <c r="BO173" s="483"/>
      <c r="BP173" s="483"/>
      <c r="BQ173" s="483"/>
      <c r="BR173" s="483"/>
      <c r="BS173" s="483"/>
      <c r="BT173" s="483"/>
      <c r="BU173" s="483"/>
      <c r="BV173" s="483"/>
      <c r="BW173" s="483"/>
      <c r="BX173" s="483"/>
      <c r="BY173" s="483"/>
      <c r="BZ173" s="483"/>
      <c r="CA173" s="483"/>
      <c r="CB173" s="483"/>
      <c r="CC173" s="483"/>
      <c r="CD173" s="483"/>
      <c r="CE173" s="483"/>
      <c r="CF173" s="483"/>
      <c r="CG173" s="483"/>
      <c r="CH173" s="483"/>
      <c r="CI173" s="483"/>
      <c r="CJ173" s="483"/>
      <c r="CK173" s="483"/>
      <c r="CL173" s="483"/>
      <c r="CM173" s="483"/>
      <c r="CN173" s="483"/>
      <c r="CO173" s="483"/>
      <c r="CP173" s="451"/>
      <c r="CQ173" s="451"/>
    </row>
    <row r="174" spans="1:95" ht="13.5" thickBot="1">
      <c r="A174" s="318"/>
      <c r="B174" s="387" t="s">
        <v>515</v>
      </c>
      <c r="C174" s="318"/>
      <c r="D174" s="318"/>
      <c r="E174" s="318"/>
      <c r="F174" s="318"/>
      <c r="G174" s="318"/>
      <c r="H174" s="318"/>
      <c r="I174" s="318"/>
      <c r="J174" s="318"/>
      <c r="K174" s="318"/>
      <c r="L174" s="318"/>
      <c r="M174" s="402">
        <f>+M154</f>
        <v>607219.84962406033</v>
      </c>
      <c r="N174" s="402">
        <f>+M174/N$8</f>
        <v>8433.609022556393</v>
      </c>
      <c r="O174" s="403">
        <f>+N174/N$11</f>
        <v>8.3007962820436934</v>
      </c>
      <c r="P174" s="402">
        <f>+P154</f>
        <v>514450.15037593996</v>
      </c>
      <c r="Q174" s="402">
        <f>+P174/Q$8</f>
        <v>8433.609022556393</v>
      </c>
      <c r="R174" s="403">
        <f>+Q174/Q$11</f>
        <v>6.9526867457183785</v>
      </c>
      <c r="S174" s="425">
        <f>+S154</f>
        <v>1121670.0000000002</v>
      </c>
      <c r="T174" s="370">
        <f>+S174/S$8</f>
        <v>8433.609022556393</v>
      </c>
      <c r="U174" s="376">
        <f>+S174/U$8</f>
        <v>7.6228889870535879</v>
      </c>
      <c r="V174" s="422">
        <f>+S174/S$169</f>
        <v>8.8160615532438411E-2</v>
      </c>
      <c r="W174" s="422">
        <f>+S174/TotalValue</f>
        <v>7.2365808692618605E-2</v>
      </c>
      <c r="X174" s="422"/>
      <c r="Y174" s="422"/>
      <c r="Z174" s="422"/>
      <c r="AA174" s="422"/>
      <c r="AB174" s="319"/>
      <c r="AC174" s="319"/>
      <c r="AD174" s="422"/>
      <c r="AE174" s="263"/>
      <c r="AF174" s="492" t="s">
        <v>543</v>
      </c>
      <c r="AG174" s="493"/>
      <c r="AH174" s="493"/>
      <c r="AI174" s="493"/>
      <c r="AJ174" s="494"/>
      <c r="AK174" s="495">
        <f>+AK172+AK166</f>
        <v>574687.36026761576</v>
      </c>
      <c r="AL174" s="495"/>
      <c r="AM174" s="495"/>
      <c r="AN174" s="495"/>
      <c r="AO174" s="495"/>
      <c r="AP174" s="495">
        <f t="shared" ref="AP174:CP174" si="150">+AP172+AP166</f>
        <v>234022.21955183777</v>
      </c>
      <c r="AQ174" s="495">
        <f t="shared" si="150"/>
        <v>134010.59569653647</v>
      </c>
      <c r="AR174" s="495">
        <f t="shared" si="150"/>
        <v>105448.27962596749</v>
      </c>
      <c r="AS174" s="495">
        <f t="shared" si="150"/>
        <v>114738.69308415582</v>
      </c>
      <c r="AT174" s="495">
        <f t="shared" si="150"/>
        <v>135624.84663729899</v>
      </c>
      <c r="AU174" s="495">
        <f t="shared" si="150"/>
        <v>489822.41504395887</v>
      </c>
      <c r="AV174" s="495">
        <f t="shared" si="150"/>
        <v>320349.49082818144</v>
      </c>
      <c r="AW174" s="495">
        <f t="shared" si="150"/>
        <v>123640.67795754677</v>
      </c>
      <c r="AX174" s="495">
        <f t="shared" si="150"/>
        <v>188639.53200010676</v>
      </c>
      <c r="AY174" s="495">
        <f t="shared" si="150"/>
        <v>291226.32651715493</v>
      </c>
      <c r="AZ174" s="495">
        <f t="shared" si="150"/>
        <v>923856.02730298997</v>
      </c>
      <c r="BA174" s="495">
        <f t="shared" si="150"/>
        <v>267820.09958843701</v>
      </c>
      <c r="BB174" s="495">
        <f t="shared" si="150"/>
        <v>223565.15698766531</v>
      </c>
      <c r="BC174" s="495">
        <f t="shared" si="150"/>
        <v>389520.71504434437</v>
      </c>
      <c r="BD174" s="495">
        <f t="shared" si="150"/>
        <v>175079.98978522536</v>
      </c>
      <c r="BE174" s="495">
        <f t="shared" si="150"/>
        <v>1055985.9614056721</v>
      </c>
      <c r="BF174" s="495">
        <f t="shared" si="150"/>
        <v>454944.3329785727</v>
      </c>
      <c r="BG174" s="495">
        <f t="shared" si="150"/>
        <v>350275.08580634504</v>
      </c>
      <c r="BH174" s="495">
        <f t="shared" si="150"/>
        <v>237876.13861018405</v>
      </c>
      <c r="BI174" s="495">
        <f t="shared" si="150"/>
        <v>346318.51527368848</v>
      </c>
      <c r="BJ174" s="495">
        <f t="shared" si="150"/>
        <v>1389414.0726687899</v>
      </c>
      <c r="BK174" s="495">
        <f t="shared" si="150"/>
        <v>392726.1165682642</v>
      </c>
      <c r="BL174" s="495">
        <f t="shared" si="150"/>
        <v>260964.37949589215</v>
      </c>
      <c r="BM174" s="495">
        <f t="shared" si="150"/>
        <v>411883.11772883654</v>
      </c>
      <c r="BN174" s="495">
        <f t="shared" si="150"/>
        <v>368179.69209412608</v>
      </c>
      <c r="BO174" s="495">
        <f t="shared" si="150"/>
        <v>1433753.3058871187</v>
      </c>
      <c r="BP174" s="495">
        <f t="shared" si="150"/>
        <v>262114.58047586502</v>
      </c>
      <c r="BQ174" s="495">
        <f t="shared" si="150"/>
        <v>342393.71477675723</v>
      </c>
      <c r="BR174" s="495">
        <f t="shared" si="150"/>
        <v>338439.25707040128</v>
      </c>
      <c r="BS174" s="495">
        <f t="shared" si="150"/>
        <v>203955.65557397067</v>
      </c>
      <c r="BT174" s="495">
        <f t="shared" si="150"/>
        <v>1146903.2078969942</v>
      </c>
      <c r="BU174" s="495">
        <f t="shared" si="150"/>
        <v>378350.96845317184</v>
      </c>
      <c r="BV174" s="495">
        <f t="shared" si="150"/>
        <v>266939.29153495905</v>
      </c>
      <c r="BW174" s="495">
        <f t="shared" si="150"/>
        <v>132190.76679064959</v>
      </c>
      <c r="BX174" s="495">
        <f t="shared" si="150"/>
        <v>227517.86487838201</v>
      </c>
      <c r="BY174" s="495">
        <f t="shared" si="150"/>
        <v>1004998.8916571626</v>
      </c>
      <c r="BZ174" s="495">
        <f t="shared" si="150"/>
        <v>214028.742350029</v>
      </c>
      <c r="CA174" s="495">
        <f t="shared" si="150"/>
        <v>118291.14086693531</v>
      </c>
      <c r="CB174" s="495">
        <f t="shared" si="150"/>
        <v>174975.33900606082</v>
      </c>
      <c r="CC174" s="495">
        <f t="shared" si="150"/>
        <v>121262.30651669719</v>
      </c>
      <c r="CD174" s="495">
        <f t="shared" si="150"/>
        <v>628557.52873972233</v>
      </c>
      <c r="CE174" s="495">
        <f t="shared" si="150"/>
        <v>108855.29484141601</v>
      </c>
      <c r="CF174" s="495">
        <f t="shared" si="150"/>
        <v>135067.68889424368</v>
      </c>
      <c r="CG174" s="495">
        <f t="shared" si="150"/>
        <v>23455.722685920358</v>
      </c>
      <c r="CH174" s="495">
        <f t="shared" si="150"/>
        <v>52407.688415956458</v>
      </c>
      <c r="CI174" s="495">
        <f t="shared" si="150"/>
        <v>319786.3948375365</v>
      </c>
      <c r="CJ174" s="495">
        <f t="shared" si="150"/>
        <v>65710.369706736368</v>
      </c>
      <c r="CK174" s="495">
        <f t="shared" si="150"/>
        <v>23721.173524936505</v>
      </c>
      <c r="CL174" s="495">
        <f t="shared" si="150"/>
        <v>173515.02572529577</v>
      </c>
      <c r="CM174" s="495">
        <f t="shared" si="150"/>
        <v>444627.73505774792</v>
      </c>
      <c r="CN174" s="495">
        <f t="shared" si="150"/>
        <v>707574.30401471653</v>
      </c>
      <c r="CO174" s="502">
        <f t="shared" si="150"/>
        <v>9909361.6892741136</v>
      </c>
      <c r="CP174" s="495">
        <f t="shared" si="150"/>
        <v>12723028.227806386</v>
      </c>
      <c r="CQ174" s="503">
        <f>+CO174/CP174</f>
        <v>0.77885244863459802</v>
      </c>
    </row>
    <row r="175" spans="1:95" ht="13.5" thickBot="1">
      <c r="A175" s="318"/>
      <c r="B175" s="387" t="s">
        <v>514</v>
      </c>
      <c r="C175" s="401"/>
      <c r="D175" s="327">
        <f>Const_Profit</f>
        <v>0.15</v>
      </c>
      <c r="E175" s="401"/>
      <c r="F175" s="401"/>
      <c r="G175" s="401"/>
      <c r="H175" s="401"/>
      <c r="I175" s="401"/>
      <c r="J175" s="401"/>
      <c r="K175" s="401"/>
      <c r="L175" s="401"/>
      <c r="M175" s="328">
        <f>+M163</f>
        <v>703042.64287256973</v>
      </c>
      <c r="N175" s="370">
        <f>+M175/N$8</f>
        <v>9764.4811510079126</v>
      </c>
      <c r="O175" s="376">
        <f>+N175/N$11</f>
        <v>9.610709794299126</v>
      </c>
      <c r="P175" s="328">
        <f>+P163</f>
        <v>698332.71489127446</v>
      </c>
      <c r="Q175" s="370">
        <f>+P175/Q$8</f>
        <v>11448.077293299581</v>
      </c>
      <c r="R175" s="376">
        <f>+Q175/Q$11</f>
        <v>9.4378213464959444</v>
      </c>
      <c r="S175" s="426">
        <f>+S163</f>
        <v>1401375.3577638441</v>
      </c>
      <c r="T175" s="330">
        <f>+S175/S$8</f>
        <v>10536.656825292061</v>
      </c>
      <c r="U175" s="322">
        <f>+S175/U$8</f>
        <v>9.5237715026935614</v>
      </c>
      <c r="V175" s="422">
        <f>+S175/S$169</f>
        <v>0.11014479671601413</v>
      </c>
      <c r="W175" s="422">
        <f>+S175/TotalValue</f>
        <v>9.041131620395329E-2</v>
      </c>
      <c r="X175" s="422"/>
      <c r="Y175" s="422"/>
      <c r="Z175" s="422"/>
      <c r="AA175" s="422"/>
      <c r="AB175" s="422"/>
      <c r="AC175" s="422"/>
      <c r="AD175" s="422"/>
      <c r="AE175" s="263"/>
      <c r="AF175" s="450" t="s">
        <v>544</v>
      </c>
      <c r="AG175" s="450"/>
      <c r="AH175" s="450"/>
      <c r="AI175" s="450"/>
      <c r="AJ175" s="450"/>
      <c r="AK175" s="489">
        <f>+AK174</f>
        <v>574687.36026761576</v>
      </c>
      <c r="AL175" s="489"/>
      <c r="AM175" s="489"/>
      <c r="AN175" s="489"/>
      <c r="AO175" s="489"/>
      <c r="AP175" s="489">
        <f>+AK175+AP174</f>
        <v>808709.57981945353</v>
      </c>
      <c r="AQ175" s="489" t="e">
        <f>+#REF!+#REF!</f>
        <v>#REF!</v>
      </c>
      <c r="AR175" s="489" t="e">
        <f>+#REF!+#REF!</f>
        <v>#REF!</v>
      </c>
      <c r="AS175" s="489" t="e">
        <f>+#REF!+#REF!</f>
        <v>#REF!</v>
      </c>
      <c r="AT175" s="489" t="e">
        <f>+#REF!+#REF!</f>
        <v>#REF!</v>
      </c>
      <c r="AU175" s="489">
        <f t="shared" ref="AU175:CN175" si="151">+AP175+AU174</f>
        <v>1298531.9948634123</v>
      </c>
      <c r="AV175" s="489" t="e">
        <f t="shared" si="151"/>
        <v>#REF!</v>
      </c>
      <c r="AW175" s="489" t="e">
        <f t="shared" si="151"/>
        <v>#REF!</v>
      </c>
      <c r="AX175" s="489" t="e">
        <f t="shared" si="151"/>
        <v>#REF!</v>
      </c>
      <c r="AY175" s="489" t="e">
        <f t="shared" si="151"/>
        <v>#REF!</v>
      </c>
      <c r="AZ175" s="489">
        <f t="shared" si="151"/>
        <v>2222388.0221664021</v>
      </c>
      <c r="BA175" s="489" t="e">
        <f t="shared" si="151"/>
        <v>#REF!</v>
      </c>
      <c r="BB175" s="489" t="e">
        <f t="shared" si="151"/>
        <v>#REF!</v>
      </c>
      <c r="BC175" s="489" t="e">
        <f t="shared" si="151"/>
        <v>#REF!</v>
      </c>
      <c r="BD175" s="489" t="e">
        <f t="shared" si="151"/>
        <v>#REF!</v>
      </c>
      <c r="BE175" s="489">
        <f t="shared" si="151"/>
        <v>3278373.9835720742</v>
      </c>
      <c r="BF175" s="489" t="e">
        <f t="shared" si="151"/>
        <v>#REF!</v>
      </c>
      <c r="BG175" s="489" t="e">
        <f t="shared" si="151"/>
        <v>#REF!</v>
      </c>
      <c r="BH175" s="489" t="e">
        <f t="shared" si="151"/>
        <v>#REF!</v>
      </c>
      <c r="BI175" s="489" t="e">
        <f t="shared" si="151"/>
        <v>#REF!</v>
      </c>
      <c r="BJ175" s="489">
        <f t="shared" si="151"/>
        <v>4667788.0562408641</v>
      </c>
      <c r="BK175" s="489" t="e">
        <f t="shared" si="151"/>
        <v>#REF!</v>
      </c>
      <c r="BL175" s="489" t="e">
        <f t="shared" si="151"/>
        <v>#REF!</v>
      </c>
      <c r="BM175" s="489" t="e">
        <f t="shared" si="151"/>
        <v>#REF!</v>
      </c>
      <c r="BN175" s="489" t="e">
        <f t="shared" si="151"/>
        <v>#REF!</v>
      </c>
      <c r="BO175" s="489">
        <f t="shared" si="151"/>
        <v>6101541.362127983</v>
      </c>
      <c r="BP175" s="489" t="e">
        <f t="shared" si="151"/>
        <v>#REF!</v>
      </c>
      <c r="BQ175" s="489" t="e">
        <f t="shared" si="151"/>
        <v>#REF!</v>
      </c>
      <c r="BR175" s="489" t="e">
        <f t="shared" si="151"/>
        <v>#REF!</v>
      </c>
      <c r="BS175" s="489" t="e">
        <f t="shared" si="151"/>
        <v>#REF!</v>
      </c>
      <c r="BT175" s="489">
        <f t="shared" si="151"/>
        <v>7248444.5700249774</v>
      </c>
      <c r="BU175" s="489" t="e">
        <f t="shared" si="151"/>
        <v>#REF!</v>
      </c>
      <c r="BV175" s="489" t="e">
        <f t="shared" si="151"/>
        <v>#REF!</v>
      </c>
      <c r="BW175" s="489" t="e">
        <f t="shared" si="151"/>
        <v>#REF!</v>
      </c>
      <c r="BX175" s="489" t="e">
        <f t="shared" si="151"/>
        <v>#REF!</v>
      </c>
      <c r="BY175" s="489">
        <f t="shared" si="151"/>
        <v>8253443.4616821399</v>
      </c>
      <c r="BZ175" s="489" t="e">
        <f t="shared" si="151"/>
        <v>#REF!</v>
      </c>
      <c r="CA175" s="489" t="e">
        <f t="shared" si="151"/>
        <v>#REF!</v>
      </c>
      <c r="CB175" s="489" t="e">
        <f t="shared" si="151"/>
        <v>#REF!</v>
      </c>
      <c r="CC175" s="489" t="e">
        <f t="shared" si="151"/>
        <v>#REF!</v>
      </c>
      <c r="CD175" s="489">
        <f t="shared" si="151"/>
        <v>8882000.9904218614</v>
      </c>
      <c r="CE175" s="489" t="e">
        <f t="shared" si="151"/>
        <v>#REF!</v>
      </c>
      <c r="CF175" s="489" t="e">
        <f t="shared" si="151"/>
        <v>#REF!</v>
      </c>
      <c r="CG175" s="489" t="e">
        <f t="shared" si="151"/>
        <v>#REF!</v>
      </c>
      <c r="CH175" s="489" t="e">
        <f t="shared" si="151"/>
        <v>#REF!</v>
      </c>
      <c r="CI175" s="489">
        <f t="shared" si="151"/>
        <v>9201787.3852593973</v>
      </c>
      <c r="CJ175" s="489" t="e">
        <f t="shared" si="151"/>
        <v>#REF!</v>
      </c>
      <c r="CK175" s="489" t="e">
        <f t="shared" si="151"/>
        <v>#REF!</v>
      </c>
      <c r="CL175" s="489" t="e">
        <f t="shared" si="151"/>
        <v>#REF!</v>
      </c>
      <c r="CM175" s="489" t="e">
        <f t="shared" si="151"/>
        <v>#REF!</v>
      </c>
      <c r="CN175" s="489">
        <f t="shared" si="151"/>
        <v>9909361.6892741136</v>
      </c>
      <c r="CO175" s="489"/>
      <c r="CP175" s="451"/>
      <c r="CQ175" s="451"/>
    </row>
    <row r="176" spans="1:95" ht="13.5" thickBot="1">
      <c r="A176" s="318"/>
      <c r="B176" s="332" t="s">
        <v>549</v>
      </c>
      <c r="C176" s="318"/>
      <c r="D176" s="318"/>
      <c r="E176" s="318"/>
      <c r="F176" s="318"/>
      <c r="G176" s="318"/>
      <c r="H176" s="318"/>
      <c r="I176" s="318"/>
      <c r="J176" s="318"/>
      <c r="K176" s="318"/>
      <c r="L176" s="318"/>
      <c r="M176" s="427">
        <f>+M169-M174-M175</f>
        <v>5151150.9142613765</v>
      </c>
      <c r="N176" s="428">
        <f>+M176/N$8</f>
        <v>71543.762698074672</v>
      </c>
      <c r="O176" s="429">
        <f>+N176/N$11</f>
        <v>70.417089269758534</v>
      </c>
      <c r="P176" s="427">
        <f>+P169-P174-P175</f>
        <v>5048831.9557811664</v>
      </c>
      <c r="Q176" s="428">
        <f>+P176/Q$8</f>
        <v>82767.736980019123</v>
      </c>
      <c r="R176" s="429">
        <f>+Q176/Q$11</f>
        <v>68.233913421285351</v>
      </c>
      <c r="S176" s="427">
        <f>+S169-S174-S175</f>
        <v>10199982.870042544</v>
      </c>
      <c r="T176" s="430">
        <f>+S176/S$8</f>
        <v>76691.600526635666</v>
      </c>
      <c r="U176" s="429">
        <f>+S176/U$8</f>
        <v>69.319262428506192</v>
      </c>
      <c r="V176" s="431">
        <f>+S176/S$169</f>
        <v>0.80169458775154756</v>
      </c>
      <c r="W176" s="431">
        <f>+S176/TotalValue</f>
        <v>0.65806343134922529</v>
      </c>
      <c r="X176" s="422"/>
      <c r="Y176" s="422"/>
      <c r="Z176" s="422"/>
      <c r="AA176" s="422"/>
      <c r="AB176" s="422"/>
      <c r="AC176" s="422"/>
      <c r="AD176" s="422"/>
      <c r="AE176" s="263"/>
      <c r="AF176" s="450" t="s">
        <v>545</v>
      </c>
      <c r="AG176" s="450"/>
      <c r="AH176" s="450"/>
      <c r="AI176" s="450"/>
      <c r="AJ176" s="450"/>
      <c r="AK176" s="452">
        <f>AK175/TotalCost</f>
        <v>4.5169070600002852E-2</v>
      </c>
      <c r="AL176" s="450"/>
      <c r="AM176" s="451"/>
      <c r="AN176" s="451"/>
      <c r="AO176" s="451"/>
      <c r="AP176" s="452">
        <f t="shared" ref="AP176:BU176" si="152">AP175/TotalCost</f>
        <v>6.3562664904885269E-2</v>
      </c>
      <c r="AQ176" s="452" t="e">
        <f t="shared" si="152"/>
        <v>#REF!</v>
      </c>
      <c r="AR176" s="452" t="e">
        <f t="shared" si="152"/>
        <v>#REF!</v>
      </c>
      <c r="AS176" s="452" t="e">
        <f t="shared" si="152"/>
        <v>#REF!</v>
      </c>
      <c r="AT176" s="452" t="e">
        <f t="shared" si="152"/>
        <v>#REF!</v>
      </c>
      <c r="AU176" s="452">
        <f t="shared" si="152"/>
        <v>0.10206155104061229</v>
      </c>
      <c r="AV176" s="452" t="e">
        <f t="shared" si="152"/>
        <v>#REF!</v>
      </c>
      <c r="AW176" s="452" t="e">
        <f t="shared" si="152"/>
        <v>#REF!</v>
      </c>
      <c r="AX176" s="452" t="e">
        <f t="shared" si="152"/>
        <v>#REF!</v>
      </c>
      <c r="AY176" s="452" t="e">
        <f t="shared" si="152"/>
        <v>#REF!</v>
      </c>
      <c r="AZ176" s="452">
        <f t="shared" si="152"/>
        <v>0.17467445504124063</v>
      </c>
      <c r="BA176" s="452" t="e">
        <f t="shared" si="152"/>
        <v>#REF!</v>
      </c>
      <c r="BB176" s="452" t="e">
        <f t="shared" si="152"/>
        <v>#REF!</v>
      </c>
      <c r="BC176" s="452" t="e">
        <f t="shared" si="152"/>
        <v>#REF!</v>
      </c>
      <c r="BD176" s="452" t="e">
        <f t="shared" si="152"/>
        <v>#REF!</v>
      </c>
      <c r="BE176" s="452">
        <f t="shared" si="152"/>
        <v>0.2576724601150483</v>
      </c>
      <c r="BF176" s="452" t="e">
        <f t="shared" si="152"/>
        <v>#REF!</v>
      </c>
      <c r="BG176" s="452" t="e">
        <f t="shared" si="152"/>
        <v>#REF!</v>
      </c>
      <c r="BH176" s="452" t="e">
        <f t="shared" si="152"/>
        <v>#REF!</v>
      </c>
      <c r="BI176" s="452" t="e">
        <f t="shared" si="152"/>
        <v>#REF!</v>
      </c>
      <c r="BJ176" s="452">
        <f t="shared" si="152"/>
        <v>0.36687712804404043</v>
      </c>
      <c r="BK176" s="452" t="e">
        <f t="shared" si="152"/>
        <v>#REF!</v>
      </c>
      <c r="BL176" s="452" t="e">
        <f t="shared" si="152"/>
        <v>#REF!</v>
      </c>
      <c r="BM176" s="452" t="e">
        <f t="shared" si="152"/>
        <v>#REF!</v>
      </c>
      <c r="BN176" s="452" t="e">
        <f t="shared" si="152"/>
        <v>#REF!</v>
      </c>
      <c r="BO176" s="452">
        <f t="shared" si="152"/>
        <v>0.47956675509003155</v>
      </c>
      <c r="BP176" s="452" t="e">
        <f t="shared" si="152"/>
        <v>#REF!</v>
      </c>
      <c r="BQ176" s="452" t="e">
        <f t="shared" si="152"/>
        <v>#REF!</v>
      </c>
      <c r="BR176" s="452" t="e">
        <f t="shared" si="152"/>
        <v>#REF!</v>
      </c>
      <c r="BS176" s="452" t="e">
        <f t="shared" si="152"/>
        <v>#REF!</v>
      </c>
      <c r="BT176" s="452">
        <f t="shared" si="152"/>
        <v>0.56971064122795734</v>
      </c>
      <c r="BU176" s="452" t="e">
        <f t="shared" si="152"/>
        <v>#REF!</v>
      </c>
      <c r="BV176" s="452" t="e">
        <f t="shared" ref="BV176:CN176" si="153">BV175/TotalCost</f>
        <v>#REF!</v>
      </c>
      <c r="BW176" s="452" t="e">
        <f t="shared" si="153"/>
        <v>#REF!</v>
      </c>
      <c r="BX176" s="452" t="e">
        <f t="shared" si="153"/>
        <v>#REF!</v>
      </c>
      <c r="BY176" s="452">
        <f t="shared" si="153"/>
        <v>0.64870118291839551</v>
      </c>
      <c r="BZ176" s="452" t="e">
        <f t="shared" si="153"/>
        <v>#REF!</v>
      </c>
      <c r="CA176" s="452" t="e">
        <f t="shared" si="153"/>
        <v>#REF!</v>
      </c>
      <c r="CB176" s="452" t="e">
        <f t="shared" si="153"/>
        <v>#REF!</v>
      </c>
      <c r="CC176" s="452" t="e">
        <f t="shared" si="153"/>
        <v>#REF!</v>
      </c>
      <c r="CD176" s="452">
        <f t="shared" si="153"/>
        <v>0.698104321659061</v>
      </c>
      <c r="CE176" s="452" t="e">
        <f t="shared" si="153"/>
        <v>#REF!</v>
      </c>
      <c r="CF176" s="452" t="e">
        <f t="shared" si="153"/>
        <v>#REF!</v>
      </c>
      <c r="CG176" s="452" t="e">
        <f t="shared" si="153"/>
        <v>#REF!</v>
      </c>
      <c r="CH176" s="452" t="e">
        <f t="shared" si="153"/>
        <v>#REF!</v>
      </c>
      <c r="CI176" s="452">
        <f t="shared" si="153"/>
        <v>0.72323877778945278</v>
      </c>
      <c r="CJ176" s="452" t="e">
        <f t="shared" si="153"/>
        <v>#REF!</v>
      </c>
      <c r="CK176" s="452" t="e">
        <f t="shared" si="153"/>
        <v>#REF!</v>
      </c>
      <c r="CL176" s="452" t="e">
        <f t="shared" si="153"/>
        <v>#REF!</v>
      </c>
      <c r="CM176" s="452" t="e">
        <f t="shared" si="153"/>
        <v>#REF!</v>
      </c>
      <c r="CN176" s="452">
        <f t="shared" si="153"/>
        <v>0.77885244863459802</v>
      </c>
      <c r="CO176" s="504">
        <f>CO174/TotalCost</f>
        <v>0.77885244863459802</v>
      </c>
      <c r="CP176" s="451"/>
      <c r="CQ176" s="451"/>
    </row>
    <row r="177" spans="1:95" ht="12.75">
      <c r="A177" s="318"/>
      <c r="B177" s="319"/>
      <c r="C177" s="318"/>
      <c r="D177" s="318"/>
      <c r="E177" s="318"/>
      <c r="F177" s="318"/>
      <c r="G177" s="318"/>
      <c r="H177" s="318"/>
      <c r="I177" s="318"/>
      <c r="J177" s="318"/>
      <c r="K177" s="318"/>
      <c r="L177" s="318"/>
      <c r="M177" s="318"/>
      <c r="N177" s="318"/>
      <c r="O177" s="318"/>
      <c r="P177" s="318"/>
      <c r="Q177" s="318"/>
      <c r="R177" s="318"/>
      <c r="S177" s="319"/>
      <c r="T177" s="318"/>
      <c r="U177" s="318"/>
      <c r="V177" s="318"/>
      <c r="W177" s="319"/>
      <c r="X177" s="319"/>
      <c r="Y177" s="319"/>
      <c r="Z177" s="319"/>
      <c r="AA177" s="319"/>
      <c r="AB177" s="422"/>
      <c r="AC177" s="422"/>
      <c r="AD177" s="319"/>
      <c r="AE177" s="263"/>
      <c r="AF177" s="450" t="s">
        <v>546</v>
      </c>
      <c r="AG177" s="450"/>
      <c r="AH177" s="450"/>
      <c r="AI177" s="450"/>
      <c r="AJ177" s="450"/>
      <c r="AK177" s="452">
        <f>AK175/TotalValue</f>
        <v>3.7076605036412011E-2</v>
      </c>
      <c r="AL177" s="450"/>
      <c r="AM177" s="451"/>
      <c r="AN177" s="451"/>
      <c r="AO177" s="451"/>
      <c r="AP177" s="452">
        <f t="shared" ref="AP177:CN177" si="154">AP175/TotalValue</f>
        <v>5.2174813216991217E-2</v>
      </c>
      <c r="AQ177" s="452" t="e">
        <f t="shared" si="154"/>
        <v>#REF!</v>
      </c>
      <c r="AR177" s="452" t="e">
        <f t="shared" si="154"/>
        <v>#REF!</v>
      </c>
      <c r="AS177" s="452" t="e">
        <f t="shared" si="154"/>
        <v>#REF!</v>
      </c>
      <c r="AT177" s="452" t="e">
        <f t="shared" si="154"/>
        <v>#REF!</v>
      </c>
      <c r="AU177" s="452">
        <f t="shared" si="154"/>
        <v>8.3776260327484989E-2</v>
      </c>
      <c r="AV177" s="452" t="e">
        <f t="shared" si="154"/>
        <v>#REF!</v>
      </c>
      <c r="AW177" s="452" t="e">
        <f t="shared" si="154"/>
        <v>#REF!</v>
      </c>
      <c r="AX177" s="452" t="e">
        <f t="shared" si="154"/>
        <v>#REF!</v>
      </c>
      <c r="AY177" s="452" t="e">
        <f t="shared" si="154"/>
        <v>#REF!</v>
      </c>
      <c r="AZ177" s="452">
        <f t="shared" si="154"/>
        <v>0.14337987683798342</v>
      </c>
      <c r="BA177" s="452" t="e">
        <f t="shared" si="154"/>
        <v>#REF!</v>
      </c>
      <c r="BB177" s="452" t="e">
        <f t="shared" si="154"/>
        <v>#REF!</v>
      </c>
      <c r="BC177" s="452" t="e">
        <f t="shared" si="154"/>
        <v>#REF!</v>
      </c>
      <c r="BD177" s="452" t="e">
        <f t="shared" si="154"/>
        <v>#REF!</v>
      </c>
      <c r="BE177" s="452">
        <f t="shared" si="154"/>
        <v>0.21150800549005916</v>
      </c>
      <c r="BF177" s="452" t="e">
        <f t="shared" si="154"/>
        <v>#REF!</v>
      </c>
      <c r="BG177" s="452" t="e">
        <f t="shared" si="154"/>
        <v>#REF!</v>
      </c>
      <c r="BH177" s="452" t="e">
        <f t="shared" si="154"/>
        <v>#REF!</v>
      </c>
      <c r="BI177" s="452" t="e">
        <f t="shared" si="154"/>
        <v>#REF!</v>
      </c>
      <c r="BJ177" s="452">
        <f t="shared" si="154"/>
        <v>0.30114762585753063</v>
      </c>
      <c r="BK177" s="452" t="e">
        <f t="shared" si="154"/>
        <v>#REF!</v>
      </c>
      <c r="BL177" s="452" t="e">
        <f t="shared" si="154"/>
        <v>#REF!</v>
      </c>
      <c r="BM177" s="452" t="e">
        <f t="shared" si="154"/>
        <v>#REF!</v>
      </c>
      <c r="BN177" s="452" t="e">
        <f t="shared" si="154"/>
        <v>#REF!</v>
      </c>
      <c r="BO177" s="452">
        <f t="shared" si="154"/>
        <v>0.3936478420050934</v>
      </c>
      <c r="BP177" s="452" t="e">
        <f t="shared" si="154"/>
        <v>#REF!</v>
      </c>
      <c r="BQ177" s="452" t="e">
        <f t="shared" si="154"/>
        <v>#REF!</v>
      </c>
      <c r="BR177" s="452" t="e">
        <f t="shared" si="154"/>
        <v>#REF!</v>
      </c>
      <c r="BS177" s="452" t="e">
        <f t="shared" si="154"/>
        <v>#REF!</v>
      </c>
      <c r="BT177" s="452">
        <f t="shared" si="154"/>
        <v>0.46764159964470614</v>
      </c>
      <c r="BU177" s="452" t="e">
        <f t="shared" si="154"/>
        <v>#REF!</v>
      </c>
      <c r="BV177" s="452" t="e">
        <f t="shared" si="154"/>
        <v>#REF!</v>
      </c>
      <c r="BW177" s="452" t="e">
        <f t="shared" si="154"/>
        <v>#REF!</v>
      </c>
      <c r="BX177" s="452" t="e">
        <f t="shared" si="154"/>
        <v>#REF!</v>
      </c>
      <c r="BY177" s="452">
        <f t="shared" si="154"/>
        <v>0.53248023982404225</v>
      </c>
      <c r="BZ177" s="452" t="e">
        <f t="shared" si="154"/>
        <v>#REF!</v>
      </c>
      <c r="CA177" s="452" t="e">
        <f t="shared" si="154"/>
        <v>#REF!</v>
      </c>
      <c r="CB177" s="452" t="e">
        <f t="shared" si="154"/>
        <v>#REF!</v>
      </c>
      <c r="CC177" s="452" t="e">
        <f t="shared" si="154"/>
        <v>#REF!</v>
      </c>
      <c r="CD177" s="452">
        <f t="shared" si="154"/>
        <v>0.57303233970821832</v>
      </c>
      <c r="CE177" s="452" t="e">
        <f t="shared" si="154"/>
        <v>#REF!</v>
      </c>
      <c r="CF177" s="452" t="e">
        <f t="shared" si="154"/>
        <v>#REF!</v>
      </c>
      <c r="CG177" s="452" t="e">
        <f t="shared" si="154"/>
        <v>#REF!</v>
      </c>
      <c r="CH177" s="452" t="e">
        <f t="shared" si="154"/>
        <v>#REF!</v>
      </c>
      <c r="CI177" s="452">
        <f t="shared" si="154"/>
        <v>0.59366372065922479</v>
      </c>
      <c r="CJ177" s="452" t="e">
        <f t="shared" si="154"/>
        <v>#REF!</v>
      </c>
      <c r="CK177" s="452" t="e">
        <f t="shared" si="154"/>
        <v>#REF!</v>
      </c>
      <c r="CL177" s="452" t="e">
        <f t="shared" si="154"/>
        <v>#REF!</v>
      </c>
      <c r="CM177" s="452" t="e">
        <f t="shared" si="154"/>
        <v>#REF!</v>
      </c>
      <c r="CN177" s="452">
        <f t="shared" si="154"/>
        <v>0.63931367717062448</v>
      </c>
      <c r="CO177" s="504">
        <f>CO174/TotalValue</f>
        <v>0.63931367717062448</v>
      </c>
      <c r="CP177" s="451"/>
      <c r="CQ177" s="451"/>
    </row>
    <row r="178" spans="1:95" ht="12.75">
      <c r="A178" s="262"/>
      <c r="C178" s="262"/>
      <c r="D178" s="262"/>
      <c r="E178" s="262"/>
      <c r="F178" s="262"/>
      <c r="G178" s="262"/>
      <c r="H178" s="262"/>
      <c r="I178" s="262"/>
      <c r="J178" s="262"/>
      <c r="K178" s="262"/>
      <c r="L178" s="262"/>
      <c r="M178" s="262"/>
      <c r="N178" s="262"/>
      <c r="O178" s="262"/>
      <c r="P178" s="262"/>
      <c r="Q178" s="262"/>
      <c r="R178" s="262"/>
      <c r="T178" s="262"/>
      <c r="U178" s="262"/>
      <c r="V178" s="262"/>
      <c r="W178" s="263"/>
      <c r="X178" s="263"/>
      <c r="Y178" s="263"/>
      <c r="Z178" s="263"/>
      <c r="AA178" s="263"/>
      <c r="AB178" s="319"/>
      <c r="AC178" s="319"/>
      <c r="AD178" s="263"/>
      <c r="AE178" s="263"/>
    </row>
    <row r="179" spans="1:95" ht="12.75">
      <c r="A179" s="262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263"/>
      <c r="AC179" s="263"/>
      <c r="AD179"/>
      <c r="AE179" s="263"/>
    </row>
    <row r="180" spans="1:95" ht="12.7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95" ht="12.7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95" ht="12.7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95" ht="12.7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95" ht="12.7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95" ht="12.7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95" ht="12.7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95" ht="12.7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95" ht="12.75">
      <c r="AB188"/>
      <c r="AC188"/>
    </row>
  </sheetData>
  <mergeCells count="17">
    <mergeCell ref="AD59:AD61"/>
    <mergeCell ref="Z131:Z132"/>
    <mergeCell ref="Z5:Z6"/>
    <mergeCell ref="X5:X6"/>
    <mergeCell ref="Y5:Y6"/>
    <mergeCell ref="Z31:Z32"/>
    <mergeCell ref="Z29:Z30"/>
    <mergeCell ref="CP7:CP8"/>
    <mergeCell ref="CQ7:CQ8"/>
    <mergeCell ref="S5:W5"/>
    <mergeCell ref="J5:L5"/>
    <mergeCell ref="M5:O5"/>
    <mergeCell ref="P5:R5"/>
    <mergeCell ref="CO7:CO8"/>
    <mergeCell ref="AB5:AB6"/>
    <mergeCell ref="AC5:AC6"/>
    <mergeCell ref="AD5:AD6"/>
  </mergeCells>
  <printOptions verticalCentered="1"/>
  <pageMargins left="0.4" right="0.4" top="0.95" bottom="0.75" header="0.5" footer="0.5"/>
  <pageSetup scale="90" pageOrder="overThenDown" orientation="landscape" horizontalDpi="300" verticalDpi="300" r:id="rId1"/>
  <headerFooter alignWithMargins="0">
    <oddHeader>&amp;C&amp;"Times New Roman,Bold"&amp;UBISHOPS CORNER
TOTAL COST &amp;&amp; LOAN REQUEST SUMMARY</oddHeader>
    <oddFooter>&amp;L&amp;8 &amp;F   &amp;A&amp;C&amp;8 &amp;R&amp;8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56"/>
  <sheetViews>
    <sheetView showGridLines="0" workbookViewId="0">
      <pane xSplit="3" ySplit="4" topLeftCell="X5" activePane="bottomRight" state="frozen"/>
      <selection pane="topRight" activeCell="D1" sqref="D1"/>
      <selection pane="bottomLeft" activeCell="A5" sqref="A5"/>
      <selection pane="bottomRight" activeCell="AX5" sqref="AX5"/>
    </sheetView>
  </sheetViews>
  <sheetFormatPr defaultRowHeight="12.75"/>
  <cols>
    <col min="1" max="1" width="15.83203125" style="94" customWidth="1"/>
    <col min="2" max="3" width="9.33203125" style="94"/>
    <col min="4" max="4" width="1" style="94" customWidth="1"/>
    <col min="5" max="8" width="9.33203125" style="94"/>
    <col min="9" max="9" width="1" style="94" customWidth="1"/>
    <col min="10" max="13" width="9.33203125" style="94"/>
    <col min="14" max="14" width="1" style="94" customWidth="1"/>
    <col min="15" max="15" width="9.33203125" style="94"/>
    <col min="16" max="16" width="10" style="94" customWidth="1"/>
    <col min="17" max="18" width="9.33203125" style="94"/>
    <col min="19" max="19" width="1" style="94" customWidth="1"/>
    <col min="20" max="20" width="9.33203125" style="94"/>
    <col min="21" max="21" width="10" style="94" customWidth="1"/>
    <col min="22" max="23" width="9.33203125" style="94"/>
    <col min="24" max="24" width="1" style="94" customWidth="1"/>
    <col min="25" max="25" width="7.6640625" style="94" customWidth="1"/>
    <col min="26" max="26" width="10" style="94" customWidth="1"/>
    <col min="27" max="28" width="9.33203125" style="94"/>
    <col min="29" max="29" width="1" style="94" customWidth="1"/>
    <col min="30" max="30" width="9.33203125" style="94"/>
    <col min="31" max="31" width="10" style="94" customWidth="1"/>
    <col min="32" max="33" width="9.33203125" style="94"/>
    <col min="34" max="34" width="1" style="94" customWidth="1"/>
    <col min="35" max="35" width="9.33203125" style="94"/>
    <col min="36" max="36" width="10" style="94" customWidth="1"/>
    <col min="37" max="38" width="9.33203125" style="94"/>
    <col min="39" max="39" width="1" style="94" customWidth="1"/>
    <col min="40" max="40" width="9.33203125" style="94"/>
    <col min="41" max="41" width="10" style="94" customWidth="1"/>
    <col min="42" max="43" width="9.33203125" style="94"/>
    <col min="44" max="44" width="1" style="94" customWidth="1"/>
    <col min="45" max="45" width="9.33203125" style="94"/>
    <col min="46" max="46" width="10" style="94" customWidth="1"/>
    <col min="47" max="48" width="9.33203125" style="94"/>
    <col min="49" max="49" width="1" style="94" customWidth="1"/>
    <col min="50" max="16384" width="9.33203125" style="94"/>
  </cols>
  <sheetData>
    <row r="1" spans="1:54">
      <c r="E1" s="95" t="s">
        <v>293</v>
      </c>
      <c r="F1" s="95"/>
      <c r="G1" s="95"/>
      <c r="H1" s="95"/>
      <c r="I1" s="95"/>
      <c r="J1" s="95"/>
      <c r="K1" s="95"/>
      <c r="L1" s="95"/>
      <c r="M1" s="95"/>
      <c r="O1" s="95"/>
      <c r="P1" s="95" t="s">
        <v>294</v>
      </c>
      <c r="Q1" s="95"/>
      <c r="R1" s="95"/>
      <c r="S1" s="95"/>
      <c r="T1" s="95"/>
      <c r="U1" s="95"/>
      <c r="V1" s="95"/>
      <c r="W1" s="95"/>
      <c r="Y1" s="95" t="s">
        <v>285</v>
      </c>
      <c r="Z1" s="95"/>
      <c r="AA1" s="95"/>
      <c r="AB1" s="95"/>
      <c r="AC1" s="95"/>
      <c r="AD1" s="95"/>
      <c r="AE1" s="95"/>
      <c r="AF1" s="95"/>
      <c r="AG1" s="95"/>
      <c r="AI1" s="96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</row>
    <row r="2" spans="1:54">
      <c r="E2" s="542" t="s">
        <v>290</v>
      </c>
      <c r="F2" s="542"/>
      <c r="G2" s="542"/>
      <c r="H2" s="542"/>
      <c r="I2" s="97"/>
      <c r="J2" s="542" t="s">
        <v>292</v>
      </c>
      <c r="K2" s="542"/>
      <c r="L2" s="542"/>
      <c r="M2" s="542"/>
      <c r="O2" s="542" t="s">
        <v>291</v>
      </c>
      <c r="P2" s="542"/>
      <c r="Q2" s="542"/>
      <c r="R2" s="542"/>
      <c r="S2" s="97"/>
      <c r="T2" s="542" t="s">
        <v>286</v>
      </c>
      <c r="U2" s="542"/>
      <c r="V2" s="542"/>
      <c r="W2" s="542"/>
      <c r="X2" s="97"/>
      <c r="Y2" s="542" t="s">
        <v>286</v>
      </c>
      <c r="Z2" s="542"/>
      <c r="AA2" s="542"/>
      <c r="AB2" s="542"/>
      <c r="AD2" s="542" t="s">
        <v>287</v>
      </c>
      <c r="AE2" s="542"/>
      <c r="AF2" s="542"/>
      <c r="AG2" s="542"/>
      <c r="AI2" s="542" t="s">
        <v>284</v>
      </c>
      <c r="AJ2" s="542"/>
      <c r="AK2" s="542"/>
      <c r="AL2" s="542"/>
      <c r="AN2" s="542" t="s">
        <v>288</v>
      </c>
      <c r="AO2" s="542"/>
      <c r="AP2" s="542"/>
      <c r="AQ2" s="542"/>
      <c r="AS2" s="542" t="s">
        <v>289</v>
      </c>
      <c r="AT2" s="542"/>
      <c r="AU2" s="542"/>
      <c r="AV2" s="542"/>
    </row>
    <row r="3" spans="1:54">
      <c r="B3" s="94" t="s">
        <v>275</v>
      </c>
      <c r="C3" s="94" t="s">
        <v>276</v>
      </c>
      <c r="E3" s="94" t="s">
        <v>277</v>
      </c>
      <c r="F3" s="94" t="s">
        <v>237</v>
      </c>
      <c r="G3" s="94" t="s">
        <v>278</v>
      </c>
      <c r="H3" s="94" t="s">
        <v>279</v>
      </c>
      <c r="J3" s="94" t="s">
        <v>277</v>
      </c>
      <c r="K3" s="94" t="s">
        <v>237</v>
      </c>
      <c r="L3" s="94" t="s">
        <v>278</v>
      </c>
      <c r="M3" s="94" t="s">
        <v>279</v>
      </c>
      <c r="O3" s="94" t="s">
        <v>277</v>
      </c>
      <c r="P3" s="94" t="s">
        <v>237</v>
      </c>
      <c r="Q3" s="94" t="s">
        <v>278</v>
      </c>
      <c r="R3" s="94" t="s">
        <v>279</v>
      </c>
      <c r="T3" s="94" t="s">
        <v>277</v>
      </c>
      <c r="U3" s="94" t="s">
        <v>237</v>
      </c>
      <c r="V3" s="94" t="s">
        <v>278</v>
      </c>
      <c r="W3" s="94" t="s">
        <v>279</v>
      </c>
      <c r="Y3" s="94" t="s">
        <v>277</v>
      </c>
      <c r="Z3" s="94" t="s">
        <v>237</v>
      </c>
      <c r="AA3" s="94" t="s">
        <v>278</v>
      </c>
      <c r="AB3" s="94" t="s">
        <v>279</v>
      </c>
      <c r="AD3" s="94" t="s">
        <v>277</v>
      </c>
      <c r="AE3" s="94" t="s">
        <v>237</v>
      </c>
      <c r="AF3" s="94" t="s">
        <v>278</v>
      </c>
      <c r="AG3" s="94" t="s">
        <v>279</v>
      </c>
      <c r="AI3" s="94" t="s">
        <v>277</v>
      </c>
      <c r="AJ3" s="94" t="s">
        <v>237</v>
      </c>
      <c r="AK3" s="94" t="s">
        <v>278</v>
      </c>
      <c r="AL3" s="94" t="s">
        <v>279</v>
      </c>
      <c r="AN3" s="94" t="s">
        <v>277</v>
      </c>
      <c r="AO3" s="94" t="s">
        <v>237</v>
      </c>
      <c r="AP3" s="94" t="s">
        <v>278</v>
      </c>
      <c r="AQ3" s="94" t="s">
        <v>279</v>
      </c>
      <c r="AS3" s="94" t="s">
        <v>277</v>
      </c>
      <c r="AT3" s="94" t="s">
        <v>237</v>
      </c>
      <c r="AU3" s="94" t="s">
        <v>278</v>
      </c>
      <c r="AV3" s="94" t="s">
        <v>279</v>
      </c>
    </row>
    <row r="5" spans="1:54" s="102" customFormat="1">
      <c r="A5" s="98" t="s">
        <v>274</v>
      </c>
      <c r="B5" s="99">
        <v>173</v>
      </c>
      <c r="C5" s="99">
        <v>1</v>
      </c>
      <c r="D5" s="99"/>
      <c r="E5" s="99">
        <v>477</v>
      </c>
      <c r="F5" s="100">
        <v>650</v>
      </c>
      <c r="G5" s="101">
        <v>1.36</v>
      </c>
      <c r="H5" s="100">
        <v>650</v>
      </c>
      <c r="I5" s="99"/>
      <c r="J5" s="99"/>
      <c r="K5" s="100"/>
      <c r="L5" s="99"/>
      <c r="M5" s="100"/>
      <c r="N5" s="99"/>
      <c r="O5" s="99"/>
      <c r="P5" s="100"/>
      <c r="Q5" s="99"/>
      <c r="R5" s="100"/>
      <c r="S5" s="99"/>
      <c r="T5" s="99">
        <v>800</v>
      </c>
      <c r="U5" s="100">
        <v>1000</v>
      </c>
      <c r="V5" s="101">
        <v>1.25</v>
      </c>
      <c r="W5" s="100">
        <v>500</v>
      </c>
      <c r="X5" s="99"/>
      <c r="Y5" s="99"/>
      <c r="Z5" s="100"/>
      <c r="AA5" s="99"/>
      <c r="AB5" s="100"/>
      <c r="AC5" s="99"/>
      <c r="AD5" s="99">
        <v>944</v>
      </c>
      <c r="AE5" s="100">
        <v>1374</v>
      </c>
      <c r="AF5" s="101">
        <v>1.46</v>
      </c>
      <c r="AG5" s="100">
        <v>458</v>
      </c>
      <c r="AH5" s="99"/>
      <c r="AI5" s="99">
        <v>1100</v>
      </c>
      <c r="AJ5" s="100">
        <v>1600</v>
      </c>
      <c r="AK5" s="101">
        <v>1.45</v>
      </c>
      <c r="AL5" s="100">
        <v>400</v>
      </c>
      <c r="AM5" s="99"/>
      <c r="AX5" s="99"/>
      <c r="AY5" s="99"/>
      <c r="AZ5" s="99"/>
      <c r="BA5" s="99"/>
      <c r="BB5" s="103"/>
    </row>
    <row r="6" spans="1:54" s="102" customFormat="1">
      <c r="A6" s="104" t="s">
        <v>280</v>
      </c>
      <c r="B6" s="105">
        <v>152</v>
      </c>
      <c r="C6" s="105">
        <v>3</v>
      </c>
      <c r="D6" s="105"/>
      <c r="E6" s="105">
        <v>689</v>
      </c>
      <c r="F6" s="106">
        <v>705</v>
      </c>
      <c r="G6" s="107">
        <v>1.02</v>
      </c>
      <c r="H6" s="106">
        <v>705</v>
      </c>
      <c r="I6" s="105"/>
      <c r="J6" s="105">
        <v>806</v>
      </c>
      <c r="K6" s="106">
        <v>755</v>
      </c>
      <c r="L6" s="107">
        <v>0.94</v>
      </c>
      <c r="M6" s="106">
        <v>755</v>
      </c>
      <c r="N6" s="105"/>
      <c r="O6" s="105">
        <v>988</v>
      </c>
      <c r="P6" s="106">
        <v>910</v>
      </c>
      <c r="Q6" s="107">
        <v>0.92</v>
      </c>
      <c r="R6" s="106">
        <v>455</v>
      </c>
      <c r="S6" s="105"/>
      <c r="T6" s="105">
        <v>1105</v>
      </c>
      <c r="U6" s="106">
        <v>1025</v>
      </c>
      <c r="V6" s="107">
        <v>0.93</v>
      </c>
      <c r="W6" s="106">
        <v>512.5</v>
      </c>
      <c r="X6" s="105"/>
      <c r="Y6" s="105">
        <v>1250</v>
      </c>
      <c r="Z6" s="106">
        <v>1210</v>
      </c>
      <c r="AA6" s="107">
        <v>0.97</v>
      </c>
      <c r="AB6" s="106">
        <v>403.33</v>
      </c>
      <c r="AC6" s="105"/>
      <c r="AD6" s="105">
        <v>1250</v>
      </c>
      <c r="AE6" s="106">
        <v>1210</v>
      </c>
      <c r="AF6" s="107">
        <v>0.97</v>
      </c>
      <c r="AG6" s="106">
        <v>403.33</v>
      </c>
      <c r="AH6" s="105"/>
      <c r="AI6" s="105">
        <v>1350</v>
      </c>
      <c r="AJ6" s="106">
        <v>1624</v>
      </c>
      <c r="AK6" s="107">
        <v>1.2</v>
      </c>
      <c r="AL6" s="106">
        <v>406</v>
      </c>
      <c r="AM6" s="99"/>
      <c r="AN6" s="105"/>
      <c r="AO6" s="106"/>
      <c r="AP6" s="105"/>
      <c r="AQ6" s="106"/>
      <c r="AR6" s="105"/>
      <c r="AS6" s="105"/>
      <c r="AT6" s="106"/>
      <c r="AU6" s="105"/>
      <c r="AV6" s="106"/>
      <c r="AW6" s="105"/>
      <c r="AX6" s="105"/>
      <c r="AY6" s="105"/>
      <c r="AZ6" s="105"/>
      <c r="BA6" s="105"/>
      <c r="BB6" s="108"/>
    </row>
    <row r="7" spans="1:54" s="102" customFormat="1">
      <c r="A7" s="104" t="s">
        <v>281</v>
      </c>
      <c r="B7" s="105">
        <v>258</v>
      </c>
      <c r="C7" s="105">
        <v>3</v>
      </c>
      <c r="D7" s="105"/>
      <c r="E7" s="105">
        <v>501</v>
      </c>
      <c r="F7" s="106">
        <v>600</v>
      </c>
      <c r="G7" s="107">
        <v>1.2</v>
      </c>
      <c r="H7" s="106">
        <v>600</v>
      </c>
      <c r="I7" s="105"/>
      <c r="J7" s="105">
        <v>755</v>
      </c>
      <c r="K7" s="106">
        <v>725</v>
      </c>
      <c r="L7" s="107">
        <v>0.96</v>
      </c>
      <c r="M7" s="106">
        <v>725</v>
      </c>
      <c r="N7" s="105"/>
      <c r="O7" s="105">
        <v>886</v>
      </c>
      <c r="P7" s="106">
        <v>810</v>
      </c>
      <c r="Q7" s="107">
        <v>0.91</v>
      </c>
      <c r="R7" s="106">
        <v>405</v>
      </c>
      <c r="S7" s="105"/>
      <c r="T7" s="105">
        <v>933</v>
      </c>
      <c r="U7" s="106">
        <v>900</v>
      </c>
      <c r="V7" s="107">
        <v>0.96</v>
      </c>
      <c r="W7" s="106">
        <v>450</v>
      </c>
      <c r="X7" s="105"/>
      <c r="Y7" s="105"/>
      <c r="Z7" s="106"/>
      <c r="AA7" s="105"/>
      <c r="AB7" s="106"/>
      <c r="AC7" s="105"/>
      <c r="AD7" s="105"/>
      <c r="AE7" s="106"/>
      <c r="AF7" s="105"/>
      <c r="AG7" s="106"/>
      <c r="AH7" s="105"/>
      <c r="AI7" s="105">
        <v>1556</v>
      </c>
      <c r="AJ7" s="106">
        <v>1880</v>
      </c>
      <c r="AK7" s="107">
        <v>1.21</v>
      </c>
      <c r="AL7" s="106">
        <v>470</v>
      </c>
      <c r="AM7" s="99"/>
      <c r="AN7" s="105"/>
      <c r="AO7" s="106"/>
      <c r="AP7" s="105"/>
      <c r="AQ7" s="106"/>
      <c r="AR7" s="105"/>
      <c r="AS7" s="105"/>
      <c r="AT7" s="106"/>
      <c r="AU7" s="105"/>
      <c r="AV7" s="106"/>
      <c r="AW7" s="105"/>
      <c r="AX7" s="105"/>
      <c r="AY7" s="105"/>
      <c r="AZ7" s="105"/>
      <c r="BA7" s="105"/>
      <c r="BB7" s="108"/>
    </row>
    <row r="8" spans="1:54" s="102" customFormat="1">
      <c r="A8" s="104" t="s">
        <v>282</v>
      </c>
      <c r="B8" s="105">
        <v>192</v>
      </c>
      <c r="C8" s="105">
        <v>3</v>
      </c>
      <c r="D8" s="105"/>
      <c r="E8" s="105"/>
      <c r="F8" s="106"/>
      <c r="G8" s="105"/>
      <c r="H8" s="106"/>
      <c r="I8" s="105"/>
      <c r="J8" s="105"/>
      <c r="K8" s="106"/>
      <c r="L8" s="105"/>
      <c r="M8" s="106"/>
      <c r="N8" s="105"/>
      <c r="O8" s="105"/>
      <c r="P8" s="106"/>
      <c r="Q8" s="105"/>
      <c r="R8" s="106"/>
      <c r="S8" s="105"/>
      <c r="T8" s="105">
        <v>1058</v>
      </c>
      <c r="U8" s="106">
        <v>1064</v>
      </c>
      <c r="V8" s="107">
        <v>1.01</v>
      </c>
      <c r="W8" s="106">
        <v>532</v>
      </c>
      <c r="X8" s="105"/>
      <c r="Y8" s="105"/>
      <c r="Z8" s="106"/>
      <c r="AA8" s="105"/>
      <c r="AB8" s="106"/>
      <c r="AC8" s="105"/>
      <c r="AD8" s="105">
        <v>1000</v>
      </c>
      <c r="AE8" s="106">
        <v>1281</v>
      </c>
      <c r="AF8" s="107">
        <v>1.28</v>
      </c>
      <c r="AG8" s="106">
        <v>427</v>
      </c>
      <c r="AH8" s="105"/>
      <c r="AI8" s="105"/>
      <c r="AJ8" s="106"/>
      <c r="AK8" s="105"/>
      <c r="AL8" s="106"/>
      <c r="AM8" s="105"/>
      <c r="AN8" s="105"/>
      <c r="AO8" s="106"/>
      <c r="AP8" s="105"/>
      <c r="AQ8" s="106"/>
      <c r="AR8" s="105"/>
      <c r="AS8" s="105"/>
      <c r="AT8" s="106"/>
      <c r="AU8" s="105"/>
      <c r="AV8" s="106"/>
      <c r="AW8" s="105"/>
      <c r="AX8" s="105"/>
      <c r="AY8" s="105"/>
      <c r="AZ8" s="105"/>
      <c r="BA8" s="105"/>
      <c r="BB8" s="108"/>
    </row>
    <row r="9" spans="1:54" s="102" customFormat="1">
      <c r="A9" s="104" t="s">
        <v>282</v>
      </c>
      <c r="B9" s="105"/>
      <c r="C9" s="105"/>
      <c r="D9" s="105"/>
      <c r="E9" s="105"/>
      <c r="F9" s="106"/>
      <c r="G9" s="105"/>
      <c r="H9" s="106"/>
      <c r="I9" s="105"/>
      <c r="J9" s="105"/>
      <c r="K9" s="106"/>
      <c r="L9" s="105"/>
      <c r="M9" s="106"/>
      <c r="N9" s="105"/>
      <c r="O9" s="105"/>
      <c r="P9" s="106"/>
      <c r="Q9" s="105"/>
      <c r="R9" s="106"/>
      <c r="S9" s="105"/>
      <c r="T9" s="105">
        <v>1058</v>
      </c>
      <c r="U9" s="106">
        <v>976</v>
      </c>
      <c r="V9" s="107">
        <v>0.92</v>
      </c>
      <c r="W9" s="106">
        <v>488</v>
      </c>
      <c r="X9" s="105"/>
      <c r="Y9" s="105"/>
      <c r="Z9" s="106"/>
      <c r="AA9" s="105"/>
      <c r="AB9" s="106"/>
      <c r="AC9" s="105"/>
      <c r="AD9" s="105"/>
      <c r="AE9" s="106"/>
      <c r="AF9" s="105"/>
      <c r="AG9" s="106"/>
      <c r="AH9" s="105"/>
      <c r="AI9" s="105"/>
      <c r="AJ9" s="106"/>
      <c r="AK9" s="105"/>
      <c r="AL9" s="106"/>
      <c r="AM9" s="105"/>
      <c r="AN9" s="105"/>
      <c r="AO9" s="106"/>
      <c r="AP9" s="105"/>
      <c r="AQ9" s="106"/>
      <c r="AR9" s="105"/>
      <c r="AS9" s="105"/>
      <c r="AT9" s="106"/>
      <c r="AU9" s="105"/>
      <c r="AV9" s="106"/>
      <c r="AW9" s="105"/>
      <c r="AX9" s="105"/>
      <c r="AY9" s="105"/>
      <c r="AZ9" s="105"/>
      <c r="BA9" s="105"/>
      <c r="BB9" s="108"/>
    </row>
    <row r="10" spans="1:54" s="116" customFormat="1">
      <c r="A10" s="109"/>
      <c r="B10" s="110"/>
      <c r="C10" s="110"/>
      <c r="D10" s="110"/>
      <c r="E10" s="110"/>
      <c r="F10" s="111"/>
      <c r="G10" s="110"/>
      <c r="H10" s="111"/>
      <c r="I10" s="110"/>
      <c r="J10" s="110"/>
      <c r="K10" s="111"/>
      <c r="L10" s="110"/>
      <c r="M10" s="111"/>
      <c r="N10" s="110"/>
      <c r="O10" s="110"/>
      <c r="P10" s="111"/>
      <c r="Q10" s="110"/>
      <c r="R10" s="111"/>
      <c r="S10" s="110"/>
      <c r="T10" s="110">
        <v>990.8</v>
      </c>
      <c r="U10" s="111">
        <v>993</v>
      </c>
      <c r="V10" s="112">
        <v>1.01</v>
      </c>
      <c r="W10" s="111">
        <v>496.5</v>
      </c>
      <c r="X10" s="110"/>
      <c r="Y10" s="113">
        <f>AVERAGE(Y5:Y9)</f>
        <v>1250</v>
      </c>
      <c r="Z10" s="113">
        <f>AVERAGE(Z5:Z9)</f>
        <v>1210</v>
      </c>
      <c r="AA10" s="114">
        <f>AVERAGE(AA5:AA9)</f>
        <v>0.97</v>
      </c>
      <c r="AB10" s="113">
        <f>AVERAGE(AB5:AB9)</f>
        <v>403.33</v>
      </c>
      <c r="AC10" s="110"/>
      <c r="AD10" s="113">
        <f>AVERAGE(AD5:AD9)</f>
        <v>1064.6666666666667</v>
      </c>
      <c r="AE10" s="113">
        <f>AVERAGE(AE5:AE9)</f>
        <v>1288.3333333333333</v>
      </c>
      <c r="AF10" s="114">
        <f>AVERAGE(AF5:AF9)</f>
        <v>1.2366666666666666</v>
      </c>
      <c r="AG10" s="113">
        <f>AVERAGE(AG5:AG9)</f>
        <v>429.44333333333333</v>
      </c>
      <c r="AH10" s="110"/>
      <c r="AI10" s="113">
        <f>AVERAGE(AI5:AI9)</f>
        <v>1335.3333333333333</v>
      </c>
      <c r="AJ10" s="113">
        <f>AVERAGE(AJ5:AJ9)</f>
        <v>1701.3333333333333</v>
      </c>
      <c r="AK10" s="114">
        <f>AVERAGE(AK5:AK9)</f>
        <v>1.2866666666666666</v>
      </c>
      <c r="AL10" s="113">
        <f>AVERAGE(AL5:AL9)</f>
        <v>425.33333333333331</v>
      </c>
      <c r="AM10" s="110"/>
      <c r="AN10" s="110"/>
      <c r="AO10" s="111"/>
      <c r="AP10" s="110"/>
      <c r="AQ10" s="111"/>
      <c r="AR10" s="110"/>
      <c r="AS10" s="110"/>
      <c r="AT10" s="111"/>
      <c r="AU10" s="110"/>
      <c r="AV10" s="111"/>
      <c r="AW10" s="110"/>
      <c r="AX10" s="110"/>
      <c r="AY10" s="110"/>
      <c r="AZ10" s="110"/>
      <c r="BA10" s="110"/>
      <c r="BB10" s="115"/>
    </row>
    <row r="11" spans="1:54">
      <c r="F11" s="117"/>
      <c r="G11" s="118"/>
      <c r="H11" s="117"/>
      <c r="K11" s="119"/>
      <c r="M11" s="119"/>
      <c r="P11" s="119"/>
      <c r="Q11" s="118"/>
      <c r="R11" s="117"/>
      <c r="U11" s="119"/>
      <c r="V11" s="118"/>
      <c r="W11" s="117"/>
      <c r="Z11" s="119"/>
      <c r="AB11" s="119"/>
      <c r="AE11" s="119"/>
      <c r="AG11" s="119"/>
      <c r="AJ11" s="119"/>
      <c r="AL11" s="119"/>
      <c r="AO11" s="119"/>
      <c r="AQ11" s="119"/>
      <c r="AT11" s="119"/>
      <c r="AV11" s="119"/>
    </row>
    <row r="12" spans="1:54">
      <c r="A12" s="120" t="s">
        <v>283</v>
      </c>
      <c r="B12" s="121">
        <v>134</v>
      </c>
      <c r="C12" s="121">
        <v>0</v>
      </c>
      <c r="D12" s="121"/>
      <c r="E12" s="121">
        <v>0</v>
      </c>
      <c r="F12" s="122">
        <v>0</v>
      </c>
      <c r="G12" s="123"/>
      <c r="H12" s="122"/>
      <c r="I12" s="121"/>
      <c r="J12" s="121">
        <v>0</v>
      </c>
      <c r="K12" s="124">
        <v>0</v>
      </c>
      <c r="L12" s="121">
        <v>0</v>
      </c>
      <c r="M12" s="124">
        <v>0</v>
      </c>
      <c r="N12" s="121"/>
      <c r="O12" s="121"/>
      <c r="P12" s="124"/>
      <c r="Q12" s="123"/>
      <c r="R12" s="122"/>
      <c r="S12" s="121"/>
      <c r="T12" s="121">
        <v>1107</v>
      </c>
      <c r="U12" s="124">
        <v>1150</v>
      </c>
      <c r="V12" s="123">
        <f>+U12/T12</f>
        <v>1.0388437217705511</v>
      </c>
      <c r="W12" s="122">
        <f>+U12/2</f>
        <v>575</v>
      </c>
      <c r="X12" s="121"/>
      <c r="Y12" s="121"/>
      <c r="Z12" s="124"/>
      <c r="AA12" s="121"/>
      <c r="AB12" s="124"/>
      <c r="AC12" s="121"/>
      <c r="AD12" s="121">
        <f>1298</f>
        <v>1298</v>
      </c>
      <c r="AE12" s="124">
        <f>475*3</f>
        <v>1425</v>
      </c>
      <c r="AF12" s="123">
        <f>+AE12/AD12</f>
        <v>1.0978428351309708</v>
      </c>
      <c r="AG12" s="122">
        <f>+AE12/3</f>
        <v>475</v>
      </c>
      <c r="AH12" s="121"/>
      <c r="AI12" s="121"/>
      <c r="AJ12" s="124"/>
      <c r="AK12" s="121"/>
      <c r="AL12" s="124"/>
      <c r="AM12" s="121"/>
      <c r="AN12" s="121"/>
      <c r="AO12" s="124"/>
      <c r="AP12" s="121"/>
      <c r="AQ12" s="124"/>
      <c r="AR12" s="121"/>
      <c r="AS12" s="121"/>
      <c r="AT12" s="124"/>
      <c r="AU12" s="121"/>
      <c r="AV12" s="125"/>
    </row>
    <row r="13" spans="1:54">
      <c r="A13" s="126"/>
      <c r="B13" s="127"/>
      <c r="C13" s="127"/>
      <c r="D13" s="127"/>
      <c r="E13" s="127"/>
      <c r="F13" s="128"/>
      <c r="G13" s="129"/>
      <c r="H13" s="128"/>
      <c r="I13" s="127"/>
      <c r="J13" s="127"/>
      <c r="K13" s="130"/>
      <c r="L13" s="127"/>
      <c r="M13" s="130"/>
      <c r="N13" s="127"/>
      <c r="O13" s="127"/>
      <c r="P13" s="130"/>
      <c r="Q13" s="129"/>
      <c r="R13" s="128"/>
      <c r="S13" s="127"/>
      <c r="T13" s="127">
        <v>1198</v>
      </c>
      <c r="U13" s="130">
        <v>1200</v>
      </c>
      <c r="V13" s="129">
        <f>+U13/T13</f>
        <v>1.001669449081803</v>
      </c>
      <c r="W13" s="128">
        <f>+U13/2</f>
        <v>600</v>
      </c>
      <c r="X13" s="127"/>
      <c r="Y13" s="127"/>
      <c r="Z13" s="130"/>
      <c r="AA13" s="127"/>
      <c r="AB13" s="130"/>
      <c r="AC13" s="127"/>
      <c r="AD13" s="127"/>
      <c r="AE13" s="130"/>
      <c r="AF13" s="127"/>
      <c r="AG13" s="130"/>
      <c r="AH13" s="127"/>
      <c r="AI13" s="127"/>
      <c r="AJ13" s="130"/>
      <c r="AK13" s="127"/>
      <c r="AL13" s="130"/>
      <c r="AM13" s="127"/>
      <c r="AN13" s="127"/>
      <c r="AO13" s="130"/>
      <c r="AP13" s="127"/>
      <c r="AQ13" s="130"/>
      <c r="AR13" s="127"/>
      <c r="AS13" s="127"/>
      <c r="AT13" s="130"/>
      <c r="AU13" s="127"/>
      <c r="AV13" s="131"/>
    </row>
    <row r="14" spans="1:54">
      <c r="F14" s="117"/>
      <c r="G14" s="118"/>
      <c r="H14" s="117"/>
      <c r="K14" s="119"/>
      <c r="M14" s="119"/>
      <c r="P14" s="119"/>
      <c r="Q14" s="118"/>
      <c r="R14" s="117"/>
      <c r="T14" s="121">
        <f>1107-150</f>
        <v>957</v>
      </c>
      <c r="U14" s="119">
        <f>W14*2</f>
        <v>1200</v>
      </c>
      <c r="V14" s="132">
        <f>+U14/U14</f>
        <v>1</v>
      </c>
      <c r="W14" s="128">
        <v>600</v>
      </c>
      <c r="Z14" s="119"/>
      <c r="AB14" s="119"/>
      <c r="AE14" s="119"/>
      <c r="AG14" s="119"/>
      <c r="AJ14" s="119"/>
      <c r="AL14" s="119"/>
      <c r="AO14" s="119"/>
      <c r="AQ14" s="119"/>
      <c r="AT14" s="119"/>
      <c r="AV14" s="119"/>
    </row>
    <row r="15" spans="1:54">
      <c r="F15" s="117"/>
      <c r="G15" s="118"/>
      <c r="H15" s="117"/>
      <c r="K15" s="119"/>
      <c r="M15" s="119"/>
      <c r="P15" s="119"/>
      <c r="Q15" s="118"/>
      <c r="R15" s="117"/>
      <c r="T15" s="127">
        <v>1198</v>
      </c>
      <c r="U15" s="119">
        <f>V15*T15</f>
        <v>1497.5</v>
      </c>
      <c r="V15" s="94">
        <v>1.25</v>
      </c>
      <c r="W15" s="128">
        <f>+U15/2</f>
        <v>748.75</v>
      </c>
      <c r="Z15" s="119"/>
      <c r="AB15" s="119"/>
      <c r="AE15" s="119"/>
      <c r="AG15" s="119"/>
      <c r="AJ15" s="119"/>
      <c r="AL15" s="119"/>
      <c r="AO15" s="119"/>
      <c r="AQ15" s="119"/>
      <c r="AT15" s="119"/>
      <c r="AV15" s="119"/>
    </row>
    <row r="16" spans="1:54">
      <c r="F16" s="117"/>
      <c r="G16" s="118"/>
      <c r="H16" s="117"/>
      <c r="K16" s="119"/>
      <c r="M16" s="119"/>
      <c r="P16" s="119"/>
      <c r="Q16" s="118"/>
      <c r="R16" s="117"/>
      <c r="U16" s="119"/>
      <c r="W16" s="119"/>
      <c r="Z16" s="119"/>
      <c r="AB16" s="119"/>
      <c r="AE16" s="119"/>
      <c r="AG16" s="119"/>
      <c r="AJ16" s="119"/>
      <c r="AL16" s="119"/>
      <c r="AO16" s="119"/>
      <c r="AQ16" s="119"/>
      <c r="AT16" s="119"/>
      <c r="AV16" s="119"/>
    </row>
    <row r="17" spans="6:48">
      <c r="F17" s="117"/>
      <c r="G17" s="118"/>
      <c r="H17" s="117"/>
      <c r="K17" s="119"/>
      <c r="M17" s="119"/>
      <c r="P17" s="119"/>
      <c r="Q17" s="118"/>
      <c r="R17" s="117"/>
      <c r="U17" s="119"/>
      <c r="W17" s="119"/>
      <c r="Z17" s="119"/>
      <c r="AB17" s="119"/>
      <c r="AE17" s="119"/>
      <c r="AG17" s="119"/>
      <c r="AJ17" s="119"/>
      <c r="AL17" s="119"/>
      <c r="AO17" s="119"/>
      <c r="AQ17" s="119"/>
      <c r="AT17" s="119"/>
      <c r="AV17" s="119"/>
    </row>
    <row r="18" spans="6:48">
      <c r="F18" s="117"/>
      <c r="G18" s="118"/>
      <c r="H18" s="117"/>
      <c r="K18" s="119"/>
      <c r="M18" s="119"/>
      <c r="P18" s="119"/>
      <c r="Q18" s="118"/>
      <c r="R18" s="117"/>
      <c r="U18" s="119"/>
      <c r="W18" s="119"/>
      <c r="Z18" s="119"/>
      <c r="AB18" s="119"/>
      <c r="AE18" s="119"/>
      <c r="AG18" s="119"/>
      <c r="AJ18" s="119"/>
      <c r="AL18" s="119"/>
      <c r="AO18" s="119"/>
      <c r="AQ18" s="119"/>
      <c r="AT18" s="119"/>
      <c r="AV18" s="119"/>
    </row>
    <row r="19" spans="6:48">
      <c r="F19" s="117"/>
      <c r="G19" s="118"/>
      <c r="H19" s="117"/>
      <c r="K19" s="119"/>
      <c r="M19" s="119"/>
      <c r="P19" s="119"/>
      <c r="Q19" s="118"/>
      <c r="R19" s="117"/>
      <c r="U19" s="119"/>
      <c r="W19" s="119"/>
      <c r="Z19" s="119"/>
      <c r="AB19" s="119"/>
      <c r="AE19" s="119"/>
      <c r="AG19" s="119"/>
      <c r="AJ19" s="119"/>
      <c r="AL19" s="119"/>
      <c r="AO19" s="119"/>
      <c r="AQ19" s="119"/>
      <c r="AT19" s="119"/>
      <c r="AV19" s="119"/>
    </row>
    <row r="20" spans="6:48">
      <c r="F20" s="117"/>
      <c r="G20" s="118"/>
      <c r="H20" s="117"/>
      <c r="K20" s="119"/>
      <c r="M20" s="119"/>
      <c r="P20" s="119"/>
      <c r="Q20" s="118"/>
      <c r="R20" s="117"/>
      <c r="U20" s="119"/>
      <c r="W20" s="119"/>
      <c r="Z20" s="119"/>
      <c r="AB20" s="119"/>
      <c r="AE20" s="119"/>
      <c r="AG20" s="119"/>
      <c r="AJ20" s="119"/>
      <c r="AL20" s="119"/>
      <c r="AO20" s="119"/>
      <c r="AQ20" s="119"/>
      <c r="AT20" s="119"/>
      <c r="AV20" s="119"/>
    </row>
    <row r="21" spans="6:48">
      <c r="F21" s="117"/>
      <c r="G21" s="118"/>
      <c r="H21" s="117"/>
      <c r="K21" s="119"/>
      <c r="M21" s="119"/>
      <c r="P21" s="119"/>
      <c r="Q21" s="118"/>
      <c r="R21" s="117"/>
      <c r="U21" s="119"/>
      <c r="W21" s="119"/>
      <c r="Z21" s="119"/>
      <c r="AB21" s="119"/>
      <c r="AE21" s="119"/>
      <c r="AG21" s="119"/>
      <c r="AJ21" s="119"/>
      <c r="AL21" s="119"/>
      <c r="AO21" s="119"/>
      <c r="AQ21" s="119"/>
      <c r="AT21" s="119"/>
      <c r="AV21" s="119"/>
    </row>
    <row r="22" spans="6:48">
      <c r="F22" s="117"/>
      <c r="G22" s="118"/>
      <c r="H22" s="117"/>
      <c r="K22" s="119"/>
      <c r="M22" s="119"/>
      <c r="P22" s="119"/>
      <c r="Q22" s="118"/>
      <c r="R22" s="117"/>
      <c r="U22" s="119"/>
      <c r="W22" s="119"/>
      <c r="Z22" s="119"/>
      <c r="AB22" s="119"/>
      <c r="AE22" s="119"/>
      <c r="AG22" s="119"/>
      <c r="AJ22" s="119"/>
      <c r="AL22" s="119"/>
      <c r="AO22" s="119"/>
      <c r="AQ22" s="119"/>
      <c r="AT22" s="119"/>
      <c r="AV22" s="119"/>
    </row>
    <row r="23" spans="6:48">
      <c r="F23" s="117"/>
      <c r="G23" s="118"/>
      <c r="H23" s="117"/>
      <c r="K23" s="119"/>
      <c r="M23" s="119"/>
      <c r="P23" s="119"/>
      <c r="Q23" s="118"/>
      <c r="R23" s="117"/>
      <c r="U23" s="119"/>
      <c r="W23" s="119"/>
      <c r="Z23" s="119"/>
      <c r="AB23" s="119"/>
      <c r="AE23" s="119"/>
      <c r="AG23" s="119"/>
      <c r="AJ23" s="119"/>
      <c r="AL23" s="119"/>
      <c r="AO23" s="119"/>
      <c r="AQ23" s="119"/>
      <c r="AT23" s="119"/>
      <c r="AV23" s="119"/>
    </row>
    <row r="24" spans="6:48">
      <c r="F24" s="117"/>
      <c r="G24" s="118"/>
      <c r="H24" s="117"/>
      <c r="K24" s="119"/>
      <c r="M24" s="119"/>
      <c r="P24" s="119"/>
      <c r="Q24" s="118"/>
      <c r="R24" s="117"/>
      <c r="U24" s="119"/>
      <c r="W24" s="119"/>
      <c r="Z24" s="119"/>
      <c r="AB24" s="119"/>
      <c r="AE24" s="119"/>
      <c r="AG24" s="119"/>
      <c r="AJ24" s="119"/>
      <c r="AL24" s="119"/>
      <c r="AO24" s="119"/>
      <c r="AQ24" s="119"/>
      <c r="AT24" s="119"/>
      <c r="AV24" s="119"/>
    </row>
    <row r="25" spans="6:48">
      <c r="F25" s="117"/>
      <c r="G25" s="118"/>
      <c r="H25" s="117"/>
      <c r="K25" s="119"/>
      <c r="M25" s="119"/>
      <c r="P25" s="119"/>
      <c r="Q25" s="118"/>
      <c r="R25" s="117"/>
      <c r="U25" s="119"/>
      <c r="W25" s="119"/>
      <c r="Z25" s="119"/>
      <c r="AB25" s="119"/>
      <c r="AE25" s="119"/>
      <c r="AG25" s="119"/>
      <c r="AJ25" s="119"/>
      <c r="AL25" s="119"/>
      <c r="AO25" s="119"/>
      <c r="AQ25" s="119"/>
      <c r="AT25" s="119"/>
      <c r="AV25" s="119"/>
    </row>
    <row r="26" spans="6:48">
      <c r="F26" s="117"/>
      <c r="G26" s="118"/>
      <c r="H26" s="117"/>
      <c r="K26" s="119"/>
      <c r="M26" s="119"/>
      <c r="P26" s="119"/>
      <c r="Q26" s="118"/>
      <c r="R26" s="117"/>
      <c r="U26" s="119"/>
      <c r="W26" s="119"/>
      <c r="Z26" s="119"/>
      <c r="AB26" s="119"/>
      <c r="AE26" s="119"/>
      <c r="AG26" s="119"/>
      <c r="AJ26" s="119"/>
      <c r="AL26" s="119"/>
      <c r="AO26" s="119"/>
      <c r="AQ26" s="119"/>
      <c r="AT26" s="119"/>
      <c r="AV26" s="119"/>
    </row>
    <row r="27" spans="6:48">
      <c r="F27" s="117"/>
      <c r="G27" s="118"/>
      <c r="H27" s="117"/>
      <c r="K27" s="119"/>
      <c r="M27" s="119"/>
      <c r="P27" s="119"/>
      <c r="Q27" s="118"/>
      <c r="R27" s="117"/>
      <c r="U27" s="119"/>
      <c r="W27" s="119"/>
      <c r="Z27" s="119"/>
      <c r="AB27" s="119"/>
      <c r="AE27" s="119"/>
      <c r="AG27" s="119"/>
      <c r="AJ27" s="119"/>
      <c r="AL27" s="119"/>
      <c r="AO27" s="119"/>
      <c r="AQ27" s="119"/>
      <c r="AT27" s="119"/>
      <c r="AV27" s="119"/>
    </row>
    <row r="28" spans="6:48">
      <c r="F28" s="117"/>
      <c r="G28" s="118"/>
      <c r="H28" s="117"/>
      <c r="K28" s="119"/>
      <c r="M28" s="119"/>
      <c r="P28" s="119"/>
      <c r="Q28" s="118"/>
      <c r="R28" s="117"/>
      <c r="U28" s="119"/>
      <c r="W28" s="119"/>
      <c r="Z28" s="119"/>
      <c r="AB28" s="119"/>
      <c r="AE28" s="119"/>
      <c r="AG28" s="119"/>
      <c r="AJ28" s="119"/>
      <c r="AL28" s="119"/>
      <c r="AO28" s="119"/>
      <c r="AQ28" s="119"/>
      <c r="AT28" s="119"/>
      <c r="AV28" s="119"/>
    </row>
    <row r="29" spans="6:48">
      <c r="F29" s="117"/>
      <c r="G29" s="118"/>
      <c r="H29" s="117"/>
      <c r="K29" s="119"/>
      <c r="M29" s="119"/>
      <c r="P29" s="119"/>
      <c r="Q29" s="118"/>
      <c r="R29" s="117"/>
      <c r="U29" s="119"/>
      <c r="W29" s="119"/>
      <c r="Z29" s="119"/>
      <c r="AB29" s="119"/>
      <c r="AE29" s="119"/>
      <c r="AG29" s="119"/>
      <c r="AJ29" s="119"/>
      <c r="AL29" s="119"/>
      <c r="AO29" s="119"/>
      <c r="AQ29" s="119"/>
      <c r="AT29" s="119"/>
      <c r="AV29" s="119"/>
    </row>
    <row r="30" spans="6:48">
      <c r="F30" s="117"/>
      <c r="G30" s="118"/>
      <c r="H30" s="117"/>
      <c r="K30" s="119"/>
      <c r="M30" s="119"/>
      <c r="P30" s="119"/>
      <c r="Q30" s="118"/>
      <c r="R30" s="117"/>
      <c r="U30" s="119"/>
      <c r="W30" s="119"/>
      <c r="Z30" s="119"/>
      <c r="AB30" s="119"/>
      <c r="AE30" s="119"/>
      <c r="AG30" s="119"/>
      <c r="AJ30" s="119"/>
      <c r="AL30" s="119"/>
      <c r="AO30" s="119"/>
      <c r="AQ30" s="119"/>
      <c r="AT30" s="119"/>
      <c r="AV30" s="119"/>
    </row>
    <row r="31" spans="6:48">
      <c r="F31" s="117"/>
      <c r="G31" s="118"/>
      <c r="H31" s="117"/>
      <c r="K31" s="119"/>
      <c r="M31" s="119"/>
      <c r="P31" s="119"/>
      <c r="Q31" s="118"/>
      <c r="R31" s="117"/>
      <c r="U31" s="119"/>
      <c r="W31" s="119"/>
      <c r="Z31" s="119"/>
      <c r="AB31" s="119"/>
      <c r="AE31" s="119"/>
      <c r="AG31" s="119"/>
      <c r="AJ31" s="119"/>
      <c r="AL31" s="119"/>
      <c r="AO31" s="119"/>
      <c r="AQ31" s="119"/>
      <c r="AT31" s="119"/>
      <c r="AV31" s="119"/>
    </row>
    <row r="32" spans="6:48">
      <c r="F32" s="117"/>
      <c r="G32" s="118"/>
      <c r="H32" s="117"/>
      <c r="K32" s="119"/>
      <c r="M32" s="119"/>
      <c r="P32" s="119"/>
      <c r="Q32" s="118"/>
      <c r="R32" s="117"/>
      <c r="U32" s="119"/>
      <c r="W32" s="119"/>
      <c r="Z32" s="119"/>
      <c r="AB32" s="119"/>
      <c r="AE32" s="119"/>
      <c r="AG32" s="119"/>
      <c r="AJ32" s="119"/>
      <c r="AL32" s="119"/>
      <c r="AO32" s="119"/>
      <c r="AQ32" s="119"/>
      <c r="AT32" s="119"/>
      <c r="AV32" s="119"/>
    </row>
    <row r="33" spans="6:48">
      <c r="F33" s="117"/>
      <c r="G33" s="118"/>
      <c r="H33" s="117"/>
      <c r="K33" s="119"/>
      <c r="M33" s="119"/>
      <c r="P33" s="119"/>
      <c r="Q33" s="118"/>
      <c r="R33" s="117"/>
      <c r="U33" s="119"/>
      <c r="W33" s="119"/>
      <c r="Z33" s="119"/>
      <c r="AB33" s="119"/>
      <c r="AE33" s="119"/>
      <c r="AG33" s="119"/>
      <c r="AJ33" s="119"/>
      <c r="AL33" s="119"/>
      <c r="AO33" s="119"/>
      <c r="AQ33" s="119"/>
      <c r="AT33" s="119"/>
      <c r="AV33" s="119"/>
    </row>
    <row r="34" spans="6:48">
      <c r="F34" s="117"/>
      <c r="G34" s="118"/>
      <c r="H34" s="117"/>
      <c r="K34" s="119"/>
      <c r="M34" s="119"/>
      <c r="P34" s="119"/>
      <c r="Q34" s="118"/>
      <c r="R34" s="117"/>
      <c r="U34" s="119"/>
      <c r="W34" s="119"/>
      <c r="Z34" s="119"/>
      <c r="AB34" s="119"/>
      <c r="AE34" s="119"/>
      <c r="AG34" s="119"/>
      <c r="AJ34" s="119"/>
      <c r="AL34" s="119"/>
      <c r="AO34" s="119"/>
      <c r="AQ34" s="119"/>
      <c r="AT34" s="119"/>
      <c r="AV34" s="119"/>
    </row>
    <row r="35" spans="6:48">
      <c r="F35" s="117"/>
      <c r="G35" s="118"/>
      <c r="H35" s="117"/>
      <c r="K35" s="119"/>
      <c r="M35" s="119"/>
      <c r="P35" s="119"/>
      <c r="Q35" s="118"/>
      <c r="R35" s="117"/>
      <c r="U35" s="119"/>
      <c r="W35" s="119"/>
      <c r="Z35" s="119"/>
      <c r="AB35" s="119"/>
      <c r="AE35" s="119"/>
      <c r="AG35" s="119"/>
      <c r="AJ35" s="119"/>
      <c r="AL35" s="119"/>
      <c r="AO35" s="119"/>
      <c r="AQ35" s="119"/>
      <c r="AT35" s="119"/>
      <c r="AV35" s="119"/>
    </row>
    <row r="36" spans="6:48">
      <c r="F36" s="119"/>
      <c r="H36" s="119"/>
      <c r="K36" s="119"/>
      <c r="M36" s="119"/>
      <c r="P36" s="119"/>
      <c r="Q36" s="118"/>
      <c r="R36" s="117"/>
      <c r="U36" s="119"/>
      <c r="W36" s="119"/>
      <c r="Z36" s="119"/>
      <c r="AB36" s="119"/>
      <c r="AE36" s="119"/>
      <c r="AG36" s="119"/>
      <c r="AJ36" s="119"/>
      <c r="AL36" s="119"/>
      <c r="AO36" s="119"/>
      <c r="AQ36" s="119"/>
      <c r="AT36" s="119"/>
      <c r="AV36" s="119"/>
    </row>
    <row r="37" spans="6:48">
      <c r="F37" s="119"/>
      <c r="H37" s="119"/>
      <c r="K37" s="119"/>
      <c r="M37" s="119"/>
      <c r="P37" s="119"/>
      <c r="Q37" s="118"/>
      <c r="R37" s="117"/>
      <c r="U37" s="119"/>
      <c r="W37" s="119"/>
      <c r="Z37" s="119"/>
      <c r="AB37" s="119"/>
      <c r="AE37" s="119"/>
      <c r="AG37" s="119"/>
      <c r="AJ37" s="119"/>
      <c r="AL37" s="119"/>
      <c r="AO37" s="119"/>
      <c r="AQ37" s="119"/>
      <c r="AT37" s="119"/>
      <c r="AV37" s="119"/>
    </row>
    <row r="38" spans="6:48">
      <c r="F38" s="119"/>
      <c r="H38" s="119"/>
      <c r="K38" s="119"/>
      <c r="M38" s="119"/>
      <c r="P38" s="119"/>
      <c r="R38" s="119"/>
      <c r="U38" s="119"/>
      <c r="W38" s="119"/>
      <c r="Z38" s="119"/>
      <c r="AB38" s="119"/>
      <c r="AE38" s="119"/>
      <c r="AG38" s="119"/>
      <c r="AJ38" s="119"/>
      <c r="AL38" s="119"/>
      <c r="AO38" s="119"/>
      <c r="AQ38" s="119"/>
      <c r="AT38" s="119"/>
      <c r="AV38" s="119"/>
    </row>
    <row r="39" spans="6:48">
      <c r="F39" s="119"/>
      <c r="H39" s="119"/>
      <c r="K39" s="119"/>
      <c r="M39" s="119"/>
      <c r="P39" s="119"/>
      <c r="R39" s="119"/>
      <c r="U39" s="119"/>
      <c r="W39" s="119"/>
      <c r="Z39" s="119"/>
      <c r="AB39" s="119"/>
      <c r="AE39" s="119"/>
      <c r="AG39" s="119"/>
      <c r="AJ39" s="119"/>
      <c r="AL39" s="119"/>
      <c r="AO39" s="119"/>
      <c r="AQ39" s="119"/>
      <c r="AT39" s="119"/>
      <c r="AV39" s="119"/>
    </row>
    <row r="40" spans="6:48">
      <c r="F40" s="119"/>
      <c r="H40" s="119"/>
      <c r="K40" s="119"/>
      <c r="M40" s="119"/>
      <c r="P40" s="119"/>
      <c r="R40" s="119"/>
      <c r="U40" s="119"/>
      <c r="W40" s="119"/>
      <c r="Z40" s="119"/>
      <c r="AB40" s="119"/>
      <c r="AE40" s="119"/>
      <c r="AG40" s="119"/>
      <c r="AJ40" s="119"/>
      <c r="AL40" s="119"/>
      <c r="AO40" s="119"/>
      <c r="AQ40" s="119"/>
      <c r="AT40" s="119"/>
      <c r="AV40" s="119"/>
    </row>
    <row r="41" spans="6:48">
      <c r="F41" s="119"/>
      <c r="H41" s="119"/>
      <c r="K41" s="119"/>
      <c r="M41" s="119"/>
      <c r="P41" s="119"/>
      <c r="R41" s="119"/>
      <c r="U41" s="119"/>
      <c r="W41" s="119"/>
      <c r="Z41" s="119"/>
      <c r="AB41" s="119"/>
      <c r="AE41" s="119"/>
      <c r="AG41" s="119"/>
      <c r="AJ41" s="119"/>
      <c r="AL41" s="119"/>
      <c r="AO41" s="119"/>
      <c r="AQ41" s="119"/>
      <c r="AT41" s="119"/>
      <c r="AV41" s="119"/>
    </row>
    <row r="42" spans="6:48">
      <c r="F42" s="119"/>
      <c r="H42" s="119"/>
      <c r="K42" s="119"/>
      <c r="M42" s="119"/>
      <c r="P42" s="119"/>
      <c r="R42" s="119"/>
      <c r="U42" s="119"/>
      <c r="W42" s="119"/>
      <c r="Z42" s="119"/>
      <c r="AB42" s="119"/>
      <c r="AE42" s="119"/>
      <c r="AG42" s="119"/>
      <c r="AJ42" s="119"/>
      <c r="AL42" s="119"/>
      <c r="AO42" s="119"/>
      <c r="AQ42" s="119"/>
      <c r="AT42" s="119"/>
      <c r="AV42" s="119"/>
    </row>
    <row r="43" spans="6:48">
      <c r="F43" s="119"/>
      <c r="H43" s="119"/>
      <c r="K43" s="119"/>
      <c r="M43" s="119"/>
      <c r="P43" s="119"/>
      <c r="R43" s="119"/>
      <c r="U43" s="119"/>
      <c r="W43" s="119"/>
      <c r="Z43" s="119"/>
      <c r="AB43" s="119"/>
      <c r="AE43" s="119"/>
      <c r="AG43" s="119"/>
      <c r="AJ43" s="119"/>
      <c r="AL43" s="119"/>
      <c r="AO43" s="119"/>
      <c r="AQ43" s="119"/>
      <c r="AT43" s="119"/>
      <c r="AV43" s="119"/>
    </row>
    <row r="44" spans="6:48">
      <c r="F44" s="119"/>
      <c r="H44" s="119"/>
      <c r="K44" s="119"/>
      <c r="M44" s="119"/>
      <c r="P44" s="119"/>
      <c r="R44" s="119"/>
      <c r="U44" s="119"/>
      <c r="W44" s="119"/>
      <c r="Z44" s="119"/>
      <c r="AB44" s="119"/>
      <c r="AE44" s="119"/>
      <c r="AG44" s="119"/>
      <c r="AJ44" s="119"/>
      <c r="AL44" s="119"/>
      <c r="AO44" s="119"/>
      <c r="AQ44" s="119"/>
      <c r="AT44" s="119"/>
      <c r="AV44" s="119"/>
    </row>
    <row r="45" spans="6:48">
      <c r="F45" s="119"/>
      <c r="H45" s="119"/>
      <c r="K45" s="119"/>
      <c r="M45" s="119"/>
      <c r="P45" s="119"/>
      <c r="R45" s="119"/>
      <c r="U45" s="119"/>
      <c r="W45" s="119"/>
      <c r="Z45" s="119"/>
      <c r="AB45" s="119"/>
      <c r="AE45" s="119"/>
      <c r="AG45" s="119"/>
      <c r="AJ45" s="119"/>
      <c r="AL45" s="119"/>
      <c r="AO45" s="119"/>
      <c r="AQ45" s="119"/>
      <c r="AT45" s="119"/>
      <c r="AV45" s="119"/>
    </row>
    <row r="46" spans="6:48">
      <c r="F46" s="119"/>
      <c r="H46" s="119"/>
      <c r="K46" s="119"/>
      <c r="M46" s="119"/>
      <c r="P46" s="119"/>
      <c r="R46" s="119"/>
      <c r="U46" s="119"/>
      <c r="W46" s="119"/>
      <c r="Z46" s="119"/>
      <c r="AB46" s="119"/>
      <c r="AE46" s="119"/>
      <c r="AG46" s="119"/>
      <c r="AJ46" s="119"/>
      <c r="AL46" s="119"/>
      <c r="AO46" s="119"/>
      <c r="AQ46" s="119"/>
      <c r="AT46" s="119"/>
      <c r="AV46" s="119"/>
    </row>
    <row r="47" spans="6:48">
      <c r="F47" s="119"/>
      <c r="H47" s="119"/>
      <c r="K47" s="119"/>
      <c r="M47" s="119"/>
      <c r="P47" s="119"/>
      <c r="R47" s="119"/>
      <c r="U47" s="119"/>
      <c r="W47" s="119"/>
      <c r="Z47" s="119"/>
      <c r="AB47" s="119"/>
      <c r="AE47" s="119"/>
      <c r="AG47" s="119"/>
      <c r="AJ47" s="119"/>
      <c r="AL47" s="119"/>
      <c r="AO47" s="119"/>
      <c r="AQ47" s="119"/>
      <c r="AT47" s="119"/>
      <c r="AV47" s="119"/>
    </row>
    <row r="48" spans="6:48">
      <c r="F48" s="119"/>
      <c r="H48" s="119"/>
      <c r="K48" s="119"/>
      <c r="M48" s="119"/>
      <c r="P48" s="119"/>
      <c r="R48" s="119"/>
      <c r="U48" s="119"/>
      <c r="W48" s="119"/>
      <c r="Z48" s="119"/>
      <c r="AB48" s="119"/>
      <c r="AE48" s="119"/>
      <c r="AG48" s="119"/>
      <c r="AJ48" s="119"/>
      <c r="AL48" s="119"/>
      <c r="AO48" s="119"/>
      <c r="AQ48" s="119"/>
      <c r="AT48" s="119"/>
      <c r="AV48" s="119"/>
    </row>
    <row r="49" spans="6:48">
      <c r="F49" s="119"/>
      <c r="H49" s="119"/>
      <c r="K49" s="119"/>
      <c r="M49" s="119"/>
      <c r="P49" s="119"/>
      <c r="R49" s="119"/>
      <c r="U49" s="119"/>
      <c r="W49" s="119"/>
      <c r="Z49" s="119"/>
      <c r="AB49" s="119"/>
      <c r="AE49" s="119"/>
      <c r="AG49" s="119"/>
      <c r="AJ49" s="119"/>
      <c r="AL49" s="119"/>
      <c r="AO49" s="119"/>
      <c r="AQ49" s="119"/>
      <c r="AT49" s="119"/>
      <c r="AV49" s="119"/>
    </row>
    <row r="50" spans="6:48">
      <c r="F50" s="119"/>
      <c r="H50" s="119"/>
      <c r="K50" s="119"/>
      <c r="M50" s="119"/>
      <c r="P50" s="119"/>
      <c r="R50" s="119"/>
      <c r="U50" s="119"/>
      <c r="W50" s="119"/>
      <c r="Z50" s="119"/>
      <c r="AB50" s="119"/>
      <c r="AE50" s="119"/>
      <c r="AG50" s="119"/>
      <c r="AJ50" s="119"/>
      <c r="AL50" s="119"/>
      <c r="AO50" s="119"/>
      <c r="AQ50" s="119"/>
      <c r="AT50" s="119"/>
      <c r="AV50" s="119"/>
    </row>
    <row r="51" spans="6:48">
      <c r="F51" s="119"/>
      <c r="H51" s="119"/>
      <c r="K51" s="119"/>
      <c r="M51" s="119"/>
      <c r="P51" s="119"/>
      <c r="R51" s="119"/>
      <c r="U51" s="119"/>
      <c r="W51" s="119"/>
      <c r="Z51" s="119"/>
      <c r="AB51" s="119"/>
      <c r="AE51" s="119"/>
      <c r="AG51" s="119"/>
      <c r="AJ51" s="119"/>
      <c r="AL51" s="119"/>
      <c r="AO51" s="119"/>
      <c r="AQ51" s="119"/>
      <c r="AT51" s="119"/>
      <c r="AV51" s="119"/>
    </row>
    <row r="52" spans="6:48">
      <c r="F52" s="119"/>
      <c r="H52" s="119"/>
      <c r="K52" s="119"/>
      <c r="M52" s="119"/>
      <c r="P52" s="119"/>
      <c r="R52" s="119"/>
      <c r="U52" s="119"/>
      <c r="W52" s="119"/>
      <c r="Z52" s="119"/>
      <c r="AB52" s="119"/>
      <c r="AE52" s="119"/>
      <c r="AG52" s="119"/>
      <c r="AJ52" s="119"/>
      <c r="AL52" s="119"/>
      <c r="AO52" s="119"/>
      <c r="AQ52" s="119"/>
      <c r="AT52" s="119"/>
      <c r="AV52" s="119"/>
    </row>
    <row r="53" spans="6:48">
      <c r="F53" s="119"/>
      <c r="H53" s="119"/>
      <c r="K53" s="119"/>
      <c r="M53" s="119"/>
      <c r="P53" s="119"/>
      <c r="R53" s="119"/>
      <c r="U53" s="119"/>
      <c r="W53" s="119"/>
      <c r="Z53" s="119"/>
      <c r="AB53" s="119"/>
      <c r="AE53" s="119"/>
      <c r="AG53" s="119"/>
      <c r="AJ53" s="119"/>
      <c r="AL53" s="119"/>
      <c r="AO53" s="119"/>
      <c r="AQ53" s="119"/>
      <c r="AT53" s="119"/>
      <c r="AV53" s="119"/>
    </row>
    <row r="54" spans="6:48">
      <c r="F54" s="119"/>
      <c r="H54" s="119"/>
      <c r="K54" s="119"/>
      <c r="M54" s="119"/>
      <c r="P54" s="119"/>
      <c r="R54" s="119"/>
      <c r="U54" s="119"/>
      <c r="W54" s="119"/>
      <c r="Z54" s="119"/>
      <c r="AB54" s="119"/>
      <c r="AE54" s="119"/>
      <c r="AG54" s="119"/>
      <c r="AJ54" s="119"/>
      <c r="AL54" s="119"/>
      <c r="AO54" s="119"/>
      <c r="AQ54" s="119"/>
      <c r="AT54" s="119"/>
      <c r="AV54" s="119"/>
    </row>
    <row r="55" spans="6:48">
      <c r="F55" s="119"/>
      <c r="H55" s="119"/>
      <c r="K55" s="119"/>
      <c r="M55" s="119"/>
      <c r="P55" s="119"/>
      <c r="R55" s="119"/>
      <c r="U55" s="119"/>
      <c r="W55" s="119"/>
      <c r="Z55" s="119"/>
      <c r="AB55" s="119"/>
      <c r="AE55" s="119"/>
      <c r="AG55" s="119"/>
      <c r="AJ55" s="119"/>
      <c r="AL55" s="119"/>
      <c r="AO55" s="119"/>
      <c r="AQ55" s="119"/>
      <c r="AT55" s="119"/>
      <c r="AV55" s="119"/>
    </row>
    <row r="56" spans="6:48">
      <c r="F56" s="119"/>
      <c r="H56" s="119"/>
      <c r="K56" s="119"/>
      <c r="M56" s="119"/>
      <c r="P56" s="119"/>
      <c r="R56" s="119"/>
      <c r="U56" s="119"/>
      <c r="W56" s="119"/>
      <c r="Z56" s="119"/>
      <c r="AB56" s="119"/>
      <c r="AE56" s="119"/>
      <c r="AG56" s="119"/>
      <c r="AJ56" s="119"/>
      <c r="AL56" s="119"/>
      <c r="AO56" s="119"/>
      <c r="AQ56" s="119"/>
      <c r="AT56" s="119"/>
      <c r="AV56" s="119"/>
    </row>
  </sheetData>
  <mergeCells count="9">
    <mergeCell ref="E2:H2"/>
    <mergeCell ref="J2:M2"/>
    <mergeCell ref="T2:W2"/>
    <mergeCell ref="AS2:AV2"/>
    <mergeCell ref="AN2:AQ2"/>
    <mergeCell ref="AI2:AL2"/>
    <mergeCell ref="AD2:AG2"/>
    <mergeCell ref="Y2:AB2"/>
    <mergeCell ref="O2:R2"/>
  </mergeCells>
  <pageMargins left="0.25" right="0.25" top="1" bottom="1" header="0.5" footer="0.5"/>
  <pageSetup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L88"/>
  <sheetViews>
    <sheetView zoomScale="85" workbookViewId="0">
      <pane xSplit="1" ySplit="2" topLeftCell="M25" activePane="bottomRight" state="frozen"/>
      <selection pane="topRight" activeCell="B1" sqref="B1"/>
      <selection pane="bottomLeft" activeCell="A3" sqref="A3"/>
      <selection pane="bottomRight" activeCell="W1" sqref="W1"/>
    </sheetView>
  </sheetViews>
  <sheetFormatPr defaultRowHeight="12.75"/>
  <cols>
    <col min="1" max="1" width="33" customWidth="1"/>
    <col min="2" max="2" width="12.6640625" customWidth="1"/>
    <col min="3" max="4" width="11.6640625" customWidth="1"/>
    <col min="5" max="6" width="10.6640625" customWidth="1"/>
    <col min="7" max="9" width="11.6640625" customWidth="1"/>
    <col min="10" max="10" width="10.5" customWidth="1"/>
    <col min="11" max="14" width="11.5" customWidth="1"/>
    <col min="15" max="15" width="11" customWidth="1"/>
    <col min="16" max="18" width="12" customWidth="1"/>
    <col min="19" max="20" width="10.6640625" customWidth="1"/>
    <col min="21" max="23" width="11.6640625" customWidth="1"/>
    <col min="24" max="24" width="11" customWidth="1"/>
    <col min="25" max="27" width="12" customWidth="1"/>
  </cols>
  <sheetData>
    <row r="1" spans="1:142" ht="51.75" customHeight="1">
      <c r="B1" s="149" t="s">
        <v>403</v>
      </c>
      <c r="C1" s="151">
        <f>+D1-7</f>
        <v>36878</v>
      </c>
      <c r="D1" s="151">
        <f>+E1-7</f>
        <v>36885</v>
      </c>
      <c r="E1" s="151">
        <v>36892</v>
      </c>
      <c r="F1" s="151">
        <f>+E1+7</f>
        <v>36899</v>
      </c>
      <c r="G1" s="151">
        <f t="shared" ref="G1:BR1" si="0">+F1+7</f>
        <v>36906</v>
      </c>
      <c r="H1" s="151">
        <f t="shared" si="0"/>
        <v>36913</v>
      </c>
      <c r="I1" s="151">
        <f t="shared" si="0"/>
        <v>36920</v>
      </c>
      <c r="J1" s="151">
        <f t="shared" si="0"/>
        <v>36927</v>
      </c>
      <c r="K1" s="151">
        <f t="shared" si="0"/>
        <v>36934</v>
      </c>
      <c r="L1" s="151">
        <f t="shared" si="0"/>
        <v>36941</v>
      </c>
      <c r="M1" s="151">
        <f>+L1+7</f>
        <v>36948</v>
      </c>
      <c r="N1" s="151">
        <f t="shared" si="0"/>
        <v>36955</v>
      </c>
      <c r="O1" s="151">
        <f t="shared" si="0"/>
        <v>36962</v>
      </c>
      <c r="P1" s="151">
        <f t="shared" si="0"/>
        <v>36969</v>
      </c>
      <c r="Q1" s="151">
        <f t="shared" si="0"/>
        <v>36976</v>
      </c>
      <c r="R1" s="151">
        <f t="shared" si="0"/>
        <v>36983</v>
      </c>
      <c r="S1" s="151">
        <f t="shared" si="0"/>
        <v>36990</v>
      </c>
      <c r="T1" s="151">
        <f t="shared" si="0"/>
        <v>36997</v>
      </c>
      <c r="U1" s="151">
        <f t="shared" si="0"/>
        <v>37004</v>
      </c>
      <c r="V1" s="151">
        <f t="shared" si="0"/>
        <v>37011</v>
      </c>
      <c r="W1" s="151">
        <f t="shared" si="0"/>
        <v>37018</v>
      </c>
      <c r="X1" s="151">
        <f t="shared" si="0"/>
        <v>37025</v>
      </c>
      <c r="Y1" s="151">
        <f t="shared" si="0"/>
        <v>37032</v>
      </c>
      <c r="Z1" s="151">
        <f t="shared" si="0"/>
        <v>37039</v>
      </c>
      <c r="AA1" s="151">
        <f t="shared" si="0"/>
        <v>37046</v>
      </c>
      <c r="AB1" s="151">
        <f t="shared" si="0"/>
        <v>37053</v>
      </c>
      <c r="AC1" s="151">
        <f t="shared" si="0"/>
        <v>37060</v>
      </c>
      <c r="AD1" s="151">
        <f t="shared" si="0"/>
        <v>37067</v>
      </c>
      <c r="AE1" s="151">
        <f t="shared" si="0"/>
        <v>37074</v>
      </c>
      <c r="AF1" s="151">
        <f t="shared" si="0"/>
        <v>37081</v>
      </c>
      <c r="AG1" s="151">
        <f t="shared" si="0"/>
        <v>37088</v>
      </c>
      <c r="AH1" s="151">
        <f t="shared" si="0"/>
        <v>37095</v>
      </c>
      <c r="AI1" s="151">
        <f t="shared" si="0"/>
        <v>37102</v>
      </c>
      <c r="AJ1" s="151">
        <f t="shared" si="0"/>
        <v>37109</v>
      </c>
      <c r="AK1" s="151">
        <f t="shared" si="0"/>
        <v>37116</v>
      </c>
      <c r="AL1" s="151">
        <f t="shared" si="0"/>
        <v>37123</v>
      </c>
      <c r="AM1" s="151">
        <f t="shared" si="0"/>
        <v>37130</v>
      </c>
      <c r="AN1" s="151">
        <f t="shared" si="0"/>
        <v>37137</v>
      </c>
      <c r="AO1" s="151">
        <f t="shared" si="0"/>
        <v>37144</v>
      </c>
      <c r="AP1" s="151">
        <f t="shared" si="0"/>
        <v>37151</v>
      </c>
      <c r="AQ1" s="151">
        <f t="shared" si="0"/>
        <v>37158</v>
      </c>
      <c r="AR1" s="301">
        <f t="shared" si="0"/>
        <v>37165</v>
      </c>
      <c r="AS1" s="151">
        <f t="shared" si="0"/>
        <v>37172</v>
      </c>
      <c r="AT1" s="151">
        <f t="shared" si="0"/>
        <v>37179</v>
      </c>
      <c r="AU1" s="151">
        <f t="shared" si="0"/>
        <v>37186</v>
      </c>
      <c r="AV1" s="151">
        <f t="shared" si="0"/>
        <v>37193</v>
      </c>
      <c r="AW1" s="151">
        <f t="shared" si="0"/>
        <v>37200</v>
      </c>
      <c r="AX1" s="151">
        <f t="shared" si="0"/>
        <v>37207</v>
      </c>
      <c r="AY1" s="151">
        <f t="shared" si="0"/>
        <v>37214</v>
      </c>
      <c r="AZ1" s="151">
        <f t="shared" si="0"/>
        <v>37221</v>
      </c>
      <c r="BA1" s="151">
        <f t="shared" si="0"/>
        <v>37228</v>
      </c>
      <c r="BB1" s="151">
        <f t="shared" si="0"/>
        <v>37235</v>
      </c>
      <c r="BC1" s="151">
        <f t="shared" si="0"/>
        <v>37242</v>
      </c>
      <c r="BD1" s="151">
        <f t="shared" si="0"/>
        <v>37249</v>
      </c>
      <c r="BE1" s="151">
        <f t="shared" si="0"/>
        <v>37256</v>
      </c>
      <c r="BF1" s="151">
        <f t="shared" si="0"/>
        <v>37263</v>
      </c>
      <c r="BG1" s="151">
        <f t="shared" si="0"/>
        <v>37270</v>
      </c>
      <c r="BH1" s="151">
        <f t="shared" si="0"/>
        <v>37277</v>
      </c>
      <c r="BI1" s="151">
        <f t="shared" si="0"/>
        <v>37284</v>
      </c>
      <c r="BJ1" s="151">
        <f t="shared" si="0"/>
        <v>37291</v>
      </c>
      <c r="BK1" s="151">
        <f t="shared" si="0"/>
        <v>37298</v>
      </c>
      <c r="BL1" s="301">
        <f t="shared" si="0"/>
        <v>37305</v>
      </c>
      <c r="BM1" s="151">
        <f t="shared" si="0"/>
        <v>37312</v>
      </c>
      <c r="BN1" s="151">
        <f t="shared" si="0"/>
        <v>37319</v>
      </c>
      <c r="BO1" s="151">
        <f t="shared" si="0"/>
        <v>37326</v>
      </c>
      <c r="BP1" s="151">
        <f t="shared" si="0"/>
        <v>37333</v>
      </c>
      <c r="BQ1" s="151">
        <f t="shared" si="0"/>
        <v>37340</v>
      </c>
      <c r="BR1" s="151">
        <f t="shared" si="0"/>
        <v>37347</v>
      </c>
      <c r="BS1" s="151">
        <f t="shared" ref="BS1:CU1" si="1">+BR1+7</f>
        <v>37354</v>
      </c>
      <c r="BT1" s="151">
        <f t="shared" si="1"/>
        <v>37361</v>
      </c>
      <c r="BU1" s="151">
        <f t="shared" si="1"/>
        <v>37368</v>
      </c>
      <c r="BV1" s="151">
        <f t="shared" si="1"/>
        <v>37375</v>
      </c>
      <c r="BW1" s="151">
        <f t="shared" si="1"/>
        <v>37382</v>
      </c>
      <c r="BX1" s="303">
        <f t="shared" si="1"/>
        <v>37389</v>
      </c>
      <c r="BY1" s="151">
        <f t="shared" si="1"/>
        <v>37396</v>
      </c>
      <c r="BZ1" s="151">
        <f t="shared" si="1"/>
        <v>37403</v>
      </c>
      <c r="CA1" s="151">
        <f t="shared" si="1"/>
        <v>37410</v>
      </c>
      <c r="CB1" s="151">
        <f t="shared" si="1"/>
        <v>37417</v>
      </c>
      <c r="CC1" s="151">
        <f t="shared" si="1"/>
        <v>37424</v>
      </c>
      <c r="CD1" s="151">
        <f t="shared" si="1"/>
        <v>37431</v>
      </c>
      <c r="CE1" s="151">
        <f t="shared" si="1"/>
        <v>37438</v>
      </c>
      <c r="CF1" s="151">
        <f t="shared" si="1"/>
        <v>37445</v>
      </c>
      <c r="CG1" s="151">
        <f t="shared" si="1"/>
        <v>37452</v>
      </c>
      <c r="CH1" s="151">
        <f t="shared" si="1"/>
        <v>37459</v>
      </c>
      <c r="CI1" s="151">
        <f t="shared" si="1"/>
        <v>37466</v>
      </c>
      <c r="CJ1" s="151">
        <f t="shared" si="1"/>
        <v>37473</v>
      </c>
      <c r="CK1" s="151">
        <f t="shared" si="1"/>
        <v>37480</v>
      </c>
      <c r="CL1" s="151">
        <f t="shared" si="1"/>
        <v>37487</v>
      </c>
      <c r="CM1" s="305">
        <f t="shared" si="1"/>
        <v>37494</v>
      </c>
      <c r="CN1" s="151">
        <f t="shared" si="1"/>
        <v>37501</v>
      </c>
      <c r="CO1" s="151">
        <f t="shared" si="1"/>
        <v>37508</v>
      </c>
      <c r="CP1" s="151">
        <f t="shared" si="1"/>
        <v>37515</v>
      </c>
      <c r="CQ1" s="151">
        <f t="shared" si="1"/>
        <v>37522</v>
      </c>
      <c r="CR1" s="151">
        <f t="shared" si="1"/>
        <v>37529</v>
      </c>
      <c r="CS1" s="151">
        <f t="shared" si="1"/>
        <v>37536</v>
      </c>
      <c r="CT1" s="151">
        <f t="shared" si="1"/>
        <v>37543</v>
      </c>
      <c r="CU1" s="151">
        <f t="shared" si="1"/>
        <v>37550</v>
      </c>
    </row>
    <row r="2" spans="1:142">
      <c r="A2" t="s">
        <v>404</v>
      </c>
      <c r="G2">
        <v>0</v>
      </c>
      <c r="H2" s="152">
        <f>+G2+0.25</f>
        <v>0.25</v>
      </c>
      <c r="I2" s="152">
        <f>+H2+0.25</f>
        <v>0.5</v>
      </c>
      <c r="J2" s="152">
        <f t="shared" ref="J2:BW2" si="2">+I2+0.25</f>
        <v>0.75</v>
      </c>
      <c r="K2" s="152">
        <f t="shared" si="2"/>
        <v>1</v>
      </c>
      <c r="L2" s="152">
        <f t="shared" si="2"/>
        <v>1.25</v>
      </c>
      <c r="M2" s="152">
        <f>+L2+0.25</f>
        <v>1.5</v>
      </c>
      <c r="N2" s="152">
        <f t="shared" si="2"/>
        <v>1.75</v>
      </c>
      <c r="O2" s="152">
        <f t="shared" si="2"/>
        <v>2</v>
      </c>
      <c r="P2" s="152">
        <f t="shared" si="2"/>
        <v>2.25</v>
      </c>
      <c r="Q2" s="152">
        <f t="shared" si="2"/>
        <v>2.5</v>
      </c>
      <c r="R2" s="152">
        <f t="shared" si="2"/>
        <v>2.75</v>
      </c>
      <c r="S2" s="152">
        <f t="shared" si="2"/>
        <v>3</v>
      </c>
      <c r="T2" s="152">
        <f t="shared" si="2"/>
        <v>3.25</v>
      </c>
      <c r="U2" s="152">
        <f t="shared" si="2"/>
        <v>3.5</v>
      </c>
      <c r="V2" s="152">
        <f t="shared" si="2"/>
        <v>3.75</v>
      </c>
      <c r="W2" s="152">
        <f t="shared" si="2"/>
        <v>4</v>
      </c>
      <c r="X2" s="152">
        <f t="shared" si="2"/>
        <v>4.25</v>
      </c>
      <c r="Y2" s="152">
        <f t="shared" si="2"/>
        <v>4.5</v>
      </c>
      <c r="Z2" s="152">
        <f t="shared" si="2"/>
        <v>4.75</v>
      </c>
      <c r="AA2" s="152">
        <f t="shared" si="2"/>
        <v>5</v>
      </c>
      <c r="AB2" s="152">
        <f t="shared" si="2"/>
        <v>5.25</v>
      </c>
      <c r="AC2" s="152">
        <f t="shared" si="2"/>
        <v>5.5</v>
      </c>
      <c r="AD2" s="152">
        <f t="shared" si="2"/>
        <v>5.75</v>
      </c>
      <c r="AE2" s="152">
        <f t="shared" si="2"/>
        <v>6</v>
      </c>
      <c r="AF2" s="152">
        <f t="shared" si="2"/>
        <v>6.25</v>
      </c>
      <c r="AG2" s="152">
        <f t="shared" si="2"/>
        <v>6.5</v>
      </c>
      <c r="AH2" s="152">
        <f t="shared" si="2"/>
        <v>6.75</v>
      </c>
      <c r="AI2" s="152">
        <f t="shared" si="2"/>
        <v>7</v>
      </c>
      <c r="AJ2" s="152">
        <f t="shared" si="2"/>
        <v>7.25</v>
      </c>
      <c r="AK2" s="152">
        <f t="shared" si="2"/>
        <v>7.5</v>
      </c>
      <c r="AL2" s="152">
        <f t="shared" si="2"/>
        <v>7.75</v>
      </c>
      <c r="AM2" s="152">
        <f t="shared" si="2"/>
        <v>8</v>
      </c>
      <c r="AN2" s="152">
        <f t="shared" si="2"/>
        <v>8.25</v>
      </c>
      <c r="AO2" s="152">
        <f t="shared" si="2"/>
        <v>8.5</v>
      </c>
      <c r="AP2" s="152">
        <f t="shared" si="2"/>
        <v>8.75</v>
      </c>
      <c r="AQ2" s="152">
        <f t="shared" si="2"/>
        <v>9</v>
      </c>
      <c r="AR2" s="152">
        <f t="shared" si="2"/>
        <v>9.25</v>
      </c>
      <c r="AS2" s="152">
        <f t="shared" si="2"/>
        <v>9.5</v>
      </c>
      <c r="AT2" s="152">
        <f t="shared" si="2"/>
        <v>9.75</v>
      </c>
      <c r="AU2" s="152">
        <f t="shared" si="2"/>
        <v>10</v>
      </c>
      <c r="AV2" s="152">
        <f t="shared" si="2"/>
        <v>10.25</v>
      </c>
      <c r="AW2" s="152">
        <f t="shared" si="2"/>
        <v>10.5</v>
      </c>
      <c r="AX2" s="152">
        <f t="shared" si="2"/>
        <v>10.75</v>
      </c>
      <c r="AY2" s="152">
        <f t="shared" si="2"/>
        <v>11</v>
      </c>
      <c r="AZ2" s="152">
        <f t="shared" si="2"/>
        <v>11.25</v>
      </c>
      <c r="BA2" s="152">
        <f t="shared" si="2"/>
        <v>11.5</v>
      </c>
      <c r="BB2" s="152">
        <f t="shared" si="2"/>
        <v>11.75</v>
      </c>
      <c r="BC2" s="152">
        <f t="shared" si="2"/>
        <v>12</v>
      </c>
      <c r="BD2" s="152">
        <f t="shared" si="2"/>
        <v>12.25</v>
      </c>
      <c r="BE2" s="152">
        <f t="shared" si="2"/>
        <v>12.5</v>
      </c>
      <c r="BF2" s="152">
        <f t="shared" si="2"/>
        <v>12.75</v>
      </c>
      <c r="BG2" s="152">
        <f t="shared" si="2"/>
        <v>13</v>
      </c>
      <c r="BH2" s="152">
        <f t="shared" si="2"/>
        <v>13.25</v>
      </c>
      <c r="BI2" s="152">
        <f t="shared" si="2"/>
        <v>13.5</v>
      </c>
      <c r="BJ2" s="152">
        <f t="shared" si="2"/>
        <v>13.75</v>
      </c>
      <c r="BK2" s="152">
        <f t="shared" si="2"/>
        <v>14</v>
      </c>
      <c r="BL2" s="152">
        <f t="shared" si="2"/>
        <v>14.25</v>
      </c>
      <c r="BM2" s="152">
        <f t="shared" si="2"/>
        <v>14.5</v>
      </c>
      <c r="BN2" s="152">
        <f t="shared" si="2"/>
        <v>14.75</v>
      </c>
      <c r="BO2" s="152">
        <f t="shared" si="2"/>
        <v>15</v>
      </c>
      <c r="BP2" s="152">
        <f t="shared" si="2"/>
        <v>15.25</v>
      </c>
      <c r="BQ2" s="152">
        <f t="shared" si="2"/>
        <v>15.5</v>
      </c>
      <c r="BR2" s="152">
        <f t="shared" si="2"/>
        <v>15.75</v>
      </c>
      <c r="BS2" s="152">
        <f t="shared" si="2"/>
        <v>16</v>
      </c>
      <c r="BT2" s="152">
        <f t="shared" si="2"/>
        <v>16.25</v>
      </c>
      <c r="BU2" s="152">
        <f t="shared" si="2"/>
        <v>16.5</v>
      </c>
      <c r="BV2" s="152">
        <f>+BU2+0.25</f>
        <v>16.75</v>
      </c>
      <c r="BW2" s="152">
        <f t="shared" si="2"/>
        <v>17</v>
      </c>
      <c r="BX2" s="152">
        <f t="shared" ref="BX2:CM2" si="3">+BW2+0.25</f>
        <v>17.25</v>
      </c>
      <c r="BY2" s="152">
        <f t="shared" si="3"/>
        <v>17.5</v>
      </c>
      <c r="BZ2" s="152">
        <f t="shared" si="3"/>
        <v>17.75</v>
      </c>
      <c r="CA2" s="152">
        <f t="shared" si="3"/>
        <v>18</v>
      </c>
      <c r="CB2" s="152">
        <f t="shared" si="3"/>
        <v>18.25</v>
      </c>
      <c r="CC2" s="152">
        <f t="shared" si="3"/>
        <v>18.5</v>
      </c>
      <c r="CD2" s="152">
        <f t="shared" si="3"/>
        <v>18.75</v>
      </c>
      <c r="CE2" s="152">
        <f t="shared" si="3"/>
        <v>19</v>
      </c>
      <c r="CF2" s="152">
        <f t="shared" si="3"/>
        <v>19.25</v>
      </c>
      <c r="CG2" s="152">
        <f t="shared" si="3"/>
        <v>19.5</v>
      </c>
      <c r="CH2" s="152">
        <f t="shared" si="3"/>
        <v>19.75</v>
      </c>
      <c r="CI2" s="152">
        <f t="shared" si="3"/>
        <v>20</v>
      </c>
      <c r="CJ2" s="152">
        <f t="shared" si="3"/>
        <v>20.25</v>
      </c>
      <c r="CK2" s="152">
        <f t="shared" si="3"/>
        <v>20.5</v>
      </c>
      <c r="CL2" s="152">
        <f t="shared" si="3"/>
        <v>20.75</v>
      </c>
      <c r="CM2" s="152">
        <f t="shared" si="3"/>
        <v>21</v>
      </c>
      <c r="CN2" s="152"/>
      <c r="CO2" s="152"/>
      <c r="CP2" s="152"/>
      <c r="CQ2" s="152"/>
      <c r="CR2" s="152"/>
      <c r="CS2" s="152"/>
      <c r="CT2" s="152"/>
      <c r="CU2" s="152"/>
      <c r="CV2" s="152"/>
      <c r="CW2" s="152"/>
      <c r="CX2" s="152"/>
      <c r="CY2" s="152"/>
      <c r="CZ2" s="152"/>
      <c r="DA2" s="152"/>
      <c r="DB2" s="152"/>
      <c r="DC2" s="152"/>
      <c r="DD2" s="152"/>
      <c r="DE2" s="152"/>
      <c r="DF2" s="152"/>
      <c r="DG2" s="152"/>
      <c r="DH2" s="152"/>
      <c r="DI2" s="152"/>
      <c r="DJ2" s="152"/>
      <c r="DK2" s="152"/>
      <c r="DL2" s="152"/>
      <c r="DM2" s="152"/>
      <c r="DN2" s="152"/>
      <c r="DO2" s="152"/>
      <c r="DP2" s="152"/>
      <c r="DQ2" s="152"/>
      <c r="DR2" s="152"/>
      <c r="DS2" s="152"/>
      <c r="DT2" s="152"/>
      <c r="DU2" s="152"/>
      <c r="DV2" s="152"/>
      <c r="DW2" s="152"/>
      <c r="DX2" s="152"/>
      <c r="DY2" s="152"/>
      <c r="DZ2" s="152"/>
      <c r="EA2" s="152"/>
      <c r="EB2" s="152"/>
      <c r="EC2" s="152"/>
      <c r="ED2" s="152"/>
      <c r="EE2" s="152"/>
      <c r="EF2" s="152"/>
      <c r="EG2" s="152"/>
      <c r="EH2" s="152"/>
      <c r="EI2" s="152"/>
      <c r="EJ2" s="152"/>
      <c r="EK2" s="152"/>
      <c r="EL2" s="152"/>
    </row>
    <row r="3" spans="1:142">
      <c r="BG3" s="306" t="s">
        <v>495</v>
      </c>
    </row>
    <row r="4" spans="1:142">
      <c r="A4" t="s">
        <v>406</v>
      </c>
      <c r="C4" t="s">
        <v>199</v>
      </c>
    </row>
    <row r="5" spans="1:142">
      <c r="A5" t="s">
        <v>407</v>
      </c>
      <c r="C5" t="s">
        <v>199</v>
      </c>
    </row>
    <row r="6" spans="1:142">
      <c r="A6" t="s">
        <v>408</v>
      </c>
      <c r="C6" t="s">
        <v>199</v>
      </c>
    </row>
    <row r="7" spans="1:142">
      <c r="A7" t="s">
        <v>369</v>
      </c>
      <c r="F7" t="s">
        <v>199</v>
      </c>
    </row>
    <row r="8" spans="1:142">
      <c r="A8" t="s">
        <v>484</v>
      </c>
      <c r="B8">
        <v>10</v>
      </c>
      <c r="D8" t="s">
        <v>199</v>
      </c>
      <c r="E8" t="s">
        <v>199</v>
      </c>
      <c r="F8" t="s">
        <v>199</v>
      </c>
      <c r="H8" t="s">
        <v>199</v>
      </c>
      <c r="I8" t="s">
        <v>199</v>
      </c>
      <c r="J8" t="s">
        <v>199</v>
      </c>
    </row>
    <row r="9" spans="1:142">
      <c r="A9" t="s">
        <v>486</v>
      </c>
      <c r="F9" s="292"/>
      <c r="G9" s="292"/>
    </row>
    <row r="10" spans="1:142">
      <c r="A10" t="s">
        <v>409</v>
      </c>
      <c r="B10">
        <v>2</v>
      </c>
      <c r="F10" t="s">
        <v>199</v>
      </c>
      <c r="H10" s="153" t="s">
        <v>199</v>
      </c>
    </row>
    <row r="11" spans="1:142">
      <c r="A11" t="s">
        <v>410</v>
      </c>
      <c r="B11">
        <v>22</v>
      </c>
      <c r="I11" s="153" t="s">
        <v>199</v>
      </c>
      <c r="J11" s="153" t="s">
        <v>199</v>
      </c>
      <c r="K11" s="153" t="s">
        <v>199</v>
      </c>
      <c r="L11" s="153" t="s">
        <v>199</v>
      </c>
      <c r="M11" s="153"/>
    </row>
    <row r="12" spans="1:142">
      <c r="A12" t="s">
        <v>370</v>
      </c>
      <c r="K12" s="290" t="s">
        <v>199</v>
      </c>
      <c r="L12" s="290" t="s">
        <v>199</v>
      </c>
      <c r="M12" s="290"/>
      <c r="N12" s="290" t="s">
        <v>199</v>
      </c>
      <c r="O12" s="290" t="s">
        <v>199</v>
      </c>
    </row>
    <row r="13" spans="1:142">
      <c r="A13" t="s">
        <v>485</v>
      </c>
      <c r="I13" s="291"/>
      <c r="J13" s="291"/>
      <c r="K13" s="293"/>
      <c r="L13" s="291"/>
      <c r="M13" s="291"/>
      <c r="N13" s="293"/>
    </row>
    <row r="14" spans="1:142">
      <c r="A14" t="s">
        <v>487</v>
      </c>
      <c r="K14" s="293"/>
      <c r="N14" s="293"/>
    </row>
    <row r="15" spans="1:142">
      <c r="A15" t="s">
        <v>488</v>
      </c>
      <c r="K15" s="293"/>
      <c r="N15" s="293"/>
    </row>
    <row r="16" spans="1:142">
      <c r="A16" t="s">
        <v>371</v>
      </c>
      <c r="O16" s="154" t="s">
        <v>199</v>
      </c>
      <c r="P16" s="153" t="s">
        <v>199</v>
      </c>
      <c r="Q16" s="153" t="s">
        <v>199</v>
      </c>
      <c r="R16" s="153" t="s">
        <v>199</v>
      </c>
      <c r="S16" s="154" t="s">
        <v>199</v>
      </c>
    </row>
    <row r="17" spans="1:31">
      <c r="A17" t="s">
        <v>372</v>
      </c>
      <c r="R17" s="294"/>
      <c r="S17" s="294"/>
    </row>
    <row r="19" spans="1:31">
      <c r="A19" t="s">
        <v>489</v>
      </c>
      <c r="N19" s="295"/>
    </row>
    <row r="20" spans="1:31">
      <c r="A20" t="s">
        <v>490</v>
      </c>
      <c r="O20" s="147"/>
      <c r="P20" s="147"/>
      <c r="Q20" s="147"/>
      <c r="R20" s="296"/>
      <c r="S20" s="147"/>
      <c r="T20" s="147"/>
      <c r="U20" s="147"/>
    </row>
    <row r="21" spans="1:31">
      <c r="A21" t="s">
        <v>492</v>
      </c>
      <c r="R21" s="296"/>
    </row>
    <row r="22" spans="1:31">
      <c r="A22" t="s">
        <v>491</v>
      </c>
      <c r="Q22" s="297"/>
      <c r="R22" s="297"/>
      <c r="S22" s="297"/>
      <c r="T22" s="297"/>
      <c r="U22" s="297"/>
      <c r="V22" s="297"/>
      <c r="W22" s="297"/>
      <c r="X22" s="297"/>
    </row>
    <row r="23" spans="1:31">
      <c r="A23" t="s">
        <v>492</v>
      </c>
      <c r="T23" s="298"/>
      <c r="X23" s="298"/>
    </row>
    <row r="24" spans="1:31">
      <c r="T24" s="298"/>
      <c r="X24" s="298"/>
    </row>
    <row r="25" spans="1:31">
      <c r="A25" s="27" t="s">
        <v>239</v>
      </c>
    </row>
    <row r="26" spans="1:31">
      <c r="A26" s="20" t="s">
        <v>319</v>
      </c>
      <c r="B26" s="20"/>
      <c r="C26" s="20"/>
      <c r="S26" s="155" t="s">
        <v>199</v>
      </c>
      <c r="T26" s="156"/>
      <c r="U26" s="156"/>
      <c r="V26" s="156"/>
    </row>
    <row r="27" spans="1:31">
      <c r="A27" s="20" t="s">
        <v>317</v>
      </c>
      <c r="B27" s="20"/>
      <c r="C27" s="20"/>
      <c r="V27" s="156"/>
    </row>
    <row r="28" spans="1:31">
      <c r="A28" s="20" t="s">
        <v>321</v>
      </c>
      <c r="B28" s="20"/>
      <c r="C28" s="20"/>
      <c r="W28" s="300"/>
      <c r="X28" s="148"/>
      <c r="Y28" s="148"/>
      <c r="Z28" s="148"/>
      <c r="AA28" s="148"/>
      <c r="AB28" s="148"/>
      <c r="AC28" s="148"/>
      <c r="AD28" s="148"/>
      <c r="AE28" s="148"/>
    </row>
    <row r="29" spans="1:31">
      <c r="A29" s="20" t="s">
        <v>330</v>
      </c>
      <c r="B29" s="20"/>
      <c r="C29" s="20"/>
      <c r="W29" s="300"/>
      <c r="X29" s="148"/>
      <c r="Y29" s="148"/>
      <c r="Z29" s="148"/>
      <c r="AA29" s="148"/>
      <c r="AB29" s="148"/>
      <c r="AC29" s="148"/>
      <c r="AD29" s="148"/>
      <c r="AE29" s="148"/>
    </row>
    <row r="30" spans="1:31">
      <c r="A30" s="20" t="s">
        <v>328</v>
      </c>
      <c r="B30" s="20"/>
      <c r="C30" s="20"/>
      <c r="W30" s="300"/>
      <c r="X30" s="148"/>
      <c r="Y30" s="148"/>
      <c r="Z30" s="148"/>
      <c r="AA30" s="148"/>
      <c r="AB30" s="148"/>
      <c r="AC30" s="148"/>
      <c r="AD30" s="148"/>
      <c r="AE30" s="148"/>
    </row>
    <row r="31" spans="1:31">
      <c r="A31" s="20" t="s">
        <v>329</v>
      </c>
      <c r="B31" s="20"/>
      <c r="C31" s="20"/>
      <c r="W31" s="300"/>
      <c r="X31" s="148"/>
      <c r="Y31" s="148"/>
      <c r="Z31" s="148"/>
      <c r="AA31" s="148"/>
      <c r="AB31" s="148"/>
      <c r="AC31" s="148"/>
      <c r="AD31" s="148"/>
      <c r="AE31" s="148"/>
    </row>
    <row r="32" spans="1:31">
      <c r="A32" s="20" t="s">
        <v>322</v>
      </c>
      <c r="B32" s="20"/>
      <c r="C32" s="20"/>
      <c r="W32" s="300"/>
      <c r="X32" s="148"/>
      <c r="Y32" s="148"/>
      <c r="Z32" s="148"/>
      <c r="AA32" s="148"/>
      <c r="AB32" s="148"/>
      <c r="AC32" s="148"/>
      <c r="AD32" s="148"/>
      <c r="AE32" s="148"/>
    </row>
    <row r="33" spans="1:32">
      <c r="A33" s="20" t="s">
        <v>323</v>
      </c>
      <c r="B33" s="20"/>
      <c r="C33" s="20"/>
      <c r="W33" s="300"/>
      <c r="X33" s="148"/>
      <c r="Y33" s="148"/>
      <c r="Z33" s="148"/>
      <c r="AA33" s="148"/>
      <c r="AB33" s="148"/>
      <c r="AC33" s="148"/>
      <c r="AD33" s="148"/>
      <c r="AE33" s="148"/>
    </row>
    <row r="34" spans="1:32">
      <c r="A34" s="20" t="s">
        <v>324</v>
      </c>
      <c r="B34" s="20"/>
      <c r="C34" s="20"/>
      <c r="W34" s="300"/>
      <c r="X34" s="148"/>
      <c r="Y34" s="148"/>
      <c r="Z34" s="148"/>
      <c r="AA34" s="148"/>
      <c r="AB34" s="148"/>
      <c r="AC34" s="148"/>
      <c r="AD34" s="148"/>
      <c r="AE34" s="148"/>
    </row>
    <row r="35" spans="1:32">
      <c r="A35" s="20" t="s">
        <v>327</v>
      </c>
      <c r="B35" s="20"/>
      <c r="C35" s="20"/>
      <c r="W35" s="300"/>
      <c r="X35" s="148"/>
      <c r="Y35" s="148"/>
      <c r="Z35" s="148"/>
      <c r="AA35" s="148"/>
      <c r="AB35" s="148"/>
      <c r="AC35" s="148"/>
      <c r="AD35" s="148"/>
      <c r="AE35" s="148"/>
    </row>
    <row r="36" spans="1:32">
      <c r="A36" s="20" t="s">
        <v>325</v>
      </c>
      <c r="B36" s="20"/>
      <c r="C36" s="20"/>
      <c r="Y36" s="143"/>
      <c r="Z36" s="143"/>
      <c r="AA36" s="143"/>
      <c r="AB36" s="143"/>
      <c r="AC36" s="143"/>
      <c r="AD36" s="143"/>
      <c r="AE36" s="143"/>
    </row>
    <row r="37" spans="1:32">
      <c r="A37" s="20" t="s">
        <v>351</v>
      </c>
      <c r="B37" s="20"/>
      <c r="C37" s="20"/>
      <c r="AD37" s="143"/>
      <c r="AE37" s="143"/>
      <c r="AF37" s="143"/>
    </row>
    <row r="38" spans="1:32">
      <c r="A38" s="20" t="s">
        <v>318</v>
      </c>
      <c r="B38" s="20"/>
      <c r="C38" s="20"/>
    </row>
    <row r="39" spans="1:32">
      <c r="A39" s="20" t="s">
        <v>320</v>
      </c>
      <c r="B39" s="20"/>
      <c r="C39" s="20"/>
    </row>
    <row r="40" spans="1:32">
      <c r="A40" s="20" t="s">
        <v>251</v>
      </c>
      <c r="B40" s="20"/>
      <c r="C40" s="20"/>
    </row>
    <row r="41" spans="1:32">
      <c r="A41" s="20"/>
      <c r="B41" s="20"/>
      <c r="C41" s="20"/>
    </row>
    <row r="42" spans="1:32">
      <c r="A42" s="27" t="s">
        <v>341</v>
      </c>
      <c r="B42" s="20"/>
      <c r="C42" s="20"/>
    </row>
    <row r="43" spans="1:32">
      <c r="A43" s="20" t="s">
        <v>405</v>
      </c>
    </row>
    <row r="44" spans="1:32">
      <c r="A44" s="20" t="s">
        <v>244</v>
      </c>
    </row>
    <row r="45" spans="1:32">
      <c r="A45" s="20" t="s">
        <v>313</v>
      </c>
    </row>
    <row r="46" spans="1:32">
      <c r="A46" s="20" t="s">
        <v>235</v>
      </c>
    </row>
    <row r="47" spans="1:32">
      <c r="A47" s="140" t="s">
        <v>493</v>
      </c>
    </row>
    <row r="48" spans="1:32">
      <c r="A48" s="20" t="s">
        <v>353</v>
      </c>
    </row>
    <row r="49" spans="1:66">
      <c r="A49" s="20" t="s">
        <v>494</v>
      </c>
    </row>
    <row r="50" spans="1:66">
      <c r="A50" s="20" t="s">
        <v>296</v>
      </c>
    </row>
    <row r="51" spans="1:66">
      <c r="A51" s="20" t="s">
        <v>242</v>
      </c>
    </row>
    <row r="53" spans="1:66">
      <c r="A53" s="150" t="s">
        <v>378</v>
      </c>
    </row>
    <row r="54" spans="1:66">
      <c r="A54" t="s">
        <v>382</v>
      </c>
      <c r="B54">
        <f>6*22</f>
        <v>132</v>
      </c>
      <c r="C54" t="s">
        <v>403</v>
      </c>
      <c r="W54" s="142">
        <v>3</v>
      </c>
      <c r="X54" s="142">
        <v>5</v>
      </c>
      <c r="Y54" s="142">
        <v>5</v>
      </c>
      <c r="Z54" s="142">
        <v>5</v>
      </c>
      <c r="AA54" s="142">
        <v>5</v>
      </c>
      <c r="AB54" s="142">
        <v>5</v>
      </c>
      <c r="AC54" s="142">
        <v>5</v>
      </c>
      <c r="AD54" s="142">
        <v>5</v>
      </c>
      <c r="AE54" s="142">
        <v>5</v>
      </c>
      <c r="AF54" s="142">
        <v>5</v>
      </c>
      <c r="AG54" s="142">
        <v>5</v>
      </c>
      <c r="AH54" s="142">
        <v>5</v>
      </c>
      <c r="AI54" s="142">
        <v>5</v>
      </c>
      <c r="AJ54" s="142">
        <v>5</v>
      </c>
      <c r="AK54" s="142">
        <v>5</v>
      </c>
      <c r="AL54" s="142">
        <v>5</v>
      </c>
      <c r="AM54" s="142">
        <v>5</v>
      </c>
      <c r="AN54" s="142">
        <v>5</v>
      </c>
      <c r="AO54" s="142">
        <v>5</v>
      </c>
      <c r="AP54" s="142">
        <v>5</v>
      </c>
      <c r="AQ54" s="142">
        <v>5</v>
      </c>
      <c r="AR54" s="142">
        <v>5</v>
      </c>
      <c r="AS54" s="142">
        <v>5</v>
      </c>
      <c r="AT54" s="142">
        <v>5</v>
      </c>
      <c r="AU54" s="142">
        <v>5</v>
      </c>
      <c r="AV54" s="142">
        <v>5</v>
      </c>
      <c r="AW54" s="142">
        <v>4</v>
      </c>
      <c r="AX54" s="142"/>
      <c r="AY54" s="142"/>
    </row>
    <row r="55" spans="1:66">
      <c r="A55" t="s">
        <v>383</v>
      </c>
      <c r="B55">
        <f>5*22</f>
        <v>110</v>
      </c>
      <c r="C55" t="s">
        <v>403</v>
      </c>
      <c r="AA55" s="142">
        <v>5</v>
      </c>
      <c r="AB55" s="142">
        <v>5</v>
      </c>
      <c r="AC55" s="142">
        <v>5</v>
      </c>
      <c r="AD55" s="142">
        <v>5</v>
      </c>
      <c r="AE55" s="142">
        <v>5</v>
      </c>
      <c r="AF55" s="142">
        <v>5</v>
      </c>
      <c r="AG55" s="142">
        <v>5</v>
      </c>
      <c r="AH55" s="142">
        <v>5</v>
      </c>
      <c r="AI55" s="142">
        <v>5</v>
      </c>
      <c r="AJ55" s="142">
        <v>5</v>
      </c>
      <c r="AK55" s="142">
        <v>5</v>
      </c>
      <c r="AL55" s="142">
        <v>5</v>
      </c>
      <c r="AM55" s="142">
        <v>5</v>
      </c>
      <c r="AN55" s="142">
        <v>5</v>
      </c>
      <c r="AO55" s="142">
        <v>5</v>
      </c>
      <c r="AP55" s="142">
        <v>5</v>
      </c>
      <c r="AQ55" s="142">
        <v>5</v>
      </c>
      <c r="AR55" s="142">
        <v>5</v>
      </c>
      <c r="AS55" s="142">
        <v>5</v>
      </c>
      <c r="AT55" s="142">
        <v>5</v>
      </c>
      <c r="AU55" s="142">
        <v>5</v>
      </c>
      <c r="AV55" s="142">
        <v>5</v>
      </c>
      <c r="AW55" s="142"/>
      <c r="AX55" s="142"/>
      <c r="AY55" s="142"/>
      <c r="AZ55" s="142"/>
    </row>
    <row r="56" spans="1:66">
      <c r="A56" t="s">
        <v>384</v>
      </c>
      <c r="B56">
        <f t="shared" ref="B56:B61" si="4">5*22</f>
        <v>110</v>
      </c>
      <c r="C56" t="s">
        <v>403</v>
      </c>
      <c r="AC56" s="142"/>
      <c r="AD56" s="142">
        <v>5</v>
      </c>
      <c r="AE56" s="142">
        <v>5</v>
      </c>
      <c r="AF56" s="142">
        <v>5</v>
      </c>
      <c r="AG56" s="142">
        <v>5</v>
      </c>
      <c r="AH56" s="142">
        <v>5</v>
      </c>
      <c r="AI56" s="142">
        <v>5</v>
      </c>
      <c r="AJ56" s="142">
        <v>5</v>
      </c>
      <c r="AK56" s="142">
        <v>5</v>
      </c>
      <c r="AL56" s="142">
        <v>5</v>
      </c>
      <c r="AM56" s="142">
        <v>5</v>
      </c>
      <c r="AN56" s="142">
        <v>5</v>
      </c>
      <c r="AO56" s="142">
        <v>5</v>
      </c>
      <c r="AP56" s="142">
        <v>5</v>
      </c>
      <c r="AQ56" s="142">
        <v>5</v>
      </c>
      <c r="AR56" s="142">
        <v>5</v>
      </c>
      <c r="AS56" s="142">
        <v>5</v>
      </c>
      <c r="AT56" s="142">
        <v>5</v>
      </c>
      <c r="AU56" s="142">
        <v>5</v>
      </c>
      <c r="AV56" s="142">
        <v>5</v>
      </c>
      <c r="AW56" s="142">
        <v>5</v>
      </c>
      <c r="AX56" s="142">
        <v>5</v>
      </c>
      <c r="AY56" s="142">
        <v>5</v>
      </c>
    </row>
    <row r="57" spans="1:66">
      <c r="A57" t="s">
        <v>385</v>
      </c>
      <c r="B57">
        <f t="shared" si="4"/>
        <v>110</v>
      </c>
      <c r="C57" t="s">
        <v>403</v>
      </c>
      <c r="AG57" s="142">
        <v>5</v>
      </c>
      <c r="AH57" s="142">
        <v>5</v>
      </c>
      <c r="AI57" s="142">
        <v>5</v>
      </c>
      <c r="AJ57" s="142">
        <v>5</v>
      </c>
      <c r="AK57" s="142">
        <v>5</v>
      </c>
      <c r="AL57" s="142">
        <v>5</v>
      </c>
      <c r="AM57" s="142">
        <v>5</v>
      </c>
      <c r="AN57" s="142">
        <v>5</v>
      </c>
      <c r="AO57" s="142">
        <v>5</v>
      </c>
      <c r="AP57" s="142">
        <v>5</v>
      </c>
      <c r="AQ57" s="142">
        <v>5</v>
      </c>
      <c r="AR57" s="142">
        <v>5</v>
      </c>
      <c r="AS57" s="142">
        <v>5</v>
      </c>
      <c r="AT57" s="142">
        <v>5</v>
      </c>
      <c r="AU57" s="142">
        <v>5</v>
      </c>
      <c r="AV57" s="142">
        <v>5</v>
      </c>
      <c r="AW57" s="142">
        <v>5</v>
      </c>
      <c r="AX57" s="142">
        <v>5</v>
      </c>
      <c r="AY57" s="142">
        <v>5</v>
      </c>
      <c r="AZ57" s="142">
        <v>5</v>
      </c>
      <c r="BA57" s="142">
        <v>5</v>
      </c>
      <c r="BB57" s="142">
        <v>5</v>
      </c>
    </row>
    <row r="58" spans="1:66">
      <c r="A58" t="s">
        <v>386</v>
      </c>
      <c r="B58">
        <f t="shared" si="4"/>
        <v>110</v>
      </c>
      <c r="C58" t="s">
        <v>403</v>
      </c>
      <c r="AI58" s="142"/>
      <c r="AJ58" s="142">
        <v>5</v>
      </c>
      <c r="AK58" s="142">
        <v>5</v>
      </c>
      <c r="AL58" s="142">
        <v>5</v>
      </c>
      <c r="AM58" s="142">
        <v>5</v>
      </c>
      <c r="AN58" s="142">
        <v>5</v>
      </c>
      <c r="AO58" s="142">
        <v>5</v>
      </c>
      <c r="AP58" s="142">
        <v>5</v>
      </c>
      <c r="AQ58" s="142">
        <v>5</v>
      </c>
      <c r="AR58" s="142">
        <v>5</v>
      </c>
      <c r="AS58" s="142">
        <v>5</v>
      </c>
      <c r="AT58" s="142">
        <v>5</v>
      </c>
      <c r="AU58" s="142">
        <v>5</v>
      </c>
      <c r="AV58" s="142">
        <v>5</v>
      </c>
      <c r="AW58" s="142">
        <v>5</v>
      </c>
      <c r="AX58" s="142">
        <v>5</v>
      </c>
      <c r="AY58" s="142">
        <v>5</v>
      </c>
      <c r="AZ58" s="142">
        <v>5</v>
      </c>
      <c r="BA58" s="142">
        <v>5</v>
      </c>
      <c r="BB58" s="142">
        <v>5</v>
      </c>
      <c r="BC58" s="142">
        <v>5</v>
      </c>
      <c r="BD58" s="142">
        <v>5</v>
      </c>
      <c r="BE58" s="142">
        <v>5</v>
      </c>
    </row>
    <row r="59" spans="1:66">
      <c r="A59" t="s">
        <v>387</v>
      </c>
      <c r="B59">
        <f t="shared" si="4"/>
        <v>110</v>
      </c>
      <c r="C59" t="s">
        <v>403</v>
      </c>
      <c r="AL59" s="142"/>
      <c r="AM59" s="142">
        <v>5</v>
      </c>
      <c r="AN59" s="142">
        <v>5</v>
      </c>
      <c r="AO59" s="142">
        <v>5</v>
      </c>
      <c r="AP59" s="142">
        <v>5</v>
      </c>
      <c r="AQ59" s="142">
        <v>5</v>
      </c>
      <c r="AR59" s="142">
        <v>5</v>
      </c>
      <c r="AS59" s="142">
        <v>5</v>
      </c>
      <c r="AT59" s="142">
        <v>5</v>
      </c>
      <c r="AU59" s="142">
        <v>5</v>
      </c>
      <c r="AV59" s="142">
        <v>5</v>
      </c>
      <c r="AW59" s="142">
        <v>5</v>
      </c>
      <c r="AX59" s="142">
        <v>5</v>
      </c>
      <c r="AY59" s="142">
        <v>5</v>
      </c>
      <c r="AZ59" s="142">
        <v>5</v>
      </c>
      <c r="BA59" s="142">
        <v>5</v>
      </c>
      <c r="BB59" s="142">
        <v>5</v>
      </c>
      <c r="BC59" s="142">
        <v>5</v>
      </c>
      <c r="BD59" s="142">
        <v>5</v>
      </c>
      <c r="BE59" s="142">
        <v>5</v>
      </c>
      <c r="BF59" s="142">
        <v>5</v>
      </c>
      <c r="BG59" s="142">
        <v>5</v>
      </c>
      <c r="BH59" s="142">
        <v>5</v>
      </c>
    </row>
    <row r="60" spans="1:66">
      <c r="A60" t="s">
        <v>388</v>
      </c>
      <c r="B60">
        <f t="shared" si="4"/>
        <v>110</v>
      </c>
      <c r="C60" t="s">
        <v>403</v>
      </c>
      <c r="AN60" s="142"/>
      <c r="AO60" s="142"/>
      <c r="AP60" s="142">
        <v>5</v>
      </c>
      <c r="AQ60" s="142">
        <v>5</v>
      </c>
      <c r="AR60" s="142">
        <v>5</v>
      </c>
      <c r="AS60" s="142">
        <v>5</v>
      </c>
      <c r="AT60" s="142">
        <v>5</v>
      </c>
      <c r="AU60" s="142">
        <v>5</v>
      </c>
      <c r="AV60" s="142">
        <v>5</v>
      </c>
      <c r="AW60" s="142">
        <v>5</v>
      </c>
      <c r="AX60" s="142">
        <v>5</v>
      </c>
      <c r="AY60" s="142">
        <v>5</v>
      </c>
      <c r="AZ60" s="142">
        <v>5</v>
      </c>
      <c r="BA60" s="142">
        <v>5</v>
      </c>
      <c r="BB60" s="142">
        <v>5</v>
      </c>
      <c r="BC60" s="142">
        <v>5</v>
      </c>
      <c r="BD60" s="142">
        <v>5</v>
      </c>
      <c r="BE60" s="142">
        <v>5</v>
      </c>
      <c r="BF60" s="142">
        <v>5</v>
      </c>
      <c r="BG60" s="142">
        <v>5</v>
      </c>
      <c r="BH60" s="142">
        <v>5</v>
      </c>
      <c r="BI60" s="142">
        <v>5</v>
      </c>
      <c r="BJ60" s="142">
        <v>5</v>
      </c>
      <c r="BK60" s="142">
        <v>5</v>
      </c>
    </row>
    <row r="61" spans="1:66">
      <c r="A61" t="s">
        <v>389</v>
      </c>
      <c r="B61">
        <f t="shared" si="4"/>
        <v>110</v>
      </c>
      <c r="C61" t="s">
        <v>403</v>
      </c>
      <c r="AR61" s="142"/>
      <c r="AS61" s="142">
        <v>5</v>
      </c>
      <c r="AT61" s="142">
        <v>5</v>
      </c>
      <c r="AU61" s="142">
        <v>5</v>
      </c>
      <c r="AV61" s="142">
        <v>5</v>
      </c>
      <c r="AW61" s="142">
        <v>5</v>
      </c>
      <c r="AX61" s="142">
        <v>5</v>
      </c>
      <c r="AY61" s="142">
        <v>5</v>
      </c>
      <c r="AZ61" s="142">
        <v>5</v>
      </c>
      <c r="BA61" s="142">
        <v>5</v>
      </c>
      <c r="BB61" s="142">
        <v>5</v>
      </c>
      <c r="BC61" s="142">
        <v>5</v>
      </c>
      <c r="BD61" s="142">
        <v>5</v>
      </c>
      <c r="BE61" s="142">
        <v>5</v>
      </c>
      <c r="BF61" s="142">
        <v>5</v>
      </c>
      <c r="BG61" s="142">
        <v>5</v>
      </c>
      <c r="BH61" s="142">
        <v>5</v>
      </c>
      <c r="BI61" s="142">
        <v>5</v>
      </c>
      <c r="BJ61" s="142">
        <v>5</v>
      </c>
      <c r="BK61" s="142">
        <v>5</v>
      </c>
      <c r="BL61" s="142">
        <v>5</v>
      </c>
      <c r="BM61" s="142">
        <v>5</v>
      </c>
      <c r="BN61" s="142">
        <v>5</v>
      </c>
    </row>
    <row r="63" spans="1:66">
      <c r="A63" t="s">
        <v>516</v>
      </c>
      <c r="W63">
        <f>LoanPerU</f>
        <v>76529.4930995873</v>
      </c>
    </row>
    <row r="64" spans="1:66">
      <c r="A64" t="s">
        <v>517</v>
      </c>
      <c r="B64">
        <f>'UCost Final'!S169*0.8</f>
        <v>10178422.582245111</v>
      </c>
    </row>
    <row r="65" spans="1:66">
      <c r="A65" t="s">
        <v>518</v>
      </c>
      <c r="B65">
        <f>'UCost Final'!T169*0.8</f>
        <v>76529.4930995873</v>
      </c>
    </row>
    <row r="66" spans="1:66">
      <c r="A66" t="s">
        <v>519</v>
      </c>
    </row>
    <row r="76" spans="1:66">
      <c r="A76" s="93" t="s">
        <v>390</v>
      </c>
    </row>
    <row r="77" spans="1:66">
      <c r="A77" t="s">
        <v>379</v>
      </c>
      <c r="B77">
        <v>17</v>
      </c>
      <c r="C77" t="s">
        <v>394</v>
      </c>
      <c r="AB77" s="141"/>
      <c r="AD77" s="144">
        <v>17</v>
      </c>
      <c r="AT77" s="156"/>
      <c r="AU77" s="302"/>
      <c r="AV77" s="302"/>
      <c r="AW77" s="302"/>
      <c r="AX77" s="302"/>
      <c r="AY77" s="302"/>
      <c r="AZ77" s="302"/>
      <c r="BA77" s="302"/>
      <c r="BB77" s="302"/>
      <c r="BC77" s="302"/>
      <c r="BD77" s="302"/>
      <c r="BE77" s="302"/>
      <c r="BF77" s="302"/>
      <c r="BG77" s="302"/>
      <c r="BH77" s="302"/>
      <c r="BI77" s="302"/>
      <c r="BJ77" s="304"/>
    </row>
    <row r="78" spans="1:66">
      <c r="A78" t="s">
        <v>373</v>
      </c>
      <c r="B78">
        <v>17</v>
      </c>
      <c r="C78" t="s">
        <v>394</v>
      </c>
      <c r="AB78" s="141"/>
      <c r="AD78" s="144">
        <v>17</v>
      </c>
      <c r="AT78" s="156"/>
      <c r="AU78" s="302"/>
      <c r="AV78" s="302"/>
      <c r="AW78" s="302"/>
      <c r="AX78" s="302"/>
      <c r="AY78" s="302"/>
      <c r="AZ78" s="302"/>
      <c r="BA78" s="302"/>
      <c r="BB78" s="302"/>
      <c r="BC78" s="302"/>
      <c r="BD78" s="302"/>
      <c r="BE78" s="302"/>
      <c r="BF78" s="302"/>
      <c r="BG78" s="302"/>
      <c r="BH78" s="302"/>
      <c r="BI78" s="302"/>
      <c r="BJ78" s="304"/>
    </row>
    <row r="79" spans="1:66">
      <c r="A79" t="s">
        <v>374</v>
      </c>
      <c r="B79">
        <v>17</v>
      </c>
      <c r="C79" t="s">
        <v>394</v>
      </c>
      <c r="AC79" s="141"/>
      <c r="AH79" s="143">
        <v>17</v>
      </c>
      <c r="AI79" s="143"/>
      <c r="AV79" s="156"/>
      <c r="AW79" s="302"/>
      <c r="AX79" s="302"/>
      <c r="AY79" s="302"/>
      <c r="AZ79" s="302"/>
      <c r="BA79" s="302"/>
      <c r="BB79" s="302"/>
      <c r="BC79" s="302"/>
      <c r="BD79" s="302"/>
      <c r="BE79" s="302"/>
      <c r="BF79" s="302"/>
      <c r="BG79" s="302"/>
      <c r="BH79" s="302"/>
      <c r="BI79" s="302"/>
      <c r="BJ79" s="302"/>
      <c r="BK79" s="304"/>
    </row>
    <row r="80" spans="1:66">
      <c r="A80" t="s">
        <v>375</v>
      </c>
      <c r="B80">
        <v>17</v>
      </c>
      <c r="C80" t="s">
        <v>394</v>
      </c>
      <c r="AC80" s="141"/>
      <c r="AH80" s="143">
        <v>17</v>
      </c>
      <c r="AI80" s="143"/>
      <c r="AY80" s="156"/>
      <c r="AZ80" s="302"/>
      <c r="BA80" s="302"/>
      <c r="BB80" s="302"/>
      <c r="BC80" s="302"/>
      <c r="BD80" s="302"/>
      <c r="BE80" s="302"/>
      <c r="BF80" s="302"/>
      <c r="BG80" s="302"/>
      <c r="BH80" s="302"/>
      <c r="BI80" s="302"/>
      <c r="BJ80" s="302"/>
      <c r="BK80" s="302"/>
      <c r="BL80" s="302"/>
      <c r="BM80" s="302"/>
      <c r="BN80" s="304"/>
    </row>
    <row r="81" spans="1:80">
      <c r="A81" t="s">
        <v>376</v>
      </c>
      <c r="B81">
        <v>17</v>
      </c>
      <c r="C81" t="s">
        <v>394</v>
      </c>
      <c r="AD81" s="141"/>
      <c r="AH81" s="143">
        <v>17</v>
      </c>
      <c r="AI81" s="143"/>
      <c r="BB81" s="156"/>
      <c r="BC81" s="302"/>
      <c r="BD81" s="302"/>
      <c r="BE81" s="302"/>
      <c r="BF81" s="302"/>
      <c r="BG81" s="302"/>
      <c r="BH81" s="302"/>
      <c r="BI81" s="302"/>
      <c r="BJ81" s="302"/>
      <c r="BK81" s="302"/>
      <c r="BL81" s="302"/>
      <c r="BM81" s="302"/>
      <c r="BN81" s="302"/>
      <c r="BO81" s="302"/>
      <c r="BP81" s="302"/>
      <c r="BQ81" s="304"/>
    </row>
    <row r="82" spans="1:80">
      <c r="A82" t="s">
        <v>377</v>
      </c>
      <c r="B82">
        <v>16</v>
      </c>
      <c r="C82" t="s">
        <v>394</v>
      </c>
      <c r="AE82" s="141"/>
      <c r="AH82" s="143">
        <v>17</v>
      </c>
      <c r="AI82" s="143"/>
      <c r="BE82" s="156"/>
      <c r="BF82" s="302"/>
      <c r="BG82" s="302"/>
      <c r="BH82" s="302"/>
      <c r="BI82" s="302"/>
      <c r="BJ82" s="302"/>
      <c r="BK82" s="302"/>
      <c r="BL82" s="302"/>
      <c r="BM82" s="302"/>
      <c r="BN82" s="302"/>
      <c r="BO82" s="302"/>
      <c r="BP82" s="302"/>
      <c r="BQ82" s="302"/>
      <c r="BR82" s="302"/>
      <c r="BS82" s="302"/>
      <c r="BT82" s="304"/>
    </row>
    <row r="83" spans="1:80">
      <c r="A83" t="s">
        <v>380</v>
      </c>
      <c r="B83">
        <v>16</v>
      </c>
      <c r="C83" t="s">
        <v>394</v>
      </c>
      <c r="AF83" s="141"/>
      <c r="AH83" s="143">
        <v>17</v>
      </c>
      <c r="AI83" s="143"/>
      <c r="BH83" s="156"/>
      <c r="BI83" s="302"/>
      <c r="BJ83" s="302"/>
      <c r="BK83" s="302"/>
      <c r="BL83" s="302"/>
      <c r="BM83" s="302"/>
      <c r="BN83" s="302"/>
      <c r="BO83" s="302"/>
      <c r="BP83" s="302"/>
      <c r="BQ83" s="302"/>
      <c r="BR83" s="302"/>
      <c r="BS83" s="302"/>
      <c r="BT83" s="302"/>
      <c r="BU83" s="302"/>
      <c r="BV83" s="302"/>
      <c r="BW83" s="304"/>
    </row>
    <row r="84" spans="1:80">
      <c r="A84" t="s">
        <v>381</v>
      </c>
      <c r="B84">
        <v>16</v>
      </c>
      <c r="C84" t="s">
        <v>394</v>
      </c>
      <c r="AF84" s="141"/>
      <c r="AH84" s="143">
        <v>17</v>
      </c>
      <c r="AI84" s="143"/>
      <c r="BK84" s="156"/>
      <c r="BL84" s="302"/>
      <c r="BM84" s="302"/>
      <c r="BN84" s="302"/>
      <c r="BO84" s="302"/>
      <c r="BP84" s="302"/>
      <c r="BQ84" s="302"/>
      <c r="BR84" s="302"/>
      <c r="BS84" s="302"/>
      <c r="BT84" s="302"/>
      <c r="BU84" s="302"/>
      <c r="BV84" s="302"/>
      <c r="BW84" s="302"/>
      <c r="BX84" s="302"/>
      <c r="BY84" s="302"/>
      <c r="BZ84" s="304"/>
      <c r="CA84" s="304"/>
      <c r="CB84" s="304"/>
    </row>
    <row r="85" spans="1:80">
      <c r="B85">
        <f>SUM(B77:B84)</f>
        <v>133</v>
      </c>
      <c r="C85" t="s">
        <v>394</v>
      </c>
    </row>
    <row r="86" spans="1:80">
      <c r="A86" t="s">
        <v>391</v>
      </c>
      <c r="AU86" s="145"/>
    </row>
    <row r="87" spans="1:80">
      <c r="A87" t="s">
        <v>393</v>
      </c>
      <c r="AS87" s="146"/>
      <c r="AT87" s="146"/>
    </row>
    <row r="88" spans="1:80">
      <c r="A88" t="s">
        <v>392</v>
      </c>
      <c r="AU88" s="147"/>
    </row>
  </sheetData>
  <printOptions horizontalCentered="1" gridLines="1"/>
  <pageMargins left="0.25" right="0.25" top="1" bottom="1" header="0.5" footer="0.5"/>
  <pageSetup scale="41" fitToWidth="4" pageOrder="overThenDown" orientation="landscape" horizontalDpi="4294967292" verticalDpi="300" r:id="rId1"/>
  <headerFooter alignWithMargins="0">
    <oddFooter>&amp;L&amp;8 &amp;F
 &amp;A&amp;C&amp;8 &amp;R&amp;8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O164"/>
  <sheetViews>
    <sheetView topLeftCell="L1" workbookViewId="0">
      <pane xSplit="4650" ySplit="1110" topLeftCell="M1" activePane="bottomRight"/>
      <selection activeCell="L2" sqref="L2"/>
      <selection pane="topRight" activeCell="Q8" sqref="Q8"/>
      <selection pane="bottomLeft" activeCell="A37" sqref="A37"/>
      <selection pane="bottomRight" activeCell="Z9" sqref="Z9"/>
    </sheetView>
  </sheetViews>
  <sheetFormatPr defaultColWidth="7.6640625" defaultRowHeight="12"/>
  <cols>
    <col min="1" max="1" width="8.6640625" style="51" customWidth="1"/>
    <col min="2" max="2" width="25" style="35" customWidth="1"/>
    <col min="3" max="3" width="6" style="35" hidden="1" customWidth="1"/>
    <col min="4" max="4" width="5.6640625" style="35" hidden="1" customWidth="1"/>
    <col min="5" max="11" width="7.6640625" style="35" hidden="1" customWidth="1"/>
    <col min="12" max="12" width="11.6640625" style="35" customWidth="1"/>
    <col min="13" max="14" width="10" style="35" customWidth="1"/>
    <col min="15" max="15" width="1.1640625" style="35" customWidth="1"/>
    <col min="16" max="16" width="12" style="35" customWidth="1"/>
    <col min="17" max="17" width="11" style="35" customWidth="1"/>
    <col min="18" max="18" width="12.6640625" style="35" customWidth="1"/>
    <col min="19" max="19" width="1.1640625" style="35" customWidth="1"/>
    <col min="20" max="20" width="13.6640625" style="35" customWidth="1"/>
    <col min="21" max="22" width="11.6640625" style="35" customWidth="1"/>
    <col min="23" max="23" width="1.1640625" style="35" customWidth="1"/>
    <col min="24" max="26" width="11.6640625" style="35" customWidth="1"/>
    <col min="27" max="27" width="1.1640625" style="35" customWidth="1"/>
    <col min="28" max="28" width="12" style="35" customWidth="1"/>
    <col min="29" max="29" width="8.6640625" style="35" customWidth="1"/>
    <col min="30" max="30" width="7.6640625" style="35" customWidth="1"/>
    <col min="31" max="31" width="1.1640625" style="35" customWidth="1"/>
    <col min="32" max="32" width="11.6640625" style="35" customWidth="1"/>
    <col min="33" max="33" width="3.6640625" style="35" customWidth="1"/>
    <col min="34" max="34" width="24" style="35" customWidth="1"/>
    <col min="35" max="35" width="7.83203125" style="35" customWidth="1"/>
    <col min="36" max="36" width="13.83203125" style="35" customWidth="1"/>
    <col min="37" max="38" width="9.6640625" style="35" customWidth="1"/>
    <col min="39" max="39" width="7.6640625" style="35" customWidth="1"/>
    <col min="40" max="40" width="11.6640625" style="35" customWidth="1"/>
    <col min="41" max="41" width="19" style="35" customWidth="1"/>
    <col min="42" max="42" width="16.5" style="35" customWidth="1"/>
    <col min="43" max="43" width="20" style="35" customWidth="1"/>
    <col min="44" max="16384" width="7.6640625" style="35"/>
  </cols>
  <sheetData>
    <row r="1" spans="1:38">
      <c r="A1" s="50"/>
      <c r="B1" s="20" t="s">
        <v>220</v>
      </c>
      <c r="C1" s="20"/>
      <c r="D1" s="20"/>
      <c r="E1" s="20"/>
      <c r="F1" s="20"/>
      <c r="G1" s="20"/>
      <c r="H1" s="20"/>
      <c r="I1" s="20"/>
      <c r="J1" s="20"/>
      <c r="K1" s="20"/>
      <c r="P1" s="31">
        <v>1.125</v>
      </c>
    </row>
    <row r="2" spans="1:38">
      <c r="B2" s="35" t="s">
        <v>1</v>
      </c>
      <c r="L2" s="34">
        <v>14</v>
      </c>
      <c r="P2" s="35" t="s">
        <v>202</v>
      </c>
      <c r="Q2" s="35">
        <v>133</v>
      </c>
    </row>
    <row r="3" spans="1:38" ht="12.75" thickBot="1">
      <c r="A3" s="51" t="s">
        <v>175</v>
      </c>
      <c r="B3" s="35" t="s">
        <v>181</v>
      </c>
      <c r="L3" s="35" t="s">
        <v>177</v>
      </c>
    </row>
    <row r="4" spans="1:38" s="8" customFormat="1" ht="12.75" thickBot="1">
      <c r="A4" s="51"/>
      <c r="B4" s="52" t="s">
        <v>221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4"/>
    </row>
    <row r="5" spans="1:38" s="8" customFormat="1">
      <c r="A5" s="17"/>
      <c r="E5" s="55" t="s">
        <v>182</v>
      </c>
      <c r="F5" s="55" t="s">
        <v>187</v>
      </c>
      <c r="G5" s="55" t="s">
        <v>68</v>
      </c>
      <c r="H5" s="55" t="s">
        <v>183</v>
      </c>
      <c r="I5" s="55" t="s">
        <v>184</v>
      </c>
      <c r="J5" s="55" t="s">
        <v>185</v>
      </c>
      <c r="K5" s="55" t="s">
        <v>186</v>
      </c>
      <c r="P5" s="543" t="s">
        <v>204</v>
      </c>
      <c r="Q5" s="543"/>
      <c r="R5" s="543"/>
      <c r="T5" s="543" t="s">
        <v>222</v>
      </c>
      <c r="U5" s="543"/>
      <c r="V5" s="543"/>
      <c r="W5" s="29"/>
      <c r="X5" s="543" t="s">
        <v>223</v>
      </c>
      <c r="Y5" s="543"/>
      <c r="Z5" s="543"/>
      <c r="AA5" s="29"/>
      <c r="AB5" s="543" t="s">
        <v>2</v>
      </c>
      <c r="AC5" s="543"/>
      <c r="AD5" s="543"/>
      <c r="AE5" s="29"/>
      <c r="AF5" s="29"/>
    </row>
    <row r="6" spans="1:38" s="8" customFormat="1" ht="22.9" customHeight="1">
      <c r="A6" s="17"/>
      <c r="B6" s="23" t="s">
        <v>75</v>
      </c>
      <c r="C6" s="56" t="s">
        <v>66</v>
      </c>
      <c r="D6" s="57" t="s">
        <v>176</v>
      </c>
      <c r="E6" s="55" t="s">
        <v>180</v>
      </c>
      <c r="F6" s="55" t="s">
        <v>188</v>
      </c>
      <c r="G6" s="55" t="s">
        <v>189</v>
      </c>
      <c r="H6" s="55" t="s">
        <v>190</v>
      </c>
      <c r="I6" s="55" t="s">
        <v>191</v>
      </c>
      <c r="J6" s="55" t="s">
        <v>192</v>
      </c>
      <c r="K6" s="55" t="s">
        <v>193</v>
      </c>
      <c r="L6" s="5" t="s">
        <v>74</v>
      </c>
      <c r="M6" s="5" t="s">
        <v>73</v>
      </c>
      <c r="N6" s="5" t="s">
        <v>0</v>
      </c>
      <c r="O6" s="5"/>
      <c r="P6" s="5" t="s">
        <v>74</v>
      </c>
      <c r="Q6" s="5" t="s">
        <v>73</v>
      </c>
      <c r="R6" s="5" t="s">
        <v>0</v>
      </c>
      <c r="T6" s="5" t="s">
        <v>74</v>
      </c>
      <c r="U6" s="5" t="s">
        <v>73</v>
      </c>
      <c r="V6" s="5" t="s">
        <v>0</v>
      </c>
      <c r="W6" s="5"/>
      <c r="X6" s="5" t="s">
        <v>74</v>
      </c>
      <c r="Y6" s="5" t="s">
        <v>73</v>
      </c>
      <c r="Z6" s="5" t="s">
        <v>0</v>
      </c>
      <c r="AA6" s="5"/>
      <c r="AB6" s="5" t="s">
        <v>74</v>
      </c>
      <c r="AC6" s="5" t="s">
        <v>73</v>
      </c>
      <c r="AD6" s="5" t="s">
        <v>0</v>
      </c>
      <c r="AE6" s="5"/>
      <c r="AF6" s="58"/>
      <c r="AH6" s="4" t="s">
        <v>75</v>
      </c>
      <c r="AI6" s="5" t="s">
        <v>178</v>
      </c>
      <c r="AJ6" s="5" t="s">
        <v>179</v>
      </c>
      <c r="AK6" s="5" t="s">
        <v>73</v>
      </c>
      <c r="AL6" s="5" t="s">
        <v>211</v>
      </c>
    </row>
    <row r="7" spans="1:38" s="8" customFormat="1" ht="22.9" customHeight="1">
      <c r="A7" s="17"/>
      <c r="B7" s="23" t="s">
        <v>201</v>
      </c>
      <c r="C7" s="56"/>
      <c r="D7" s="57"/>
      <c r="E7" s="55"/>
      <c r="F7" s="55"/>
      <c r="G7" s="55"/>
      <c r="H7" s="55"/>
      <c r="I7" s="55"/>
      <c r="J7" s="55"/>
      <c r="K7" s="55"/>
      <c r="L7" s="6">
        <f>TRUnits</f>
        <v>14</v>
      </c>
      <c r="M7" s="5"/>
      <c r="N7" s="5"/>
      <c r="O7" s="5"/>
      <c r="P7" s="6">
        <v>1</v>
      </c>
      <c r="Q7" s="5"/>
      <c r="R7" s="5"/>
      <c r="T7" s="6">
        <v>72</v>
      </c>
      <c r="U7" s="5"/>
      <c r="V7" s="5"/>
      <c r="W7" s="5"/>
      <c r="X7" s="6">
        <v>61</v>
      </c>
      <c r="Y7" s="5"/>
      <c r="Z7" s="5"/>
      <c r="AA7" s="5"/>
      <c r="AB7" s="6">
        <f>ROUND(X7+T7,0)</f>
        <v>133</v>
      </c>
      <c r="AC7" s="5"/>
      <c r="AD7" s="5"/>
      <c r="AE7" s="5"/>
      <c r="AF7" s="58"/>
      <c r="AH7" s="4"/>
      <c r="AI7" s="5"/>
      <c r="AJ7" s="5"/>
      <c r="AK7" s="6">
        <f>+AB7</f>
        <v>133</v>
      </c>
      <c r="AL7" s="7">
        <f>AB7*AC8</f>
        <v>159467</v>
      </c>
    </row>
    <row r="8" spans="1:38" s="8" customFormat="1" ht="22.9" customHeight="1">
      <c r="A8" s="17"/>
      <c r="B8" s="23" t="s">
        <v>203</v>
      </c>
      <c r="C8" s="56"/>
      <c r="D8" s="57"/>
      <c r="E8" s="55"/>
      <c r="F8" s="55"/>
      <c r="G8" s="55"/>
      <c r="H8" s="55"/>
      <c r="I8" s="55"/>
      <c r="J8" s="55"/>
      <c r="K8" s="55"/>
      <c r="L8" s="6"/>
      <c r="M8" s="5"/>
      <c r="N8" s="5"/>
      <c r="O8" s="5"/>
      <c r="P8" s="6"/>
      <c r="Q8" s="6">
        <v>1198</v>
      </c>
      <c r="R8" s="6">
        <f>+Q8+280+67</f>
        <v>1545</v>
      </c>
      <c r="T8" s="6"/>
      <c r="U8" s="6">
        <v>1107</v>
      </c>
      <c r="V8" s="6">
        <f>+U8</f>
        <v>1107</v>
      </c>
      <c r="W8" s="5"/>
      <c r="X8" s="6"/>
      <c r="Y8" s="6">
        <v>1287</v>
      </c>
      <c r="Z8" s="6">
        <f>+Y8+295+13</f>
        <v>1595</v>
      </c>
      <c r="AA8" s="5"/>
      <c r="AB8" s="5"/>
      <c r="AC8" s="6">
        <f>ROUND((Y8*$X7+U8*$T7+Q8*$P7)/$AB$7,0)</f>
        <v>1199</v>
      </c>
      <c r="AD8" s="6">
        <f>ROUND((Z8*$X7+V8*$T7+R8*$P7)/$AB$7,0)</f>
        <v>1342</v>
      </c>
      <c r="AE8" s="5"/>
      <c r="AF8" s="58"/>
      <c r="AH8" s="4"/>
      <c r="AI8" s="5"/>
      <c r="AJ8" s="5"/>
      <c r="AK8" s="5"/>
      <c r="AL8" s="5"/>
    </row>
    <row r="9" spans="1:38" s="8" customFormat="1">
      <c r="A9" s="17" t="s">
        <v>149</v>
      </c>
      <c r="B9" s="8" t="s">
        <v>3</v>
      </c>
      <c r="C9" s="59"/>
      <c r="D9" s="9">
        <f>L9/$L$88</f>
        <v>2.3716402841308496E-2</v>
      </c>
      <c r="E9" s="60" t="s">
        <v>194</v>
      </c>
      <c r="F9" s="60" t="s">
        <v>194</v>
      </c>
      <c r="G9" s="60" t="s">
        <v>194</v>
      </c>
      <c r="H9" s="60" t="s">
        <v>194</v>
      </c>
      <c r="I9" s="60" t="s">
        <v>194</v>
      </c>
      <c r="J9" s="60" t="s">
        <v>194</v>
      </c>
      <c r="K9" s="60" t="s">
        <v>194</v>
      </c>
      <c r="L9" s="19">
        <f t="shared" ref="L9:L51" si="0">M9*TRUnits</f>
        <v>16673.3</v>
      </c>
      <c r="M9" s="19">
        <f>2381.9/2</f>
        <v>1190.95</v>
      </c>
      <c r="N9" s="12">
        <f>M9/1376</f>
        <v>0.86551598837209309</v>
      </c>
      <c r="O9" s="12"/>
      <c r="P9" s="61">
        <f>Q9*P$7</f>
        <v>1166.4991733284885</v>
      </c>
      <c r="Q9" s="61">
        <f>Q$8*$N9*CMF</f>
        <v>1166.4991733284885</v>
      </c>
      <c r="R9" s="11">
        <f>+Q9/Q$8</f>
        <v>0.9737054869186047</v>
      </c>
      <c r="S9" s="19"/>
      <c r="T9" s="61">
        <f>U9*T$7</f>
        <v>77608.222129360467</v>
      </c>
      <c r="U9" s="61">
        <f>U$8*$N9*CMF</f>
        <v>1077.8919740188953</v>
      </c>
      <c r="V9" s="11">
        <f>+U9/U$8</f>
        <v>0.97370548691860459</v>
      </c>
      <c r="W9" s="19"/>
      <c r="X9" s="61">
        <f>Y9*X$7</f>
        <v>76442.696661518901</v>
      </c>
      <c r="Y9" s="61">
        <f>Y$8*$N9*CMF</f>
        <v>1253.1589616642443</v>
      </c>
      <c r="Z9" s="11">
        <f>+Y9/Y$8</f>
        <v>0.9737054869186047</v>
      </c>
      <c r="AA9" s="19"/>
      <c r="AB9" s="61">
        <f>+X9+T9</f>
        <v>154050.91879087937</v>
      </c>
      <c r="AC9" s="61">
        <f>AB9/AB$7</f>
        <v>1158.2775848938297</v>
      </c>
      <c r="AD9" s="11">
        <f>+AC9/AC$8</f>
        <v>0.96603635103738927</v>
      </c>
      <c r="AE9" s="19"/>
      <c r="AF9" s="62"/>
      <c r="AG9" s="63" t="s">
        <v>76</v>
      </c>
      <c r="AH9" s="8" t="s">
        <v>80</v>
      </c>
      <c r="AI9" s="9">
        <f t="shared" ref="AI9:AI23" si="1">AJ9/$AJ$48</f>
        <v>1.1703451186934373E-2</v>
      </c>
      <c r="AJ9" s="10">
        <f>+AB9</f>
        <v>154050.91879087937</v>
      </c>
      <c r="AK9" s="10">
        <f t="shared" ref="AK9:AK48" si="2">+AJ9/AK$7</f>
        <v>1158.2775848938297</v>
      </c>
      <c r="AL9" s="11">
        <f>+AJ9/AL$7</f>
        <v>0.96603635103738938</v>
      </c>
    </row>
    <row r="10" spans="1:38" s="8" customFormat="1">
      <c r="A10" s="17" t="s">
        <v>206</v>
      </c>
      <c r="B10" s="8" t="s">
        <v>205</v>
      </c>
      <c r="C10" s="59"/>
      <c r="D10" s="9"/>
      <c r="E10" s="60"/>
      <c r="F10" s="60"/>
      <c r="G10" s="60"/>
      <c r="H10" s="60"/>
      <c r="I10" s="60"/>
      <c r="J10" s="60"/>
      <c r="K10" s="60"/>
      <c r="L10" s="19"/>
      <c r="M10" s="19"/>
      <c r="N10" s="12"/>
      <c r="O10" s="12"/>
      <c r="P10" s="134">
        <f>Q10*P$7</f>
        <v>969.26305970149247</v>
      </c>
      <c r="Q10" s="134">
        <f>((68000+9450+28000+8000+2000)/134)*CMF</f>
        <v>969.26305970149247</v>
      </c>
      <c r="R10" s="138">
        <f>+Q10/Q$8</f>
        <v>0.80906766252211393</v>
      </c>
      <c r="S10" s="19"/>
      <c r="T10" s="134">
        <f>U10*T$7</f>
        <v>69786.940298507456</v>
      </c>
      <c r="U10" s="134">
        <f>((68000+9450+28000+8000+2000)/134)*CMF</f>
        <v>969.26305970149247</v>
      </c>
      <c r="V10" s="138">
        <f>+U10/U$8</f>
        <v>0.87557638636087842</v>
      </c>
      <c r="W10" s="19"/>
      <c r="X10" s="134">
        <f>Y10*X$7</f>
        <v>59125.046641791043</v>
      </c>
      <c r="Y10" s="134">
        <f>((68000+9450+28000+8000+2000)/134)*CMF</f>
        <v>969.26305970149247</v>
      </c>
      <c r="Z10" s="138">
        <f>+Y10/Y$8</f>
        <v>0.75311815050621012</v>
      </c>
      <c r="AA10" s="19"/>
      <c r="AB10" s="134">
        <f>+X10+T10</f>
        <v>128911.98694029849</v>
      </c>
      <c r="AC10" s="133">
        <f>+AB10/AB$7</f>
        <v>969.26305970149247</v>
      </c>
      <c r="AD10" s="138">
        <f>+AC10/AC$8</f>
        <v>0.80839287714886776</v>
      </c>
      <c r="AE10" s="19"/>
      <c r="AF10" s="62"/>
      <c r="AG10" s="63" t="s">
        <v>77</v>
      </c>
      <c r="AH10" s="8" t="s">
        <v>212</v>
      </c>
      <c r="AI10" s="9">
        <f t="shared" si="1"/>
        <v>9.7936134260552601E-3</v>
      </c>
      <c r="AJ10" s="10">
        <f>+AB10</f>
        <v>128911.98694029849</v>
      </c>
      <c r="AK10" s="10">
        <f t="shared" si="2"/>
        <v>969.26305970149247</v>
      </c>
      <c r="AL10" s="12">
        <f>+AJ10/AL$7</f>
        <v>0.80839287714886776</v>
      </c>
    </row>
    <row r="11" spans="1:38" s="8" customFormat="1">
      <c r="A11" s="17" t="s">
        <v>151</v>
      </c>
      <c r="B11" s="8" t="s">
        <v>146</v>
      </c>
      <c r="C11" s="59"/>
      <c r="D11" s="9">
        <f>L11/$L$88</f>
        <v>2.6186716265435722E-3</v>
      </c>
      <c r="E11" s="60" t="s">
        <v>194</v>
      </c>
      <c r="F11" s="60" t="s">
        <v>194</v>
      </c>
      <c r="G11" s="60" t="s">
        <v>194</v>
      </c>
      <c r="H11" s="60" t="s">
        <v>194</v>
      </c>
      <c r="I11" s="60" t="s">
        <v>194</v>
      </c>
      <c r="J11" s="60" t="s">
        <v>194</v>
      </c>
      <c r="K11" s="60" t="s">
        <v>194</v>
      </c>
      <c r="L11" s="19">
        <f t="shared" si="0"/>
        <v>1841</v>
      </c>
      <c r="M11" s="19">
        <f>263/2</f>
        <v>131.5</v>
      </c>
      <c r="N11" s="12">
        <f t="shared" ref="N11:N77" si="3">M11/1376</f>
        <v>9.5566860465116282E-2</v>
      </c>
      <c r="O11" s="12"/>
      <c r="P11" s="134">
        <f>Q11*P$7</f>
        <v>128.80023619186048</v>
      </c>
      <c r="Q11" s="134">
        <f>Q$8*$N11*CMF</f>
        <v>128.80023619186048</v>
      </c>
      <c r="R11" s="138">
        <f t="shared" ref="R11:R77" si="4">+Q11/Q$8</f>
        <v>0.10751271802325582</v>
      </c>
      <c r="S11" s="19"/>
      <c r="T11" s="134">
        <f>U11*T$7</f>
        <v>8569.193677325582</v>
      </c>
      <c r="U11" s="134">
        <f>U$8*$N11*CMF</f>
        <v>119.01657885174419</v>
      </c>
      <c r="V11" s="138">
        <f t="shared" ref="V11:V77" si="5">+U11/U$8</f>
        <v>0.10751271802325581</v>
      </c>
      <c r="W11" s="19"/>
      <c r="X11" s="134">
        <f>Y11*X$7</f>
        <v>8440.5009538517443</v>
      </c>
      <c r="Y11" s="134">
        <f>Y$8*$N11*CMF</f>
        <v>138.36886809593022</v>
      </c>
      <c r="Z11" s="138">
        <f t="shared" ref="Z11:Z77" si="6">+Y11/Y$8</f>
        <v>0.10751271802325581</v>
      </c>
      <c r="AA11" s="19"/>
      <c r="AB11" s="134">
        <f>+X11+T11</f>
        <v>17009.694631177328</v>
      </c>
      <c r="AC11" s="133">
        <f>+AB11/AB$7</f>
        <v>127.89244083591976</v>
      </c>
      <c r="AD11" s="138">
        <f>+AC11/AC$8</f>
        <v>0.10666592229851522</v>
      </c>
      <c r="AE11" s="19"/>
      <c r="AF11" s="62"/>
      <c r="AG11" s="63" t="s">
        <v>78</v>
      </c>
      <c r="AH11" s="8" t="s">
        <v>81</v>
      </c>
      <c r="AI11" s="9">
        <f t="shared" si="1"/>
        <v>0</v>
      </c>
      <c r="AJ11" s="10">
        <v>0</v>
      </c>
      <c r="AK11" s="10">
        <f t="shared" si="2"/>
        <v>0</v>
      </c>
      <c r="AL11" s="12">
        <f t="shared" ref="AL11:AL48" si="7">+AJ11/AL$7</f>
        <v>0</v>
      </c>
    </row>
    <row r="12" spans="1:38" s="8" customFormat="1">
      <c r="A12" s="17" t="s">
        <v>150</v>
      </c>
      <c r="B12" s="8" t="s">
        <v>147</v>
      </c>
      <c r="C12" s="59"/>
      <c r="D12" s="9">
        <f>L12/$L$88</f>
        <v>1.7424621089168256E-3</v>
      </c>
      <c r="E12" s="60"/>
      <c r="F12" s="60"/>
      <c r="G12" s="60"/>
      <c r="H12" s="60"/>
      <c r="I12" s="60"/>
      <c r="J12" s="60"/>
      <c r="K12" s="60"/>
      <c r="L12" s="19">
        <f t="shared" si="0"/>
        <v>1225</v>
      </c>
      <c r="M12" s="19">
        <f>175/2</f>
        <v>87.5</v>
      </c>
      <c r="N12" s="12">
        <f t="shared" si="3"/>
        <v>6.3590116279069769E-2</v>
      </c>
      <c r="O12" s="12"/>
      <c r="P12" s="134">
        <f>Q12*P$7</f>
        <v>98.4375</v>
      </c>
      <c r="Q12" s="134">
        <f>+$M12*CMF</f>
        <v>98.4375</v>
      </c>
      <c r="R12" s="138">
        <f t="shared" si="4"/>
        <v>8.2168196994991657E-2</v>
      </c>
      <c r="S12" s="19"/>
      <c r="T12" s="134">
        <f>U12*T$7</f>
        <v>7087.5</v>
      </c>
      <c r="U12" s="134">
        <f>+$M12*CMF</f>
        <v>98.4375</v>
      </c>
      <c r="V12" s="138">
        <f t="shared" si="5"/>
        <v>8.8922764227642281E-2</v>
      </c>
      <c r="W12" s="19"/>
      <c r="X12" s="134">
        <f>Y12*X$7</f>
        <v>6004.6875</v>
      </c>
      <c r="Y12" s="134">
        <f>+$M12*CMF</f>
        <v>98.4375</v>
      </c>
      <c r="Z12" s="138">
        <f t="shared" si="6"/>
        <v>7.6486013986013984E-2</v>
      </c>
      <c r="AA12" s="19"/>
      <c r="AB12" s="134">
        <f>+X12+T12</f>
        <v>13092.1875</v>
      </c>
      <c r="AC12" s="133">
        <f>+AB12/AB$7</f>
        <v>98.4375</v>
      </c>
      <c r="AD12" s="138">
        <f>+AC12/AC$8</f>
        <v>8.2099666388657219E-2</v>
      </c>
      <c r="AE12" s="19"/>
      <c r="AF12" s="62"/>
      <c r="AG12" s="63" t="s">
        <v>79</v>
      </c>
      <c r="AH12" s="8" t="s">
        <v>82</v>
      </c>
      <c r="AI12" s="9">
        <f t="shared" si="1"/>
        <v>1.5789864282454096E-2</v>
      </c>
      <c r="AJ12" s="10">
        <f>AB12+AB13</f>
        <v>207839.81250000003</v>
      </c>
      <c r="AK12" s="10">
        <f t="shared" si="2"/>
        <v>1562.7053571428573</v>
      </c>
      <c r="AL12" s="12">
        <f t="shared" si="7"/>
        <v>1.3033405814369119</v>
      </c>
    </row>
    <row r="13" spans="1:38" s="8" customFormat="1">
      <c r="A13" s="17" t="s">
        <v>150</v>
      </c>
      <c r="B13" s="8" t="s">
        <v>148</v>
      </c>
      <c r="C13" s="59"/>
      <c r="D13" s="9">
        <f>L13/$L$88</f>
        <v>2.5919301672393792E-2</v>
      </c>
      <c r="E13" s="60" t="s">
        <v>194</v>
      </c>
      <c r="F13" s="60" t="s">
        <v>194</v>
      </c>
      <c r="G13" s="60" t="s">
        <v>194</v>
      </c>
      <c r="H13" s="60" t="s">
        <v>194</v>
      </c>
      <c r="I13" s="60" t="s">
        <v>194</v>
      </c>
      <c r="J13" s="60" t="s">
        <v>194</v>
      </c>
      <c r="K13" s="60" t="s">
        <v>194</v>
      </c>
      <c r="L13" s="19">
        <f t="shared" si="0"/>
        <v>18222</v>
      </c>
      <c r="M13" s="19">
        <f>(6797+11425)/14</f>
        <v>1301.5714285714287</v>
      </c>
      <c r="N13" s="12">
        <f t="shared" si="3"/>
        <v>0.94590946843853829</v>
      </c>
      <c r="O13" s="12"/>
      <c r="P13" s="134">
        <f>Q13*P$7</f>
        <v>1464.2678571428573</v>
      </c>
      <c r="Q13" s="134">
        <f>+$M13*CMF</f>
        <v>1464.2678571428573</v>
      </c>
      <c r="R13" s="138">
        <f t="shared" si="4"/>
        <v>1.2222603148103985</v>
      </c>
      <c r="S13" s="19"/>
      <c r="T13" s="134">
        <f>U13*T$7</f>
        <v>105427.28571428572</v>
      </c>
      <c r="U13" s="134">
        <f>+$M13*CMF</f>
        <v>1464.2678571428573</v>
      </c>
      <c r="V13" s="138">
        <f t="shared" si="5"/>
        <v>1.3227351916376309</v>
      </c>
      <c r="W13" s="19"/>
      <c r="X13" s="134">
        <f>Y13*X$7</f>
        <v>89320.339285714304</v>
      </c>
      <c r="Y13" s="134">
        <f>+$M13*CMF</f>
        <v>1464.2678571428573</v>
      </c>
      <c r="Z13" s="138">
        <f t="shared" si="6"/>
        <v>1.1377372627372628</v>
      </c>
      <c r="AA13" s="19"/>
      <c r="AB13" s="134">
        <f>+X13+T13</f>
        <v>194747.62500000003</v>
      </c>
      <c r="AC13" s="133">
        <f>+AB13/AB$7</f>
        <v>1464.2678571428573</v>
      </c>
      <c r="AD13" s="138">
        <f>+AC13/AC$8</f>
        <v>1.2212409150482546</v>
      </c>
      <c r="AE13" s="19"/>
      <c r="AF13" s="62"/>
      <c r="AG13" s="63" t="s">
        <v>91</v>
      </c>
      <c r="AH13" s="8" t="s">
        <v>83</v>
      </c>
      <c r="AI13" s="9">
        <f t="shared" si="1"/>
        <v>9.6905450820738218E-2</v>
      </c>
      <c r="AJ13" s="10">
        <f>+AB15</f>
        <v>1275553.125</v>
      </c>
      <c r="AK13" s="10">
        <f t="shared" si="2"/>
        <v>9590.625</v>
      </c>
      <c r="AL13" s="12">
        <f t="shared" si="7"/>
        <v>7.9988532110091741</v>
      </c>
    </row>
    <row r="14" spans="1:38" s="8" customFormat="1">
      <c r="A14" s="17"/>
      <c r="B14" s="23" t="s">
        <v>5</v>
      </c>
      <c r="C14" s="59"/>
      <c r="E14" s="60"/>
      <c r="F14" s="60"/>
      <c r="G14" s="60"/>
      <c r="H14" s="60"/>
      <c r="I14" s="60"/>
      <c r="J14" s="60"/>
      <c r="K14" s="60"/>
      <c r="L14" s="19"/>
      <c r="M14" s="19"/>
      <c r="N14" s="12"/>
      <c r="O14" s="12"/>
      <c r="P14" s="134"/>
      <c r="Q14" s="134"/>
      <c r="R14" s="138"/>
      <c r="S14" s="19"/>
      <c r="T14" s="134"/>
      <c r="U14" s="134"/>
      <c r="V14" s="138"/>
      <c r="W14" s="19"/>
      <c r="X14" s="134"/>
      <c r="Y14" s="134"/>
      <c r="Z14" s="138"/>
      <c r="AA14" s="19"/>
      <c r="AB14" s="134"/>
      <c r="AC14" s="133"/>
      <c r="AD14" s="138"/>
      <c r="AE14" s="19"/>
      <c r="AF14" s="62"/>
      <c r="AG14" s="63" t="s">
        <v>92</v>
      </c>
      <c r="AH14" s="8" t="s">
        <v>84</v>
      </c>
      <c r="AI14" s="9">
        <f t="shared" si="1"/>
        <v>4.9532481997976364E-2</v>
      </c>
      <c r="AJ14" s="10">
        <f>+AB19+AB20</f>
        <v>651989.25</v>
      </c>
      <c r="AK14" s="10">
        <f t="shared" si="2"/>
        <v>4902.1748120300754</v>
      </c>
      <c r="AL14" s="12">
        <f t="shared" si="7"/>
        <v>4.0885528040284198</v>
      </c>
    </row>
    <row r="15" spans="1:38" s="8" customFormat="1">
      <c r="A15" s="17" t="s">
        <v>161</v>
      </c>
      <c r="B15" s="8" t="s">
        <v>6</v>
      </c>
      <c r="C15" s="59"/>
      <c r="D15" s="9">
        <f>L15/$L$88</f>
        <v>2.887508637633597E-3</v>
      </c>
      <c r="E15" s="60" t="s">
        <v>194</v>
      </c>
      <c r="F15" s="60" t="s">
        <v>194</v>
      </c>
      <c r="G15" s="60" t="s">
        <v>194</v>
      </c>
      <c r="H15" s="60" t="s">
        <v>194</v>
      </c>
      <c r="I15" s="60" t="s">
        <v>194</v>
      </c>
      <c r="J15" s="60" t="s">
        <v>194</v>
      </c>
      <c r="K15" s="60" t="s">
        <v>194</v>
      </c>
      <c r="L15" s="19">
        <f t="shared" si="0"/>
        <v>2030</v>
      </c>
      <c r="M15" s="19">
        <f>290/2</f>
        <v>145</v>
      </c>
      <c r="N15" s="12">
        <f t="shared" si="3"/>
        <v>0.10537790697674419</v>
      </c>
      <c r="O15" s="12"/>
      <c r="P15" s="134">
        <f>Q15*P$7</f>
        <v>9559.6875</v>
      </c>
      <c r="Q15" s="134">
        <f>5.5*R8*CMF</f>
        <v>9559.6875</v>
      </c>
      <c r="R15" s="138">
        <f t="shared" si="4"/>
        <v>7.9797057595993319</v>
      </c>
      <c r="S15" s="19"/>
      <c r="T15" s="134">
        <f>U15*T$7</f>
        <v>690525</v>
      </c>
      <c r="U15" s="134">
        <f>5.5*1550*CMF</f>
        <v>9590.625</v>
      </c>
      <c r="V15" s="138">
        <f t="shared" si="5"/>
        <v>8.6636178861788622</v>
      </c>
      <c r="W15" s="19"/>
      <c r="X15" s="134">
        <f>Y15*X$7</f>
        <v>585028.125</v>
      </c>
      <c r="Y15" s="134">
        <f>5.5*1550*CMF</f>
        <v>9590.625</v>
      </c>
      <c r="Z15" s="138">
        <f t="shared" si="6"/>
        <v>7.4519230769230766</v>
      </c>
      <c r="AA15" s="19"/>
      <c r="AB15" s="134">
        <f t="shared" ref="AB15:AB78" si="8">+X15+T15</f>
        <v>1275553.125</v>
      </c>
      <c r="AC15" s="133">
        <f>+AB15/AB$7</f>
        <v>9590.625</v>
      </c>
      <c r="AD15" s="138">
        <f>+AC15/AC$8</f>
        <v>7.9988532110091741</v>
      </c>
      <c r="AE15" s="19"/>
      <c r="AF15" s="62"/>
      <c r="AG15" s="63" t="s">
        <v>93</v>
      </c>
      <c r="AH15" s="8" t="s">
        <v>89</v>
      </c>
      <c r="AI15" s="9">
        <f t="shared" si="1"/>
        <v>0.16274097863681983</v>
      </c>
      <c r="AJ15" s="10">
        <f>SUM(AB23:AB25)+SUM(AB28:AB32)+AB35</f>
        <v>2142137.1254931479</v>
      </c>
      <c r="AK15" s="10">
        <f t="shared" si="2"/>
        <v>16106.294176640209</v>
      </c>
      <c r="AL15" s="12">
        <f t="shared" si="7"/>
        <v>13.433106068924278</v>
      </c>
    </row>
    <row r="16" spans="1:38" s="8" customFormat="1">
      <c r="A16" s="17" t="s">
        <v>161</v>
      </c>
      <c r="B16" s="8" t="s">
        <v>7</v>
      </c>
      <c r="C16" s="59"/>
      <c r="D16" s="9">
        <f>L16/$L$88</f>
        <v>2.5937793107019033E-2</v>
      </c>
      <c r="E16" s="60" t="s">
        <v>194</v>
      </c>
      <c r="F16" s="60" t="s">
        <v>194</v>
      </c>
      <c r="G16" s="60" t="s">
        <v>194</v>
      </c>
      <c r="H16" s="60" t="s">
        <v>194</v>
      </c>
      <c r="I16" s="60" t="s">
        <v>194</v>
      </c>
      <c r="J16" s="60" t="s">
        <v>194</v>
      </c>
      <c r="K16" s="60" t="s">
        <v>194</v>
      </c>
      <c r="L16" s="19">
        <f t="shared" si="0"/>
        <v>18235</v>
      </c>
      <c r="M16" s="19">
        <f>2605/2</f>
        <v>1302.5</v>
      </c>
      <c r="N16" s="12">
        <f t="shared" si="3"/>
        <v>0.94658430232558144</v>
      </c>
      <c r="O16" s="12"/>
      <c r="P16" s="134"/>
      <c r="Q16" s="134"/>
      <c r="R16" s="138">
        <f t="shared" si="4"/>
        <v>0</v>
      </c>
      <c r="S16" s="19"/>
      <c r="T16" s="134"/>
      <c r="U16" s="134"/>
      <c r="V16" s="138">
        <f t="shared" si="5"/>
        <v>0</v>
      </c>
      <c r="W16" s="19"/>
      <c r="X16" s="134"/>
      <c r="Y16" s="134"/>
      <c r="Z16" s="138">
        <f t="shared" si="6"/>
        <v>0</v>
      </c>
      <c r="AA16" s="19"/>
      <c r="AB16" s="134">
        <f t="shared" si="8"/>
        <v>0</v>
      </c>
      <c r="AC16" s="133">
        <f>+AB16/AB$7</f>
        <v>0</v>
      </c>
      <c r="AD16" s="138">
        <f>+AC16/AC$8</f>
        <v>0</v>
      </c>
      <c r="AE16" s="19"/>
      <c r="AF16" s="62"/>
      <c r="AG16" s="63" t="s">
        <v>94</v>
      </c>
      <c r="AH16" s="8" t="s">
        <v>88</v>
      </c>
      <c r="AI16" s="9">
        <f t="shared" si="1"/>
        <v>8.0781934188819213E-3</v>
      </c>
      <c r="AJ16" s="10">
        <f>AB40+AB41</f>
        <v>106332.14924999999</v>
      </c>
      <c r="AK16" s="10">
        <f t="shared" si="2"/>
        <v>799.48984398496236</v>
      </c>
      <c r="AL16" s="12">
        <f t="shared" si="7"/>
        <v>0.6667972009882922</v>
      </c>
    </row>
    <row r="17" spans="1:38" s="8" customFormat="1">
      <c r="A17" s="17" t="s">
        <v>161</v>
      </c>
      <c r="B17" s="8" t="s">
        <v>8</v>
      </c>
      <c r="C17" s="59"/>
      <c r="D17" s="9">
        <f>L17/$L$88</f>
        <v>7.4955741462433501E-2</v>
      </c>
      <c r="E17" s="60" t="s">
        <v>194</v>
      </c>
      <c r="F17" s="60" t="s">
        <v>194</v>
      </c>
      <c r="G17" s="60" t="s">
        <v>194</v>
      </c>
      <c r="H17" s="60" t="s">
        <v>194</v>
      </c>
      <c r="I17" s="60" t="s">
        <v>194</v>
      </c>
      <c r="J17" s="60" t="s">
        <v>194</v>
      </c>
      <c r="K17" s="60" t="s">
        <v>194</v>
      </c>
      <c r="L17" s="19">
        <f t="shared" si="0"/>
        <v>52696</v>
      </c>
      <c r="M17" s="19">
        <f>7528/2</f>
        <v>3764</v>
      </c>
      <c r="N17" s="12">
        <f t="shared" si="3"/>
        <v>2.73546511627907</v>
      </c>
      <c r="O17" s="12"/>
      <c r="P17" s="134"/>
      <c r="Q17" s="134"/>
      <c r="R17" s="138">
        <f t="shared" si="4"/>
        <v>0</v>
      </c>
      <c r="S17" s="19"/>
      <c r="T17" s="134"/>
      <c r="U17" s="134"/>
      <c r="V17" s="138">
        <f t="shared" si="5"/>
        <v>0</v>
      </c>
      <c r="W17" s="19"/>
      <c r="X17" s="134"/>
      <c r="Y17" s="134"/>
      <c r="Z17" s="138">
        <f t="shared" si="6"/>
        <v>0</v>
      </c>
      <c r="AA17" s="19"/>
      <c r="AB17" s="134">
        <f t="shared" si="8"/>
        <v>0</v>
      </c>
      <c r="AC17" s="133">
        <f>+AB17/AB$7</f>
        <v>0</v>
      </c>
      <c r="AD17" s="138">
        <f>+AC17/AC$8</f>
        <v>0</v>
      </c>
      <c r="AE17" s="19"/>
      <c r="AF17" s="62"/>
      <c r="AG17" s="63" t="s">
        <v>95</v>
      </c>
      <c r="AH17" s="8" t="s">
        <v>90</v>
      </c>
      <c r="AI17" s="9">
        <f t="shared" si="1"/>
        <v>1.6676398391391435E-2</v>
      </c>
      <c r="AJ17" s="10">
        <f>AB26+AB33</f>
        <v>219509.13908066862</v>
      </c>
      <c r="AK17" s="10">
        <f t="shared" si="2"/>
        <v>1650.4446547418693</v>
      </c>
      <c r="AL17" s="12">
        <f t="shared" si="7"/>
        <v>1.3765176436546034</v>
      </c>
    </row>
    <row r="18" spans="1:38" s="8" customFormat="1">
      <c r="A18" s="17"/>
      <c r="B18" s="23" t="s">
        <v>9</v>
      </c>
      <c r="C18" s="59"/>
      <c r="E18" s="60"/>
      <c r="F18" s="60"/>
      <c r="G18" s="60"/>
      <c r="H18" s="60"/>
      <c r="I18" s="60"/>
      <c r="J18" s="60"/>
      <c r="K18" s="60"/>
      <c r="L18" s="19">
        <f t="shared" si="0"/>
        <v>0</v>
      </c>
      <c r="M18" s="19"/>
      <c r="N18" s="12">
        <f t="shared" si="3"/>
        <v>0</v>
      </c>
      <c r="O18" s="12"/>
      <c r="P18" s="134"/>
      <c r="Q18" s="134"/>
      <c r="R18" s="138"/>
      <c r="S18" s="19"/>
      <c r="T18" s="134"/>
      <c r="U18" s="134"/>
      <c r="V18" s="138"/>
      <c r="W18" s="19"/>
      <c r="X18" s="134"/>
      <c r="Y18" s="134"/>
      <c r="Z18" s="138"/>
      <c r="AA18" s="19"/>
      <c r="AB18" s="134"/>
      <c r="AC18" s="133"/>
      <c r="AD18" s="138"/>
      <c r="AE18" s="19"/>
      <c r="AF18" s="62"/>
      <c r="AG18" s="63" t="s">
        <v>96</v>
      </c>
      <c r="AH18" s="8" t="s">
        <v>85</v>
      </c>
      <c r="AI18" s="9">
        <f t="shared" si="1"/>
        <v>6.8160515978690477E-3</v>
      </c>
      <c r="AJ18" s="10">
        <f>+AB34</f>
        <v>89718.75</v>
      </c>
      <c r="AK18" s="10">
        <f t="shared" si="2"/>
        <v>674.57706766917295</v>
      </c>
      <c r="AL18" s="12">
        <f t="shared" si="7"/>
        <v>0.56261640339380559</v>
      </c>
    </row>
    <row r="19" spans="1:38" s="8" customFormat="1">
      <c r="A19" s="17" t="s">
        <v>162</v>
      </c>
      <c r="B19" s="8" t="s">
        <v>10</v>
      </c>
      <c r="C19" s="59">
        <v>0.33300000000000002</v>
      </c>
      <c r="D19" s="9">
        <f>L19/$L$88</f>
        <v>4.5433454874214144E-2</v>
      </c>
      <c r="E19" s="60" t="s">
        <v>194</v>
      </c>
      <c r="F19" s="60" t="s">
        <v>194</v>
      </c>
      <c r="G19" s="60" t="s">
        <v>194</v>
      </c>
      <c r="H19" s="60" t="s">
        <v>194</v>
      </c>
      <c r="I19" s="60" t="s">
        <v>194</v>
      </c>
      <c r="J19" s="60" t="s">
        <v>194</v>
      </c>
      <c r="K19" s="60" t="s">
        <v>194</v>
      </c>
      <c r="L19" s="19">
        <f t="shared" si="0"/>
        <v>31941</v>
      </c>
      <c r="M19" s="19">
        <f>4563/2</f>
        <v>2281.5</v>
      </c>
      <c r="N19" s="12">
        <f t="shared" si="3"/>
        <v>1.6580668604651163</v>
      </c>
      <c r="O19" s="12"/>
      <c r="P19" s="134">
        <f t="shared" ref="P19:P79" si="9">Q19*P$7</f>
        <v>2283.1875</v>
      </c>
      <c r="Q19" s="134">
        <f>(13500+300-1500)/2*0.33*CMF</f>
        <v>2283.1875</v>
      </c>
      <c r="R19" s="138">
        <f t="shared" si="4"/>
        <v>1.9058326377295491</v>
      </c>
      <c r="S19" s="19"/>
      <c r="T19" s="134">
        <f t="shared" ref="T19:T79" si="10">U19*T$7</f>
        <v>169735.5</v>
      </c>
      <c r="U19" s="134">
        <f>(13500+300-1100)/2*0.33*CMF</f>
        <v>2357.4375</v>
      </c>
      <c r="V19" s="138">
        <f t="shared" si="5"/>
        <v>2.1295731707317072</v>
      </c>
      <c r="W19" s="19"/>
      <c r="X19" s="134">
        <f t="shared" ref="X19:X79" si="11">Y19*X$7</f>
        <v>156259.125</v>
      </c>
      <c r="Y19" s="134">
        <f>(13500+300)/2*0.33*CMF</f>
        <v>2561.625</v>
      </c>
      <c r="Z19" s="138">
        <f t="shared" si="6"/>
        <v>1.9903846153846154</v>
      </c>
      <c r="AA19" s="19"/>
      <c r="AB19" s="134">
        <f t="shared" si="8"/>
        <v>325994.625</v>
      </c>
      <c r="AC19" s="133">
        <f>+AB19/AB$7</f>
        <v>2451.0874060150377</v>
      </c>
      <c r="AD19" s="138">
        <f>+AC19/AC$8</f>
        <v>2.0442764020142099</v>
      </c>
      <c r="AE19" s="19"/>
      <c r="AF19" s="62"/>
      <c r="AG19" s="63" t="s">
        <v>97</v>
      </c>
      <c r="AH19" s="8" t="s">
        <v>86</v>
      </c>
      <c r="AI19" s="9">
        <f t="shared" si="1"/>
        <v>1.1178198686038749E-2</v>
      </c>
      <c r="AJ19" s="10">
        <f>+AB62</f>
        <v>147137.09234193314</v>
      </c>
      <c r="AK19" s="10">
        <f t="shared" si="2"/>
        <v>1106.2939273829559</v>
      </c>
      <c r="AL19" s="12">
        <f t="shared" si="7"/>
        <v>0.92268050657460876</v>
      </c>
    </row>
    <row r="20" spans="1:38" s="8" customFormat="1" ht="12.75" thickBot="1">
      <c r="A20" s="17" t="s">
        <v>163</v>
      </c>
      <c r="B20" s="8" t="s">
        <v>11</v>
      </c>
      <c r="C20" s="59">
        <v>0.33300000000000002</v>
      </c>
      <c r="D20" s="9">
        <f>L20/$L$88</f>
        <v>4.5433454874214144E-2</v>
      </c>
      <c r="E20" s="60" t="s">
        <v>194</v>
      </c>
      <c r="F20" s="60" t="s">
        <v>194</v>
      </c>
      <c r="G20" s="60" t="s">
        <v>194</v>
      </c>
      <c r="H20" s="60" t="s">
        <v>194</v>
      </c>
      <c r="I20" s="60" t="s">
        <v>194</v>
      </c>
      <c r="J20" s="60" t="s">
        <v>194</v>
      </c>
      <c r="K20" s="60" t="s">
        <v>194</v>
      </c>
      <c r="L20" s="19">
        <f t="shared" si="0"/>
        <v>31941</v>
      </c>
      <c r="M20" s="19">
        <f>4563/2</f>
        <v>2281.5</v>
      </c>
      <c r="N20" s="12">
        <f t="shared" si="3"/>
        <v>1.6580668604651163</v>
      </c>
      <c r="O20" s="12"/>
      <c r="P20" s="134">
        <f t="shared" si="9"/>
        <v>2283.1875</v>
      </c>
      <c r="Q20" s="134">
        <f>(13500+300-1500)/2*0.33*CMF</f>
        <v>2283.1875</v>
      </c>
      <c r="R20" s="138">
        <f t="shared" si="4"/>
        <v>1.9058326377295491</v>
      </c>
      <c r="S20" s="19"/>
      <c r="T20" s="134">
        <f t="shared" si="10"/>
        <v>169735.5</v>
      </c>
      <c r="U20" s="134">
        <f>(13500+300-1100)/2*0.33*CMF</f>
        <v>2357.4375</v>
      </c>
      <c r="V20" s="138">
        <f t="shared" si="5"/>
        <v>2.1295731707317072</v>
      </c>
      <c r="W20" s="19"/>
      <c r="X20" s="134">
        <f t="shared" si="11"/>
        <v>156259.125</v>
      </c>
      <c r="Y20" s="134">
        <f>(13500+300)/2*0.33*CMF</f>
        <v>2561.625</v>
      </c>
      <c r="Z20" s="138">
        <f t="shared" si="6"/>
        <v>1.9903846153846154</v>
      </c>
      <c r="AA20" s="19"/>
      <c r="AB20" s="134">
        <f t="shared" si="8"/>
        <v>325994.625</v>
      </c>
      <c r="AC20" s="133">
        <f>+AB20/AB$7</f>
        <v>2451.0874060150377</v>
      </c>
      <c r="AD20" s="138">
        <f>+AC20/AC$8</f>
        <v>2.0442764020142099</v>
      </c>
      <c r="AE20" s="19"/>
      <c r="AF20" s="62"/>
      <c r="AG20" s="63" t="s">
        <v>98</v>
      </c>
      <c r="AH20" s="13" t="s">
        <v>87</v>
      </c>
      <c r="AI20" s="9">
        <f t="shared" si="1"/>
        <v>1.7678646452233198E-2</v>
      </c>
      <c r="AJ20" s="10">
        <f>AB43+AB44</f>
        <v>232701.59250000003</v>
      </c>
      <c r="AK20" s="10">
        <f t="shared" si="2"/>
        <v>1749.6360338345867</v>
      </c>
      <c r="AL20" s="12">
        <f t="shared" si="7"/>
        <v>1.4592460665843092</v>
      </c>
    </row>
    <row r="21" spans="1:38" s="8" customFormat="1" ht="12.75" thickBot="1">
      <c r="A21" s="17" t="s">
        <v>163</v>
      </c>
      <c r="B21" s="8" t="s">
        <v>12</v>
      </c>
      <c r="C21" s="59">
        <v>0.33300000000000002</v>
      </c>
      <c r="D21" s="9">
        <f>L21/$L$88</f>
        <v>4.5433454874214144E-2</v>
      </c>
      <c r="E21" s="60" t="s">
        <v>194</v>
      </c>
      <c r="F21" s="60" t="s">
        <v>194</v>
      </c>
      <c r="G21" s="64"/>
      <c r="H21" s="60" t="s">
        <v>194</v>
      </c>
      <c r="I21" s="60" t="s">
        <v>194</v>
      </c>
      <c r="J21" s="64"/>
      <c r="K21" s="65" t="s">
        <v>194</v>
      </c>
      <c r="L21" s="19">
        <f t="shared" si="0"/>
        <v>31941</v>
      </c>
      <c r="M21" s="19">
        <f>4563/2</f>
        <v>2281.5</v>
      </c>
      <c r="N21" s="12">
        <f t="shared" si="3"/>
        <v>1.6580668604651163</v>
      </c>
      <c r="O21" s="12"/>
      <c r="P21" s="134">
        <f t="shared" si="9"/>
        <v>2283.1875</v>
      </c>
      <c r="Q21" s="134">
        <f>(13500+300-1500)/2*0.33*CMF</f>
        <v>2283.1875</v>
      </c>
      <c r="R21" s="138">
        <f t="shared" si="4"/>
        <v>1.9058326377295491</v>
      </c>
      <c r="S21" s="19"/>
      <c r="T21" s="134">
        <f t="shared" si="10"/>
        <v>169735.5</v>
      </c>
      <c r="U21" s="134">
        <f>(13500+300-1100)/2*0.33*CMF</f>
        <v>2357.4375</v>
      </c>
      <c r="V21" s="138">
        <f t="shared" si="5"/>
        <v>2.1295731707317072</v>
      </c>
      <c r="W21" s="19"/>
      <c r="X21" s="134">
        <f t="shared" si="11"/>
        <v>156259.125</v>
      </c>
      <c r="Y21" s="134">
        <f>(13500+300)/2*0.33*CMF</f>
        <v>2561.625</v>
      </c>
      <c r="Z21" s="138">
        <f t="shared" si="6"/>
        <v>1.9903846153846154</v>
      </c>
      <c r="AA21" s="19"/>
      <c r="AB21" s="134">
        <f t="shared" si="8"/>
        <v>325994.625</v>
      </c>
      <c r="AC21" s="133">
        <f>+AB21/AB$7</f>
        <v>2451.0874060150377</v>
      </c>
      <c r="AD21" s="138">
        <f>+AC21/AC$8</f>
        <v>2.0442764020142099</v>
      </c>
      <c r="AE21" s="19"/>
      <c r="AF21" s="62"/>
      <c r="AG21" s="63" t="s">
        <v>99</v>
      </c>
      <c r="AH21" s="8" t="s">
        <v>127</v>
      </c>
      <c r="AI21" s="9">
        <f t="shared" si="1"/>
        <v>1.3521935289660938E-2</v>
      </c>
      <c r="AJ21" s="10">
        <f>AB50</f>
        <v>177987.375</v>
      </c>
      <c r="AK21" s="10">
        <f t="shared" si="2"/>
        <v>1338.250939849624</v>
      </c>
      <c r="AL21" s="12">
        <f t="shared" si="7"/>
        <v>1.1161392325684938</v>
      </c>
    </row>
    <row r="22" spans="1:38" s="8" customFormat="1">
      <c r="A22" s="17"/>
      <c r="B22" s="23" t="s">
        <v>13</v>
      </c>
      <c r="C22" s="59"/>
      <c r="E22" s="60"/>
      <c r="F22" s="60"/>
      <c r="G22" s="60"/>
      <c r="H22" s="60"/>
      <c r="I22" s="60"/>
      <c r="J22" s="60"/>
      <c r="K22" s="60"/>
      <c r="L22" s="19"/>
      <c r="M22" s="19"/>
      <c r="N22" s="12">
        <f t="shared" si="3"/>
        <v>0</v>
      </c>
      <c r="O22" s="12"/>
      <c r="P22" s="134"/>
      <c r="Q22" s="134"/>
      <c r="R22" s="138"/>
      <c r="S22" s="19"/>
      <c r="T22" s="134"/>
      <c r="U22" s="134"/>
      <c r="V22" s="138"/>
      <c r="W22" s="19"/>
      <c r="X22" s="134"/>
      <c r="Y22" s="134"/>
      <c r="Z22" s="138"/>
      <c r="AA22" s="19"/>
      <c r="AB22" s="134"/>
      <c r="AC22" s="133"/>
      <c r="AD22" s="138"/>
      <c r="AE22" s="19"/>
      <c r="AF22" s="62"/>
      <c r="AG22" s="63" t="s">
        <v>100</v>
      </c>
      <c r="AH22" s="8" t="s">
        <v>128</v>
      </c>
      <c r="AI22" s="9">
        <f t="shared" si="1"/>
        <v>1.3521935289660938E-2</v>
      </c>
      <c r="AJ22" s="10">
        <f>AB51</f>
        <v>177987.375</v>
      </c>
      <c r="AK22" s="10">
        <f t="shared" si="2"/>
        <v>1338.250939849624</v>
      </c>
      <c r="AL22" s="12">
        <f t="shared" si="7"/>
        <v>1.1161392325684938</v>
      </c>
    </row>
    <row r="23" spans="1:38" s="8" customFormat="1">
      <c r="A23" s="17" t="s">
        <v>164</v>
      </c>
      <c r="B23" s="8" t="s">
        <v>14</v>
      </c>
      <c r="C23" s="59">
        <v>0.15</v>
      </c>
      <c r="D23" s="9">
        <f>L23/$L$88</f>
        <v>1.4487327819851322E-2</v>
      </c>
      <c r="E23" s="60" t="s">
        <v>194</v>
      </c>
      <c r="F23" s="60" t="s">
        <v>194</v>
      </c>
      <c r="G23" s="60" t="s">
        <v>194</v>
      </c>
      <c r="H23" s="60" t="s">
        <v>194</v>
      </c>
      <c r="I23" s="60" t="s">
        <v>194</v>
      </c>
      <c r="J23" s="60" t="s">
        <v>194</v>
      </c>
      <c r="K23" s="60" t="s">
        <v>194</v>
      </c>
      <c r="L23" s="19">
        <f t="shared" si="0"/>
        <v>10185</v>
      </c>
      <c r="M23" s="19">
        <f>1455/2</f>
        <v>727.5</v>
      </c>
      <c r="N23" s="12">
        <f t="shared" si="3"/>
        <v>0.52870639534883723</v>
      </c>
      <c r="O23" s="12"/>
      <c r="P23" s="134">
        <f t="shared" si="9"/>
        <v>712.56404433139528</v>
      </c>
      <c r="Q23" s="134">
        <f>Q$8*$N23*CMF</f>
        <v>712.56404433139528</v>
      </c>
      <c r="R23" s="138">
        <f t="shared" si="4"/>
        <v>0.59479469476744184</v>
      </c>
      <c r="S23" s="19"/>
      <c r="T23" s="134">
        <f t="shared" si="10"/>
        <v>47407.516351744191</v>
      </c>
      <c r="U23" s="134">
        <f>U$8*$N23*CMF</f>
        <v>658.4377271075582</v>
      </c>
      <c r="V23" s="138">
        <f t="shared" si="5"/>
        <v>0.59479469476744196</v>
      </c>
      <c r="W23" s="19"/>
      <c r="X23" s="134">
        <f t="shared" si="11"/>
        <v>46695.547102107557</v>
      </c>
      <c r="Y23" s="134">
        <f>Y$8*$N23*CMF</f>
        <v>765.50077216569764</v>
      </c>
      <c r="Z23" s="138">
        <f t="shared" si="6"/>
        <v>0.59479469476744184</v>
      </c>
      <c r="AA23" s="19"/>
      <c r="AB23" s="134">
        <f t="shared" si="8"/>
        <v>94103.063453851748</v>
      </c>
      <c r="AC23" s="133">
        <f>+AB23/AB$7</f>
        <v>707.54183048008838</v>
      </c>
      <c r="AD23" s="138">
        <f>+AC23/AC$8</f>
        <v>0.59010995035870595</v>
      </c>
      <c r="AE23" s="19"/>
      <c r="AF23" s="62"/>
      <c r="AG23" s="63" t="s">
        <v>101</v>
      </c>
      <c r="AH23" s="8" t="s">
        <v>129</v>
      </c>
      <c r="AI23" s="9">
        <f t="shared" si="1"/>
        <v>1.1493644996211796E-2</v>
      </c>
      <c r="AJ23" s="16">
        <f>AB52</f>
        <v>151289.26874999999</v>
      </c>
      <c r="AK23" s="10">
        <f t="shared" si="2"/>
        <v>1137.5132988721803</v>
      </c>
      <c r="AL23" s="12">
        <f t="shared" si="7"/>
        <v>0.94871834768321961</v>
      </c>
    </row>
    <row r="24" spans="1:38" s="8" customFormat="1">
      <c r="A24" s="17" t="s">
        <v>164</v>
      </c>
      <c r="B24" s="8" t="s">
        <v>15</v>
      </c>
      <c r="C24" s="59">
        <v>0.25</v>
      </c>
      <c r="D24" s="9">
        <f>L24/$L$88</f>
        <v>2.4145546366418868E-2</v>
      </c>
      <c r="E24" s="60" t="s">
        <v>194</v>
      </c>
      <c r="F24" s="60" t="s">
        <v>194</v>
      </c>
      <c r="G24" s="60" t="s">
        <v>194</v>
      </c>
      <c r="H24" s="60" t="s">
        <v>194</v>
      </c>
      <c r="I24" s="60" t="s">
        <v>194</v>
      </c>
      <c r="J24" s="60" t="s">
        <v>194</v>
      </c>
      <c r="K24" s="60" t="s">
        <v>194</v>
      </c>
      <c r="L24" s="19">
        <f t="shared" si="0"/>
        <v>16975</v>
      </c>
      <c r="M24" s="19">
        <f>2425/2</f>
        <v>1212.5</v>
      </c>
      <c r="N24" s="12">
        <f t="shared" si="3"/>
        <v>0.88117732558139539</v>
      </c>
      <c r="O24" s="12"/>
      <c r="P24" s="134">
        <f t="shared" si="9"/>
        <v>1187.6067405523256</v>
      </c>
      <c r="Q24" s="134">
        <f t="shared" ref="Q24:Q33" si="12">Q$8*$N24*CMF</f>
        <v>1187.6067405523256</v>
      </c>
      <c r="R24" s="138">
        <f t="shared" si="4"/>
        <v>0.99132449127906985</v>
      </c>
      <c r="S24" s="19"/>
      <c r="T24" s="134">
        <f t="shared" si="10"/>
        <v>79012.527252906992</v>
      </c>
      <c r="U24" s="134">
        <f t="shared" ref="U24:U33" si="13">U$8*$N24*CMF</f>
        <v>1097.3962118459303</v>
      </c>
      <c r="V24" s="138">
        <f t="shared" si="5"/>
        <v>0.99132449127906985</v>
      </c>
      <c r="W24" s="19"/>
      <c r="X24" s="134">
        <f t="shared" si="11"/>
        <v>77825.911836845931</v>
      </c>
      <c r="Y24" s="134">
        <f t="shared" ref="Y24:Y33" si="14">Y$8*$N24*CMF</f>
        <v>1275.8346202761629</v>
      </c>
      <c r="Z24" s="138">
        <f t="shared" si="6"/>
        <v>0.99132449127906985</v>
      </c>
      <c r="AA24" s="19"/>
      <c r="AB24" s="134">
        <f t="shared" si="8"/>
        <v>156838.43908975291</v>
      </c>
      <c r="AC24" s="133">
        <f>+AB24/AB$7</f>
        <v>1179.2363841334804</v>
      </c>
      <c r="AD24" s="138">
        <f>+AC24/AC$8</f>
        <v>0.98351658393117636</v>
      </c>
      <c r="AE24" s="19"/>
      <c r="AF24" s="62"/>
      <c r="AG24" s="63" t="s">
        <v>102</v>
      </c>
      <c r="AH24" s="8" t="s">
        <v>130</v>
      </c>
      <c r="AI24" s="8" t="s">
        <v>141</v>
      </c>
      <c r="AJ24" s="10"/>
      <c r="AK24" s="10">
        <f t="shared" si="2"/>
        <v>0</v>
      </c>
      <c r="AL24" s="12">
        <f t="shared" si="7"/>
        <v>0</v>
      </c>
    </row>
    <row r="25" spans="1:38" s="8" customFormat="1">
      <c r="A25" s="17" t="s">
        <v>164</v>
      </c>
      <c r="B25" s="8" t="s">
        <v>16</v>
      </c>
      <c r="C25" s="59">
        <v>0.25</v>
      </c>
      <c r="D25" s="9">
        <f>L25/$L$88</f>
        <v>2.4145546366418868E-2</v>
      </c>
      <c r="E25" s="60" t="s">
        <v>194</v>
      </c>
      <c r="F25" s="60" t="s">
        <v>194</v>
      </c>
      <c r="G25" s="60" t="s">
        <v>194</v>
      </c>
      <c r="H25" s="60" t="s">
        <v>194</v>
      </c>
      <c r="I25" s="60" t="s">
        <v>194</v>
      </c>
      <c r="J25" s="60" t="s">
        <v>194</v>
      </c>
      <c r="K25" s="60" t="s">
        <v>194</v>
      </c>
      <c r="L25" s="19">
        <f t="shared" si="0"/>
        <v>16975</v>
      </c>
      <c r="M25" s="19">
        <f>2425/2</f>
        <v>1212.5</v>
      </c>
      <c r="N25" s="12">
        <f t="shared" si="3"/>
        <v>0.88117732558139539</v>
      </c>
      <c r="O25" s="12"/>
      <c r="P25" s="134">
        <f t="shared" si="9"/>
        <v>1187.6067405523256</v>
      </c>
      <c r="Q25" s="134">
        <f t="shared" si="12"/>
        <v>1187.6067405523256</v>
      </c>
      <c r="R25" s="138">
        <f t="shared" si="4"/>
        <v>0.99132449127906985</v>
      </c>
      <c r="S25" s="19"/>
      <c r="T25" s="134">
        <f t="shared" si="10"/>
        <v>79012.527252906992</v>
      </c>
      <c r="U25" s="134">
        <f t="shared" si="13"/>
        <v>1097.3962118459303</v>
      </c>
      <c r="V25" s="138">
        <f t="shared" si="5"/>
        <v>0.99132449127906985</v>
      </c>
      <c r="W25" s="19"/>
      <c r="X25" s="134">
        <f t="shared" si="11"/>
        <v>77825.911836845931</v>
      </c>
      <c r="Y25" s="134">
        <f t="shared" si="14"/>
        <v>1275.8346202761629</v>
      </c>
      <c r="Z25" s="138">
        <f t="shared" si="6"/>
        <v>0.99132449127906985</v>
      </c>
      <c r="AA25" s="19"/>
      <c r="AB25" s="134">
        <f t="shared" si="8"/>
        <v>156838.43908975291</v>
      </c>
      <c r="AC25" s="133">
        <f>+AB25/AB$7</f>
        <v>1179.2363841334804</v>
      </c>
      <c r="AD25" s="138">
        <f>+AC25/AC$8</f>
        <v>0.98351658393117636</v>
      </c>
      <c r="AE25" s="19"/>
      <c r="AF25" s="62"/>
      <c r="AG25" s="63" t="s">
        <v>103</v>
      </c>
      <c r="AH25" s="8" t="s">
        <v>131</v>
      </c>
      <c r="AI25" s="9">
        <f t="shared" ref="AI25:AI47" si="15">AJ25/$AJ$48</f>
        <v>2.4766240998988182E-2</v>
      </c>
      <c r="AJ25" s="10">
        <f>+AB21</f>
        <v>325994.625</v>
      </c>
      <c r="AK25" s="10">
        <f t="shared" si="2"/>
        <v>2451.0874060150377</v>
      </c>
      <c r="AL25" s="12">
        <f t="shared" si="7"/>
        <v>2.0442764020142099</v>
      </c>
    </row>
    <row r="26" spans="1:38" s="8" customFormat="1">
      <c r="A26" s="17" t="s">
        <v>165</v>
      </c>
      <c r="B26" s="8" t="s">
        <v>17</v>
      </c>
      <c r="C26" s="59">
        <v>0.35</v>
      </c>
      <c r="D26" s="9">
        <f>L26/$L$88</f>
        <v>3.379380798664975E-2</v>
      </c>
      <c r="E26" s="60" t="s">
        <v>194</v>
      </c>
      <c r="F26" s="60" t="s">
        <v>194</v>
      </c>
      <c r="G26" s="60" t="s">
        <v>194</v>
      </c>
      <c r="H26" s="60" t="s">
        <v>194</v>
      </c>
      <c r="I26" s="60" t="s">
        <v>194</v>
      </c>
      <c r="J26" s="60" t="s">
        <v>194</v>
      </c>
      <c r="K26" s="60" t="s">
        <v>194</v>
      </c>
      <c r="L26" s="19">
        <f t="shared" si="0"/>
        <v>23758</v>
      </c>
      <c r="M26" s="19">
        <f>3394/2</f>
        <v>1697</v>
      </c>
      <c r="N26" s="12">
        <f t="shared" si="3"/>
        <v>1.2332848837209303</v>
      </c>
      <c r="O26" s="12"/>
      <c r="P26" s="134">
        <f t="shared" si="9"/>
        <v>1662.1597020348836</v>
      </c>
      <c r="Q26" s="134">
        <f t="shared" si="12"/>
        <v>1662.1597020348836</v>
      </c>
      <c r="R26" s="138">
        <f t="shared" si="4"/>
        <v>1.3874454941860463</v>
      </c>
      <c r="S26" s="19"/>
      <c r="T26" s="134">
        <f t="shared" si="10"/>
        <v>110584.95566860467</v>
      </c>
      <c r="U26" s="134">
        <f t="shared" si="13"/>
        <v>1535.9021620639537</v>
      </c>
      <c r="V26" s="138">
        <f t="shared" si="5"/>
        <v>1.3874454941860468</v>
      </c>
      <c r="W26" s="19"/>
      <c r="X26" s="134">
        <f t="shared" si="11"/>
        <v>108924.18341206397</v>
      </c>
      <c r="Y26" s="134">
        <f t="shared" si="14"/>
        <v>1785.642351017442</v>
      </c>
      <c r="Z26" s="138">
        <f t="shared" si="6"/>
        <v>1.3874454941860466</v>
      </c>
      <c r="AA26" s="19"/>
      <c r="AB26" s="134">
        <f t="shared" si="8"/>
        <v>219509.13908066862</v>
      </c>
      <c r="AC26" s="133">
        <f>+AB26/AB$7</f>
        <v>1650.4446547418693</v>
      </c>
      <c r="AD26" s="138">
        <f>+AC26/AC$8</f>
        <v>1.3765176436546032</v>
      </c>
      <c r="AE26" s="19"/>
      <c r="AF26" s="62"/>
      <c r="AG26" s="63" t="s">
        <v>104</v>
      </c>
      <c r="AH26" s="8" t="s">
        <v>140</v>
      </c>
      <c r="AI26" s="9">
        <f t="shared" si="15"/>
        <v>4.6889734268099137E-3</v>
      </c>
      <c r="AJ26" s="8">
        <f>+AB37+AB38</f>
        <v>61720.3125</v>
      </c>
      <c r="AK26" s="10">
        <f t="shared" si="2"/>
        <v>464.0625</v>
      </c>
      <c r="AL26" s="12">
        <f t="shared" si="7"/>
        <v>0.38704128440366975</v>
      </c>
    </row>
    <row r="27" spans="1:38" s="8" customFormat="1">
      <c r="A27" s="17"/>
      <c r="B27" s="23" t="s">
        <v>18</v>
      </c>
      <c r="C27" s="59"/>
      <c r="E27" s="66"/>
      <c r="F27" s="66"/>
      <c r="G27" s="66"/>
      <c r="H27" s="66"/>
      <c r="I27" s="66"/>
      <c r="J27" s="66"/>
      <c r="K27" s="66"/>
      <c r="L27" s="19"/>
      <c r="M27" s="19"/>
      <c r="N27" s="12"/>
      <c r="O27" s="12"/>
      <c r="P27" s="134"/>
      <c r="Q27" s="134"/>
      <c r="R27" s="138"/>
      <c r="S27" s="19"/>
      <c r="T27" s="134"/>
      <c r="U27" s="134"/>
      <c r="V27" s="138"/>
      <c r="W27" s="19"/>
      <c r="X27" s="134"/>
      <c r="Y27" s="134"/>
      <c r="Z27" s="138"/>
      <c r="AA27" s="19"/>
      <c r="AB27" s="134"/>
      <c r="AC27" s="133"/>
      <c r="AD27" s="138"/>
      <c r="AE27" s="19"/>
      <c r="AF27" s="62"/>
      <c r="AG27" s="63" t="s">
        <v>105</v>
      </c>
      <c r="AH27" s="8" t="s">
        <v>132</v>
      </c>
      <c r="AI27" s="9">
        <f t="shared" si="15"/>
        <v>0</v>
      </c>
      <c r="AJ27" s="10">
        <v>0</v>
      </c>
      <c r="AK27" s="10">
        <f t="shared" si="2"/>
        <v>0</v>
      </c>
      <c r="AL27" s="12">
        <f t="shared" si="7"/>
        <v>0</v>
      </c>
    </row>
    <row r="28" spans="1:38" s="8" customFormat="1">
      <c r="A28" s="17" t="s">
        <v>164</v>
      </c>
      <c r="B28" s="8" t="s">
        <v>67</v>
      </c>
      <c r="C28" s="59"/>
      <c r="D28" s="9">
        <f t="shared" ref="D28:D35" si="16">L28/$L$88</f>
        <v>6.4909202788735923E-2</v>
      </c>
      <c r="E28" s="60" t="s">
        <v>194</v>
      </c>
      <c r="F28" s="60" t="s">
        <v>194</v>
      </c>
      <c r="G28" s="60" t="s">
        <v>194</v>
      </c>
      <c r="H28" s="60" t="s">
        <v>194</v>
      </c>
      <c r="I28" s="60" t="s">
        <v>194</v>
      </c>
      <c r="J28" s="60" t="s">
        <v>194</v>
      </c>
      <c r="K28" s="60" t="s">
        <v>194</v>
      </c>
      <c r="L28" s="19">
        <f t="shared" si="0"/>
        <v>45633</v>
      </c>
      <c r="M28" s="67">
        <f>(2975+(24808/7))/2</f>
        <v>3259.5</v>
      </c>
      <c r="N28" s="12">
        <f t="shared" si="3"/>
        <v>2.3688226744186047</v>
      </c>
      <c r="O28" s="12"/>
      <c r="P28" s="134">
        <f t="shared" si="9"/>
        <v>3192.5807594476746</v>
      </c>
      <c r="Q28" s="134">
        <f t="shared" si="12"/>
        <v>3192.5807594476746</v>
      </c>
      <c r="R28" s="138">
        <f t="shared" si="4"/>
        <v>2.6649255087209305</v>
      </c>
      <c r="S28" s="19"/>
      <c r="T28" s="134">
        <f t="shared" si="10"/>
        <v>212405.22274709304</v>
      </c>
      <c r="U28" s="134">
        <f t="shared" si="13"/>
        <v>2950.0725381540701</v>
      </c>
      <c r="V28" s="138">
        <f t="shared" si="5"/>
        <v>2.6649255087209305</v>
      </c>
      <c r="W28" s="19"/>
      <c r="X28" s="134">
        <f t="shared" si="11"/>
        <v>209215.30691315408</v>
      </c>
      <c r="Y28" s="134">
        <f t="shared" si="14"/>
        <v>3429.7591297238373</v>
      </c>
      <c r="Z28" s="138">
        <f t="shared" si="6"/>
        <v>2.6649255087209305</v>
      </c>
      <c r="AA28" s="19"/>
      <c r="AB28" s="134">
        <f t="shared" si="8"/>
        <v>421620.52966024715</v>
      </c>
      <c r="AC28" s="133">
        <f t="shared" ref="AC28:AC35" si="17">+AB28/AB$7</f>
        <v>3170.0791703777982</v>
      </c>
      <c r="AD28" s="138">
        <f t="shared" ref="AD28:AD35" si="18">+AC28/AC$8</f>
        <v>2.6439359219164289</v>
      </c>
      <c r="AE28" s="19"/>
      <c r="AF28" s="62"/>
      <c r="AG28" s="63" t="s">
        <v>106</v>
      </c>
      <c r="AH28" s="8" t="s">
        <v>133</v>
      </c>
      <c r="AI28" s="9">
        <f t="shared" si="15"/>
        <v>4.8589541453291071E-2</v>
      </c>
      <c r="AJ28" s="10">
        <f>+AB54+AB55</f>
        <v>639577.4532612646</v>
      </c>
      <c r="AK28" s="10">
        <f t="shared" si="2"/>
        <v>4808.853032039583</v>
      </c>
      <c r="AL28" s="12">
        <f t="shared" si="7"/>
        <v>4.0107197931939815</v>
      </c>
    </row>
    <row r="29" spans="1:38" s="8" customFormat="1">
      <c r="A29" s="17" t="s">
        <v>164</v>
      </c>
      <c r="B29" s="8" t="s">
        <v>200</v>
      </c>
      <c r="C29" s="59"/>
      <c r="D29" s="9">
        <f t="shared" si="16"/>
        <v>5.8226682798783881E-2</v>
      </c>
      <c r="E29" s="60" t="s">
        <v>194</v>
      </c>
      <c r="F29" s="60" t="s">
        <v>194</v>
      </c>
      <c r="G29" s="60" t="s">
        <v>194</v>
      </c>
      <c r="H29" s="60" t="s">
        <v>194</v>
      </c>
      <c r="I29" s="60" t="s">
        <v>194</v>
      </c>
      <c r="J29" s="60" t="s">
        <v>194</v>
      </c>
      <c r="K29" s="60" t="s">
        <v>194</v>
      </c>
      <c r="L29" s="19">
        <f t="shared" si="0"/>
        <v>40935</v>
      </c>
      <c r="M29" s="67">
        <f>(2465+(23680/7))/2</f>
        <v>2923.9285714285716</v>
      </c>
      <c r="N29" s="12">
        <f t="shared" si="3"/>
        <v>2.1249480897009967</v>
      </c>
      <c r="O29" s="12"/>
      <c r="P29" s="134">
        <f t="shared" si="9"/>
        <v>2863.8987878945181</v>
      </c>
      <c r="Q29" s="134">
        <f t="shared" si="12"/>
        <v>2863.8987878945181</v>
      </c>
      <c r="R29" s="138">
        <f t="shared" si="4"/>
        <v>2.3905666009136213</v>
      </c>
      <c r="S29" s="19"/>
      <c r="T29" s="134">
        <f t="shared" si="10"/>
        <v>190537.72035921927</v>
      </c>
      <c r="U29" s="134">
        <f t="shared" si="13"/>
        <v>2646.3572272113788</v>
      </c>
      <c r="V29" s="138">
        <f t="shared" si="5"/>
        <v>2.3905666009136213</v>
      </c>
      <c r="W29" s="19"/>
      <c r="X29" s="134">
        <f t="shared" si="11"/>
        <v>187676.21213792567</v>
      </c>
      <c r="Y29" s="134">
        <f t="shared" si="14"/>
        <v>3076.6592153758306</v>
      </c>
      <c r="Z29" s="138">
        <f t="shared" si="6"/>
        <v>2.3905666009136213</v>
      </c>
      <c r="AA29" s="19"/>
      <c r="AB29" s="134">
        <f t="shared" si="8"/>
        <v>378213.93249714491</v>
      </c>
      <c r="AC29" s="133">
        <f t="shared" si="17"/>
        <v>2843.7137781740221</v>
      </c>
      <c r="AD29" s="138">
        <f t="shared" si="18"/>
        <v>2.3717379300867574</v>
      </c>
      <c r="AE29" s="19"/>
      <c r="AF29" s="62"/>
      <c r="AG29" s="63" t="s">
        <v>107</v>
      </c>
      <c r="AH29" s="8" t="s">
        <v>145</v>
      </c>
      <c r="AI29" s="9">
        <f t="shared" si="15"/>
        <v>2.515381414901954E-2</v>
      </c>
      <c r="AJ29" s="10">
        <f>+AB56+SUM(AB58:AB60)+AB72</f>
        <v>331096.19708393893</v>
      </c>
      <c r="AK29" s="10">
        <f t="shared" si="2"/>
        <v>2489.4450908566837</v>
      </c>
      <c r="AL29" s="12">
        <f t="shared" si="7"/>
        <v>2.0762677988796359</v>
      </c>
    </row>
    <row r="30" spans="1:38" s="8" customFormat="1">
      <c r="A30" s="17" t="s">
        <v>164</v>
      </c>
      <c r="B30" s="8" t="s">
        <v>19</v>
      </c>
      <c r="C30" s="59"/>
      <c r="D30" s="9">
        <f t="shared" si="16"/>
        <v>0.13193923088718204</v>
      </c>
      <c r="E30" s="60" t="s">
        <v>194</v>
      </c>
      <c r="F30" s="60" t="s">
        <v>194</v>
      </c>
      <c r="G30" s="60" t="s">
        <v>194</v>
      </c>
      <c r="H30" s="60" t="s">
        <v>194</v>
      </c>
      <c r="I30" s="60" t="s">
        <v>194</v>
      </c>
      <c r="J30" s="60" t="s">
        <v>194</v>
      </c>
      <c r="K30" s="60" t="s">
        <v>194</v>
      </c>
      <c r="L30" s="19">
        <f t="shared" si="0"/>
        <v>92757</v>
      </c>
      <c r="M30" s="67">
        <f>13251/2</f>
        <v>6625.5</v>
      </c>
      <c r="N30" s="12">
        <f t="shared" si="3"/>
        <v>4.8150436046511631</v>
      </c>
      <c r="O30" s="12"/>
      <c r="P30" s="134">
        <f t="shared" si="9"/>
        <v>6489.4750181686049</v>
      </c>
      <c r="Q30" s="134">
        <f t="shared" si="12"/>
        <v>6489.4750181686049</v>
      </c>
      <c r="R30" s="138">
        <f t="shared" si="4"/>
        <v>5.4169240552325588</v>
      </c>
      <c r="S30" s="19"/>
      <c r="T30" s="134">
        <f t="shared" si="10"/>
        <v>431750.51489825587</v>
      </c>
      <c r="U30" s="134">
        <f t="shared" si="13"/>
        <v>5996.5349291424427</v>
      </c>
      <c r="V30" s="138">
        <f t="shared" si="5"/>
        <v>5.4169240552325588</v>
      </c>
      <c r="W30" s="19"/>
      <c r="X30" s="134">
        <f t="shared" si="11"/>
        <v>425266.45680414245</v>
      </c>
      <c r="Y30" s="134">
        <f t="shared" si="14"/>
        <v>6971.5812590843025</v>
      </c>
      <c r="Z30" s="138">
        <f t="shared" si="6"/>
        <v>5.4169240552325579</v>
      </c>
      <c r="AA30" s="19"/>
      <c r="AB30" s="134">
        <f t="shared" si="8"/>
        <v>857016.97170239827</v>
      </c>
      <c r="AC30" s="133">
        <f t="shared" si="17"/>
        <v>6443.7366293413406</v>
      </c>
      <c r="AD30" s="138">
        <f t="shared" si="18"/>
        <v>5.3742590736791831</v>
      </c>
      <c r="AE30" s="19"/>
      <c r="AF30" s="62"/>
      <c r="AG30" s="63" t="s">
        <v>108</v>
      </c>
      <c r="AH30" s="8" t="s">
        <v>134</v>
      </c>
      <c r="AI30" s="9">
        <f t="shared" si="15"/>
        <v>1.9324254122610553E-2</v>
      </c>
      <c r="AJ30" s="10">
        <f>AB66+AB67</f>
        <v>254362.5</v>
      </c>
      <c r="AK30" s="10">
        <f t="shared" si="2"/>
        <v>1912.5</v>
      </c>
      <c r="AL30" s="12">
        <f t="shared" si="7"/>
        <v>1.5950792326939116</v>
      </c>
    </row>
    <row r="31" spans="1:38" s="8" customFormat="1">
      <c r="A31" s="17" t="s">
        <v>164</v>
      </c>
      <c r="B31" s="8" t="s">
        <v>20</v>
      </c>
      <c r="C31" s="59"/>
      <c r="D31" s="9">
        <f t="shared" si="16"/>
        <v>0</v>
      </c>
      <c r="E31" s="60" t="s">
        <v>194</v>
      </c>
      <c r="F31" s="60" t="s">
        <v>194</v>
      </c>
      <c r="G31" s="60" t="s">
        <v>194</v>
      </c>
      <c r="H31" s="60" t="s">
        <v>194</v>
      </c>
      <c r="I31" s="60" t="s">
        <v>194</v>
      </c>
      <c r="J31" s="60" t="s">
        <v>194</v>
      </c>
      <c r="K31" s="60" t="s">
        <v>194</v>
      </c>
      <c r="L31" s="19">
        <f t="shared" si="0"/>
        <v>0</v>
      </c>
      <c r="M31" s="19"/>
      <c r="N31" s="12">
        <f t="shared" si="3"/>
        <v>0</v>
      </c>
      <c r="O31" s="12"/>
      <c r="P31" s="134">
        <f t="shared" si="9"/>
        <v>0</v>
      </c>
      <c r="Q31" s="134">
        <f t="shared" si="12"/>
        <v>0</v>
      </c>
      <c r="R31" s="138">
        <f t="shared" si="4"/>
        <v>0</v>
      </c>
      <c r="S31" s="19"/>
      <c r="T31" s="134">
        <f t="shared" si="10"/>
        <v>0</v>
      </c>
      <c r="U31" s="134">
        <f t="shared" si="13"/>
        <v>0</v>
      </c>
      <c r="V31" s="138">
        <f t="shared" si="5"/>
        <v>0</v>
      </c>
      <c r="W31" s="19"/>
      <c r="X31" s="134">
        <f t="shared" si="11"/>
        <v>0</v>
      </c>
      <c r="Y31" s="134">
        <f t="shared" si="14"/>
        <v>0</v>
      </c>
      <c r="Z31" s="138">
        <f t="shared" si="6"/>
        <v>0</v>
      </c>
      <c r="AA31" s="19"/>
      <c r="AB31" s="134">
        <f t="shared" si="8"/>
        <v>0</v>
      </c>
      <c r="AC31" s="133">
        <f t="shared" si="17"/>
        <v>0</v>
      </c>
      <c r="AD31" s="138">
        <f t="shared" si="18"/>
        <v>0</v>
      </c>
      <c r="AE31" s="19"/>
      <c r="AF31" s="62"/>
      <c r="AG31" s="63" t="s">
        <v>109</v>
      </c>
      <c r="AH31" s="8" t="s">
        <v>135</v>
      </c>
      <c r="AI31" s="9">
        <f t="shared" si="15"/>
        <v>0</v>
      </c>
      <c r="AJ31" s="10">
        <v>0</v>
      </c>
      <c r="AK31" s="10">
        <f t="shared" si="2"/>
        <v>0</v>
      </c>
      <c r="AL31" s="12">
        <f t="shared" si="7"/>
        <v>0</v>
      </c>
    </row>
    <row r="32" spans="1:38" s="8" customFormat="1">
      <c r="A32" s="17" t="s">
        <v>164</v>
      </c>
      <c r="B32" s="8" t="s">
        <v>21</v>
      </c>
      <c r="C32" s="59"/>
      <c r="D32" s="9">
        <f t="shared" si="16"/>
        <v>0</v>
      </c>
      <c r="E32" s="60" t="s">
        <v>194</v>
      </c>
      <c r="F32" s="60" t="s">
        <v>194</v>
      </c>
      <c r="G32" s="60" t="s">
        <v>194</v>
      </c>
      <c r="H32" s="60" t="s">
        <v>194</v>
      </c>
      <c r="I32" s="60" t="s">
        <v>194</v>
      </c>
      <c r="J32" s="60" t="s">
        <v>194</v>
      </c>
      <c r="K32" s="60" t="s">
        <v>194</v>
      </c>
      <c r="L32" s="19">
        <f t="shared" si="0"/>
        <v>0</v>
      </c>
      <c r="M32" s="19"/>
      <c r="N32" s="12">
        <f t="shared" si="3"/>
        <v>0</v>
      </c>
      <c r="O32" s="12"/>
      <c r="P32" s="134">
        <f t="shared" si="9"/>
        <v>0</v>
      </c>
      <c r="Q32" s="134">
        <f t="shared" si="12"/>
        <v>0</v>
      </c>
      <c r="R32" s="138">
        <f t="shared" si="4"/>
        <v>0</v>
      </c>
      <c r="S32" s="19"/>
      <c r="T32" s="134">
        <f t="shared" si="10"/>
        <v>0</v>
      </c>
      <c r="U32" s="134">
        <f t="shared" si="13"/>
        <v>0</v>
      </c>
      <c r="V32" s="138">
        <f t="shared" si="5"/>
        <v>0</v>
      </c>
      <c r="W32" s="19"/>
      <c r="X32" s="134">
        <f t="shared" si="11"/>
        <v>0</v>
      </c>
      <c r="Y32" s="134">
        <f t="shared" si="14"/>
        <v>0</v>
      </c>
      <c r="Z32" s="138">
        <f t="shared" si="6"/>
        <v>0</v>
      </c>
      <c r="AA32" s="19"/>
      <c r="AB32" s="134">
        <f t="shared" si="8"/>
        <v>0</v>
      </c>
      <c r="AC32" s="133">
        <f t="shared" si="17"/>
        <v>0</v>
      </c>
      <c r="AD32" s="138">
        <f t="shared" si="18"/>
        <v>0</v>
      </c>
      <c r="AE32" s="19"/>
      <c r="AF32" s="62"/>
      <c r="AG32" s="63" t="s">
        <v>110</v>
      </c>
      <c r="AH32" s="8" t="s">
        <v>136</v>
      </c>
      <c r="AI32" s="9">
        <f t="shared" si="15"/>
        <v>1.1178198686038749E-2</v>
      </c>
      <c r="AJ32" s="10">
        <f>AB63+AB64</f>
        <v>147137.09234193314</v>
      </c>
      <c r="AK32" s="10">
        <f t="shared" si="2"/>
        <v>1106.2939273829559</v>
      </c>
      <c r="AL32" s="12">
        <f t="shared" si="7"/>
        <v>0.92268050657460876</v>
      </c>
    </row>
    <row r="33" spans="1:38" s="8" customFormat="1">
      <c r="A33" s="17" t="s">
        <v>165</v>
      </c>
      <c r="B33" s="8" t="s">
        <v>22</v>
      </c>
      <c r="C33" s="59"/>
      <c r="D33" s="9">
        <f t="shared" si="16"/>
        <v>0</v>
      </c>
      <c r="E33" s="60" t="s">
        <v>194</v>
      </c>
      <c r="F33" s="60" t="s">
        <v>194</v>
      </c>
      <c r="G33" s="60" t="s">
        <v>194</v>
      </c>
      <c r="H33" s="60" t="s">
        <v>194</v>
      </c>
      <c r="I33" s="60" t="s">
        <v>194</v>
      </c>
      <c r="J33" s="60" t="s">
        <v>194</v>
      </c>
      <c r="K33" s="60" t="s">
        <v>194</v>
      </c>
      <c r="L33" s="19">
        <f t="shared" si="0"/>
        <v>0</v>
      </c>
      <c r="N33" s="12">
        <f t="shared" si="3"/>
        <v>0</v>
      </c>
      <c r="O33" s="12"/>
      <c r="P33" s="134">
        <f t="shared" si="9"/>
        <v>0</v>
      </c>
      <c r="Q33" s="134">
        <f t="shared" si="12"/>
        <v>0</v>
      </c>
      <c r="R33" s="138">
        <f t="shared" si="4"/>
        <v>0</v>
      </c>
      <c r="S33" s="19"/>
      <c r="T33" s="134">
        <f t="shared" si="10"/>
        <v>0</v>
      </c>
      <c r="U33" s="134">
        <f t="shared" si="13"/>
        <v>0</v>
      </c>
      <c r="V33" s="138">
        <f t="shared" si="5"/>
        <v>0</v>
      </c>
      <c r="W33" s="19"/>
      <c r="X33" s="134">
        <f t="shared" si="11"/>
        <v>0</v>
      </c>
      <c r="Y33" s="134">
        <f t="shared" si="14"/>
        <v>0</v>
      </c>
      <c r="Z33" s="138">
        <f t="shared" si="6"/>
        <v>0</v>
      </c>
      <c r="AA33" s="19"/>
      <c r="AB33" s="134">
        <f t="shared" si="8"/>
        <v>0</v>
      </c>
      <c r="AC33" s="133">
        <f t="shared" si="17"/>
        <v>0</v>
      </c>
      <c r="AD33" s="138">
        <f t="shared" si="18"/>
        <v>0</v>
      </c>
      <c r="AE33" s="19"/>
      <c r="AF33" s="62"/>
      <c r="AG33" s="63" t="s">
        <v>111</v>
      </c>
      <c r="AH33" s="8" t="s">
        <v>137</v>
      </c>
      <c r="AI33" s="9">
        <f t="shared" si="15"/>
        <v>0</v>
      </c>
      <c r="AJ33" s="10">
        <v>0</v>
      </c>
      <c r="AK33" s="10">
        <f t="shared" si="2"/>
        <v>0</v>
      </c>
      <c r="AL33" s="12">
        <f t="shared" si="7"/>
        <v>0</v>
      </c>
    </row>
    <row r="34" spans="1:38" s="8" customFormat="1">
      <c r="A34" s="17" t="s">
        <v>166</v>
      </c>
      <c r="B34" s="8" t="s">
        <v>23</v>
      </c>
      <c r="C34" s="59"/>
      <c r="D34" s="9">
        <f t="shared" si="16"/>
        <v>8.9014921449808125E-3</v>
      </c>
      <c r="E34" s="60" t="s">
        <v>194</v>
      </c>
      <c r="F34" s="60" t="s">
        <v>194</v>
      </c>
      <c r="G34" s="60" t="s">
        <v>194</v>
      </c>
      <c r="H34" s="60" t="s">
        <v>194</v>
      </c>
      <c r="I34" s="60" t="s">
        <v>194</v>
      </c>
      <c r="J34" s="60" t="s">
        <v>194</v>
      </c>
      <c r="K34" s="60" t="s">
        <v>194</v>
      </c>
      <c r="L34" s="19">
        <f t="shared" si="0"/>
        <v>6258</v>
      </c>
      <c r="M34" s="19">
        <f>894/2</f>
        <v>447</v>
      </c>
      <c r="N34" s="12">
        <f t="shared" si="3"/>
        <v>0.32485465116279072</v>
      </c>
      <c r="O34" s="12"/>
      <c r="P34" s="134">
        <f t="shared" si="9"/>
        <v>348.75</v>
      </c>
      <c r="Q34" s="134">
        <f>(120+80+70+40)*CMF</f>
        <v>348.75</v>
      </c>
      <c r="R34" s="138">
        <f t="shared" si="4"/>
        <v>0.291110183639399</v>
      </c>
      <c r="S34" s="19"/>
      <c r="T34" s="134">
        <f t="shared" si="10"/>
        <v>43740</v>
      </c>
      <c r="U34" s="134">
        <f>(120+3*70+2*65+2*40)*CMF</f>
        <v>607.5</v>
      </c>
      <c r="V34" s="138">
        <f t="shared" si="5"/>
        <v>0.54878048780487809</v>
      </c>
      <c r="W34" s="19"/>
      <c r="X34" s="134">
        <f t="shared" si="11"/>
        <v>45978.75</v>
      </c>
      <c r="Y34" s="134">
        <f>(120+4*80+70+4*40)*CMF</f>
        <v>753.75</v>
      </c>
      <c r="Z34" s="138">
        <f t="shared" si="6"/>
        <v>0.58566433566433562</v>
      </c>
      <c r="AA34" s="19"/>
      <c r="AB34" s="134">
        <f t="shared" si="8"/>
        <v>89718.75</v>
      </c>
      <c r="AC34" s="133">
        <f t="shared" si="17"/>
        <v>674.57706766917295</v>
      </c>
      <c r="AD34" s="138">
        <f t="shared" si="18"/>
        <v>0.56261640339380559</v>
      </c>
      <c r="AE34" s="19"/>
      <c r="AF34" s="62"/>
      <c r="AG34" s="63" t="s">
        <v>112</v>
      </c>
      <c r="AH34" s="8" t="s">
        <v>49</v>
      </c>
      <c r="AI34" s="9">
        <f t="shared" si="15"/>
        <v>1.0230487476676176E-2</v>
      </c>
      <c r="AJ34" s="10">
        <f>+AB70</f>
        <v>134662.5</v>
      </c>
      <c r="AK34" s="10">
        <f t="shared" si="2"/>
        <v>1012.5</v>
      </c>
      <c r="AL34" s="12">
        <f t="shared" si="7"/>
        <v>0.84445371142618852</v>
      </c>
    </row>
    <row r="35" spans="1:38" s="8" customFormat="1">
      <c r="A35" s="17" t="s">
        <v>164</v>
      </c>
      <c r="B35" s="8" t="s">
        <v>24</v>
      </c>
      <c r="C35" s="59"/>
      <c r="D35" s="9">
        <f t="shared" si="16"/>
        <v>5.9741558020005451E-3</v>
      </c>
      <c r="E35" s="60" t="s">
        <v>194</v>
      </c>
      <c r="F35" s="60" t="s">
        <v>194</v>
      </c>
      <c r="G35" s="60" t="s">
        <v>194</v>
      </c>
      <c r="H35" s="60" t="s">
        <v>194</v>
      </c>
      <c r="I35" s="60" t="s">
        <v>194</v>
      </c>
      <c r="J35" s="60" t="s">
        <v>194</v>
      </c>
      <c r="K35" s="60" t="s">
        <v>194</v>
      </c>
      <c r="L35" s="19">
        <f t="shared" si="0"/>
        <v>4200</v>
      </c>
      <c r="M35" s="68">
        <f>600/2</f>
        <v>300</v>
      </c>
      <c r="N35" s="12">
        <f t="shared" si="3"/>
        <v>0.21802325581395349</v>
      </c>
      <c r="O35" s="12"/>
      <c r="P35" s="134">
        <f t="shared" si="9"/>
        <v>582.75</v>
      </c>
      <c r="Q35" s="134">
        <f>((75+46+13)*2+180+70)*CMF</f>
        <v>582.75</v>
      </c>
      <c r="R35" s="138">
        <f t="shared" si="4"/>
        <v>0.48643572621035058</v>
      </c>
      <c r="S35" s="19"/>
      <c r="T35" s="134">
        <f t="shared" si="10"/>
        <v>41958</v>
      </c>
      <c r="U35" s="134">
        <f>((75+46+13)*2+180+70)*CMF</f>
        <v>582.75</v>
      </c>
      <c r="V35" s="138">
        <f t="shared" si="5"/>
        <v>0.52642276422764223</v>
      </c>
      <c r="W35" s="19"/>
      <c r="X35" s="134">
        <f t="shared" si="11"/>
        <v>35547.75</v>
      </c>
      <c r="Y35" s="134">
        <f>((75+46+13)*2+180+70)*CMF</f>
        <v>582.75</v>
      </c>
      <c r="Z35" s="138">
        <f t="shared" si="6"/>
        <v>0.45279720279720281</v>
      </c>
      <c r="AA35" s="19"/>
      <c r="AB35" s="134">
        <f t="shared" si="8"/>
        <v>77505.75</v>
      </c>
      <c r="AC35" s="133">
        <f t="shared" si="17"/>
        <v>582.75</v>
      </c>
      <c r="AD35" s="138">
        <f t="shared" si="18"/>
        <v>0.48603002502085069</v>
      </c>
      <c r="AE35" s="19"/>
      <c r="AF35" s="62"/>
      <c r="AG35" s="63" t="s">
        <v>113</v>
      </c>
      <c r="AH35" s="8" t="s">
        <v>138</v>
      </c>
      <c r="AI35" s="9">
        <f t="shared" si="15"/>
        <v>1.6496761053386343E-2</v>
      </c>
      <c r="AJ35" s="10">
        <f>+AB71</f>
        <v>217144.59749999997</v>
      </c>
      <c r="AK35" s="10">
        <f t="shared" si="2"/>
        <v>1632.6661466165413</v>
      </c>
      <c r="AL35" s="12">
        <f t="shared" si="7"/>
        <v>1.3616898637335624</v>
      </c>
    </row>
    <row r="36" spans="1:38" s="8" customFormat="1">
      <c r="A36" s="17"/>
      <c r="B36" s="23" t="s">
        <v>218</v>
      </c>
      <c r="C36" s="59"/>
      <c r="D36" s="9"/>
      <c r="E36" s="60"/>
      <c r="F36" s="60"/>
      <c r="G36" s="60"/>
      <c r="H36" s="60"/>
      <c r="I36" s="60"/>
      <c r="J36" s="60"/>
      <c r="K36" s="60"/>
      <c r="L36" s="19"/>
      <c r="M36" s="19"/>
      <c r="N36" s="12"/>
      <c r="O36" s="12"/>
      <c r="P36" s="134"/>
      <c r="Q36" s="134"/>
      <c r="R36" s="138"/>
      <c r="S36" s="19"/>
      <c r="T36" s="134"/>
      <c r="U36" s="134"/>
      <c r="V36" s="138"/>
      <c r="W36" s="19"/>
      <c r="X36" s="134"/>
      <c r="Y36" s="134"/>
      <c r="Z36" s="138"/>
      <c r="AA36" s="19"/>
      <c r="AB36" s="134"/>
      <c r="AC36" s="133"/>
      <c r="AD36" s="138"/>
      <c r="AE36" s="19"/>
      <c r="AF36" s="62"/>
      <c r="AG36" s="63" t="s">
        <v>114</v>
      </c>
      <c r="AH36" s="8" t="s">
        <v>139</v>
      </c>
      <c r="AI36" s="9">
        <f t="shared" si="15"/>
        <v>3.8364328037535657E-3</v>
      </c>
      <c r="AJ36" s="10">
        <f>SUM(AB73:AB76)</f>
        <v>50498.4375</v>
      </c>
      <c r="AK36" s="10">
        <f t="shared" si="2"/>
        <v>379.6875</v>
      </c>
      <c r="AL36" s="12">
        <f t="shared" si="7"/>
        <v>0.31667014178482067</v>
      </c>
    </row>
    <row r="37" spans="1:38" s="8" customFormat="1">
      <c r="A37" s="17" t="s">
        <v>219</v>
      </c>
      <c r="B37" s="8" t="s">
        <v>26</v>
      </c>
      <c r="C37" s="59"/>
      <c r="D37" s="9"/>
      <c r="E37" s="60"/>
      <c r="F37" s="60"/>
      <c r="G37" s="60"/>
      <c r="H37" s="60"/>
      <c r="I37" s="60"/>
      <c r="J37" s="60"/>
      <c r="K37" s="60"/>
      <c r="L37" s="19">
        <v>0</v>
      </c>
      <c r="M37" s="19">
        <v>0</v>
      </c>
      <c r="N37" s="12"/>
      <c r="O37" s="12"/>
      <c r="P37" s="134">
        <f t="shared" si="9"/>
        <v>168.75</v>
      </c>
      <c r="Q37" s="134">
        <f>(28-3)*3*2*CMF</f>
        <v>168.75</v>
      </c>
      <c r="R37" s="138">
        <f t="shared" si="4"/>
        <v>0.14085976627712854</v>
      </c>
      <c r="S37" s="19"/>
      <c r="T37" s="134">
        <f t="shared" si="10"/>
        <v>12150</v>
      </c>
      <c r="U37" s="134">
        <f>(28-3)*3*2*CMF</f>
        <v>168.75</v>
      </c>
      <c r="V37" s="138">
        <f t="shared" si="5"/>
        <v>0.1524390243902439</v>
      </c>
      <c r="W37" s="19"/>
      <c r="X37" s="134">
        <f t="shared" si="11"/>
        <v>10293.75</v>
      </c>
      <c r="Y37" s="134">
        <f>(28-3)*3*2*CMF</f>
        <v>168.75</v>
      </c>
      <c r="Z37" s="138">
        <f t="shared" si="6"/>
        <v>0.13111888111888112</v>
      </c>
      <c r="AA37" s="19"/>
      <c r="AB37" s="134">
        <f t="shared" si="8"/>
        <v>22443.75</v>
      </c>
      <c r="AC37" s="133">
        <f>+AB37/AB$7</f>
        <v>168.75</v>
      </c>
      <c r="AD37" s="138">
        <f>+AC37/AC$8</f>
        <v>0.14074228523769808</v>
      </c>
      <c r="AE37" s="19"/>
      <c r="AF37" s="62"/>
      <c r="AG37" s="63" t="s">
        <v>115</v>
      </c>
      <c r="AH37" s="8" t="s">
        <v>47</v>
      </c>
      <c r="AI37" s="9">
        <f t="shared" si="15"/>
        <v>6.9707418565838324E-3</v>
      </c>
      <c r="AJ37" s="10">
        <f>+AB68</f>
        <v>91754.916606104642</v>
      </c>
      <c r="AK37" s="10">
        <f t="shared" si="2"/>
        <v>689.88659102334316</v>
      </c>
      <c r="AL37" s="12">
        <f t="shared" si="7"/>
        <v>0.57538498000278826</v>
      </c>
    </row>
    <row r="38" spans="1:38" s="8" customFormat="1">
      <c r="A38" s="17" t="s">
        <v>219</v>
      </c>
      <c r="B38" s="8" t="s">
        <v>27</v>
      </c>
      <c r="C38" s="59"/>
      <c r="D38" s="9"/>
      <c r="E38" s="60"/>
      <c r="F38" s="60"/>
      <c r="G38" s="60"/>
      <c r="H38" s="60"/>
      <c r="I38" s="60"/>
      <c r="J38" s="60"/>
      <c r="K38" s="60"/>
      <c r="L38" s="19">
        <v>0</v>
      </c>
      <c r="M38" s="19">
        <v>0</v>
      </c>
      <c r="N38" s="12"/>
      <c r="O38" s="12"/>
      <c r="P38" s="134">
        <f t="shared" si="9"/>
        <v>295.3125</v>
      </c>
      <c r="Q38" s="134">
        <f>(28-3)*3*3.5*CMF</f>
        <v>295.3125</v>
      </c>
      <c r="R38" s="138">
        <f t="shared" si="4"/>
        <v>0.24650459098497496</v>
      </c>
      <c r="S38" s="19"/>
      <c r="T38" s="134">
        <f t="shared" si="10"/>
        <v>21262.5</v>
      </c>
      <c r="U38" s="134">
        <f>(28-3)*3*3.5*CMF</f>
        <v>295.3125</v>
      </c>
      <c r="V38" s="138">
        <f t="shared" si="5"/>
        <v>0.26676829268292684</v>
      </c>
      <c r="W38" s="19"/>
      <c r="X38" s="134">
        <f t="shared" si="11"/>
        <v>18014.0625</v>
      </c>
      <c r="Y38" s="134">
        <f>(28-3)*3*3.5*CMF</f>
        <v>295.3125</v>
      </c>
      <c r="Z38" s="138">
        <f t="shared" si="6"/>
        <v>0.22945804195804195</v>
      </c>
      <c r="AA38" s="19"/>
      <c r="AB38" s="134">
        <f t="shared" si="8"/>
        <v>39276.5625</v>
      </c>
      <c r="AC38" s="133">
        <f>+AB38/AB$7</f>
        <v>295.3125</v>
      </c>
      <c r="AD38" s="138">
        <f>+AC38/AC$8</f>
        <v>0.24629899916597164</v>
      </c>
      <c r="AE38" s="19"/>
      <c r="AF38" s="62"/>
      <c r="AG38" s="63" t="s">
        <v>116</v>
      </c>
      <c r="AH38" s="8" t="s">
        <v>144</v>
      </c>
      <c r="AI38" s="9">
        <f t="shared" si="15"/>
        <v>1.0024929035321508E-2</v>
      </c>
      <c r="AJ38" s="10">
        <f>SUM(AB77:AB79)</f>
        <v>131956.76250000001</v>
      </c>
      <c r="AK38" s="10">
        <f t="shared" si="2"/>
        <v>992.15610902255651</v>
      </c>
      <c r="AL38" s="12">
        <f t="shared" si="7"/>
        <v>0.82748632946001377</v>
      </c>
    </row>
    <row r="39" spans="1:38" s="8" customFormat="1">
      <c r="A39" s="17"/>
      <c r="B39" s="23" t="s">
        <v>25</v>
      </c>
      <c r="C39" s="59"/>
      <c r="D39" s="9"/>
      <c r="E39" s="60"/>
      <c r="F39" s="60"/>
      <c r="G39" s="60"/>
      <c r="H39" s="60"/>
      <c r="I39" s="60"/>
      <c r="J39" s="60"/>
      <c r="K39" s="60"/>
      <c r="L39" s="19"/>
      <c r="M39" s="19"/>
      <c r="N39" s="12"/>
      <c r="O39" s="12"/>
      <c r="P39" s="134"/>
      <c r="Q39" s="134"/>
      <c r="R39" s="138"/>
      <c r="S39" s="19"/>
      <c r="T39" s="134"/>
      <c r="U39" s="134"/>
      <c r="V39" s="138"/>
      <c r="W39" s="19"/>
      <c r="X39" s="134"/>
      <c r="Y39" s="134"/>
      <c r="Z39" s="138"/>
      <c r="AA39" s="19"/>
      <c r="AB39" s="134"/>
      <c r="AC39" s="133"/>
      <c r="AD39" s="138"/>
      <c r="AE39" s="19"/>
      <c r="AF39" s="62"/>
      <c r="AG39" s="63" t="s">
        <v>117</v>
      </c>
      <c r="AH39" s="8" t="s">
        <v>142</v>
      </c>
      <c r="AI39" s="9">
        <f t="shared" si="15"/>
        <v>1.8338581420220268E-2</v>
      </c>
      <c r="AJ39" s="16">
        <f>SUM(AB81:AB85)</f>
        <v>241388.22574491281</v>
      </c>
      <c r="AK39" s="10">
        <f t="shared" si="2"/>
        <v>1814.9490657512242</v>
      </c>
      <c r="AL39" s="12">
        <f t="shared" si="7"/>
        <v>1.5137189872820884</v>
      </c>
    </row>
    <row r="40" spans="1:38" s="8" customFormat="1" ht="14.45" customHeight="1">
      <c r="A40" s="17" t="s">
        <v>167</v>
      </c>
      <c r="B40" s="8" t="s">
        <v>26</v>
      </c>
      <c r="C40" s="59"/>
      <c r="D40" s="9">
        <f>L40/$L$88</f>
        <v>7.4676947525006811E-3</v>
      </c>
      <c r="E40" s="60" t="s">
        <v>194</v>
      </c>
      <c r="F40" s="60" t="s">
        <v>194</v>
      </c>
      <c r="G40" s="60" t="s">
        <v>194</v>
      </c>
      <c r="H40" s="60" t="s">
        <v>194</v>
      </c>
      <c r="I40" s="60" t="s">
        <v>194</v>
      </c>
      <c r="J40" s="60" t="s">
        <v>194</v>
      </c>
      <c r="K40" s="60" t="s">
        <v>194</v>
      </c>
      <c r="L40" s="19">
        <f t="shared" si="0"/>
        <v>5250</v>
      </c>
      <c r="M40" s="19">
        <f>750/2</f>
        <v>375</v>
      </c>
      <c r="N40" s="12">
        <f t="shared" si="3"/>
        <v>0.27252906976744184</v>
      </c>
      <c r="O40" s="12"/>
      <c r="P40" s="134">
        <f t="shared" si="9"/>
        <v>490.15125</v>
      </c>
      <c r="Q40" s="134">
        <f>((R$8*1.2)/100*23.5)*CMF</f>
        <v>490.15125</v>
      </c>
      <c r="R40" s="138">
        <f t="shared" si="4"/>
        <v>0.40914127712854759</v>
      </c>
      <c r="S40" s="19"/>
      <c r="T40" s="134">
        <f t="shared" si="10"/>
        <v>25286.093999999997</v>
      </c>
      <c r="U40" s="134">
        <f>((V$8*1.2)/100*23.5)*CMF</f>
        <v>351.19574999999998</v>
      </c>
      <c r="V40" s="138">
        <f t="shared" si="5"/>
        <v>0.31724999999999998</v>
      </c>
      <c r="W40" s="19"/>
      <c r="X40" s="134">
        <f t="shared" si="11"/>
        <v>30866.838750000003</v>
      </c>
      <c r="Y40" s="134">
        <f>((Z$8*1.2)/100*23.5)*CMF</f>
        <v>506.01375000000002</v>
      </c>
      <c r="Z40" s="138">
        <f t="shared" si="6"/>
        <v>0.39317307692307696</v>
      </c>
      <c r="AA40" s="19"/>
      <c r="AB40" s="134">
        <f t="shared" si="8"/>
        <v>56152.93275</v>
      </c>
      <c r="AC40" s="133">
        <f>+AB40/AB$7</f>
        <v>422.20250187969924</v>
      </c>
      <c r="AD40" s="138">
        <f>+AC40/AC$8</f>
        <v>0.35212885894887341</v>
      </c>
      <c r="AE40" s="19"/>
      <c r="AF40" s="62"/>
      <c r="AG40" s="63" t="s">
        <v>118</v>
      </c>
      <c r="AH40" s="8" t="s">
        <v>126</v>
      </c>
      <c r="AI40" s="9">
        <f t="shared" si="15"/>
        <v>0</v>
      </c>
      <c r="AJ40" s="16"/>
      <c r="AK40" s="10">
        <f t="shared" si="2"/>
        <v>0</v>
      </c>
      <c r="AL40" s="12">
        <f t="shared" si="7"/>
        <v>0</v>
      </c>
    </row>
    <row r="41" spans="1:38" s="8" customFormat="1">
      <c r="A41" s="17" t="s">
        <v>167</v>
      </c>
      <c r="B41" s="8" t="s">
        <v>27</v>
      </c>
      <c r="C41" s="59"/>
      <c r="D41" s="9">
        <f>L41/$L$88</f>
        <v>7.069417699033978E-3</v>
      </c>
      <c r="E41" s="60" t="s">
        <v>194</v>
      </c>
      <c r="F41" s="60" t="s">
        <v>194</v>
      </c>
      <c r="G41" s="60" t="s">
        <v>194</v>
      </c>
      <c r="H41" s="60" t="s">
        <v>194</v>
      </c>
      <c r="I41" s="60" t="s">
        <v>194</v>
      </c>
      <c r="J41" s="60" t="s">
        <v>194</v>
      </c>
      <c r="K41" s="60" t="s">
        <v>194</v>
      </c>
      <c r="L41" s="19">
        <f t="shared" si="0"/>
        <v>4970</v>
      </c>
      <c r="M41" s="19">
        <f>710/2</f>
        <v>355</v>
      </c>
      <c r="N41" s="12">
        <f t="shared" si="3"/>
        <v>0.25799418604651164</v>
      </c>
      <c r="O41" s="12"/>
      <c r="P41" s="134">
        <f t="shared" si="9"/>
        <v>438.00749999999999</v>
      </c>
      <c r="Q41" s="134">
        <f>((R$8*1.2)/100*21)*CMF</f>
        <v>438.00749999999999</v>
      </c>
      <c r="R41" s="138">
        <f t="shared" si="4"/>
        <v>0.36561560934891485</v>
      </c>
      <c r="S41" s="19"/>
      <c r="T41" s="134">
        <f t="shared" si="10"/>
        <v>22596.083999999999</v>
      </c>
      <c r="U41" s="134">
        <f>((V$8*1.2)/100*21)*CMF</f>
        <v>313.83449999999999</v>
      </c>
      <c r="V41" s="138">
        <f t="shared" si="5"/>
        <v>0.28349999999999997</v>
      </c>
      <c r="W41" s="19"/>
      <c r="X41" s="134">
        <f t="shared" si="11"/>
        <v>27583.1325</v>
      </c>
      <c r="Y41" s="134">
        <f>((Z$8*1.2)/100*21)*CMF</f>
        <v>452.1825</v>
      </c>
      <c r="Z41" s="138">
        <f t="shared" si="6"/>
        <v>0.35134615384615386</v>
      </c>
      <c r="AA41" s="19"/>
      <c r="AB41" s="134">
        <f t="shared" si="8"/>
        <v>50179.216499999995</v>
      </c>
      <c r="AC41" s="133">
        <f>+AB41/AB$7</f>
        <v>377.28734210526312</v>
      </c>
      <c r="AD41" s="138">
        <f>+AC41/AC$8</f>
        <v>0.31466834203941879</v>
      </c>
      <c r="AE41" s="19"/>
      <c r="AF41" s="62"/>
      <c r="AG41" s="63" t="s">
        <v>119</v>
      </c>
      <c r="AH41" s="8" t="s">
        <v>125</v>
      </c>
      <c r="AI41" s="9">
        <f t="shared" si="15"/>
        <v>2.8044223306512815E-2</v>
      </c>
      <c r="AJ41" s="16">
        <f>(SUM(AJ9:AJ40)+SUM(AJ42:AJ45))*1.0125*0.7*0.095/12*6</f>
        <v>369142.25540308724</v>
      </c>
      <c r="AK41" s="10">
        <f t="shared" si="2"/>
        <v>2775.5056797224606</v>
      </c>
      <c r="AL41" s="12">
        <f t="shared" si="7"/>
        <v>2.3148504418035531</v>
      </c>
    </row>
    <row r="42" spans="1:38" s="8" customFormat="1">
      <c r="A42" s="17"/>
      <c r="B42" s="23" t="s">
        <v>28</v>
      </c>
      <c r="C42" s="59"/>
      <c r="E42" s="60"/>
      <c r="F42" s="60"/>
      <c r="G42" s="60"/>
      <c r="H42" s="60"/>
      <c r="I42" s="60"/>
      <c r="J42" s="60"/>
      <c r="K42" s="60"/>
      <c r="L42" s="19"/>
      <c r="M42" s="19"/>
      <c r="N42" s="12"/>
      <c r="O42" s="12"/>
      <c r="P42" s="134"/>
      <c r="Q42" s="134"/>
      <c r="R42" s="138"/>
      <c r="S42" s="19"/>
      <c r="T42" s="134"/>
      <c r="U42" s="134"/>
      <c r="V42" s="138"/>
      <c r="W42" s="19"/>
      <c r="X42" s="134"/>
      <c r="Y42" s="134"/>
      <c r="Z42" s="138"/>
      <c r="AA42" s="19"/>
      <c r="AB42" s="134"/>
      <c r="AC42" s="133" t="s">
        <v>71</v>
      </c>
      <c r="AD42" s="138"/>
      <c r="AE42" s="19"/>
      <c r="AF42" s="62"/>
      <c r="AG42" s="63" t="s">
        <v>120</v>
      </c>
      <c r="AH42" s="8" t="s">
        <v>124</v>
      </c>
      <c r="AI42" s="9">
        <f t="shared" si="15"/>
        <v>0.14390258953825832</v>
      </c>
      <c r="AJ42" s="16">
        <f>(2.5*43560+75000)*10.3</f>
        <v>1894170.0000000002</v>
      </c>
      <c r="AK42" s="10">
        <f t="shared" si="2"/>
        <v>14241.879699248122</v>
      </c>
      <c r="AL42" s="12">
        <f t="shared" si="7"/>
        <v>11.878131525644806</v>
      </c>
    </row>
    <row r="43" spans="1:38" s="8" customFormat="1">
      <c r="A43" s="17" t="s">
        <v>168</v>
      </c>
      <c r="B43" s="8" t="s">
        <v>29</v>
      </c>
      <c r="C43" s="59">
        <v>0.1</v>
      </c>
      <c r="D43" s="9">
        <f>L43/$L$88</f>
        <v>2.9870779010002725E-3</v>
      </c>
      <c r="E43" s="60" t="s">
        <v>194</v>
      </c>
      <c r="F43" s="60" t="s">
        <v>194</v>
      </c>
      <c r="G43" s="60" t="s">
        <v>194</v>
      </c>
      <c r="H43" s="60" t="s">
        <v>194</v>
      </c>
      <c r="I43" s="60" t="s">
        <v>194</v>
      </c>
      <c r="J43" s="60" t="s">
        <v>194</v>
      </c>
      <c r="K43" s="60" t="s">
        <v>194</v>
      </c>
      <c r="L43" s="19">
        <f t="shared" si="0"/>
        <v>2100</v>
      </c>
      <c r="M43" s="19">
        <f>300/2</f>
        <v>150</v>
      </c>
      <c r="N43" s="12">
        <f t="shared" si="3"/>
        <v>0.10901162790697674</v>
      </c>
      <c r="O43" s="12"/>
      <c r="P43" s="134">
        <f t="shared" si="9"/>
        <v>63.439849624060152</v>
      </c>
      <c r="Q43" s="134">
        <f>7500/SM134Units*CMF</f>
        <v>63.439849624060152</v>
      </c>
      <c r="R43" s="138">
        <f t="shared" si="4"/>
        <v>5.2954799352303968E-2</v>
      </c>
      <c r="S43" s="19"/>
      <c r="T43" s="134">
        <f t="shared" si="10"/>
        <v>4567.6691729323311</v>
      </c>
      <c r="U43" s="134">
        <f>7500/SM134Units*CMF</f>
        <v>63.439849624060152</v>
      </c>
      <c r="V43" s="138">
        <f t="shared" si="5"/>
        <v>5.7307903906106732E-2</v>
      </c>
      <c r="W43" s="19"/>
      <c r="X43" s="134">
        <f t="shared" si="11"/>
        <v>3869.8308270676694</v>
      </c>
      <c r="Y43" s="134">
        <f>7500/SM134Units*CMF</f>
        <v>63.439849624060152</v>
      </c>
      <c r="Z43" s="138">
        <f t="shared" si="6"/>
        <v>4.9292812450707185E-2</v>
      </c>
      <c r="AA43" s="19"/>
      <c r="AB43" s="134">
        <f t="shared" si="8"/>
        <v>8437.5</v>
      </c>
      <c r="AC43" s="133">
        <f>+AB43/AB$7</f>
        <v>63.439849624060152</v>
      </c>
      <c r="AD43" s="138">
        <f>+AC43/AC$8</f>
        <v>5.2910633548006798E-2</v>
      </c>
      <c r="AE43" s="19"/>
      <c r="AF43" s="62"/>
      <c r="AG43" s="63" t="s">
        <v>121</v>
      </c>
      <c r="AH43" s="8" t="s">
        <v>123</v>
      </c>
      <c r="AI43" s="9">
        <f t="shared" si="15"/>
        <v>1.2659457210463331E-2</v>
      </c>
      <c r="AJ43" s="16">
        <f>AB11+AB86</f>
        <v>166634.69463117732</v>
      </c>
      <c r="AK43" s="10">
        <f t="shared" si="2"/>
        <v>1252.8924408359196</v>
      </c>
      <c r="AL43" s="12">
        <f t="shared" si="7"/>
        <v>1.0449478238831691</v>
      </c>
    </row>
    <row r="44" spans="1:38" s="8" customFormat="1" ht="12.75" thickBot="1">
      <c r="A44" s="17" t="s">
        <v>168</v>
      </c>
      <c r="B44" s="8" t="s">
        <v>10</v>
      </c>
      <c r="C44" s="59">
        <v>0.5</v>
      </c>
      <c r="D44" s="9">
        <f>L44/$L$88</f>
        <v>3.0975997833372827E-2</v>
      </c>
      <c r="E44" s="60" t="s">
        <v>194</v>
      </c>
      <c r="F44" s="60" t="s">
        <v>194</v>
      </c>
      <c r="G44" s="60" t="s">
        <v>194</v>
      </c>
      <c r="H44" s="60" t="s">
        <v>194</v>
      </c>
      <c r="I44" s="60" t="s">
        <v>194</v>
      </c>
      <c r="J44" s="60" t="s">
        <v>194</v>
      </c>
      <c r="K44" s="60" t="s">
        <v>194</v>
      </c>
      <c r="L44" s="19">
        <f t="shared" si="0"/>
        <v>21777</v>
      </c>
      <c r="M44" s="19">
        <f>3111/2</f>
        <v>1555.5</v>
      </c>
      <c r="N44" s="12">
        <f t="shared" si="3"/>
        <v>1.1304505813953489</v>
      </c>
      <c r="O44" s="12"/>
      <c r="P44" s="134">
        <f t="shared" si="9"/>
        <v>1698.1650000000002</v>
      </c>
      <c r="Q44" s="134">
        <f>2.1*CMF*60%*Q$8</f>
        <v>1698.1650000000002</v>
      </c>
      <c r="R44" s="138">
        <f t="shared" si="4"/>
        <v>1.4175000000000002</v>
      </c>
      <c r="S44" s="19"/>
      <c r="T44" s="134">
        <f t="shared" si="10"/>
        <v>112980.42000000001</v>
      </c>
      <c r="U44" s="134">
        <f>2.1*CMF*60%*U$8</f>
        <v>1569.1725000000001</v>
      </c>
      <c r="V44" s="138">
        <f t="shared" si="5"/>
        <v>1.4175000000000002</v>
      </c>
      <c r="W44" s="19"/>
      <c r="X44" s="134">
        <f t="shared" si="11"/>
        <v>111283.67250000002</v>
      </c>
      <c r="Y44" s="134">
        <f>2.1*CMF*60%*Y$8</f>
        <v>1824.3225000000002</v>
      </c>
      <c r="Z44" s="138">
        <f t="shared" si="6"/>
        <v>1.4175000000000002</v>
      </c>
      <c r="AA44" s="19"/>
      <c r="AB44" s="134">
        <f t="shared" si="8"/>
        <v>224264.09250000003</v>
      </c>
      <c r="AC44" s="133">
        <f>+AB44/AB$7</f>
        <v>1686.1961842105266</v>
      </c>
      <c r="AD44" s="138">
        <f>+AC44/AC$8</f>
        <v>1.4063354330363025</v>
      </c>
      <c r="AE44" s="19"/>
      <c r="AF44" s="62"/>
      <c r="AG44" s="63" t="s">
        <v>122</v>
      </c>
      <c r="AH44" s="8" t="s">
        <v>143</v>
      </c>
      <c r="AI44" s="9">
        <f t="shared" si="15"/>
        <v>1.7552835459286223E-2</v>
      </c>
      <c r="AJ44" s="16">
        <f>AB45+AB47+AB48+AB69</f>
        <v>231045.55969840119</v>
      </c>
      <c r="AK44" s="10">
        <f t="shared" si="2"/>
        <v>1737.1846593864752</v>
      </c>
      <c r="AL44" s="12">
        <f t="shared" si="7"/>
        <v>1.4488612672114054</v>
      </c>
    </row>
    <row r="45" spans="1:38" s="8" customFormat="1" ht="12.75" thickBot="1">
      <c r="A45" s="17" t="s">
        <v>158</v>
      </c>
      <c r="B45" s="24" t="s">
        <v>30</v>
      </c>
      <c r="C45" s="59">
        <v>0.4</v>
      </c>
      <c r="D45" s="9">
        <f>L45/$L$88</f>
        <v>2.4782789651965596E-2</v>
      </c>
      <c r="E45" s="60" t="s">
        <v>194</v>
      </c>
      <c r="F45" s="60" t="s">
        <v>194</v>
      </c>
      <c r="G45" s="64"/>
      <c r="H45" s="60" t="s">
        <v>194</v>
      </c>
      <c r="I45" s="60" t="s">
        <v>194</v>
      </c>
      <c r="J45" s="64"/>
      <c r="K45" s="65" t="s">
        <v>194</v>
      </c>
      <c r="L45" s="19">
        <f t="shared" si="0"/>
        <v>17423</v>
      </c>
      <c r="M45" s="19">
        <f>2489/2</f>
        <v>1244.5</v>
      </c>
      <c r="N45" s="12">
        <f t="shared" si="3"/>
        <v>0.90443313953488369</v>
      </c>
      <c r="O45" s="12"/>
      <c r="P45" s="134">
        <f t="shared" si="9"/>
        <v>1132.1100000000001</v>
      </c>
      <c r="Q45" s="134">
        <f>2.1*CMF*40%*Q$8</f>
        <v>1132.1100000000001</v>
      </c>
      <c r="R45" s="138">
        <f t="shared" si="4"/>
        <v>0.94500000000000006</v>
      </c>
      <c r="S45" s="19"/>
      <c r="T45" s="134">
        <f t="shared" si="10"/>
        <v>75320.280000000013</v>
      </c>
      <c r="U45" s="134">
        <f>2.1*CMF*40%*U$8</f>
        <v>1046.1150000000002</v>
      </c>
      <c r="V45" s="138">
        <f t="shared" si="5"/>
        <v>0.94500000000000017</v>
      </c>
      <c r="W45" s="19"/>
      <c r="X45" s="134">
        <f t="shared" si="11"/>
        <v>74189.115000000005</v>
      </c>
      <c r="Y45" s="134">
        <f>2.1*CMF*40%*Y$8</f>
        <v>1216.2150000000001</v>
      </c>
      <c r="Z45" s="138">
        <f t="shared" si="6"/>
        <v>0.94500000000000006</v>
      </c>
      <c r="AA45" s="19"/>
      <c r="AB45" s="134">
        <f t="shared" si="8"/>
        <v>149509.39500000002</v>
      </c>
      <c r="AC45" s="133">
        <f>+AB45/AB$7</f>
        <v>1124.1307894736844</v>
      </c>
      <c r="AD45" s="138">
        <f>+AC45/AC$8</f>
        <v>0.93755695535753503</v>
      </c>
      <c r="AE45" s="19"/>
      <c r="AF45" s="62"/>
      <c r="AG45" s="63" t="s">
        <v>210</v>
      </c>
      <c r="AH45" s="8" t="s">
        <v>70</v>
      </c>
      <c r="AI45" s="9">
        <f t="shared" si="15"/>
        <v>1.3877822924187919E-2</v>
      </c>
      <c r="AJ45" s="17">
        <f>+AB87</f>
        <v>182671.875</v>
      </c>
      <c r="AK45" s="10">
        <f t="shared" si="2"/>
        <v>1373.4727443609022</v>
      </c>
      <c r="AL45" s="12">
        <f t="shared" si="7"/>
        <v>1.1455152163143472</v>
      </c>
    </row>
    <row r="46" spans="1:38">
      <c r="A46" s="17"/>
      <c r="B46" s="23" t="s">
        <v>31</v>
      </c>
      <c r="C46" s="59"/>
      <c r="D46" s="8"/>
      <c r="E46" s="60"/>
      <c r="F46" s="60"/>
      <c r="G46" s="60"/>
      <c r="H46" s="60"/>
      <c r="I46" s="60"/>
      <c r="J46" s="60"/>
      <c r="K46" s="60"/>
      <c r="L46" s="19"/>
      <c r="M46" s="8"/>
      <c r="N46" s="12"/>
      <c r="O46" s="12"/>
      <c r="P46" s="134"/>
      <c r="Q46" s="135"/>
      <c r="R46" s="139"/>
      <c r="S46" s="33"/>
      <c r="T46" s="137"/>
      <c r="U46" s="137"/>
      <c r="V46" s="139"/>
      <c r="W46" s="33"/>
      <c r="X46" s="137"/>
      <c r="Y46" s="137"/>
      <c r="Z46" s="139"/>
      <c r="AA46" s="33"/>
      <c r="AB46" s="134"/>
      <c r="AC46" s="136" t="s">
        <v>71</v>
      </c>
      <c r="AD46" s="139"/>
      <c r="AE46" s="33"/>
      <c r="AF46" s="69"/>
      <c r="AG46" s="70" t="s">
        <v>121</v>
      </c>
      <c r="AH46" s="35" t="s">
        <v>216</v>
      </c>
      <c r="AI46" s="71">
        <f t="shared" si="15"/>
        <v>3.092633315063564E-2</v>
      </c>
      <c r="AJ46" s="51">
        <f>(SUM(AJ$43:AJ45)+SUM(AJ$9:AJ$40))*0.1-500000</f>
        <v>407079.07100146625</v>
      </c>
      <c r="AK46" s="72">
        <f t="shared" si="2"/>
        <v>3060.7448947478665</v>
      </c>
      <c r="AL46" s="32">
        <f>+AJ46/AL$7</f>
        <v>2.5527480356529328</v>
      </c>
    </row>
    <row r="47" spans="1:38">
      <c r="A47" s="51" t="s">
        <v>158</v>
      </c>
      <c r="B47" s="35" t="s">
        <v>10</v>
      </c>
      <c r="C47" s="73">
        <v>0.75</v>
      </c>
      <c r="D47" s="71">
        <f t="shared" ref="D47:D52" si="19">L47/$L$88</f>
        <v>0</v>
      </c>
      <c r="E47" s="74" t="s">
        <v>194</v>
      </c>
      <c r="F47" s="74" t="s">
        <v>194</v>
      </c>
      <c r="G47" s="74" t="s">
        <v>194</v>
      </c>
      <c r="H47" s="74" t="s">
        <v>194</v>
      </c>
      <c r="I47" s="74" t="s">
        <v>194</v>
      </c>
      <c r="J47" s="74" t="s">
        <v>194</v>
      </c>
      <c r="K47" s="74" t="s">
        <v>194</v>
      </c>
      <c r="L47" s="33">
        <f t="shared" si="0"/>
        <v>0</v>
      </c>
      <c r="M47" s="33">
        <v>0</v>
      </c>
      <c r="N47" s="32">
        <f t="shared" si="3"/>
        <v>0</v>
      </c>
      <c r="O47" s="32"/>
      <c r="P47" s="137">
        <f t="shared" si="9"/>
        <v>0</v>
      </c>
      <c r="Q47" s="137">
        <f>0*CMF</f>
        <v>0</v>
      </c>
      <c r="R47" s="139">
        <f t="shared" si="4"/>
        <v>0</v>
      </c>
      <c r="S47" s="33"/>
      <c r="T47" s="137">
        <f t="shared" si="10"/>
        <v>0</v>
      </c>
      <c r="U47" s="137">
        <f>0*CMF</f>
        <v>0</v>
      </c>
      <c r="V47" s="139">
        <f t="shared" si="5"/>
        <v>0</v>
      </c>
      <c r="W47" s="33"/>
      <c r="X47" s="137">
        <f t="shared" si="11"/>
        <v>0</v>
      </c>
      <c r="Y47" s="137">
        <f>0*CMF</f>
        <v>0</v>
      </c>
      <c r="Z47" s="139">
        <f t="shared" si="6"/>
        <v>0</v>
      </c>
      <c r="AA47" s="33"/>
      <c r="AB47" s="134">
        <f t="shared" si="8"/>
        <v>0</v>
      </c>
      <c r="AC47" s="136">
        <f>+AB47/AB$7</f>
        <v>0</v>
      </c>
      <c r="AD47" s="139">
        <f>+AC47/AC$8</f>
        <v>0</v>
      </c>
      <c r="AE47" s="33"/>
      <c r="AF47" s="69"/>
      <c r="AG47" s="70" t="s">
        <v>122</v>
      </c>
      <c r="AH47" s="35" t="s">
        <v>215</v>
      </c>
      <c r="AI47" s="71">
        <f t="shared" si="15"/>
        <v>0.10800693745502987</v>
      </c>
      <c r="AJ47" s="51">
        <f>(SUM(AJ$43:AJ46)+SUM(AJ$9:AJ$40))*0.15</f>
        <v>1421680.4671524193</v>
      </c>
      <c r="AK47" s="72">
        <f t="shared" si="2"/>
        <v>10689.326820694881</v>
      </c>
      <c r="AL47" s="32">
        <f>+AJ47/AL$7</f>
        <v>8.9152016853168323</v>
      </c>
    </row>
    <row r="48" spans="1:38" s="8" customFormat="1" ht="12.75" thickBot="1">
      <c r="A48" s="51" t="s">
        <v>158</v>
      </c>
      <c r="B48" s="35" t="s">
        <v>30</v>
      </c>
      <c r="C48" s="73">
        <v>0.25</v>
      </c>
      <c r="D48" s="71">
        <f t="shared" si="19"/>
        <v>3.9827705346670303E-3</v>
      </c>
      <c r="E48" s="74" t="s">
        <v>194</v>
      </c>
      <c r="F48" s="74" t="s">
        <v>194</v>
      </c>
      <c r="G48" s="74" t="s">
        <v>194</v>
      </c>
      <c r="H48" s="74" t="s">
        <v>194</v>
      </c>
      <c r="I48" s="74" t="s">
        <v>194</v>
      </c>
      <c r="J48" s="74" t="s">
        <v>194</v>
      </c>
      <c r="K48" s="74" t="s">
        <v>194</v>
      </c>
      <c r="L48" s="33">
        <f t="shared" si="0"/>
        <v>2800</v>
      </c>
      <c r="M48" s="33">
        <f>400/2</f>
        <v>200</v>
      </c>
      <c r="N48" s="32">
        <f t="shared" si="3"/>
        <v>0.14534883720930233</v>
      </c>
      <c r="O48" s="32"/>
      <c r="P48" s="137">
        <f t="shared" si="9"/>
        <v>225</v>
      </c>
      <c r="Q48" s="137">
        <f>$M48*CMF</f>
        <v>225</v>
      </c>
      <c r="R48" s="139">
        <f t="shared" si="4"/>
        <v>0.18781302170283806</v>
      </c>
      <c r="S48" s="33"/>
      <c r="T48" s="137">
        <f t="shared" si="10"/>
        <v>16200</v>
      </c>
      <c r="U48" s="137">
        <f>$M48*CMF</f>
        <v>225</v>
      </c>
      <c r="V48" s="139">
        <f t="shared" si="5"/>
        <v>0.2032520325203252</v>
      </c>
      <c r="W48" s="33"/>
      <c r="X48" s="137">
        <f t="shared" si="11"/>
        <v>13725</v>
      </c>
      <c r="Y48" s="137">
        <f>$M48*CMF</f>
        <v>225</v>
      </c>
      <c r="Z48" s="139">
        <f t="shared" si="6"/>
        <v>0.17482517482517482</v>
      </c>
      <c r="AA48" s="33"/>
      <c r="AB48" s="134">
        <f t="shared" si="8"/>
        <v>29925</v>
      </c>
      <c r="AC48" s="136">
        <f>+AB48/AB$7</f>
        <v>225</v>
      </c>
      <c r="AD48" s="139">
        <f>+AC48/AC$8</f>
        <v>0.18765638031693077</v>
      </c>
      <c r="AE48" s="33"/>
      <c r="AF48" s="69"/>
      <c r="AG48" s="70"/>
      <c r="AH48" s="14" t="s">
        <v>74</v>
      </c>
      <c r="AI48" s="15">
        <f>SUM(AI9:AI47)</f>
        <v>1</v>
      </c>
      <c r="AJ48" s="3">
        <f>SUM(AJ9:AJ47)</f>
        <v>13162862.503571633</v>
      </c>
      <c r="AK48" s="3">
        <f t="shared" si="2"/>
        <v>98968.891004297999</v>
      </c>
      <c r="AL48" s="2">
        <f t="shared" si="7"/>
        <v>82.542861554877391</v>
      </c>
    </row>
    <row r="49" spans="1:40" s="8" customFormat="1" ht="12.75" thickTop="1">
      <c r="A49" s="17"/>
      <c r="B49" s="23" t="s">
        <v>32</v>
      </c>
      <c r="C49" s="59"/>
      <c r="D49" s="9"/>
      <c r="E49" s="60"/>
      <c r="F49" s="60"/>
      <c r="G49" s="60"/>
      <c r="H49" s="60"/>
      <c r="I49" s="60"/>
      <c r="J49" s="60"/>
      <c r="K49" s="60"/>
      <c r="L49" s="19">
        <f t="shared" si="0"/>
        <v>0</v>
      </c>
      <c r="M49" s="19"/>
      <c r="N49" s="12"/>
      <c r="O49" s="12"/>
      <c r="P49" s="134"/>
      <c r="Q49" s="134"/>
      <c r="R49" s="138"/>
      <c r="S49" s="19"/>
      <c r="T49" s="134"/>
      <c r="U49" s="134"/>
      <c r="V49" s="138"/>
      <c r="W49" s="19"/>
      <c r="X49" s="134"/>
      <c r="Y49" s="134"/>
      <c r="Z49" s="138"/>
      <c r="AA49" s="19"/>
      <c r="AB49" s="134"/>
      <c r="AC49" s="133" t="s">
        <v>71</v>
      </c>
      <c r="AD49" s="138"/>
      <c r="AE49" s="19"/>
      <c r="AF49" s="62"/>
      <c r="AG49" s="63"/>
      <c r="AH49" s="27" t="s">
        <v>207</v>
      </c>
    </row>
    <row r="50" spans="1:40" s="8" customFormat="1" ht="12.75" thickBot="1">
      <c r="A50" s="17" t="s">
        <v>169</v>
      </c>
      <c r="B50" s="8" t="s">
        <v>10</v>
      </c>
      <c r="C50" s="59">
        <v>0.6</v>
      </c>
      <c r="D50" s="9">
        <f t="shared" si="19"/>
        <v>2.389662320800218E-2</v>
      </c>
      <c r="E50" s="60" t="s">
        <v>194</v>
      </c>
      <c r="F50" s="60" t="s">
        <v>194</v>
      </c>
      <c r="G50" s="60" t="s">
        <v>194</v>
      </c>
      <c r="H50" s="60" t="s">
        <v>194</v>
      </c>
      <c r="I50" s="60" t="s">
        <v>194</v>
      </c>
      <c r="J50" s="60" t="s">
        <v>194</v>
      </c>
      <c r="K50" s="60" t="s">
        <v>194</v>
      </c>
      <c r="L50" s="19">
        <f t="shared" si="0"/>
        <v>16800</v>
      </c>
      <c r="M50" s="19">
        <f>2400/2</f>
        <v>1200</v>
      </c>
      <c r="N50" s="12">
        <f t="shared" si="3"/>
        <v>0.87209302325581395</v>
      </c>
      <c r="O50" s="12"/>
      <c r="P50" s="134">
        <f t="shared" si="9"/>
        <v>1347.75</v>
      </c>
      <c r="Q50" s="134">
        <f>1*Q$8*CMF</f>
        <v>1347.75</v>
      </c>
      <c r="R50" s="138">
        <f t="shared" si="4"/>
        <v>1.125</v>
      </c>
      <c r="S50" s="19"/>
      <c r="T50" s="134">
        <f t="shared" si="10"/>
        <v>89667</v>
      </c>
      <c r="U50" s="134">
        <f>1*U$8*CMF</f>
        <v>1245.375</v>
      </c>
      <c r="V50" s="138">
        <f t="shared" si="5"/>
        <v>1.125</v>
      </c>
      <c r="W50" s="19"/>
      <c r="X50" s="134">
        <f t="shared" si="11"/>
        <v>88320.375</v>
      </c>
      <c r="Y50" s="134">
        <f>1*Y$8*CMF</f>
        <v>1447.875</v>
      </c>
      <c r="Z50" s="138">
        <f t="shared" si="6"/>
        <v>1.125</v>
      </c>
      <c r="AA50" s="19"/>
      <c r="AB50" s="134">
        <f t="shared" si="8"/>
        <v>177987.375</v>
      </c>
      <c r="AC50" s="133">
        <f>+AB50/AB$7</f>
        <v>1338.250939849624</v>
      </c>
      <c r="AD50" s="138">
        <f>+AC50/AC$8</f>
        <v>1.1161392325684938</v>
      </c>
      <c r="AE50" s="19"/>
      <c r="AF50" s="62"/>
      <c r="AG50" s="63"/>
      <c r="AH50" s="8" t="s">
        <v>208</v>
      </c>
      <c r="AI50" s="9">
        <f>AJ50/$AJ$48</f>
        <v>-0.14390258953825832</v>
      </c>
      <c r="AJ50" s="8">
        <f>-AJ42</f>
        <v>-1894170.0000000002</v>
      </c>
      <c r="AK50" s="19">
        <f t="shared" ref="AK50:AL53" si="20">AJ50/AK$7</f>
        <v>-14241.879699248122</v>
      </c>
      <c r="AL50" s="18">
        <f t="shared" si="20"/>
        <v>-8.9309259591314333E-2</v>
      </c>
    </row>
    <row r="51" spans="1:40" s="8" customFormat="1" ht="12.75" thickBot="1">
      <c r="A51" s="17" t="s">
        <v>170</v>
      </c>
      <c r="B51" s="8" t="s">
        <v>33</v>
      </c>
      <c r="C51" s="59">
        <v>0.4</v>
      </c>
      <c r="D51" s="9">
        <f t="shared" si="19"/>
        <v>1.5931082138668121E-2</v>
      </c>
      <c r="E51" s="60" t="s">
        <v>194</v>
      </c>
      <c r="F51" s="60" t="s">
        <v>194</v>
      </c>
      <c r="G51" s="64"/>
      <c r="H51" s="60" t="s">
        <v>194</v>
      </c>
      <c r="I51" s="60" t="s">
        <v>194</v>
      </c>
      <c r="J51" s="65" t="s">
        <v>194</v>
      </c>
      <c r="K51" s="60" t="s">
        <v>194</v>
      </c>
      <c r="L51" s="19">
        <f t="shared" si="0"/>
        <v>11200</v>
      </c>
      <c r="M51" s="19">
        <f>1600/2</f>
        <v>800</v>
      </c>
      <c r="N51" s="12">
        <f t="shared" si="3"/>
        <v>0.58139534883720934</v>
      </c>
      <c r="O51" s="12"/>
      <c r="P51" s="134">
        <f t="shared" si="9"/>
        <v>1347.75</v>
      </c>
      <c r="Q51" s="134">
        <f>1*Q$8*CMF</f>
        <v>1347.75</v>
      </c>
      <c r="R51" s="138">
        <f t="shared" si="4"/>
        <v>1.125</v>
      </c>
      <c r="S51" s="19"/>
      <c r="T51" s="134">
        <f t="shared" si="10"/>
        <v>89667</v>
      </c>
      <c r="U51" s="134">
        <f>1*U$8*CMF</f>
        <v>1245.375</v>
      </c>
      <c r="V51" s="138">
        <f t="shared" si="5"/>
        <v>1.125</v>
      </c>
      <c r="W51" s="19"/>
      <c r="X51" s="134">
        <f t="shared" si="11"/>
        <v>88320.375</v>
      </c>
      <c r="Y51" s="134">
        <f>1*Y$8*CMF</f>
        <v>1447.875</v>
      </c>
      <c r="Z51" s="138">
        <f t="shared" si="6"/>
        <v>1.125</v>
      </c>
      <c r="AA51" s="19"/>
      <c r="AB51" s="134">
        <f t="shared" si="8"/>
        <v>177987.375</v>
      </c>
      <c r="AC51" s="133">
        <f>+AB51/AB$7</f>
        <v>1338.250939849624</v>
      </c>
      <c r="AD51" s="138">
        <f>+AC51/AC$8</f>
        <v>1.1161392325684938</v>
      </c>
      <c r="AE51" s="19"/>
      <c r="AF51" s="62"/>
      <c r="AG51" s="63"/>
      <c r="AH51" s="8" t="s">
        <v>209</v>
      </c>
      <c r="AI51" s="9">
        <f>AJ51/$AJ$48</f>
        <v>-2.8044223306512815E-2</v>
      </c>
      <c r="AJ51" s="8">
        <f>-AJ41</f>
        <v>-369142.25540308724</v>
      </c>
      <c r="AK51" s="19">
        <f t="shared" si="20"/>
        <v>-2775.5056797224606</v>
      </c>
      <c r="AL51" s="18">
        <f t="shared" si="20"/>
        <v>-1.7404890539876341E-2</v>
      </c>
    </row>
    <row r="52" spans="1:40" s="8" customFormat="1">
      <c r="A52" s="17" t="s">
        <v>171</v>
      </c>
      <c r="B52" s="23" t="s">
        <v>34</v>
      </c>
      <c r="C52" s="59"/>
      <c r="D52" s="9">
        <f t="shared" si="19"/>
        <v>9.5905114474782085E-3</v>
      </c>
      <c r="E52" s="60" t="s">
        <v>194</v>
      </c>
      <c r="F52" s="60" t="s">
        <v>194</v>
      </c>
      <c r="G52" s="60" t="s">
        <v>194</v>
      </c>
      <c r="H52" s="60" t="s">
        <v>194</v>
      </c>
      <c r="I52" s="60" t="s">
        <v>194</v>
      </c>
      <c r="J52" s="60" t="s">
        <v>194</v>
      </c>
      <c r="K52" s="60" t="s">
        <v>194</v>
      </c>
      <c r="L52" s="19">
        <f>M52*TRUnits</f>
        <v>6742.4</v>
      </c>
      <c r="M52" s="19">
        <f>(1376*0.7)/2</f>
        <v>481.59999999999997</v>
      </c>
      <c r="N52" s="12">
        <f t="shared" si="3"/>
        <v>0.35</v>
      </c>
      <c r="O52" s="12"/>
      <c r="P52" s="134">
        <f t="shared" si="9"/>
        <v>1145.5874999999999</v>
      </c>
      <c r="Q52" s="134">
        <f>Q$8*0.85*CMF</f>
        <v>1145.5874999999999</v>
      </c>
      <c r="R52" s="138">
        <f t="shared" si="4"/>
        <v>0.95624999999999993</v>
      </c>
      <c r="S52" s="19"/>
      <c r="T52" s="134">
        <f t="shared" si="10"/>
        <v>76216.95</v>
      </c>
      <c r="U52" s="134">
        <f>U$8*0.85*CMF</f>
        <v>1058.5687499999999</v>
      </c>
      <c r="V52" s="138">
        <f t="shared" si="5"/>
        <v>0.95624999999999993</v>
      </c>
      <c r="W52" s="19"/>
      <c r="X52" s="134">
        <f t="shared" si="11"/>
        <v>75072.318750000006</v>
      </c>
      <c r="Y52" s="134">
        <f>Y$8*0.85*CMF</f>
        <v>1230.6937500000001</v>
      </c>
      <c r="Z52" s="138">
        <f t="shared" si="6"/>
        <v>0.95625000000000016</v>
      </c>
      <c r="AA52" s="19"/>
      <c r="AB52" s="134">
        <f t="shared" si="8"/>
        <v>151289.26874999999</v>
      </c>
      <c r="AC52" s="133">
        <f>+AB52/AB$7</f>
        <v>1137.5132988721803</v>
      </c>
      <c r="AD52" s="138">
        <f>+AC52/AC$8</f>
        <v>0.94871834768321961</v>
      </c>
      <c r="AE52" s="19"/>
      <c r="AF52" s="62"/>
      <c r="AG52" s="63"/>
      <c r="AH52" s="8" t="s">
        <v>216</v>
      </c>
      <c r="AI52" s="9">
        <f>AJ52/$AJ$48</f>
        <v>-3.092633315063564E-2</v>
      </c>
      <c r="AJ52" s="8">
        <f>-AJ46</f>
        <v>-407079.07100146625</v>
      </c>
      <c r="AK52" s="19">
        <f t="shared" si="20"/>
        <v>-3060.7448947478665</v>
      </c>
      <c r="AL52" s="18">
        <f t="shared" si="20"/>
        <v>-1.9193594253029571E-2</v>
      </c>
    </row>
    <row r="53" spans="1:40" s="8" customFormat="1">
      <c r="A53" s="17" t="s">
        <v>172</v>
      </c>
      <c r="B53" s="23" t="s">
        <v>35</v>
      </c>
      <c r="C53" s="59"/>
      <c r="E53" s="60"/>
      <c r="F53" s="60"/>
      <c r="G53" s="60"/>
      <c r="H53" s="60"/>
      <c r="I53" s="60"/>
      <c r="K53" s="60"/>
      <c r="L53" s="19"/>
      <c r="M53" s="19"/>
      <c r="N53" s="12"/>
      <c r="O53" s="12"/>
      <c r="P53" s="134"/>
      <c r="Q53" s="134"/>
      <c r="R53" s="138"/>
      <c r="S53" s="19"/>
      <c r="T53" s="134"/>
      <c r="U53" s="134"/>
      <c r="V53" s="138"/>
      <c r="W53" s="19"/>
      <c r="X53" s="134"/>
      <c r="Y53" s="134"/>
      <c r="Z53" s="138"/>
      <c r="AA53" s="19"/>
      <c r="AB53" s="134"/>
      <c r="AC53" s="133" t="s">
        <v>71</v>
      </c>
      <c r="AD53" s="138"/>
      <c r="AE53" s="19"/>
      <c r="AF53" s="62"/>
      <c r="AG53" s="63"/>
      <c r="AH53" s="8" t="s">
        <v>217</v>
      </c>
      <c r="AI53" s="9">
        <f>AJ53/$AJ$48</f>
        <v>-0.10800693745502987</v>
      </c>
      <c r="AJ53" s="8">
        <f>-AJ47</f>
        <v>-1421680.4671524193</v>
      </c>
      <c r="AK53" s="19">
        <f t="shared" si="20"/>
        <v>-10689.326820694881</v>
      </c>
      <c r="AL53" s="18">
        <f t="shared" si="20"/>
        <v>-6.7031591618923553E-2</v>
      </c>
    </row>
    <row r="54" spans="1:40" s="8" customFormat="1" ht="12.75" thickBot="1">
      <c r="A54" s="17" t="s">
        <v>172</v>
      </c>
      <c r="B54" s="8" t="s">
        <v>36</v>
      </c>
      <c r="C54" s="59"/>
      <c r="D54" s="9">
        <f>L54/$L$88</f>
        <v>2.9069246439900987E-2</v>
      </c>
      <c r="E54" s="60" t="s">
        <v>194</v>
      </c>
      <c r="F54" s="60" t="s">
        <v>194</v>
      </c>
      <c r="G54" s="60" t="s">
        <v>194</v>
      </c>
      <c r="H54" s="60" t="s">
        <v>194</v>
      </c>
      <c r="I54" s="60" t="s">
        <v>194</v>
      </c>
      <c r="J54" s="60" t="s">
        <v>194</v>
      </c>
      <c r="K54" s="60" t="s">
        <v>194</v>
      </c>
      <c r="L54" s="19">
        <f t="shared" ref="L54:L76" si="21">7*M54</f>
        <v>20436.5</v>
      </c>
      <c r="M54" s="19">
        <f>(2739+(21700/7))/2</f>
        <v>2919.5</v>
      </c>
      <c r="N54" s="12">
        <f t="shared" si="3"/>
        <v>2.1217296511627906</v>
      </c>
      <c r="O54" s="12"/>
      <c r="P54" s="134">
        <f t="shared" si="9"/>
        <v>2859.5611373546508</v>
      </c>
      <c r="Q54" s="134">
        <f>Q$8*$N54*CMF</f>
        <v>2859.5611373546508</v>
      </c>
      <c r="R54" s="138">
        <f t="shared" si="4"/>
        <v>2.386945857558139</v>
      </c>
      <c r="S54" s="19"/>
      <c r="T54" s="134">
        <f t="shared" si="10"/>
        <v>190249.13263081393</v>
      </c>
      <c r="U54" s="134">
        <f>U$8*$N54*CMF</f>
        <v>2642.3490643168602</v>
      </c>
      <c r="V54" s="138">
        <f t="shared" si="5"/>
        <v>2.3869458575581395</v>
      </c>
      <c r="W54" s="19"/>
      <c r="X54" s="134">
        <f t="shared" si="11"/>
        <v>187391.95843931686</v>
      </c>
      <c r="Y54" s="134">
        <f>Y$8*$N54*CMF</f>
        <v>3071.9993186773254</v>
      </c>
      <c r="Z54" s="138">
        <f t="shared" si="6"/>
        <v>2.3869458575581395</v>
      </c>
      <c r="AA54" s="19"/>
      <c r="AB54" s="134">
        <f t="shared" si="8"/>
        <v>377641.09107013082</v>
      </c>
      <c r="AC54" s="133">
        <f>+AB54/AB$7</f>
        <v>2839.4066997754198</v>
      </c>
      <c r="AD54" s="138">
        <f>+AC54/AC$8</f>
        <v>2.3681457045666554</v>
      </c>
      <c r="AE54" s="19"/>
      <c r="AF54" s="62"/>
      <c r="AG54" s="63"/>
      <c r="AH54" s="14" t="s">
        <v>214</v>
      </c>
      <c r="AI54" s="15">
        <f>AJ54/$AJ$48</f>
        <v>0.6891199165495635</v>
      </c>
      <c r="AJ54" s="3">
        <f>SUM(AJ48:AJ53)</f>
        <v>9070790.7100146618</v>
      </c>
      <c r="AK54" s="3">
        <f>+AJ54/AK$7</f>
        <v>68201.433909884669</v>
      </c>
      <c r="AL54" s="2">
        <f>+AJ54/AL$7</f>
        <v>56.881929866459281</v>
      </c>
    </row>
    <row r="55" spans="1:40" s="8" customFormat="1" ht="13.5" thickTop="1" thickBot="1">
      <c r="A55" s="17" t="s">
        <v>172</v>
      </c>
      <c r="B55" s="8" t="s">
        <v>72</v>
      </c>
      <c r="C55" s="59"/>
      <c r="D55" s="9">
        <f>L55/$L$88</f>
        <v>2.0162775831751838E-2</v>
      </c>
      <c r="E55" s="60" t="s">
        <v>194</v>
      </c>
      <c r="F55" s="60" t="s">
        <v>194</v>
      </c>
      <c r="G55" s="65" t="s">
        <v>194</v>
      </c>
      <c r="H55" s="60" t="s">
        <v>194</v>
      </c>
      <c r="I55" s="60" t="s">
        <v>194</v>
      </c>
      <c r="J55" s="65" t="s">
        <v>194</v>
      </c>
      <c r="K55" s="65" t="s">
        <v>194</v>
      </c>
      <c r="L55" s="19">
        <f t="shared" si="21"/>
        <v>14175</v>
      </c>
      <c r="M55" s="19">
        <f>4050/2</f>
        <v>2025</v>
      </c>
      <c r="N55" s="12">
        <f t="shared" si="3"/>
        <v>1.4716569767441861</v>
      </c>
      <c r="O55" s="12"/>
      <c r="P55" s="134">
        <f t="shared" si="9"/>
        <v>1983.4256904069766</v>
      </c>
      <c r="Q55" s="134">
        <f>Q$8*$N55*CMF</f>
        <v>1983.4256904069766</v>
      </c>
      <c r="R55" s="138">
        <f t="shared" si="4"/>
        <v>1.6556140988372092</v>
      </c>
      <c r="S55" s="19"/>
      <c r="T55" s="134">
        <f t="shared" si="10"/>
        <v>131959.06613372092</v>
      </c>
      <c r="U55" s="134">
        <f>U$8*$N55*CMF</f>
        <v>1832.7648074127906</v>
      </c>
      <c r="V55" s="138">
        <f t="shared" si="5"/>
        <v>1.6556140988372092</v>
      </c>
      <c r="W55" s="19"/>
      <c r="X55" s="134">
        <f t="shared" si="11"/>
        <v>129977.29605741281</v>
      </c>
      <c r="Y55" s="134">
        <f>Y$8*$N55*CMF</f>
        <v>2130.7753452034885</v>
      </c>
      <c r="Z55" s="138">
        <f t="shared" si="6"/>
        <v>1.6556140988372094</v>
      </c>
      <c r="AA55" s="19"/>
      <c r="AB55" s="134">
        <f t="shared" si="8"/>
        <v>261936.36219113372</v>
      </c>
      <c r="AC55" s="133">
        <f>+AB55/AB$7</f>
        <v>1969.4463322641634</v>
      </c>
      <c r="AD55" s="138">
        <f>+AC55/AC$8</f>
        <v>1.6425740886273257</v>
      </c>
      <c r="AE55" s="19"/>
      <c r="AF55" s="62"/>
      <c r="AG55" s="63"/>
    </row>
    <row r="56" spans="1:40" s="8" customFormat="1" ht="12.75" thickBot="1">
      <c r="A56" s="17" t="s">
        <v>159</v>
      </c>
      <c r="B56" s="25" t="s">
        <v>37</v>
      </c>
      <c r="C56" s="59"/>
      <c r="D56" s="9">
        <f>L56/$L$88</f>
        <v>3.634278112883665E-3</v>
      </c>
      <c r="E56" s="60" t="s">
        <v>194</v>
      </c>
      <c r="F56" s="60" t="s">
        <v>194</v>
      </c>
      <c r="G56" s="64"/>
      <c r="H56" s="60" t="s">
        <v>194</v>
      </c>
      <c r="I56" s="60" t="s">
        <v>194</v>
      </c>
      <c r="J56" s="65" t="s">
        <v>194</v>
      </c>
      <c r="K56" s="65" t="s">
        <v>194</v>
      </c>
      <c r="L56" s="19">
        <f t="shared" si="21"/>
        <v>2555</v>
      </c>
      <c r="M56" s="19">
        <f>730/2</f>
        <v>365</v>
      </c>
      <c r="N56" s="12">
        <f t="shared" si="3"/>
        <v>0.26526162790697677</v>
      </c>
      <c r="O56" s="12"/>
      <c r="P56" s="134">
        <f t="shared" si="9"/>
        <v>225</v>
      </c>
      <c r="Q56" s="134">
        <f>200*CMF</f>
        <v>225</v>
      </c>
      <c r="R56" s="138">
        <f t="shared" si="4"/>
        <v>0.18781302170283806</v>
      </c>
      <c r="S56" s="19"/>
      <c r="T56" s="134">
        <f t="shared" si="10"/>
        <v>0</v>
      </c>
      <c r="U56" s="134">
        <v>0</v>
      </c>
      <c r="V56" s="138">
        <f t="shared" si="5"/>
        <v>0</v>
      </c>
      <c r="W56" s="19"/>
      <c r="X56" s="134">
        <f t="shared" si="11"/>
        <v>13725</v>
      </c>
      <c r="Y56" s="134">
        <f>200*CMF</f>
        <v>225</v>
      </c>
      <c r="Z56" s="138">
        <f t="shared" si="6"/>
        <v>0.17482517482517482</v>
      </c>
      <c r="AA56" s="19"/>
      <c r="AB56" s="134">
        <f t="shared" si="8"/>
        <v>13725</v>
      </c>
      <c r="AC56" s="133">
        <f>+AB56/AB$7</f>
        <v>103.19548872180451</v>
      </c>
      <c r="AD56" s="138">
        <f>+AC56/AC$8</f>
        <v>8.6067963904757724E-2</v>
      </c>
      <c r="AE56" s="19"/>
      <c r="AF56" s="62"/>
      <c r="AG56" s="63"/>
      <c r="AJ56" s="8">
        <f>0.75*AJ48</f>
        <v>9872146.8776787259</v>
      </c>
    </row>
    <row r="57" spans="1:40" s="8" customFormat="1" ht="12.75" thickBot="1">
      <c r="A57" s="17" t="s">
        <v>159</v>
      </c>
      <c r="B57" s="23" t="s">
        <v>38</v>
      </c>
      <c r="C57" s="59"/>
      <c r="D57" s="9"/>
      <c r="E57" s="60"/>
      <c r="F57" s="60"/>
      <c r="G57" s="60"/>
      <c r="H57" s="60"/>
      <c r="I57" s="60"/>
      <c r="J57" s="60"/>
      <c r="K57" s="60"/>
      <c r="L57" s="19"/>
      <c r="M57" s="75"/>
      <c r="N57" s="12"/>
      <c r="O57" s="12"/>
      <c r="P57" s="134"/>
      <c r="Q57" s="134"/>
      <c r="R57" s="138"/>
      <c r="S57" s="19"/>
      <c r="T57" s="134"/>
      <c r="U57" s="134"/>
      <c r="V57" s="138"/>
      <c r="W57" s="19"/>
      <c r="X57" s="134"/>
      <c r="Y57" s="134"/>
      <c r="Z57" s="138"/>
      <c r="AA57" s="19"/>
      <c r="AB57" s="134"/>
      <c r="AC57" s="133" t="s">
        <v>71</v>
      </c>
      <c r="AD57" s="138"/>
      <c r="AE57" s="19"/>
      <c r="AF57" s="62"/>
      <c r="AG57" s="63"/>
      <c r="AJ57" s="8">
        <f>+AJ48-AJ56</f>
        <v>3290715.6258929074</v>
      </c>
    </row>
    <row r="58" spans="1:40" s="8" customFormat="1" ht="12.75" thickBot="1">
      <c r="A58" s="17" t="s">
        <v>159</v>
      </c>
      <c r="B58" s="8" t="s">
        <v>39</v>
      </c>
      <c r="C58" s="59"/>
      <c r="D58" s="9">
        <f t="shared" ref="D58:D64" si="22">L58/$L$88</f>
        <v>7.3432331732923364E-3</v>
      </c>
      <c r="E58" s="60" t="s">
        <v>194</v>
      </c>
      <c r="F58" s="60" t="s">
        <v>194</v>
      </c>
      <c r="G58" s="64"/>
      <c r="H58" s="60" t="s">
        <v>194</v>
      </c>
      <c r="I58" s="60" t="s">
        <v>194</v>
      </c>
      <c r="J58" s="65" t="s">
        <v>194</v>
      </c>
      <c r="K58" s="65" t="s">
        <v>194</v>
      </c>
      <c r="L58" s="19">
        <f t="shared" si="21"/>
        <v>5162.5</v>
      </c>
      <c r="M58" s="19">
        <f>1475/2</f>
        <v>737.5</v>
      </c>
      <c r="N58" s="12">
        <f t="shared" si="3"/>
        <v>0.53597383720930236</v>
      </c>
      <c r="O58" s="12"/>
      <c r="P58" s="134">
        <f t="shared" si="9"/>
        <v>1012.5</v>
      </c>
      <c r="Q58" s="134">
        <f>12*75*CMF</f>
        <v>1012.5</v>
      </c>
      <c r="R58" s="138">
        <f t="shared" si="4"/>
        <v>0.84515859766277124</v>
      </c>
      <c r="S58" s="19"/>
      <c r="T58" s="134">
        <f t="shared" si="10"/>
        <v>72900</v>
      </c>
      <c r="U58" s="134">
        <f>12*75*CMF</f>
        <v>1012.5</v>
      </c>
      <c r="V58" s="138">
        <f t="shared" si="5"/>
        <v>0.91463414634146345</v>
      </c>
      <c r="W58" s="19"/>
      <c r="X58" s="134">
        <f t="shared" si="11"/>
        <v>61762.5</v>
      </c>
      <c r="Y58" s="134">
        <f>12*75*CMF</f>
        <v>1012.5</v>
      </c>
      <c r="Z58" s="138">
        <f t="shared" si="6"/>
        <v>0.78671328671328666</v>
      </c>
      <c r="AA58" s="19"/>
      <c r="AB58" s="134">
        <f t="shared" si="8"/>
        <v>134662.5</v>
      </c>
      <c r="AC58" s="133">
        <f>+AB58/AB$7</f>
        <v>1012.5</v>
      </c>
      <c r="AD58" s="138">
        <f>+AC58/AC$8</f>
        <v>0.84445371142618852</v>
      </c>
      <c r="AE58" s="19"/>
      <c r="AF58" s="62"/>
      <c r="AG58" s="63"/>
      <c r="AI58" s="9"/>
      <c r="AJ58" s="10">
        <f>AJ57-AJ47-AJ46</f>
        <v>1461956.087739022</v>
      </c>
    </row>
    <row r="59" spans="1:40" s="8" customFormat="1" ht="12.75" thickBot="1">
      <c r="A59" s="17" t="s">
        <v>159</v>
      </c>
      <c r="B59" s="8" t="s">
        <v>40</v>
      </c>
      <c r="C59" s="59"/>
      <c r="D59" s="9">
        <f t="shared" si="22"/>
        <v>6.2977559079422409E-3</v>
      </c>
      <c r="E59" s="60" t="s">
        <v>194</v>
      </c>
      <c r="F59" s="60" t="s">
        <v>194</v>
      </c>
      <c r="G59" s="64"/>
      <c r="H59" s="60" t="s">
        <v>194</v>
      </c>
      <c r="I59" s="60" t="s">
        <v>194</v>
      </c>
      <c r="J59" s="65" t="s">
        <v>194</v>
      </c>
      <c r="K59" s="65" t="s">
        <v>194</v>
      </c>
      <c r="L59" s="19">
        <f t="shared" si="21"/>
        <v>4427.5</v>
      </c>
      <c r="M59" s="19">
        <f>1265/2</f>
        <v>632.5</v>
      </c>
      <c r="N59" s="12">
        <f t="shared" si="3"/>
        <v>0.45966569767441862</v>
      </c>
      <c r="O59" s="12"/>
      <c r="P59" s="134">
        <f t="shared" si="9"/>
        <v>619.51444404069764</v>
      </c>
      <c r="Q59" s="134">
        <f>Q$8*$N59*CMF</f>
        <v>619.51444404069764</v>
      </c>
      <c r="R59" s="138">
        <f t="shared" si="4"/>
        <v>0.51712390988372092</v>
      </c>
      <c r="S59" s="19"/>
      <c r="T59" s="134">
        <f t="shared" si="10"/>
        <v>41216.844113372092</v>
      </c>
      <c r="U59" s="134">
        <f t="shared" ref="U59:U72" si="23">U$8*$N59*CMF</f>
        <v>572.4561682412791</v>
      </c>
      <c r="V59" s="138">
        <f t="shared" si="5"/>
        <v>0.51712390988372092</v>
      </c>
      <c r="W59" s="19"/>
      <c r="X59" s="134">
        <f t="shared" si="11"/>
        <v>40597.846793241282</v>
      </c>
      <c r="Y59" s="134">
        <f t="shared" ref="Y59:Y72" si="24">Y$8*$N59*CMF</f>
        <v>665.53847202034888</v>
      </c>
      <c r="Z59" s="138">
        <f t="shared" si="6"/>
        <v>0.51712390988372092</v>
      </c>
      <c r="AA59" s="19"/>
      <c r="AB59" s="134">
        <f t="shared" si="8"/>
        <v>81814.690906613367</v>
      </c>
      <c r="AC59" s="133">
        <f>+AB59/AB$7</f>
        <v>615.14805192942379</v>
      </c>
      <c r="AD59" s="138">
        <f>+AC59/AC$8</f>
        <v>0.5130509190403868</v>
      </c>
      <c r="AE59" s="19"/>
      <c r="AF59" s="62"/>
      <c r="AG59" s="63"/>
      <c r="AI59" s="9"/>
      <c r="AJ59" s="10"/>
    </row>
    <row r="60" spans="1:40" s="8" customFormat="1" ht="12.75" thickBot="1">
      <c r="A60" s="17" t="s">
        <v>159</v>
      </c>
      <c r="B60" s="8" t="s">
        <v>27</v>
      </c>
      <c r="C60" s="59"/>
      <c r="D60" s="9">
        <f t="shared" si="22"/>
        <v>6.2081435709122335E-3</v>
      </c>
      <c r="E60" s="60" t="s">
        <v>194</v>
      </c>
      <c r="F60" s="60" t="s">
        <v>194</v>
      </c>
      <c r="G60" s="64"/>
      <c r="H60" s="60" t="s">
        <v>194</v>
      </c>
      <c r="I60" s="60" t="s">
        <v>194</v>
      </c>
      <c r="J60" s="65" t="s">
        <v>194</v>
      </c>
      <c r="K60" s="65" t="s">
        <v>194</v>
      </c>
      <c r="L60" s="19">
        <f t="shared" si="21"/>
        <v>4364.5</v>
      </c>
      <c r="M60" s="19">
        <f>1247/2</f>
        <v>623.5</v>
      </c>
      <c r="N60" s="12">
        <f t="shared" si="3"/>
        <v>0.453125</v>
      </c>
      <c r="O60" s="12"/>
      <c r="P60" s="134">
        <f t="shared" si="9"/>
        <v>610.69921875</v>
      </c>
      <c r="Q60" s="134">
        <f>Q$8*$N60*CMF</f>
        <v>610.69921875</v>
      </c>
      <c r="R60" s="138">
        <f t="shared" si="4"/>
        <v>0.509765625</v>
      </c>
      <c r="S60" s="19"/>
      <c r="T60" s="134">
        <f t="shared" si="10"/>
        <v>40630.359375</v>
      </c>
      <c r="U60" s="134">
        <f t="shared" si="23"/>
        <v>564.310546875</v>
      </c>
      <c r="V60" s="138">
        <f t="shared" si="5"/>
        <v>0.509765625</v>
      </c>
      <c r="W60" s="19"/>
      <c r="X60" s="134">
        <f t="shared" si="11"/>
        <v>40020.169921875</v>
      </c>
      <c r="Y60" s="134">
        <f t="shared" si="24"/>
        <v>656.068359375</v>
      </c>
      <c r="Z60" s="138">
        <f t="shared" si="6"/>
        <v>0.509765625</v>
      </c>
      <c r="AA60" s="19"/>
      <c r="AB60" s="134">
        <f t="shared" si="8"/>
        <v>80650.529296875</v>
      </c>
      <c r="AC60" s="133">
        <f>+AB60/AB$7</f>
        <v>606.39495711936092</v>
      </c>
      <c r="AD60" s="138">
        <f>+AC60/AC$8</f>
        <v>0.50575058975759879</v>
      </c>
      <c r="AE60" s="19"/>
      <c r="AF60" s="62"/>
      <c r="AG60" s="63"/>
      <c r="AI60" s="9"/>
      <c r="AJ60" s="19">
        <f>X7</f>
        <v>61</v>
      </c>
      <c r="AK60" s="8">
        <f>475*3</f>
        <v>1425</v>
      </c>
      <c r="AL60" s="8">
        <f>AK60*AJ60</f>
        <v>86925</v>
      </c>
      <c r="AN60" s="11">
        <f>AK60/AC$8</f>
        <v>1.188490408673895</v>
      </c>
    </row>
    <row r="61" spans="1:40" s="8" customFormat="1">
      <c r="A61" s="17"/>
      <c r="B61" s="23" t="s">
        <v>41</v>
      </c>
      <c r="C61" s="59"/>
      <c r="D61" s="9">
        <f t="shared" si="22"/>
        <v>0</v>
      </c>
      <c r="E61" s="60"/>
      <c r="F61" s="60"/>
      <c r="G61" s="60"/>
      <c r="H61" s="60"/>
      <c r="I61" s="60"/>
      <c r="J61" s="60"/>
      <c r="K61" s="60"/>
      <c r="L61" s="19"/>
      <c r="M61" s="19"/>
      <c r="N61" s="12"/>
      <c r="O61" s="12"/>
      <c r="P61" s="134"/>
      <c r="Q61" s="134"/>
      <c r="R61" s="138"/>
      <c r="S61" s="19"/>
      <c r="T61" s="134"/>
      <c r="U61" s="134"/>
      <c r="V61" s="138"/>
      <c r="W61" s="19"/>
      <c r="X61" s="134"/>
      <c r="Y61" s="134"/>
      <c r="Z61" s="138"/>
      <c r="AA61" s="19"/>
      <c r="AB61" s="134"/>
      <c r="AC61" s="133" t="s">
        <v>71</v>
      </c>
      <c r="AD61" s="138"/>
      <c r="AE61" s="19"/>
      <c r="AF61" s="62"/>
      <c r="AG61" s="63"/>
      <c r="AI61" s="9"/>
      <c r="AJ61" s="19">
        <f>T7</f>
        <v>72</v>
      </c>
      <c r="AK61" s="8">
        <v>1200</v>
      </c>
      <c r="AL61" s="8">
        <f>AK61*AJ61</f>
        <v>86400</v>
      </c>
      <c r="AN61" s="11">
        <f>AK61/U$8</f>
        <v>1.084010840108401</v>
      </c>
    </row>
    <row r="62" spans="1:40" s="8" customFormat="1" ht="12.75" thickBot="1">
      <c r="A62" s="17" t="s">
        <v>173</v>
      </c>
      <c r="B62" s="8" t="s">
        <v>42</v>
      </c>
      <c r="C62" s="59"/>
      <c r="D62" s="9">
        <f t="shared" si="22"/>
        <v>1.1326003707959366E-2</v>
      </c>
      <c r="E62" s="60" t="s">
        <v>194</v>
      </c>
      <c r="F62" s="60" t="s">
        <v>194</v>
      </c>
      <c r="G62" s="60" t="s">
        <v>194</v>
      </c>
      <c r="H62" s="60" t="s">
        <v>194</v>
      </c>
      <c r="I62" s="60" t="s">
        <v>194</v>
      </c>
      <c r="J62" s="60" t="s">
        <v>194</v>
      </c>
      <c r="K62" s="60" t="s">
        <v>194</v>
      </c>
      <c r="L62" s="19">
        <f t="shared" si="21"/>
        <v>7962.5</v>
      </c>
      <c r="M62" s="19">
        <f>2275/2</f>
        <v>1137.5</v>
      </c>
      <c r="N62" s="12">
        <f t="shared" si="3"/>
        <v>0.82667151162790697</v>
      </c>
      <c r="O62" s="12"/>
      <c r="P62" s="134">
        <f t="shared" si="9"/>
        <v>1003.7671875000001</v>
      </c>
      <c r="Q62" s="134">
        <f>1.75*R$8*0.33*CMF</f>
        <v>1003.7671875000001</v>
      </c>
      <c r="R62" s="138">
        <f t="shared" si="4"/>
        <v>0.83786910475792997</v>
      </c>
      <c r="S62" s="19"/>
      <c r="T62" s="134">
        <f t="shared" si="10"/>
        <v>74125.154433139542</v>
      </c>
      <c r="U62" s="134">
        <f t="shared" si="23"/>
        <v>1029.5160337936047</v>
      </c>
      <c r="V62" s="138">
        <f t="shared" si="5"/>
        <v>0.93000545058139539</v>
      </c>
      <c r="W62" s="19"/>
      <c r="X62" s="134">
        <f t="shared" si="11"/>
        <v>73011.937908793596</v>
      </c>
      <c r="Y62" s="134">
        <f t="shared" si="24"/>
        <v>1196.9170148982557</v>
      </c>
      <c r="Z62" s="138">
        <f t="shared" si="6"/>
        <v>0.93000545058139528</v>
      </c>
      <c r="AA62" s="19"/>
      <c r="AB62" s="134">
        <f t="shared" si="8"/>
        <v>147137.09234193314</v>
      </c>
      <c r="AC62" s="133">
        <f>+AB62/AB$7</f>
        <v>1106.2939273829559</v>
      </c>
      <c r="AD62" s="138">
        <f>+AC62/AC$8</f>
        <v>0.92268050657460876</v>
      </c>
      <c r="AE62" s="19"/>
      <c r="AF62" s="62"/>
      <c r="AG62" s="63"/>
      <c r="AI62" s="9"/>
      <c r="AJ62" s="8">
        <f>P7</f>
        <v>1</v>
      </c>
      <c r="AK62" s="19">
        <v>1250</v>
      </c>
      <c r="AL62" s="8">
        <f>AK62*AJ62</f>
        <v>1250</v>
      </c>
      <c r="AM62" s="8">
        <f>SUM(AL60:AL62)</f>
        <v>174575</v>
      </c>
      <c r="AN62" s="11">
        <f>AK62/Q$8</f>
        <v>1.0434056761268782</v>
      </c>
    </row>
    <row r="63" spans="1:40" s="8" customFormat="1" ht="12.75" thickBot="1">
      <c r="A63" s="17" t="s">
        <v>174</v>
      </c>
      <c r="B63" s="8" t="s">
        <v>43</v>
      </c>
      <c r="C63" s="59"/>
      <c r="D63" s="9">
        <f t="shared" si="22"/>
        <v>9.0608029663674927E-3</v>
      </c>
      <c r="E63" s="60" t="s">
        <v>194</v>
      </c>
      <c r="F63" s="60" t="s">
        <v>194</v>
      </c>
      <c r="G63" s="64"/>
      <c r="H63" s="60" t="s">
        <v>194</v>
      </c>
      <c r="I63" s="60" t="s">
        <v>194</v>
      </c>
      <c r="J63" s="65" t="s">
        <v>194</v>
      </c>
      <c r="K63" s="65" t="s">
        <v>194</v>
      </c>
      <c r="L63" s="19">
        <f t="shared" si="21"/>
        <v>6370</v>
      </c>
      <c r="M63" s="19">
        <f>1820/2</f>
        <v>910</v>
      </c>
      <c r="N63" s="12">
        <f t="shared" si="3"/>
        <v>0.66133720930232553</v>
      </c>
      <c r="O63" s="12"/>
      <c r="P63" s="134">
        <f t="shared" si="9"/>
        <v>2037.9515625000001</v>
      </c>
      <c r="Q63" s="134">
        <f>1.75*R$8*0.67*CMF</f>
        <v>2037.9515625000001</v>
      </c>
      <c r="R63" s="138">
        <f t="shared" si="4"/>
        <v>1.7011281823873123</v>
      </c>
      <c r="S63" s="19"/>
      <c r="T63" s="134">
        <f t="shared" si="10"/>
        <v>59300.123546511626</v>
      </c>
      <c r="U63" s="134">
        <f t="shared" si="23"/>
        <v>823.61282703488371</v>
      </c>
      <c r="V63" s="138">
        <f t="shared" si="5"/>
        <v>0.74400436046511631</v>
      </c>
      <c r="W63" s="19"/>
      <c r="X63" s="134">
        <f t="shared" si="11"/>
        <v>58409.550327034871</v>
      </c>
      <c r="Y63" s="134">
        <f t="shared" si="24"/>
        <v>957.53361191860449</v>
      </c>
      <c r="Z63" s="138">
        <f t="shared" si="6"/>
        <v>0.7440043604651162</v>
      </c>
      <c r="AA63" s="19"/>
      <c r="AB63" s="134">
        <f t="shared" si="8"/>
        <v>117709.6738735465</v>
      </c>
      <c r="AC63" s="133">
        <f>+AB63/AB$7</f>
        <v>885.03514190636474</v>
      </c>
      <c r="AD63" s="138">
        <f>+AC63/AC$8</f>
        <v>0.73814440525968705</v>
      </c>
      <c r="AE63" s="19"/>
      <c r="AF63" s="62"/>
      <c r="AG63" s="63"/>
      <c r="AI63" s="9"/>
      <c r="AJ63" s="8">
        <f>2900000/28</f>
        <v>103571.42857142857</v>
      </c>
      <c r="AK63" s="11">
        <f>AJ63/1343</f>
        <v>77.119455377087533</v>
      </c>
      <c r="AL63" s="19"/>
    </row>
    <row r="64" spans="1:40" s="8" customFormat="1" ht="12.75" thickBot="1">
      <c r="A64" s="17" t="s">
        <v>174</v>
      </c>
      <c r="B64" s="8" t="s">
        <v>44</v>
      </c>
      <c r="C64" s="59"/>
      <c r="D64" s="9">
        <f t="shared" si="22"/>
        <v>2.2652007415918732E-3</v>
      </c>
      <c r="E64" s="60" t="s">
        <v>194</v>
      </c>
      <c r="F64" s="60" t="s">
        <v>194</v>
      </c>
      <c r="G64" s="64"/>
      <c r="H64" s="60" t="s">
        <v>194</v>
      </c>
      <c r="I64" s="60" t="s">
        <v>194</v>
      </c>
      <c r="J64" s="65" t="s">
        <v>194</v>
      </c>
      <c r="K64" s="65" t="s">
        <v>194</v>
      </c>
      <c r="L64" s="19">
        <f t="shared" si="21"/>
        <v>1592.5</v>
      </c>
      <c r="M64" s="19">
        <f>455/2</f>
        <v>227.5</v>
      </c>
      <c r="N64" s="12">
        <f t="shared" si="3"/>
        <v>0.16533430232558138</v>
      </c>
      <c r="O64" s="12"/>
      <c r="P64" s="134">
        <f t="shared" si="9"/>
        <v>222.8293059593023</v>
      </c>
      <c r="Q64" s="134">
        <f>Q$8*$N64*CMF</f>
        <v>222.8293059593023</v>
      </c>
      <c r="R64" s="138">
        <f t="shared" si="4"/>
        <v>0.18600109011627905</v>
      </c>
      <c r="S64" s="19"/>
      <c r="T64" s="134">
        <f t="shared" si="10"/>
        <v>14825.030886627907</v>
      </c>
      <c r="U64" s="134">
        <f t="shared" si="23"/>
        <v>205.90320675872093</v>
      </c>
      <c r="V64" s="138">
        <f t="shared" si="5"/>
        <v>0.18600109011627908</v>
      </c>
      <c r="W64" s="19"/>
      <c r="X64" s="134">
        <f t="shared" si="11"/>
        <v>14602.387581758718</v>
      </c>
      <c r="Y64" s="134">
        <f t="shared" si="24"/>
        <v>239.38340297965112</v>
      </c>
      <c r="Z64" s="138">
        <f t="shared" si="6"/>
        <v>0.18600109011627905</v>
      </c>
      <c r="AA64" s="19"/>
      <c r="AB64" s="134">
        <f t="shared" si="8"/>
        <v>29427.418468386626</v>
      </c>
      <c r="AC64" s="133">
        <f>+AB64/AB$7</f>
        <v>221.25878547659119</v>
      </c>
      <c r="AD64" s="138">
        <f>+AC64/AC$8</f>
        <v>0.18453610131492176</v>
      </c>
      <c r="AE64" s="19"/>
      <c r="AF64" s="62"/>
      <c r="AG64" s="63"/>
      <c r="AJ64" s="8">
        <f>2700000/28</f>
        <v>96428.571428571435</v>
      </c>
      <c r="AK64" s="11">
        <f>AJ64/1343</f>
        <v>71.800872247633237</v>
      </c>
    </row>
    <row r="65" spans="1:41" s="8" customFormat="1">
      <c r="A65" s="17"/>
      <c r="B65" s="23" t="s">
        <v>45</v>
      </c>
      <c r="C65" s="59"/>
      <c r="D65" s="9"/>
      <c r="E65" s="60"/>
      <c r="F65" s="60"/>
      <c r="G65" s="60"/>
      <c r="H65" s="60"/>
      <c r="I65" s="60"/>
      <c r="J65" s="60"/>
      <c r="K65" s="60"/>
      <c r="L65" s="19"/>
      <c r="M65" s="19"/>
      <c r="N65" s="12">
        <f t="shared" si="3"/>
        <v>0</v>
      </c>
      <c r="O65" s="12"/>
      <c r="P65" s="134"/>
      <c r="Q65" s="134"/>
      <c r="R65" s="138"/>
      <c r="S65" s="19"/>
      <c r="T65" s="134"/>
      <c r="U65" s="134"/>
      <c r="V65" s="138"/>
      <c r="W65" s="19"/>
      <c r="X65" s="134"/>
      <c r="Y65" s="134"/>
      <c r="Z65" s="138"/>
      <c r="AA65" s="19"/>
      <c r="AB65" s="134"/>
      <c r="AC65" s="133" t="s">
        <v>71</v>
      </c>
      <c r="AD65" s="138"/>
      <c r="AE65" s="19"/>
      <c r="AF65" s="62"/>
      <c r="AG65" s="63"/>
    </row>
    <row r="66" spans="1:41" s="8" customFormat="1" ht="12.75" thickBot="1">
      <c r="A66" s="17" t="s">
        <v>160</v>
      </c>
      <c r="B66" s="8" t="s">
        <v>46</v>
      </c>
      <c r="C66" s="59"/>
      <c r="D66" s="9">
        <f t="shared" ref="D66:D79" si="25">L66/$L$88</f>
        <v>9.4391661671608604E-3</v>
      </c>
      <c r="E66" s="60" t="s">
        <v>194</v>
      </c>
      <c r="F66" s="60" t="s">
        <v>194</v>
      </c>
      <c r="G66" s="60" t="s">
        <v>194</v>
      </c>
      <c r="H66" s="60" t="s">
        <v>194</v>
      </c>
      <c r="I66" s="60" t="s">
        <v>194</v>
      </c>
      <c r="J66" s="60" t="s">
        <v>194</v>
      </c>
      <c r="K66" s="60" t="s">
        <v>194</v>
      </c>
      <c r="L66" s="19">
        <f t="shared" si="21"/>
        <v>6636</v>
      </c>
      <c r="M66" s="19">
        <f>1896/2</f>
        <v>948</v>
      </c>
      <c r="N66" s="12">
        <f t="shared" si="3"/>
        <v>0.68895348837209303</v>
      </c>
      <c r="O66" s="12"/>
      <c r="P66" s="134">
        <f t="shared" si="9"/>
        <v>1237.5</v>
      </c>
      <c r="Q66" s="134">
        <f>1100*CMF</f>
        <v>1237.5</v>
      </c>
      <c r="R66" s="138">
        <f t="shared" si="4"/>
        <v>1.0329716193656093</v>
      </c>
      <c r="S66" s="19"/>
      <c r="T66" s="134">
        <f t="shared" si="10"/>
        <v>89100</v>
      </c>
      <c r="U66" s="134">
        <f>1100*CMF</f>
        <v>1237.5</v>
      </c>
      <c r="V66" s="138">
        <f t="shared" si="5"/>
        <v>1.1178861788617886</v>
      </c>
      <c r="W66" s="19"/>
      <c r="X66" s="134">
        <f t="shared" si="11"/>
        <v>75487.5</v>
      </c>
      <c r="Y66" s="134">
        <f>1100*CMF</f>
        <v>1237.5</v>
      </c>
      <c r="Z66" s="138">
        <f t="shared" si="6"/>
        <v>0.96153846153846156</v>
      </c>
      <c r="AA66" s="19"/>
      <c r="AB66" s="134">
        <f t="shared" si="8"/>
        <v>164587.5</v>
      </c>
      <c r="AC66" s="133">
        <f t="shared" ref="AC66:AC79" si="26">+AB66/AB$7</f>
        <v>1237.5</v>
      </c>
      <c r="AD66" s="138">
        <f t="shared" ref="AD66:AD77" si="27">+AC66/AC$8</f>
        <v>1.0321100917431192</v>
      </c>
      <c r="AE66" s="19"/>
      <c r="AF66" s="62"/>
      <c r="AG66" s="63"/>
      <c r="AJ66" s="76">
        <f>0.0725/12</f>
        <v>6.0416666666666665E-3</v>
      </c>
    </row>
    <row r="67" spans="1:41" s="8" customFormat="1" ht="12.75" thickBot="1">
      <c r="A67" s="17" t="s">
        <v>160</v>
      </c>
      <c r="B67" s="17" t="s">
        <v>65</v>
      </c>
      <c r="C67" s="59"/>
      <c r="D67" s="9">
        <f t="shared" si="25"/>
        <v>5.8845434649705368E-3</v>
      </c>
      <c r="E67" s="60" t="s">
        <v>194</v>
      </c>
      <c r="F67" s="60" t="s">
        <v>194</v>
      </c>
      <c r="G67" s="64"/>
      <c r="H67" s="60" t="s">
        <v>194</v>
      </c>
      <c r="I67" s="60" t="s">
        <v>194</v>
      </c>
      <c r="J67" s="64"/>
      <c r="K67" s="77" t="s">
        <v>199</v>
      </c>
      <c r="L67" s="19">
        <f t="shared" si="21"/>
        <v>4137</v>
      </c>
      <c r="M67" s="19">
        <f>1182/2</f>
        <v>591</v>
      </c>
      <c r="N67" s="12">
        <f t="shared" si="3"/>
        <v>0.42950581395348836</v>
      </c>
      <c r="O67" s="12"/>
      <c r="P67" s="134">
        <f t="shared" si="9"/>
        <v>675</v>
      </c>
      <c r="Q67" s="134">
        <f>600*CMF</f>
        <v>675</v>
      </c>
      <c r="R67" s="138">
        <f t="shared" si="4"/>
        <v>0.56343906510851416</v>
      </c>
      <c r="S67" s="19"/>
      <c r="T67" s="134">
        <f t="shared" si="10"/>
        <v>48600</v>
      </c>
      <c r="U67" s="134">
        <f>600*CMF</f>
        <v>675</v>
      </c>
      <c r="V67" s="138">
        <f t="shared" si="5"/>
        <v>0.6097560975609756</v>
      </c>
      <c r="W67" s="19"/>
      <c r="X67" s="134">
        <f t="shared" si="11"/>
        <v>41175</v>
      </c>
      <c r="Y67" s="134">
        <f>600*CMF</f>
        <v>675</v>
      </c>
      <c r="Z67" s="138">
        <f t="shared" si="6"/>
        <v>0.52447552447552448</v>
      </c>
      <c r="AA67" s="19"/>
      <c r="AB67" s="134">
        <f t="shared" si="8"/>
        <v>89775</v>
      </c>
      <c r="AC67" s="133">
        <f t="shared" si="26"/>
        <v>675</v>
      </c>
      <c r="AD67" s="138">
        <f t="shared" si="27"/>
        <v>0.56296914095079231</v>
      </c>
      <c r="AE67" s="19"/>
      <c r="AF67" s="62"/>
      <c r="AG67" s="63"/>
      <c r="AJ67" s="8">
        <v>360</v>
      </c>
    </row>
    <row r="68" spans="1:41" s="8" customFormat="1" ht="12.75" thickBot="1">
      <c r="A68" s="17" t="s">
        <v>153</v>
      </c>
      <c r="B68" s="17" t="s">
        <v>230</v>
      </c>
      <c r="C68" s="59"/>
      <c r="D68" s="9">
        <f t="shared" si="25"/>
        <v>4.7594107889271011E-3</v>
      </c>
      <c r="E68" s="60" t="s">
        <v>194</v>
      </c>
      <c r="F68" s="60" t="s">
        <v>194</v>
      </c>
      <c r="G68" s="64"/>
      <c r="H68" s="60" t="s">
        <v>194</v>
      </c>
      <c r="I68" s="60" t="s">
        <v>194</v>
      </c>
      <c r="J68" s="64"/>
      <c r="K68" s="65" t="s">
        <v>194</v>
      </c>
      <c r="L68" s="19">
        <f t="shared" si="21"/>
        <v>3346</v>
      </c>
      <c r="M68" s="19">
        <f>956/2</f>
        <v>478</v>
      </c>
      <c r="N68" s="12">
        <f t="shared" si="3"/>
        <v>0.34738372093023256</v>
      </c>
      <c r="O68" s="12"/>
      <c r="P68" s="134">
        <f t="shared" si="9"/>
        <v>693.18640988372101</v>
      </c>
      <c r="Q68" s="134">
        <f>(Q$8*$N68+200)*CMF</f>
        <v>693.18640988372101</v>
      </c>
      <c r="R68" s="138">
        <f t="shared" si="4"/>
        <v>0.57861970774934979</v>
      </c>
      <c r="S68" s="19"/>
      <c r="T68" s="134">
        <f t="shared" si="10"/>
        <v>47348.85610465116</v>
      </c>
      <c r="U68" s="134">
        <f>(U$8*$N68+200)*CMF</f>
        <v>657.62300145348831</v>
      </c>
      <c r="V68" s="138">
        <f t="shared" si="5"/>
        <v>0.59405871856683679</v>
      </c>
      <c r="W68" s="19"/>
      <c r="X68" s="134">
        <f t="shared" si="11"/>
        <v>44406.060501453489</v>
      </c>
      <c r="Y68" s="134">
        <f>(Y$8*$N68+200)*CMF</f>
        <v>727.96820494186045</v>
      </c>
      <c r="Z68" s="138">
        <f t="shared" si="6"/>
        <v>0.56563186087168649</v>
      </c>
      <c r="AA68" s="19"/>
      <c r="AB68" s="134">
        <f t="shared" si="8"/>
        <v>91754.916606104642</v>
      </c>
      <c r="AC68" s="133">
        <f t="shared" si="26"/>
        <v>689.88659102334316</v>
      </c>
      <c r="AD68" s="138">
        <f t="shared" si="27"/>
        <v>0.57538498000278826</v>
      </c>
      <c r="AE68" s="19"/>
      <c r="AF68" s="62"/>
      <c r="AG68" s="63"/>
      <c r="AI68" s="9"/>
      <c r="AJ68" s="19">
        <f>PMT(AJ66,AJ67,AJ48)</f>
        <v>-89793.925775776268</v>
      </c>
      <c r="AK68" s="19"/>
    </row>
    <row r="69" spans="1:41" s="8" customFormat="1" ht="12.75" thickBot="1">
      <c r="A69" s="17" t="s">
        <v>158</v>
      </c>
      <c r="B69" s="17" t="s">
        <v>48</v>
      </c>
      <c r="C69" s="59"/>
      <c r="D69" s="9">
        <f t="shared" si="25"/>
        <v>3.9728136083303622E-3</v>
      </c>
      <c r="E69" s="60" t="s">
        <v>194</v>
      </c>
      <c r="F69" s="60" t="s">
        <v>194</v>
      </c>
      <c r="G69" s="64"/>
      <c r="H69" s="60" t="s">
        <v>194</v>
      </c>
      <c r="I69" s="60" t="s">
        <v>194</v>
      </c>
      <c r="J69" s="65" t="s">
        <v>194</v>
      </c>
      <c r="K69" s="65" t="s">
        <v>194</v>
      </c>
      <c r="L69" s="19">
        <f t="shared" si="21"/>
        <v>2793</v>
      </c>
      <c r="M69" s="19">
        <f>798/2</f>
        <v>399</v>
      </c>
      <c r="N69" s="12">
        <f t="shared" si="3"/>
        <v>0.28997093023255816</v>
      </c>
      <c r="O69" s="12"/>
      <c r="P69" s="134">
        <f t="shared" si="9"/>
        <v>390.80832122093022</v>
      </c>
      <c r="Q69" s="134">
        <f>Q$8*$N69*CMF</f>
        <v>390.80832122093022</v>
      </c>
      <c r="R69" s="138">
        <f t="shared" si="4"/>
        <v>0.3262172965116279</v>
      </c>
      <c r="S69" s="19"/>
      <c r="T69" s="134">
        <f t="shared" si="10"/>
        <v>26000.82340116279</v>
      </c>
      <c r="U69" s="134">
        <f t="shared" si="23"/>
        <v>361.12254723837208</v>
      </c>
      <c r="V69" s="138">
        <f t="shared" si="5"/>
        <v>0.3262172965116279</v>
      </c>
      <c r="W69" s="19"/>
      <c r="X69" s="134">
        <f t="shared" si="11"/>
        <v>25610.341297238374</v>
      </c>
      <c r="Y69" s="134">
        <f t="shared" si="24"/>
        <v>419.84166061046517</v>
      </c>
      <c r="Z69" s="138">
        <f t="shared" si="6"/>
        <v>0.32621729651162795</v>
      </c>
      <c r="AA69" s="19"/>
      <c r="AB69" s="134">
        <f t="shared" si="8"/>
        <v>51611.16469840116</v>
      </c>
      <c r="AC69" s="133">
        <f t="shared" si="26"/>
        <v>388.05386991279067</v>
      </c>
      <c r="AD69" s="138">
        <f t="shared" si="27"/>
        <v>0.32364793153693966</v>
      </c>
      <c r="AE69" s="19"/>
      <c r="AF69" s="62"/>
      <c r="AG69" s="63"/>
      <c r="AI69" s="9" t="s">
        <v>237</v>
      </c>
      <c r="AJ69" s="19">
        <f>+AM62</f>
        <v>174575</v>
      </c>
      <c r="AK69" s="19"/>
      <c r="AL69" s="19">
        <f>2700000*0.105</f>
        <v>283500</v>
      </c>
    </row>
    <row r="70" spans="1:41" s="8" customFormat="1" ht="12.75" thickBot="1">
      <c r="A70" s="17" t="s">
        <v>156</v>
      </c>
      <c r="B70" s="17" t="s">
        <v>49</v>
      </c>
      <c r="C70" s="59"/>
      <c r="D70" s="9">
        <f t="shared" si="25"/>
        <v>1.0385074169144281E-2</v>
      </c>
      <c r="E70" s="60" t="s">
        <v>194</v>
      </c>
      <c r="F70" s="60" t="s">
        <v>194</v>
      </c>
      <c r="G70" s="64"/>
      <c r="H70" s="60" t="s">
        <v>194</v>
      </c>
      <c r="I70" s="60" t="s">
        <v>194</v>
      </c>
      <c r="J70" s="65" t="s">
        <v>194</v>
      </c>
      <c r="K70" s="65" t="s">
        <v>194</v>
      </c>
      <c r="L70" s="19">
        <f t="shared" si="21"/>
        <v>7301</v>
      </c>
      <c r="M70" s="19">
        <f>2086/2</f>
        <v>1043</v>
      </c>
      <c r="N70" s="12">
        <f t="shared" si="3"/>
        <v>0.75799418604651159</v>
      </c>
      <c r="O70" s="12"/>
      <c r="P70" s="134">
        <f t="shared" si="9"/>
        <v>1012.5</v>
      </c>
      <c r="Q70" s="134">
        <f>(250+300+250+100)*CMF</f>
        <v>1012.5</v>
      </c>
      <c r="R70" s="138">
        <f t="shared" si="4"/>
        <v>0.84515859766277124</v>
      </c>
      <c r="S70" s="19"/>
      <c r="T70" s="134">
        <f t="shared" si="10"/>
        <v>72900</v>
      </c>
      <c r="U70" s="134">
        <f>(250+300+250+100)*CMF</f>
        <v>1012.5</v>
      </c>
      <c r="V70" s="138">
        <f t="shared" si="5"/>
        <v>0.91463414634146345</v>
      </c>
      <c r="W70" s="19"/>
      <c r="X70" s="134">
        <f t="shared" si="11"/>
        <v>61762.5</v>
      </c>
      <c r="Y70" s="134">
        <f>(250+300+250+100)*CMF</f>
        <v>1012.5</v>
      </c>
      <c r="Z70" s="138">
        <f t="shared" si="6"/>
        <v>0.78671328671328666</v>
      </c>
      <c r="AA70" s="19"/>
      <c r="AB70" s="134">
        <f t="shared" si="8"/>
        <v>134662.5</v>
      </c>
      <c r="AC70" s="133">
        <f t="shared" si="26"/>
        <v>1012.5</v>
      </c>
      <c r="AD70" s="138">
        <f t="shared" si="27"/>
        <v>0.84445371142618852</v>
      </c>
      <c r="AE70" s="19"/>
      <c r="AF70" s="62"/>
      <c r="AG70" s="63"/>
      <c r="AH70" s="4"/>
      <c r="AJ70" s="19">
        <f>0.9*AJ69</f>
        <v>157117.5</v>
      </c>
      <c r="AK70" s="19"/>
      <c r="AL70" s="19">
        <f>AL69/12</f>
        <v>23625</v>
      </c>
    </row>
    <row r="71" spans="1:41" s="8" customFormat="1" ht="12.75" thickBot="1">
      <c r="A71" s="17" t="s">
        <v>157</v>
      </c>
      <c r="B71" s="17" t="s">
        <v>63</v>
      </c>
      <c r="C71" s="59"/>
      <c r="D71" s="9">
        <f t="shared" si="25"/>
        <v>1.5931082138668121E-2</v>
      </c>
      <c r="E71" s="60" t="s">
        <v>194</v>
      </c>
      <c r="F71" s="60" t="s">
        <v>194</v>
      </c>
      <c r="G71" s="64"/>
      <c r="H71" s="60" t="s">
        <v>194</v>
      </c>
      <c r="I71" s="60" t="s">
        <v>194</v>
      </c>
      <c r="J71" s="64"/>
      <c r="K71" s="65" t="s">
        <v>194</v>
      </c>
      <c r="L71" s="19">
        <f t="shared" si="21"/>
        <v>11200</v>
      </c>
      <c r="M71" s="19">
        <f>3200/2</f>
        <v>1600</v>
      </c>
      <c r="N71" s="12">
        <f t="shared" si="3"/>
        <v>1.1627906976744187</v>
      </c>
      <c r="O71" s="12"/>
      <c r="P71" s="134">
        <f t="shared" si="9"/>
        <v>1644.2549999999999</v>
      </c>
      <c r="Q71" s="134">
        <f>1.22*Q$8*CMF</f>
        <v>1644.2549999999999</v>
      </c>
      <c r="R71" s="138">
        <f t="shared" si="4"/>
        <v>1.3724999999999998</v>
      </c>
      <c r="S71" s="19"/>
      <c r="T71" s="134">
        <f t="shared" si="10"/>
        <v>109393.74</v>
      </c>
      <c r="U71" s="134">
        <f>1.22*U$8*CMF</f>
        <v>1519.3575000000001</v>
      </c>
      <c r="V71" s="138">
        <f t="shared" si="5"/>
        <v>1.3725000000000001</v>
      </c>
      <c r="W71" s="19"/>
      <c r="X71" s="134">
        <f t="shared" si="11"/>
        <v>107750.85749999998</v>
      </c>
      <c r="Y71" s="134">
        <f>1.22*Y$8*CMF</f>
        <v>1766.4074999999998</v>
      </c>
      <c r="Z71" s="138">
        <f t="shared" si="6"/>
        <v>1.3724999999999998</v>
      </c>
      <c r="AA71" s="19"/>
      <c r="AB71" s="134">
        <f t="shared" si="8"/>
        <v>217144.59749999997</v>
      </c>
      <c r="AC71" s="133">
        <f t="shared" si="26"/>
        <v>1632.6661466165413</v>
      </c>
      <c r="AD71" s="138">
        <f t="shared" si="27"/>
        <v>1.3616898637335624</v>
      </c>
      <c r="AE71" s="19"/>
      <c r="AF71" s="62"/>
      <c r="AG71" s="63"/>
      <c r="AI71" s="9"/>
      <c r="AJ71" s="78">
        <f>((110000/28/1343)*1187*134)/12</f>
        <v>38773.313122717438</v>
      </c>
      <c r="AK71" s="19"/>
      <c r="AL71" s="19"/>
    </row>
    <row r="72" spans="1:41" s="8" customFormat="1" ht="12.75" thickBot="1">
      <c r="A72" s="17" t="s">
        <v>159</v>
      </c>
      <c r="B72" s="17" t="s">
        <v>64</v>
      </c>
      <c r="C72" s="59"/>
      <c r="D72" s="9">
        <f t="shared" si="25"/>
        <v>1.5582589716884754E-3</v>
      </c>
      <c r="E72" s="60" t="s">
        <v>194</v>
      </c>
      <c r="F72" s="60" t="s">
        <v>194</v>
      </c>
      <c r="G72" s="77" t="s">
        <v>199</v>
      </c>
      <c r="H72" s="60" t="s">
        <v>194</v>
      </c>
      <c r="I72" s="60" t="s">
        <v>194</v>
      </c>
      <c r="J72" s="64"/>
      <c r="K72" s="77" t="s">
        <v>199</v>
      </c>
      <c r="L72" s="19">
        <f t="shared" si="21"/>
        <v>1095.5</v>
      </c>
      <c r="M72" s="19">
        <f>313/2</f>
        <v>156.5</v>
      </c>
      <c r="N72" s="12">
        <f t="shared" si="3"/>
        <v>0.11373546511627906</v>
      </c>
      <c r="O72" s="12"/>
      <c r="P72" s="134">
        <f t="shared" si="9"/>
        <v>153.28697311046511</v>
      </c>
      <c r="Q72" s="134">
        <f>Q$8*$N72*CMF</f>
        <v>153.28697311046511</v>
      </c>
      <c r="R72" s="138">
        <f t="shared" si="4"/>
        <v>0.12795239825581395</v>
      </c>
      <c r="S72" s="19"/>
      <c r="T72" s="134">
        <f t="shared" si="10"/>
        <v>10198.317950581395</v>
      </c>
      <c r="U72" s="134">
        <f t="shared" si="23"/>
        <v>141.64330486918604</v>
      </c>
      <c r="V72" s="138">
        <f t="shared" si="5"/>
        <v>0.12795239825581395</v>
      </c>
      <c r="W72" s="19"/>
      <c r="X72" s="134">
        <f t="shared" si="11"/>
        <v>10045.158929869185</v>
      </c>
      <c r="Y72" s="134">
        <f t="shared" si="24"/>
        <v>164.67473655523256</v>
      </c>
      <c r="Z72" s="138">
        <f t="shared" si="6"/>
        <v>0.12795239825581395</v>
      </c>
      <c r="AA72" s="19"/>
      <c r="AB72" s="134">
        <f t="shared" si="8"/>
        <v>20243.47688045058</v>
      </c>
      <c r="AC72" s="133">
        <f t="shared" si="26"/>
        <v>152.20659308609459</v>
      </c>
      <c r="AD72" s="138">
        <f t="shared" si="27"/>
        <v>0.1269446147507044</v>
      </c>
      <c r="AE72" s="19"/>
      <c r="AF72" s="62"/>
      <c r="AG72" s="63"/>
      <c r="AI72" s="9"/>
      <c r="AJ72" s="19">
        <f>+AJ70-AJ71</f>
        <v>118344.18687728257</v>
      </c>
      <c r="AK72" s="19"/>
      <c r="AL72" s="19"/>
    </row>
    <row r="73" spans="1:41" s="8" customFormat="1">
      <c r="A73" s="17" t="s">
        <v>154</v>
      </c>
      <c r="B73" s="25" t="s">
        <v>50</v>
      </c>
      <c r="C73" s="59"/>
      <c r="D73" s="9">
        <f t="shared" si="25"/>
        <v>1.5707051296093101E-2</v>
      </c>
      <c r="E73" s="60"/>
      <c r="F73" s="60"/>
      <c r="G73" s="60"/>
      <c r="H73" s="60"/>
      <c r="I73" s="60"/>
      <c r="J73" s="60"/>
      <c r="K73" s="60"/>
      <c r="L73" s="19">
        <f t="shared" si="21"/>
        <v>11042.5</v>
      </c>
      <c r="M73" s="19">
        <f>3155/2</f>
        <v>1577.5</v>
      </c>
      <c r="N73" s="12">
        <f t="shared" si="3"/>
        <v>1.1464389534883721</v>
      </c>
      <c r="O73" s="12"/>
      <c r="P73" s="134">
        <f t="shared" si="9"/>
        <v>379.6875</v>
      </c>
      <c r="Q73" s="134">
        <f>15*10*2.25*CMF</f>
        <v>379.6875</v>
      </c>
      <c r="R73" s="138">
        <f t="shared" si="4"/>
        <v>0.31693447412353926</v>
      </c>
      <c r="S73" s="19"/>
      <c r="T73" s="134">
        <f t="shared" si="10"/>
        <v>27337.5</v>
      </c>
      <c r="U73" s="134">
        <f>15*10*2.25*CMF</f>
        <v>379.6875</v>
      </c>
      <c r="V73" s="138">
        <f t="shared" si="5"/>
        <v>0.34298780487804881</v>
      </c>
      <c r="W73" s="19"/>
      <c r="X73" s="134">
        <f t="shared" si="11"/>
        <v>23160.9375</v>
      </c>
      <c r="Y73" s="134">
        <f>15*10*2.25*CMF</f>
        <v>379.6875</v>
      </c>
      <c r="Z73" s="138">
        <f t="shared" si="6"/>
        <v>0.2950174825174825</v>
      </c>
      <c r="AA73" s="19"/>
      <c r="AB73" s="134">
        <f t="shared" si="8"/>
        <v>50498.4375</v>
      </c>
      <c r="AC73" s="133">
        <f t="shared" si="26"/>
        <v>379.6875</v>
      </c>
      <c r="AD73" s="138">
        <f t="shared" si="27"/>
        <v>0.31667014178482067</v>
      </c>
      <c r="AE73" s="19"/>
      <c r="AF73" s="62"/>
      <c r="AG73" s="63"/>
      <c r="AI73" s="9"/>
      <c r="AJ73" s="78">
        <f>+AJ72/-AJ68</f>
        <v>1.3179531449911093</v>
      </c>
      <c r="AK73" s="19"/>
      <c r="AL73" s="19"/>
    </row>
    <row r="74" spans="1:41" s="8" customFormat="1" ht="12.75" thickBot="1">
      <c r="A74" s="17" t="s">
        <v>154</v>
      </c>
      <c r="B74" s="17" t="s">
        <v>51</v>
      </c>
      <c r="C74" s="59"/>
      <c r="D74" s="9">
        <f t="shared" si="25"/>
        <v>0</v>
      </c>
      <c r="E74" s="60" t="s">
        <v>194</v>
      </c>
      <c r="F74" s="60" t="s">
        <v>194</v>
      </c>
      <c r="G74" s="60" t="s">
        <v>194</v>
      </c>
      <c r="H74" s="60" t="s">
        <v>194</v>
      </c>
      <c r="I74" s="60" t="s">
        <v>194</v>
      </c>
      <c r="J74" s="60" t="s">
        <v>194</v>
      </c>
      <c r="K74" s="60" t="s">
        <v>194</v>
      </c>
      <c r="L74" s="19">
        <f t="shared" si="21"/>
        <v>0</v>
      </c>
      <c r="M74" s="19"/>
      <c r="N74" s="12">
        <f t="shared" si="3"/>
        <v>0</v>
      </c>
      <c r="O74" s="12"/>
      <c r="P74" s="134">
        <f t="shared" si="9"/>
        <v>0</v>
      </c>
      <c r="Q74" s="134">
        <f>$M74*CMF</f>
        <v>0</v>
      </c>
      <c r="R74" s="138">
        <f t="shared" si="4"/>
        <v>0</v>
      </c>
      <c r="S74" s="19"/>
      <c r="T74" s="134">
        <f t="shared" si="10"/>
        <v>0</v>
      </c>
      <c r="U74" s="134">
        <f>$M74*CMF</f>
        <v>0</v>
      </c>
      <c r="V74" s="138">
        <f t="shared" si="5"/>
        <v>0</v>
      </c>
      <c r="W74" s="19"/>
      <c r="X74" s="134">
        <f t="shared" si="11"/>
        <v>0</v>
      </c>
      <c r="Y74" s="134">
        <f>$M74*CMF</f>
        <v>0</v>
      </c>
      <c r="Z74" s="138">
        <f t="shared" si="6"/>
        <v>0</v>
      </c>
      <c r="AA74" s="19"/>
      <c r="AB74" s="134">
        <f t="shared" si="8"/>
        <v>0</v>
      </c>
      <c r="AC74" s="133">
        <f t="shared" si="26"/>
        <v>0</v>
      </c>
      <c r="AD74" s="138">
        <f t="shared" si="27"/>
        <v>0</v>
      </c>
      <c r="AE74" s="19"/>
      <c r="AF74" s="62"/>
      <c r="AG74" s="63"/>
      <c r="AH74" s="4"/>
      <c r="AI74" s="9"/>
      <c r="AJ74" s="19"/>
      <c r="AK74" s="19"/>
      <c r="AL74" s="19"/>
    </row>
    <row r="75" spans="1:41" s="8" customFormat="1" ht="12.75" thickBot="1">
      <c r="A75" s="17" t="s">
        <v>154</v>
      </c>
      <c r="B75" s="17" t="s">
        <v>52</v>
      </c>
      <c r="C75" s="59"/>
      <c r="D75" s="9">
        <f t="shared" si="25"/>
        <v>0</v>
      </c>
      <c r="E75" s="60" t="s">
        <v>194</v>
      </c>
      <c r="F75" s="60" t="s">
        <v>194</v>
      </c>
      <c r="G75" s="64"/>
      <c r="H75" s="60" t="s">
        <v>194</v>
      </c>
      <c r="I75" s="60" t="s">
        <v>194</v>
      </c>
      <c r="J75" s="64"/>
      <c r="K75" s="77" t="s">
        <v>199</v>
      </c>
      <c r="L75" s="19">
        <f t="shared" si="21"/>
        <v>0</v>
      </c>
      <c r="M75" s="19"/>
      <c r="N75" s="12">
        <f t="shared" si="3"/>
        <v>0</v>
      </c>
      <c r="O75" s="12"/>
      <c r="P75" s="134">
        <f t="shared" si="9"/>
        <v>0</v>
      </c>
      <c r="Q75" s="134">
        <f>$M75*CMF</f>
        <v>0</v>
      </c>
      <c r="R75" s="138">
        <f t="shared" si="4"/>
        <v>0</v>
      </c>
      <c r="S75" s="19"/>
      <c r="T75" s="134">
        <f t="shared" si="10"/>
        <v>0</v>
      </c>
      <c r="U75" s="134">
        <f>$M75*CMF</f>
        <v>0</v>
      </c>
      <c r="V75" s="138">
        <f t="shared" si="5"/>
        <v>0</v>
      </c>
      <c r="W75" s="19"/>
      <c r="X75" s="134">
        <f t="shared" si="11"/>
        <v>0</v>
      </c>
      <c r="Y75" s="134">
        <f>$M75*CMF</f>
        <v>0</v>
      </c>
      <c r="Z75" s="138">
        <f t="shared" si="6"/>
        <v>0</v>
      </c>
      <c r="AA75" s="19"/>
      <c r="AB75" s="134">
        <f t="shared" si="8"/>
        <v>0</v>
      </c>
      <c r="AC75" s="133">
        <f t="shared" si="26"/>
        <v>0</v>
      </c>
      <c r="AD75" s="138">
        <f t="shared" si="27"/>
        <v>0</v>
      </c>
      <c r="AE75" s="19"/>
      <c r="AF75" s="62"/>
      <c r="AG75" s="63"/>
      <c r="AJ75" s="19">
        <f>+AJ69-AJ71+0.05*AJ69</f>
        <v>144530.43687728257</v>
      </c>
      <c r="AK75" s="19"/>
      <c r="AL75" s="8">
        <f>AO75*12</f>
        <v>16517764.21454658</v>
      </c>
      <c r="AO75" s="40">
        <f>AJ75/0.105</f>
        <v>1376480.3512122149</v>
      </c>
    </row>
    <row r="76" spans="1:41" s="8" customFormat="1" ht="12.75" thickBot="1">
      <c r="A76" s="17" t="s">
        <v>154</v>
      </c>
      <c r="B76" s="17" t="s">
        <v>53</v>
      </c>
      <c r="C76" s="59"/>
      <c r="D76" s="9">
        <f t="shared" si="25"/>
        <v>0</v>
      </c>
      <c r="E76" s="60" t="s">
        <v>194</v>
      </c>
      <c r="F76" s="60" t="s">
        <v>194</v>
      </c>
      <c r="G76" s="64"/>
      <c r="H76" s="60" t="s">
        <v>194</v>
      </c>
      <c r="I76" s="60" t="s">
        <v>194</v>
      </c>
      <c r="J76" s="64"/>
      <c r="K76" s="77" t="s">
        <v>199</v>
      </c>
      <c r="L76" s="19">
        <f t="shared" si="21"/>
        <v>0</v>
      </c>
      <c r="M76" s="19"/>
      <c r="N76" s="12">
        <f t="shared" si="3"/>
        <v>0</v>
      </c>
      <c r="O76" s="12"/>
      <c r="P76" s="134">
        <f t="shared" si="9"/>
        <v>0</v>
      </c>
      <c r="Q76" s="134">
        <f>$M76*CMF</f>
        <v>0</v>
      </c>
      <c r="R76" s="138">
        <f t="shared" si="4"/>
        <v>0</v>
      </c>
      <c r="S76" s="19"/>
      <c r="T76" s="134">
        <f t="shared" si="10"/>
        <v>0</v>
      </c>
      <c r="U76" s="134">
        <f>$M76*CMF</f>
        <v>0</v>
      </c>
      <c r="V76" s="138">
        <f t="shared" si="5"/>
        <v>0</v>
      </c>
      <c r="W76" s="19"/>
      <c r="X76" s="134">
        <f t="shared" si="11"/>
        <v>0</v>
      </c>
      <c r="Y76" s="134">
        <f>$M76*CMF</f>
        <v>0</v>
      </c>
      <c r="Z76" s="138">
        <f t="shared" si="6"/>
        <v>0</v>
      </c>
      <c r="AA76" s="19"/>
      <c r="AB76" s="134">
        <f t="shared" si="8"/>
        <v>0</v>
      </c>
      <c r="AC76" s="133">
        <f t="shared" si="26"/>
        <v>0</v>
      </c>
      <c r="AD76" s="138">
        <f t="shared" si="27"/>
        <v>0</v>
      </c>
      <c r="AE76" s="19"/>
      <c r="AF76" s="62"/>
      <c r="AG76" s="63"/>
      <c r="AI76" s="9"/>
      <c r="AJ76" s="19">
        <f>+AJ68</f>
        <v>-89793.925775776268</v>
      </c>
      <c r="AK76" s="19"/>
      <c r="AL76" s="19">
        <f>0.8*AL75</f>
        <v>13214211.371637264</v>
      </c>
    </row>
    <row r="77" spans="1:41" s="8" customFormat="1" ht="12.75" thickBot="1">
      <c r="A77" s="17" t="s">
        <v>155</v>
      </c>
      <c r="B77" s="25" t="s">
        <v>196</v>
      </c>
      <c r="C77" s="59"/>
      <c r="D77" s="9">
        <f t="shared" si="25"/>
        <v>7.9207349008190552E-3</v>
      </c>
      <c r="E77" s="60" t="s">
        <v>194</v>
      </c>
      <c r="F77" s="60" t="s">
        <v>194</v>
      </c>
      <c r="G77" s="60" t="s">
        <v>194</v>
      </c>
      <c r="H77" s="60" t="s">
        <v>194</v>
      </c>
      <c r="I77" s="60" t="s">
        <v>194</v>
      </c>
      <c r="J77" s="60" t="s">
        <v>194</v>
      </c>
      <c r="K77" s="60" t="s">
        <v>194</v>
      </c>
      <c r="L77" s="19">
        <f t="shared" ref="L77:L87" si="28">7*M77</f>
        <v>5568.5</v>
      </c>
      <c r="M77" s="19">
        <f>1591/2</f>
        <v>795.5</v>
      </c>
      <c r="N77" s="12">
        <f t="shared" si="3"/>
        <v>0.578125</v>
      </c>
      <c r="O77" s="12"/>
      <c r="P77" s="134">
        <f t="shared" si="9"/>
        <v>810</v>
      </c>
      <c r="Q77" s="134">
        <f>(28+20)*15*CMF</f>
        <v>810</v>
      </c>
      <c r="R77" s="138">
        <f t="shared" si="4"/>
        <v>0.67612687813021699</v>
      </c>
      <c r="S77" s="19"/>
      <c r="T77" s="134">
        <f t="shared" si="10"/>
        <v>43533.45</v>
      </c>
      <c r="U77" s="134">
        <f>(15.83+20)*15*CMF</f>
        <v>604.63124999999991</v>
      </c>
      <c r="V77" s="138">
        <f t="shared" si="5"/>
        <v>0.54618902439024386</v>
      </c>
      <c r="W77" s="19"/>
      <c r="X77" s="134">
        <f t="shared" si="11"/>
        <v>47351.25</v>
      </c>
      <c r="Y77" s="134">
        <f>(26+20)*15*CMF</f>
        <v>776.25</v>
      </c>
      <c r="Z77" s="138">
        <f t="shared" si="6"/>
        <v>0.60314685314685312</v>
      </c>
      <c r="AA77" s="19"/>
      <c r="AB77" s="134">
        <f t="shared" si="8"/>
        <v>90884.7</v>
      </c>
      <c r="AC77" s="133">
        <f t="shared" si="26"/>
        <v>683.34360902255639</v>
      </c>
      <c r="AD77" s="138">
        <f t="shared" si="27"/>
        <v>0.56992794747502618</v>
      </c>
      <c r="AE77" s="19"/>
      <c r="AF77" s="62"/>
      <c r="AG77" s="63"/>
      <c r="AH77" s="4"/>
      <c r="AJ77" s="19">
        <f>+AJ76+AJ75</f>
        <v>54736.511101506301</v>
      </c>
      <c r="AK77" s="19"/>
      <c r="AL77" s="19"/>
    </row>
    <row r="78" spans="1:41" s="8" customFormat="1" ht="12.75" thickBot="1">
      <c r="A78" s="17" t="s">
        <v>155</v>
      </c>
      <c r="B78" s="25" t="s">
        <v>197</v>
      </c>
      <c r="C78" s="59"/>
      <c r="D78" s="9">
        <f t="shared" si="25"/>
        <v>2.7331762794152495E-3</v>
      </c>
      <c r="E78" s="60" t="s">
        <v>194</v>
      </c>
      <c r="F78" s="60" t="s">
        <v>194</v>
      </c>
      <c r="G78" s="64"/>
      <c r="H78" s="60" t="s">
        <v>194</v>
      </c>
      <c r="I78" s="60" t="s">
        <v>194</v>
      </c>
      <c r="J78" s="64"/>
      <c r="K78" s="64"/>
      <c r="L78" s="19">
        <f t="shared" si="28"/>
        <v>1921.5</v>
      </c>
      <c r="M78" s="19">
        <f>549/2</f>
        <v>274.5</v>
      </c>
      <c r="N78" s="12">
        <f t="shared" ref="N78:N88" si="29">M78/1376</f>
        <v>0.19949127906976744</v>
      </c>
      <c r="O78" s="12"/>
      <c r="P78" s="134">
        <f t="shared" si="9"/>
        <v>0</v>
      </c>
      <c r="Q78" s="19">
        <v>0</v>
      </c>
      <c r="R78" s="138">
        <f t="shared" ref="R78:R87" si="30">+Q78/Q$8</f>
        <v>0</v>
      </c>
      <c r="S78" s="19"/>
      <c r="T78" s="134">
        <f t="shared" si="10"/>
        <v>22234.5</v>
      </c>
      <c r="U78" s="134">
        <f>$M78*CMF</f>
        <v>308.8125</v>
      </c>
      <c r="V78" s="138">
        <f t="shared" ref="V78:V87" si="31">+U78/U$8</f>
        <v>0.27896341463414637</v>
      </c>
      <c r="W78" s="19"/>
      <c r="X78" s="134">
        <f t="shared" si="11"/>
        <v>18837.5625</v>
      </c>
      <c r="Y78" s="134">
        <f>$M78*CMF</f>
        <v>308.8125</v>
      </c>
      <c r="Z78" s="138">
        <f t="shared" ref="Z78:Z87" si="32">+Y78/Y$8</f>
        <v>0.23994755244755245</v>
      </c>
      <c r="AA78" s="19"/>
      <c r="AB78" s="134">
        <f t="shared" si="8"/>
        <v>41072.0625</v>
      </c>
      <c r="AC78" s="133">
        <f t="shared" si="26"/>
        <v>308.8125</v>
      </c>
      <c r="AD78" s="138">
        <f t="shared" ref="AD78:AD87" si="33">+AC78/AC$8</f>
        <v>0.25755838198498748</v>
      </c>
      <c r="AE78" s="19"/>
      <c r="AF78" s="62"/>
      <c r="AG78" s="63"/>
      <c r="AI78" s="9"/>
      <c r="AJ78" s="19">
        <f>AJ77*12</f>
        <v>656838.13321807561</v>
      </c>
      <c r="AK78" s="19"/>
      <c r="AL78" s="19"/>
    </row>
    <row r="79" spans="1:41" s="8" customFormat="1">
      <c r="A79" s="17" t="s">
        <v>155</v>
      </c>
      <c r="B79" s="8" t="s">
        <v>62</v>
      </c>
      <c r="C79" s="59"/>
      <c r="D79" s="9">
        <f t="shared" si="25"/>
        <v>0</v>
      </c>
      <c r="E79" s="60" t="s">
        <v>195</v>
      </c>
      <c r="F79" s="60"/>
      <c r="G79" s="60"/>
      <c r="H79" s="60"/>
      <c r="I79" s="60"/>
      <c r="J79" s="60"/>
      <c r="K79" s="60"/>
      <c r="L79" s="19">
        <f t="shared" si="28"/>
        <v>0</v>
      </c>
      <c r="M79" s="19">
        <f>0/2</f>
        <v>0</v>
      </c>
      <c r="N79" s="12">
        <f t="shared" si="29"/>
        <v>0</v>
      </c>
      <c r="O79" s="12"/>
      <c r="P79" s="134">
        <f t="shared" si="9"/>
        <v>0</v>
      </c>
      <c r="Q79" s="134"/>
      <c r="R79" s="138">
        <f t="shared" si="30"/>
        <v>0</v>
      </c>
      <c r="S79" s="19"/>
      <c r="T79" s="134">
        <f t="shared" si="10"/>
        <v>0</v>
      </c>
      <c r="U79" s="134"/>
      <c r="V79" s="138">
        <f t="shared" si="31"/>
        <v>0</v>
      </c>
      <c r="W79" s="19"/>
      <c r="X79" s="134">
        <f t="shared" si="11"/>
        <v>0</v>
      </c>
      <c r="Y79" s="134"/>
      <c r="Z79" s="138">
        <f t="shared" si="32"/>
        <v>0</v>
      </c>
      <c r="AA79" s="19"/>
      <c r="AB79" s="134">
        <f t="shared" ref="AB79:AB87" si="34">+X79+T79</f>
        <v>0</v>
      </c>
      <c r="AC79" s="133">
        <f t="shared" si="26"/>
        <v>0</v>
      </c>
      <c r="AD79" s="138">
        <f t="shared" si="33"/>
        <v>0</v>
      </c>
      <c r="AE79" s="19"/>
      <c r="AF79" s="62"/>
      <c r="AG79" s="63"/>
      <c r="AI79" s="9"/>
      <c r="AJ79" s="19">
        <f>AJ78/0.105</f>
        <v>6255601.2687435774</v>
      </c>
      <c r="AK79" s="18"/>
      <c r="AL79" s="19"/>
    </row>
    <row r="80" spans="1:41" s="8" customFormat="1" ht="12.75" thickBot="1">
      <c r="A80" s="17"/>
      <c r="B80" s="23" t="s">
        <v>54</v>
      </c>
      <c r="C80" s="59"/>
      <c r="D80" s="9"/>
      <c r="E80" s="60"/>
      <c r="F80" s="60"/>
      <c r="G80" s="60"/>
      <c r="H80" s="60"/>
      <c r="I80" s="60"/>
      <c r="J80" s="60"/>
      <c r="K80" s="60"/>
      <c r="L80" s="19"/>
      <c r="M80" s="19"/>
      <c r="N80" s="12">
        <f t="shared" si="29"/>
        <v>0</v>
      </c>
      <c r="O80" s="12"/>
      <c r="P80" s="134"/>
      <c r="Q80" s="134"/>
      <c r="R80" s="138"/>
      <c r="S80" s="19"/>
      <c r="T80" s="134"/>
      <c r="U80" s="134"/>
      <c r="V80" s="138"/>
      <c r="W80" s="19"/>
      <c r="X80" s="134"/>
      <c r="Y80" s="134"/>
      <c r="Z80" s="138"/>
      <c r="AA80" s="19"/>
      <c r="AB80" s="134"/>
      <c r="AC80" s="133" t="s">
        <v>71</v>
      </c>
      <c r="AD80" s="138"/>
      <c r="AE80" s="19"/>
      <c r="AF80" s="62"/>
      <c r="AG80" s="63"/>
      <c r="AI80" s="9"/>
      <c r="AJ80" s="19"/>
      <c r="AK80" s="19"/>
      <c r="AL80" s="19"/>
    </row>
    <row r="81" spans="1:38" s="8" customFormat="1" ht="12.75" thickBot="1">
      <c r="A81" s="17" t="s">
        <v>152</v>
      </c>
      <c r="B81" s="8" t="s">
        <v>55</v>
      </c>
      <c r="C81" s="59"/>
      <c r="D81" s="9">
        <f t="shared" ref="D81:D87" si="35">L81/$L$88</f>
        <v>4.7843031047687702E-3</v>
      </c>
      <c r="E81" s="60" t="s">
        <v>194</v>
      </c>
      <c r="F81" s="60" t="s">
        <v>194</v>
      </c>
      <c r="G81" s="64"/>
      <c r="H81" s="60" t="s">
        <v>194</v>
      </c>
      <c r="I81" s="60" t="s">
        <v>194</v>
      </c>
      <c r="J81" s="64"/>
      <c r="K81" s="65" t="s">
        <v>194</v>
      </c>
      <c r="L81" s="19">
        <f t="shared" si="28"/>
        <v>3363.5</v>
      </c>
      <c r="M81" s="19">
        <f>961/2</f>
        <v>480.5</v>
      </c>
      <c r="N81" s="12">
        <f t="shared" si="29"/>
        <v>0.34920058139534882</v>
      </c>
      <c r="O81" s="12"/>
      <c r="P81" s="134">
        <f t="shared" ref="P81:P87" si="36">Q81*P$7</f>
        <v>540.5625</v>
      </c>
      <c r="Q81" s="134">
        <f>$M81*CMF</f>
        <v>540.5625</v>
      </c>
      <c r="R81" s="138">
        <f t="shared" si="30"/>
        <v>0.45122078464106846</v>
      </c>
      <c r="S81" s="19"/>
      <c r="T81" s="134">
        <f t="shared" ref="T81:T87" si="37">U81*T$7</f>
        <v>38920.5</v>
      </c>
      <c r="U81" s="134">
        <f>$M81*CMF</f>
        <v>540.5625</v>
      </c>
      <c r="V81" s="138">
        <f t="shared" si="31"/>
        <v>0.48831300813008133</v>
      </c>
      <c r="W81" s="19"/>
      <c r="X81" s="134">
        <f t="shared" ref="X81:X87" si="38">Y81*X$7</f>
        <v>32974.3125</v>
      </c>
      <c r="Y81" s="134">
        <f>$M81*CMF</f>
        <v>540.5625</v>
      </c>
      <c r="Z81" s="138">
        <f t="shared" si="32"/>
        <v>0.4200174825174825</v>
      </c>
      <c r="AA81" s="19"/>
      <c r="AB81" s="134">
        <f t="shared" si="34"/>
        <v>71894.8125</v>
      </c>
      <c r="AC81" s="133">
        <f t="shared" ref="AC81:AC87" si="39">+AB81/AB$7</f>
        <v>540.5625</v>
      </c>
      <c r="AD81" s="138">
        <f t="shared" si="33"/>
        <v>0.45084445371142617</v>
      </c>
      <c r="AE81" s="19"/>
      <c r="AF81" s="62"/>
      <c r="AG81" s="63"/>
      <c r="AH81" s="4"/>
      <c r="AJ81" s="19">
        <v>7000</v>
      </c>
      <c r="AK81" s="19"/>
      <c r="AL81" s="19"/>
    </row>
    <row r="82" spans="1:38" s="8" customFormat="1" ht="12.75" thickBot="1">
      <c r="A82" s="17" t="s">
        <v>152</v>
      </c>
      <c r="B82" s="8" t="s">
        <v>56</v>
      </c>
      <c r="C82" s="59"/>
      <c r="D82" s="9">
        <f t="shared" si="35"/>
        <v>1.7424621089168256E-3</v>
      </c>
      <c r="E82" s="60" t="s">
        <v>194</v>
      </c>
      <c r="F82" s="60" t="s">
        <v>194</v>
      </c>
      <c r="G82" s="64"/>
      <c r="H82" s="60" t="s">
        <v>194</v>
      </c>
      <c r="I82" s="60" t="s">
        <v>194</v>
      </c>
      <c r="J82" s="64"/>
      <c r="K82" s="65" t="s">
        <v>194</v>
      </c>
      <c r="L82" s="19">
        <f t="shared" si="28"/>
        <v>1225</v>
      </c>
      <c r="M82" s="19">
        <f>350/2</f>
        <v>175</v>
      </c>
      <c r="N82" s="12">
        <f t="shared" si="29"/>
        <v>0.12718023255813954</v>
      </c>
      <c r="O82" s="12"/>
      <c r="P82" s="134">
        <f t="shared" si="36"/>
        <v>171.40715843023258</v>
      </c>
      <c r="Q82" s="134">
        <f>Q$8*$N82*CMF</f>
        <v>171.40715843023258</v>
      </c>
      <c r="R82" s="138">
        <f t="shared" si="30"/>
        <v>0.143077761627907</v>
      </c>
      <c r="S82" s="19"/>
      <c r="T82" s="134">
        <f t="shared" si="37"/>
        <v>11403.869912790698</v>
      </c>
      <c r="U82" s="134">
        <f>U$8*$N82*CMF</f>
        <v>158.38708212209303</v>
      </c>
      <c r="V82" s="138">
        <f t="shared" si="31"/>
        <v>0.14307776162790697</v>
      </c>
      <c r="W82" s="19"/>
      <c r="X82" s="134">
        <f t="shared" si="38"/>
        <v>11232.605832122093</v>
      </c>
      <c r="Y82" s="134">
        <f>Y$8*$N82*CMF</f>
        <v>184.14107921511629</v>
      </c>
      <c r="Z82" s="138">
        <f t="shared" si="32"/>
        <v>0.14307776162790697</v>
      </c>
      <c r="AA82" s="19"/>
      <c r="AB82" s="134">
        <f t="shared" si="34"/>
        <v>22636.475744912794</v>
      </c>
      <c r="AC82" s="133">
        <f t="shared" si="39"/>
        <v>170.19906575122403</v>
      </c>
      <c r="AD82" s="138">
        <f t="shared" si="33"/>
        <v>0.14195084716532447</v>
      </c>
      <c r="AE82" s="19"/>
      <c r="AF82" s="62"/>
      <c r="AG82" s="63"/>
      <c r="AI82" s="9"/>
      <c r="AJ82" s="19">
        <f>1250*14+1220*14</f>
        <v>34580</v>
      </c>
      <c r="AK82" s="19"/>
      <c r="AL82" s="19"/>
    </row>
    <row r="83" spans="1:38" s="8" customFormat="1" ht="12.75" thickBot="1">
      <c r="A83" s="17" t="s">
        <v>152</v>
      </c>
      <c r="B83" s="8" t="s">
        <v>57</v>
      </c>
      <c r="C83" s="59"/>
      <c r="D83" s="9">
        <f t="shared" si="35"/>
        <v>4.8838723681354458E-3</v>
      </c>
      <c r="E83" s="60" t="s">
        <v>194</v>
      </c>
      <c r="F83" s="60" t="s">
        <v>194</v>
      </c>
      <c r="G83" s="64"/>
      <c r="H83" s="60" t="s">
        <v>194</v>
      </c>
      <c r="I83" s="60" t="s">
        <v>194</v>
      </c>
      <c r="J83" s="64"/>
      <c r="K83" s="65" t="s">
        <v>194</v>
      </c>
      <c r="L83" s="19">
        <f t="shared" si="28"/>
        <v>3433.5</v>
      </c>
      <c r="M83" s="19">
        <f>981/2</f>
        <v>490.5</v>
      </c>
      <c r="N83" s="12">
        <f t="shared" si="29"/>
        <v>0.35646802325581395</v>
      </c>
      <c r="O83" s="12"/>
      <c r="P83" s="134">
        <f t="shared" si="36"/>
        <v>551.8125</v>
      </c>
      <c r="Q83" s="134">
        <f>$M83*CMF</f>
        <v>551.8125</v>
      </c>
      <c r="R83" s="138">
        <f t="shared" si="30"/>
        <v>0.46061143572621033</v>
      </c>
      <c r="S83" s="19"/>
      <c r="T83" s="134">
        <f t="shared" si="37"/>
        <v>39730.5</v>
      </c>
      <c r="U83" s="134">
        <f>$M83*CMF</f>
        <v>551.8125</v>
      </c>
      <c r="V83" s="138">
        <f t="shared" si="31"/>
        <v>0.49847560975609756</v>
      </c>
      <c r="W83" s="19"/>
      <c r="X83" s="134">
        <f t="shared" si="38"/>
        <v>33660.5625</v>
      </c>
      <c r="Y83" s="134">
        <f>$M83*CMF</f>
        <v>551.8125</v>
      </c>
      <c r="Z83" s="138">
        <f t="shared" si="32"/>
        <v>0.42875874125874125</v>
      </c>
      <c r="AA83" s="19"/>
      <c r="AB83" s="134">
        <f t="shared" si="34"/>
        <v>73391.0625</v>
      </c>
      <c r="AC83" s="133">
        <f t="shared" si="39"/>
        <v>551.8125</v>
      </c>
      <c r="AD83" s="138">
        <f t="shared" si="33"/>
        <v>0.46022727272727271</v>
      </c>
      <c r="AE83" s="19"/>
      <c r="AF83" s="62"/>
      <c r="AG83" s="63"/>
      <c r="AI83" s="9"/>
      <c r="AJ83" s="19">
        <f>28*3*475</f>
        <v>39900</v>
      </c>
      <c r="AK83" s="19"/>
      <c r="AL83" s="19"/>
    </row>
    <row r="84" spans="1:38" s="8" customFormat="1" ht="12.75" thickBot="1">
      <c r="A84" s="17" t="s">
        <v>152</v>
      </c>
      <c r="B84" s="8" t="s">
        <v>58</v>
      </c>
      <c r="C84" s="59"/>
      <c r="D84" s="9">
        <f t="shared" si="35"/>
        <v>4.3959829776387344E-3</v>
      </c>
      <c r="E84" s="60" t="s">
        <v>194</v>
      </c>
      <c r="F84" s="60" t="s">
        <v>194</v>
      </c>
      <c r="G84" s="64"/>
      <c r="H84" s="60" t="s">
        <v>194</v>
      </c>
      <c r="I84" s="60" t="s">
        <v>194</v>
      </c>
      <c r="J84" s="64"/>
      <c r="K84" s="65" t="s">
        <v>194</v>
      </c>
      <c r="L84" s="19">
        <f t="shared" si="28"/>
        <v>3090.5</v>
      </c>
      <c r="M84" s="19">
        <f>883/2</f>
        <v>441.5</v>
      </c>
      <c r="N84" s="12">
        <f t="shared" si="29"/>
        <v>0.32085755813953487</v>
      </c>
      <c r="O84" s="12"/>
      <c r="P84" s="134">
        <f t="shared" si="36"/>
        <v>496.6875</v>
      </c>
      <c r="Q84" s="134">
        <f>$M84*CMF</f>
        <v>496.6875</v>
      </c>
      <c r="R84" s="138">
        <f t="shared" si="30"/>
        <v>0.41459724540901505</v>
      </c>
      <c r="S84" s="19"/>
      <c r="T84" s="134">
        <f t="shared" si="37"/>
        <v>35761.5</v>
      </c>
      <c r="U84" s="134">
        <f>$M84*CMF</f>
        <v>496.6875</v>
      </c>
      <c r="V84" s="138">
        <f t="shared" si="31"/>
        <v>0.44867886178861788</v>
      </c>
      <c r="W84" s="19"/>
      <c r="X84" s="134">
        <f t="shared" si="38"/>
        <v>30297.9375</v>
      </c>
      <c r="Y84" s="134">
        <f>$M84*CMF</f>
        <v>496.6875</v>
      </c>
      <c r="Z84" s="138">
        <f t="shared" si="32"/>
        <v>0.38592657342657344</v>
      </c>
      <c r="AA84" s="19"/>
      <c r="AB84" s="134">
        <f t="shared" si="34"/>
        <v>66059.4375</v>
      </c>
      <c r="AC84" s="133">
        <f t="shared" si="39"/>
        <v>496.6875</v>
      </c>
      <c r="AD84" s="138">
        <f t="shared" si="33"/>
        <v>0.41425145954962467</v>
      </c>
      <c r="AE84" s="19"/>
      <c r="AF84" s="62"/>
      <c r="AH84" s="4"/>
      <c r="AJ84" s="19">
        <f>+AJ83-AJ82</f>
        <v>5320</v>
      </c>
      <c r="AK84" s="19"/>
      <c r="AL84" s="19"/>
    </row>
    <row r="85" spans="1:38" s="8" customFormat="1" ht="12.75" thickBot="1">
      <c r="A85" s="17" t="s">
        <v>152</v>
      </c>
      <c r="B85" s="8" t="s">
        <v>59</v>
      </c>
      <c r="C85" s="59"/>
      <c r="D85" s="9">
        <f t="shared" si="35"/>
        <v>4.9286785366504493E-4</v>
      </c>
      <c r="E85" s="60" t="s">
        <v>194</v>
      </c>
      <c r="F85" s="60" t="s">
        <v>194</v>
      </c>
      <c r="G85" s="64"/>
      <c r="H85" s="60" t="s">
        <v>194</v>
      </c>
      <c r="I85" s="60" t="s">
        <v>194</v>
      </c>
      <c r="J85" s="64"/>
      <c r="K85" s="65" t="s">
        <v>194</v>
      </c>
      <c r="L85" s="19">
        <f t="shared" si="28"/>
        <v>346.5</v>
      </c>
      <c r="M85" s="19">
        <f>99/2</f>
        <v>49.5</v>
      </c>
      <c r="N85" s="12">
        <f t="shared" si="29"/>
        <v>3.5973837209302327E-2</v>
      </c>
      <c r="O85" s="12"/>
      <c r="P85" s="134">
        <f t="shared" si="36"/>
        <v>55.6875</v>
      </c>
      <c r="Q85" s="134">
        <f>$M85*CMF</f>
        <v>55.6875</v>
      </c>
      <c r="R85" s="138">
        <f t="shared" si="30"/>
        <v>4.6483722871452422E-2</v>
      </c>
      <c r="S85" s="19"/>
      <c r="T85" s="134">
        <f t="shared" si="37"/>
        <v>4009.5</v>
      </c>
      <c r="U85" s="134">
        <f>$M85*CMF</f>
        <v>55.6875</v>
      </c>
      <c r="V85" s="138">
        <f t="shared" si="31"/>
        <v>5.0304878048780491E-2</v>
      </c>
      <c r="W85" s="19"/>
      <c r="X85" s="134">
        <f t="shared" si="38"/>
        <v>3396.9375</v>
      </c>
      <c r="Y85" s="134">
        <f>$M85*CMF</f>
        <v>55.6875</v>
      </c>
      <c r="Z85" s="138">
        <f t="shared" si="32"/>
        <v>4.3269230769230768E-2</v>
      </c>
      <c r="AA85" s="19"/>
      <c r="AB85" s="134">
        <f t="shared" si="34"/>
        <v>7406.4375</v>
      </c>
      <c r="AC85" s="133">
        <f t="shared" si="39"/>
        <v>55.6875</v>
      </c>
      <c r="AD85" s="138">
        <f t="shared" si="33"/>
        <v>4.6444954128440366E-2</v>
      </c>
      <c r="AE85" s="19"/>
      <c r="AF85" s="62"/>
      <c r="AG85" s="19"/>
      <c r="AI85" s="9"/>
      <c r="AJ85" s="19">
        <f>+AJ84+AJ81</f>
        <v>12320</v>
      </c>
      <c r="AK85" s="19"/>
      <c r="AL85" s="19"/>
    </row>
    <row r="86" spans="1:38" s="8" customFormat="1" ht="12.75" thickBot="1">
      <c r="A86" s="17" t="s">
        <v>151</v>
      </c>
      <c r="B86" s="23" t="s">
        <v>60</v>
      </c>
      <c r="C86" s="59"/>
      <c r="D86" s="9">
        <f t="shared" si="35"/>
        <v>9.9569263366675754E-3</v>
      </c>
      <c r="E86" s="60" t="s">
        <v>194</v>
      </c>
      <c r="F86" s="60" t="s">
        <v>194</v>
      </c>
      <c r="G86" s="64"/>
      <c r="H86" s="60" t="s">
        <v>194</v>
      </c>
      <c r="I86" s="60" t="s">
        <v>194</v>
      </c>
      <c r="J86" s="64"/>
      <c r="K86" s="65" t="s">
        <v>194</v>
      </c>
      <c r="L86" s="19">
        <f t="shared" si="28"/>
        <v>7000</v>
      </c>
      <c r="M86" s="19">
        <f>2000/2</f>
        <v>1000</v>
      </c>
      <c r="N86" s="12">
        <f t="shared" si="29"/>
        <v>0.72674418604651159</v>
      </c>
      <c r="O86" s="12"/>
      <c r="P86" s="134">
        <f t="shared" si="36"/>
        <v>1125</v>
      </c>
      <c r="Q86" s="134">
        <f>$M86*CMF</f>
        <v>1125</v>
      </c>
      <c r="R86" s="138">
        <f t="shared" si="30"/>
        <v>0.93906510851419034</v>
      </c>
      <c r="S86" s="19"/>
      <c r="T86" s="134">
        <f t="shared" si="37"/>
        <v>81000</v>
      </c>
      <c r="U86" s="134">
        <f>$M86*CMF</f>
        <v>1125</v>
      </c>
      <c r="V86" s="138">
        <f t="shared" si="31"/>
        <v>1.0162601626016261</v>
      </c>
      <c r="W86" s="19"/>
      <c r="X86" s="134">
        <f t="shared" si="38"/>
        <v>68625</v>
      </c>
      <c r="Y86" s="134">
        <f>$M86*CMF</f>
        <v>1125</v>
      </c>
      <c r="Z86" s="138">
        <f t="shared" si="32"/>
        <v>0.87412587412587417</v>
      </c>
      <c r="AA86" s="19"/>
      <c r="AB86" s="134">
        <f t="shared" si="34"/>
        <v>149625</v>
      </c>
      <c r="AC86" s="133">
        <f t="shared" si="39"/>
        <v>1125</v>
      </c>
      <c r="AD86" s="138">
        <f t="shared" si="33"/>
        <v>0.93828190158465385</v>
      </c>
      <c r="AE86" s="19"/>
      <c r="AF86" s="62"/>
      <c r="AI86" s="9"/>
      <c r="AJ86" s="19">
        <f>AJ85*0.58</f>
        <v>7145.5999999999995</v>
      </c>
      <c r="AK86" s="19"/>
      <c r="AL86" s="19"/>
    </row>
    <row r="87" spans="1:38" s="8" customFormat="1" ht="12.75" thickBot="1">
      <c r="A87" s="17" t="s">
        <v>213</v>
      </c>
      <c r="B87" s="23" t="s">
        <v>61</v>
      </c>
      <c r="C87" s="59"/>
      <c r="D87" s="9">
        <f t="shared" si="35"/>
        <v>1.2799628805786167E-2</v>
      </c>
      <c r="E87" s="60" t="s">
        <v>194</v>
      </c>
      <c r="F87" s="60" t="s">
        <v>194</v>
      </c>
      <c r="G87" s="64"/>
      <c r="H87" s="60" t="s">
        <v>194</v>
      </c>
      <c r="I87" s="60" t="s">
        <v>194</v>
      </c>
      <c r="J87" s="64"/>
      <c r="K87" s="65" t="s">
        <v>194</v>
      </c>
      <c r="L87" s="19">
        <f t="shared" si="28"/>
        <v>8998.5</v>
      </c>
      <c r="M87" s="19">
        <f>2571/2</f>
        <v>1285.5</v>
      </c>
      <c r="N87" s="12">
        <f t="shared" si="29"/>
        <v>0.93422965116279066</v>
      </c>
      <c r="O87" s="12"/>
      <c r="P87" s="134">
        <f t="shared" si="36"/>
        <v>1373.4727443609022</v>
      </c>
      <c r="Q87" s="134">
        <f>(((1000+500+500+500)*4.33*15)*CMF)/SM134Units</f>
        <v>1373.4727443609022</v>
      </c>
      <c r="R87" s="138">
        <f t="shared" si="30"/>
        <v>1.1464714059773808</v>
      </c>
      <c r="S87" s="19"/>
      <c r="T87" s="134">
        <f t="shared" si="37"/>
        <v>98890.037593984962</v>
      </c>
      <c r="U87" s="134">
        <f>(((1000+500+500+500)*4.33*15)*CMF)/SM134Units</f>
        <v>1373.4727443609022</v>
      </c>
      <c r="V87" s="138">
        <f t="shared" si="31"/>
        <v>1.2407161195672107</v>
      </c>
      <c r="W87" s="19"/>
      <c r="X87" s="134">
        <f t="shared" si="38"/>
        <v>83781.837406015038</v>
      </c>
      <c r="Y87" s="134">
        <f>(((1000+500+500+500)*4.33*15)*CMF)/SM134Units</f>
        <v>1373.4727443609022</v>
      </c>
      <c r="Z87" s="138">
        <f t="shared" si="32"/>
        <v>1.0671893895578106</v>
      </c>
      <c r="AA87" s="19"/>
      <c r="AB87" s="134">
        <f t="shared" si="34"/>
        <v>182671.875</v>
      </c>
      <c r="AC87" s="133">
        <f t="shared" si="39"/>
        <v>1373.4727443609022</v>
      </c>
      <c r="AD87" s="138">
        <f t="shared" si="33"/>
        <v>1.1455152163143472</v>
      </c>
      <c r="AE87" s="19"/>
      <c r="AF87" s="62"/>
      <c r="AH87" s="19"/>
      <c r="AJ87" s="8">
        <f>0.5*AJ78/12</f>
        <v>27368.255550753151</v>
      </c>
      <c r="AL87" s="19"/>
    </row>
    <row r="88" spans="1:38" s="8" customFormat="1" ht="12.75" thickBot="1">
      <c r="A88" s="79"/>
      <c r="B88" s="26" t="s">
        <v>254</v>
      </c>
      <c r="C88" s="26"/>
      <c r="D88" s="80">
        <f>SUM(D9:D87)</f>
        <v>0.99999999999999978</v>
      </c>
      <c r="E88" s="81" t="s">
        <v>198</v>
      </c>
      <c r="F88" s="81" t="s">
        <v>198</v>
      </c>
      <c r="G88" s="81"/>
      <c r="H88" s="81" t="s">
        <v>198</v>
      </c>
      <c r="I88" s="81" t="s">
        <v>198</v>
      </c>
      <c r="J88" s="81"/>
      <c r="K88" s="81"/>
      <c r="L88" s="22">
        <f>+SUM(L9:L87)</f>
        <v>703028.20000000007</v>
      </c>
      <c r="M88" s="22">
        <f>+SUM(M9:M87)</f>
        <v>60898.049999999996</v>
      </c>
      <c r="N88" s="82">
        <f t="shared" si="29"/>
        <v>44.257303779069765</v>
      </c>
      <c r="O88" s="82"/>
      <c r="P88" s="21">
        <f>+SUM(P9:P87)</f>
        <v>68702.035872488355</v>
      </c>
      <c r="Q88" s="22">
        <f>+SUM(Q9:Q87)</f>
        <v>68702.035872488355</v>
      </c>
      <c r="R88" s="21">
        <f>+Q88/Q$8</f>
        <v>57.347275352661399</v>
      </c>
      <c r="S88" s="36"/>
      <c r="T88" s="22">
        <f>+SUM(T9:T87)</f>
        <v>4682102.4296054998</v>
      </c>
      <c r="U88" s="22">
        <f>+SUM(U9:U87)</f>
        <v>65029.200411187485</v>
      </c>
      <c r="V88" s="21">
        <f>+U88/U$8</f>
        <v>58.743631807757438</v>
      </c>
      <c r="W88" s="37"/>
      <c r="X88" s="22">
        <f>+SUM(X9:X87)</f>
        <v>4388688.280409161</v>
      </c>
      <c r="Y88" s="22">
        <f>+SUM(Y9:Y87)</f>
        <v>71945.709514904273</v>
      </c>
      <c r="Z88" s="21">
        <f>+Y88/Y$8</f>
        <v>55.901872194952816</v>
      </c>
      <c r="AA88" s="37"/>
      <c r="AB88" s="44">
        <f>+SUM(AB9:AB87)</f>
        <v>9070790.7100146599</v>
      </c>
      <c r="AC88" s="22">
        <f>+SUM(AC9:AC87)</f>
        <v>68201.433909884669</v>
      </c>
      <c r="AD88" s="21">
        <f>+AC88/AC$8</f>
        <v>56.881929866459274</v>
      </c>
      <c r="AE88" s="83"/>
      <c r="AF88" s="84"/>
      <c r="AJ88" s="8">
        <f>+AJ87+AJ86</f>
        <v>34513.855550753149</v>
      </c>
    </row>
    <row r="89" spans="1:38" s="8" customFormat="1" ht="12.75" thickTop="1">
      <c r="A89" s="17"/>
      <c r="L89" s="10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62"/>
    </row>
    <row r="90" spans="1:38" s="86" customFormat="1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5" t="s">
        <v>253</v>
      </c>
      <c r="M90" s="85" t="s">
        <v>252</v>
      </c>
    </row>
    <row r="91" spans="1:38" s="8" customFormat="1">
      <c r="A91" s="87"/>
      <c r="B91" s="23" t="s">
        <v>238</v>
      </c>
      <c r="L91" s="8">
        <f>10.3*43560*2.5</f>
        <v>1121670.0000000002</v>
      </c>
      <c r="M91" s="8">
        <f>L91/10.3</f>
        <v>108900.00000000001</v>
      </c>
      <c r="P91" s="38">
        <f t="shared" ref="P91:P108" si="40">Q91*P$7</f>
        <v>8433.609022556393</v>
      </c>
      <c r="Q91" s="38">
        <f>+$L91/SM134Units</f>
        <v>8433.609022556393</v>
      </c>
      <c r="R91" s="11">
        <f t="shared" ref="R91:R120" si="41">+Q91/Q$8</f>
        <v>7.0397404194961544</v>
      </c>
      <c r="T91" s="38">
        <f t="shared" ref="T91:T101" si="42">U91*T$7</f>
        <v>607219.84962406033</v>
      </c>
      <c r="U91" s="38">
        <f>+$L91/SM134Units</f>
        <v>8433.609022556393</v>
      </c>
      <c r="V91" s="11">
        <f t="shared" ref="V91:V102" si="43">+U91/U$8</f>
        <v>7.6184363347392887</v>
      </c>
      <c r="X91" s="38">
        <f t="shared" ref="X91:X101" si="44">Y91*X$7</f>
        <v>514450.15037593996</v>
      </c>
      <c r="Y91" s="38">
        <f>+$L91/SM134Units</f>
        <v>8433.609022556393</v>
      </c>
      <c r="Z91" s="11">
        <f t="shared" ref="Z91:Z102" si="45">+Y91/Y$8</f>
        <v>6.552920763447081</v>
      </c>
      <c r="AB91" s="61">
        <f>+X91+T91</f>
        <v>1121670.0000000002</v>
      </c>
      <c r="AC91" s="38">
        <f t="shared" ref="AC91:AC102" si="46">+AB91/AB$7</f>
        <v>8433.609022556393</v>
      </c>
      <c r="AD91" s="11">
        <f t="shared" ref="AD91:AD102" si="47">+AC91/AC$8</f>
        <v>7.0338690763606282</v>
      </c>
    </row>
    <row r="92" spans="1:38" s="8" customFormat="1">
      <c r="A92" s="17"/>
      <c r="B92" s="27" t="s">
        <v>239</v>
      </c>
      <c r="P92" s="39"/>
      <c r="R92" s="12"/>
    </row>
    <row r="93" spans="1:38" s="8" customFormat="1">
      <c r="A93" s="17"/>
      <c r="B93" s="8" t="s">
        <v>249</v>
      </c>
      <c r="L93" s="8">
        <f>+L148*CMF</f>
        <v>294300</v>
      </c>
      <c r="M93" s="8">
        <f t="shared" ref="M93:M102" si="48">L93/10.3</f>
        <v>28572.815533980582</v>
      </c>
      <c r="P93" s="39">
        <f t="shared" si="40"/>
        <v>2212.781954887218</v>
      </c>
      <c r="Q93" s="8">
        <f>+$L93/SM134Units</f>
        <v>2212.781954887218</v>
      </c>
      <c r="R93" s="11">
        <f t="shared" si="41"/>
        <v>1.8470634014083622</v>
      </c>
      <c r="T93" s="38">
        <f t="shared" si="42"/>
        <v>159320.30075187969</v>
      </c>
      <c r="U93" s="8">
        <f>+$L93/SM134Units</f>
        <v>2212.781954887218</v>
      </c>
      <c r="V93" s="11">
        <f t="shared" si="43"/>
        <v>1.9988996882450027</v>
      </c>
      <c r="X93" s="38">
        <f t="shared" si="44"/>
        <v>134979.69924812031</v>
      </c>
      <c r="Y93" s="8">
        <f>+$L93/SM134Units</f>
        <v>2212.781954887218</v>
      </c>
      <c r="Z93" s="11">
        <f t="shared" si="45"/>
        <v>1.7193332982806666</v>
      </c>
      <c r="AB93" s="61">
        <f>+X93+T93</f>
        <v>294300</v>
      </c>
      <c r="AC93" s="38">
        <f t="shared" si="46"/>
        <v>2212.781954887218</v>
      </c>
      <c r="AD93" s="11">
        <f t="shared" si="47"/>
        <v>1.8455228981544771</v>
      </c>
    </row>
    <row r="94" spans="1:38" s="8" customFormat="1">
      <c r="A94" s="17"/>
      <c r="B94" s="8" t="s">
        <v>250</v>
      </c>
      <c r="L94" s="8">
        <f>+L149*8*CMF</f>
        <v>41202</v>
      </c>
      <c r="M94" s="8">
        <f t="shared" si="48"/>
        <v>4000.1941747572814</v>
      </c>
      <c r="P94" s="39">
        <f t="shared" si="40"/>
        <v>309.78947368421052</v>
      </c>
      <c r="Q94" s="8">
        <f t="shared" ref="Q94:Q108" si="49">+$L94/SM134Units</f>
        <v>309.78947368421052</v>
      </c>
      <c r="R94" s="12">
        <f t="shared" si="41"/>
        <v>0.25858887619717069</v>
      </c>
      <c r="T94" s="39">
        <f t="shared" si="42"/>
        <v>22304.842105263157</v>
      </c>
      <c r="U94" s="8">
        <f t="shared" ref="U94:U108" si="50">+$L94/SM134Units</f>
        <v>309.78947368421052</v>
      </c>
      <c r="V94" s="12">
        <f t="shared" si="43"/>
        <v>0.27984595635430037</v>
      </c>
      <c r="X94" s="39">
        <f t="shared" si="44"/>
        <v>18897.157894736843</v>
      </c>
      <c r="Y94" s="8">
        <f t="shared" ref="Y94:Y108" si="51">+$L94/SM134Units</f>
        <v>309.78947368421052</v>
      </c>
      <c r="Z94" s="12">
        <f t="shared" si="45"/>
        <v>0.24070666175929334</v>
      </c>
      <c r="AB94" s="19">
        <f t="shared" ref="AB94:AB99" si="52">+X94+T94</f>
        <v>41202</v>
      </c>
      <c r="AC94" s="40">
        <f t="shared" si="46"/>
        <v>309.78947368421052</v>
      </c>
      <c r="AD94" s="12">
        <f t="shared" si="47"/>
        <v>0.25837320574162681</v>
      </c>
    </row>
    <row r="95" spans="1:38" s="8" customFormat="1">
      <c r="A95" s="17"/>
      <c r="B95" s="8" t="s">
        <v>251</v>
      </c>
      <c r="L95" s="8">
        <f>L147*0.5*CMF</f>
        <v>73575</v>
      </c>
      <c r="M95" s="8">
        <f t="shared" si="48"/>
        <v>7143.2038834951454</v>
      </c>
      <c r="P95" s="39">
        <f t="shared" si="40"/>
        <v>553.19548872180451</v>
      </c>
      <c r="Q95" s="8">
        <f t="shared" si="49"/>
        <v>553.19548872180451</v>
      </c>
      <c r="R95" s="12">
        <f t="shared" si="41"/>
        <v>0.46176585035209056</v>
      </c>
      <c r="T95" s="39">
        <f t="shared" si="42"/>
        <v>39830.075187969924</v>
      </c>
      <c r="U95" s="8">
        <f t="shared" si="50"/>
        <v>553.19548872180451</v>
      </c>
      <c r="V95" s="12">
        <f t="shared" si="43"/>
        <v>0.49972492206125069</v>
      </c>
      <c r="X95" s="39">
        <f t="shared" si="44"/>
        <v>33744.924812030076</v>
      </c>
      <c r="Y95" s="8">
        <f t="shared" si="51"/>
        <v>553.19548872180451</v>
      </c>
      <c r="Z95" s="12">
        <f t="shared" si="45"/>
        <v>0.42983332457016665</v>
      </c>
      <c r="AB95" s="19">
        <f t="shared" si="52"/>
        <v>73575</v>
      </c>
      <c r="AC95" s="40">
        <f t="shared" si="46"/>
        <v>553.19548872180451</v>
      </c>
      <c r="AD95" s="12">
        <f t="shared" si="47"/>
        <v>0.46138072453861928</v>
      </c>
    </row>
    <row r="96" spans="1:38" s="8" customFormat="1">
      <c r="A96" s="17"/>
      <c r="B96" s="8" t="s">
        <v>240</v>
      </c>
      <c r="L96" s="8">
        <f>545*4*35*CMF</f>
        <v>85837.5</v>
      </c>
      <c r="M96" s="8">
        <f t="shared" si="48"/>
        <v>8333.7378640776697</v>
      </c>
      <c r="P96" s="39">
        <f t="shared" si="40"/>
        <v>645.39473684210532</v>
      </c>
      <c r="Q96" s="8">
        <f t="shared" si="49"/>
        <v>645.39473684210532</v>
      </c>
      <c r="R96" s="12">
        <f t="shared" si="41"/>
        <v>0.53872682541077244</v>
      </c>
      <c r="T96" s="39">
        <f t="shared" si="42"/>
        <v>46468.42105263158</v>
      </c>
      <c r="U96" s="8">
        <f t="shared" si="50"/>
        <v>645.39473684210532</v>
      </c>
      <c r="V96" s="12">
        <f t="shared" si="43"/>
        <v>0.58301240907145924</v>
      </c>
      <c r="X96" s="39">
        <f t="shared" si="44"/>
        <v>39369.078947368427</v>
      </c>
      <c r="Y96" s="8">
        <f t="shared" si="51"/>
        <v>645.39473684210532</v>
      </c>
      <c r="Z96" s="12">
        <f t="shared" si="45"/>
        <v>0.50147221199852787</v>
      </c>
      <c r="AB96" s="19">
        <f t="shared" si="52"/>
        <v>85837.5</v>
      </c>
      <c r="AC96" s="40">
        <f t="shared" si="46"/>
        <v>645.39473684210532</v>
      </c>
      <c r="AD96" s="12">
        <f t="shared" si="47"/>
        <v>0.53827751196172258</v>
      </c>
    </row>
    <row r="97" spans="1:30" s="8" customFormat="1">
      <c r="A97" s="17"/>
      <c r="B97" s="8" t="s">
        <v>241</v>
      </c>
      <c r="L97" s="8">
        <f>N141*1.5*CMF</f>
        <v>237908.27980621456</v>
      </c>
      <c r="M97" s="8">
        <f t="shared" si="48"/>
        <v>23097.891243321799</v>
      </c>
      <c r="P97" s="39">
        <f t="shared" si="40"/>
        <v>1788.7840586933426</v>
      </c>
      <c r="Q97" s="8">
        <f t="shared" si="49"/>
        <v>1788.7840586933426</v>
      </c>
      <c r="R97" s="12">
        <f t="shared" si="41"/>
        <v>1.4931419521647267</v>
      </c>
      <c r="T97" s="39">
        <f t="shared" si="42"/>
        <v>128792.45222592066</v>
      </c>
      <c r="U97" s="8">
        <f t="shared" si="50"/>
        <v>1788.7840586933426</v>
      </c>
      <c r="V97" s="12">
        <f t="shared" si="43"/>
        <v>1.6158844251972382</v>
      </c>
      <c r="X97" s="39">
        <f t="shared" si="44"/>
        <v>109115.8275802939</v>
      </c>
      <c r="Y97" s="8">
        <f t="shared" si="51"/>
        <v>1788.7840586933426</v>
      </c>
      <c r="Z97" s="12">
        <f t="shared" si="45"/>
        <v>1.3898866034913306</v>
      </c>
      <c r="AB97" s="19">
        <f t="shared" si="52"/>
        <v>237908.27980621456</v>
      </c>
      <c r="AC97" s="40">
        <f t="shared" si="46"/>
        <v>1788.7840586933426</v>
      </c>
      <c r="AD97" s="12">
        <f t="shared" si="47"/>
        <v>1.4918966294356486</v>
      </c>
    </row>
    <row r="98" spans="1:30" s="8" customFormat="1">
      <c r="A98" s="17"/>
      <c r="B98" s="8" t="s">
        <v>242</v>
      </c>
      <c r="L98" s="8">
        <f>+L158*CMF</f>
        <v>11250</v>
      </c>
      <c r="M98" s="8">
        <f t="shared" si="48"/>
        <v>1092.2330097087379</v>
      </c>
      <c r="P98" s="39">
        <f t="shared" si="40"/>
        <v>84.58646616541354</v>
      </c>
      <c r="Q98" s="8">
        <f t="shared" si="49"/>
        <v>84.58646616541354</v>
      </c>
      <c r="R98" s="12">
        <f t="shared" si="41"/>
        <v>7.060639913640529E-2</v>
      </c>
      <c r="T98" s="39">
        <f t="shared" si="42"/>
        <v>6090.2255639097748</v>
      </c>
      <c r="U98" s="8">
        <f t="shared" si="50"/>
        <v>84.58646616541354</v>
      </c>
      <c r="V98" s="12">
        <f t="shared" si="43"/>
        <v>7.6410538541475642E-2</v>
      </c>
      <c r="X98" s="39">
        <f t="shared" si="44"/>
        <v>5159.7744360902261</v>
      </c>
      <c r="Y98" s="8">
        <f t="shared" si="51"/>
        <v>84.58646616541354</v>
      </c>
      <c r="Z98" s="12">
        <f t="shared" si="45"/>
        <v>6.5723749934276252E-2</v>
      </c>
      <c r="AB98" s="19">
        <f t="shared" si="52"/>
        <v>11250</v>
      </c>
      <c r="AC98" s="40">
        <f t="shared" si="46"/>
        <v>84.58646616541354</v>
      </c>
      <c r="AD98" s="12">
        <f t="shared" si="47"/>
        <v>7.0547511397342402E-2</v>
      </c>
    </row>
    <row r="99" spans="1:30" s="8" customFormat="1">
      <c r="A99" s="17"/>
      <c r="B99" s="8" t="s">
        <v>243</v>
      </c>
      <c r="L99" s="8">
        <f>+L161*CMF</f>
        <v>35437.5</v>
      </c>
      <c r="M99" s="8">
        <f t="shared" si="48"/>
        <v>3440.5339805825242</v>
      </c>
      <c r="P99" s="39">
        <f t="shared" si="40"/>
        <v>266.44736842105266</v>
      </c>
      <c r="Q99" s="8">
        <f t="shared" si="49"/>
        <v>266.44736842105266</v>
      </c>
      <c r="R99" s="12">
        <f t="shared" si="41"/>
        <v>0.22241015727967667</v>
      </c>
      <c r="T99" s="39">
        <f t="shared" si="42"/>
        <v>19184.21052631579</v>
      </c>
      <c r="U99" s="8">
        <f t="shared" si="50"/>
        <v>266.44736842105266</v>
      </c>
      <c r="V99" s="12">
        <f t="shared" si="43"/>
        <v>0.24069319640564829</v>
      </c>
      <c r="X99" s="39">
        <f t="shared" si="44"/>
        <v>16253.289473684212</v>
      </c>
      <c r="Y99" s="8">
        <f t="shared" si="51"/>
        <v>266.44736842105266</v>
      </c>
      <c r="Z99" s="12">
        <f t="shared" si="45"/>
        <v>0.20702981229297021</v>
      </c>
      <c r="AB99" s="19">
        <f t="shared" si="52"/>
        <v>35437.5</v>
      </c>
      <c r="AC99" s="40">
        <f t="shared" si="46"/>
        <v>266.44736842105266</v>
      </c>
      <c r="AD99" s="12">
        <f t="shared" si="47"/>
        <v>0.22222466090162857</v>
      </c>
    </row>
    <row r="100" spans="1:30" s="8" customFormat="1">
      <c r="A100" s="17"/>
      <c r="B100" s="8" t="s">
        <v>228</v>
      </c>
      <c r="L100" s="8">
        <f>+L157*CMF</f>
        <v>28125</v>
      </c>
      <c r="M100" s="8">
        <f t="shared" si="48"/>
        <v>2730.5825242718442</v>
      </c>
      <c r="P100" s="39">
        <f t="shared" si="40"/>
        <v>211.46616541353384</v>
      </c>
      <c r="Q100" s="8">
        <f t="shared" si="49"/>
        <v>211.46616541353384</v>
      </c>
      <c r="R100" s="12">
        <f t="shared" si="41"/>
        <v>0.17651599784101321</v>
      </c>
      <c r="T100" s="39">
        <f t="shared" si="42"/>
        <v>15225.563909774437</v>
      </c>
      <c r="U100" s="8">
        <f t="shared" si="50"/>
        <v>211.46616541353384</v>
      </c>
      <c r="V100" s="12">
        <f t="shared" si="43"/>
        <v>0.19102634635368912</v>
      </c>
      <c r="X100" s="39">
        <f t="shared" si="44"/>
        <v>12899.436090225565</v>
      </c>
      <c r="Y100" s="8">
        <f t="shared" si="51"/>
        <v>211.46616541353384</v>
      </c>
      <c r="Z100" s="12">
        <f t="shared" si="45"/>
        <v>0.16430937483569064</v>
      </c>
      <c r="AB100" s="19">
        <f>+X100+T100</f>
        <v>28125</v>
      </c>
      <c r="AC100" s="40">
        <f t="shared" si="46"/>
        <v>211.46616541353384</v>
      </c>
      <c r="AD100" s="12">
        <f t="shared" si="47"/>
        <v>0.176368778493356</v>
      </c>
    </row>
    <row r="101" spans="1:30" s="8" customFormat="1">
      <c r="A101" s="17"/>
      <c r="B101" s="8" t="s">
        <v>232</v>
      </c>
      <c r="L101" s="8">
        <f>+L160*CMF</f>
        <v>16875</v>
      </c>
      <c r="M101" s="8">
        <f t="shared" si="48"/>
        <v>1638.3495145631066</v>
      </c>
      <c r="P101" s="39">
        <f t="shared" si="40"/>
        <v>126.8796992481203</v>
      </c>
      <c r="Q101" s="8">
        <f t="shared" si="49"/>
        <v>126.8796992481203</v>
      </c>
      <c r="R101" s="12">
        <f t="shared" si="41"/>
        <v>0.10590959870460794</v>
      </c>
      <c r="T101" s="39">
        <f t="shared" si="42"/>
        <v>9135.3383458646622</v>
      </c>
      <c r="U101" s="8">
        <f t="shared" si="50"/>
        <v>126.8796992481203</v>
      </c>
      <c r="V101" s="12">
        <f t="shared" si="43"/>
        <v>0.11461580781221346</v>
      </c>
      <c r="X101" s="39">
        <f t="shared" si="44"/>
        <v>7739.6616541353387</v>
      </c>
      <c r="Y101" s="8">
        <f t="shared" si="51"/>
        <v>126.8796992481203</v>
      </c>
      <c r="Z101" s="12">
        <f t="shared" si="45"/>
        <v>9.858562490141437E-2</v>
      </c>
      <c r="AB101" s="19">
        <f>+X101+T101</f>
        <v>16875</v>
      </c>
      <c r="AC101" s="40">
        <f t="shared" si="46"/>
        <v>126.8796992481203</v>
      </c>
      <c r="AD101" s="12">
        <f t="shared" si="47"/>
        <v>0.1058212670960136</v>
      </c>
    </row>
    <row r="102" spans="1:30" s="8" customFormat="1">
      <c r="A102" s="17"/>
      <c r="B102" s="8" t="s">
        <v>256</v>
      </c>
      <c r="L102" s="8">
        <f>15000*CMF</f>
        <v>16875</v>
      </c>
      <c r="M102" s="8">
        <f t="shared" si="48"/>
        <v>1638.3495145631066</v>
      </c>
      <c r="P102" s="39">
        <f>Q102*P$7</f>
        <v>126.8796992481203</v>
      </c>
      <c r="Q102" s="8">
        <f t="shared" si="49"/>
        <v>126.8796992481203</v>
      </c>
      <c r="R102" s="12">
        <f t="shared" si="41"/>
        <v>0.10590959870460794</v>
      </c>
      <c r="T102" s="39">
        <f>U102*T$7</f>
        <v>9135.3383458646622</v>
      </c>
      <c r="U102" s="8">
        <f t="shared" si="50"/>
        <v>126.8796992481203</v>
      </c>
      <c r="V102" s="12">
        <f t="shared" si="43"/>
        <v>0.11461580781221346</v>
      </c>
      <c r="X102" s="39">
        <f>Y102*X$7</f>
        <v>7739.6616541353387</v>
      </c>
      <c r="Y102" s="8">
        <f t="shared" si="51"/>
        <v>126.8796992481203</v>
      </c>
      <c r="Z102" s="12">
        <f t="shared" si="45"/>
        <v>9.858562490141437E-2</v>
      </c>
      <c r="AB102" s="19">
        <f>+X102+T102</f>
        <v>16875</v>
      </c>
      <c r="AC102" s="40">
        <f t="shared" si="46"/>
        <v>126.8796992481203</v>
      </c>
      <c r="AD102" s="12">
        <f t="shared" si="47"/>
        <v>0.1058212670960136</v>
      </c>
    </row>
    <row r="103" spans="1:30" s="8" customFormat="1">
      <c r="A103" s="17"/>
      <c r="B103" s="28" t="s">
        <v>263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>
        <f>SUM(L93:L101)</f>
        <v>824510.27980621462</v>
      </c>
      <c r="M103" s="28">
        <f>SUM(M93:M101)</f>
        <v>80049.54172875869</v>
      </c>
      <c r="P103" s="41">
        <f>SUM(P93:P102)</f>
        <v>6326.2051113249208</v>
      </c>
      <c r="Q103" s="41">
        <f>SUM(Q93:Q102)</f>
        <v>6326.2051113249208</v>
      </c>
      <c r="R103" s="42">
        <f>SUM(R93:R102)</f>
        <v>5.280638657199435</v>
      </c>
      <c r="T103" s="41">
        <f>SUM(T93:T102)</f>
        <v>455486.76801539434</v>
      </c>
      <c r="U103" s="41">
        <f>SUM(U93:U102)</f>
        <v>6326.2051113249208</v>
      </c>
      <c r="V103" s="42">
        <f>SUM(V93:V102)</f>
        <v>5.7147290978544909</v>
      </c>
      <c r="X103" s="41">
        <f>SUM(X93:X102)</f>
        <v>385898.51179082022</v>
      </c>
      <c r="Y103" s="41">
        <f>SUM(Y93:Y102)</f>
        <v>6326.2051113249208</v>
      </c>
      <c r="Z103" s="42">
        <f>SUM(Z93:Z102)</f>
        <v>4.9154662869657511</v>
      </c>
      <c r="AB103" s="41">
        <f>SUM(AB93:AB102)</f>
        <v>841385.27980621462</v>
      </c>
      <c r="AC103" s="41">
        <f>SUM(AC93:AC102)</f>
        <v>6326.2051113249208</v>
      </c>
      <c r="AD103" s="42">
        <f>SUM(AD93:AD102)</f>
        <v>5.276234454816449</v>
      </c>
    </row>
    <row r="104" spans="1:30" s="8" customFormat="1">
      <c r="A104" s="17"/>
      <c r="P104" s="39"/>
      <c r="R104" s="12"/>
      <c r="U104" s="8">
        <f t="shared" si="50"/>
        <v>0</v>
      </c>
      <c r="Y104" s="8">
        <f t="shared" si="51"/>
        <v>0</v>
      </c>
    </row>
    <row r="105" spans="1:30" s="8" customFormat="1">
      <c r="A105" s="17"/>
      <c r="B105" s="27" t="s">
        <v>247</v>
      </c>
      <c r="P105" s="39"/>
      <c r="R105" s="12"/>
      <c r="U105" s="8">
        <f t="shared" si="50"/>
        <v>0</v>
      </c>
      <c r="Y105" s="8">
        <f t="shared" si="51"/>
        <v>0</v>
      </c>
    </row>
    <row r="106" spans="1:30" s="8" customFormat="1">
      <c r="A106" s="17"/>
      <c r="B106" s="8" t="s">
        <v>244</v>
      </c>
      <c r="L106" s="8">
        <f>75000*CMF</f>
        <v>84375</v>
      </c>
      <c r="M106" s="8">
        <f>L106/10.3</f>
        <v>8191.7475728155332</v>
      </c>
      <c r="P106" s="38">
        <f t="shared" si="40"/>
        <v>634.3984962406015</v>
      </c>
      <c r="Q106" s="38">
        <f t="shared" si="49"/>
        <v>634.3984962406015</v>
      </c>
      <c r="R106" s="11">
        <f t="shared" si="41"/>
        <v>0.52954799352303961</v>
      </c>
      <c r="T106" s="38">
        <f>U106*T$7</f>
        <v>45676.691729323305</v>
      </c>
      <c r="U106" s="38">
        <f t="shared" si="50"/>
        <v>634.3984962406015</v>
      </c>
      <c r="V106" s="11">
        <f t="shared" ref="V106:V114" si="53">+U106/U$8</f>
        <v>0.57307903906106727</v>
      </c>
      <c r="X106" s="38">
        <f>Y106*X$7</f>
        <v>38698.308270676695</v>
      </c>
      <c r="Y106" s="38">
        <f t="shared" si="51"/>
        <v>634.3984962406015</v>
      </c>
      <c r="Z106" s="11">
        <f t="shared" ref="Z106:Z114" si="54">+Y106/Y$8</f>
        <v>0.49292812450707185</v>
      </c>
      <c r="AB106" s="61">
        <f>+X106+T106</f>
        <v>84375</v>
      </c>
      <c r="AC106" s="40">
        <f>+AB106/AB$7</f>
        <v>634.3984962406015</v>
      </c>
      <c r="AD106" s="12">
        <f>+AC106/AC$8</f>
        <v>0.52910633548006802</v>
      </c>
    </row>
    <row r="107" spans="1:30" s="8" customFormat="1">
      <c r="A107" s="17"/>
      <c r="B107" s="8" t="s">
        <v>246</v>
      </c>
      <c r="L107" s="8">
        <f>4000*CMF</f>
        <v>4500</v>
      </c>
      <c r="M107" s="8">
        <f>L107/10.3</f>
        <v>436.89320388349512</v>
      </c>
      <c r="P107" s="39">
        <f t="shared" si="40"/>
        <v>33.834586466165412</v>
      </c>
      <c r="Q107" s="8">
        <f t="shared" si="49"/>
        <v>33.834586466165412</v>
      </c>
      <c r="R107" s="12">
        <f t="shared" si="41"/>
        <v>2.8242559654562113E-2</v>
      </c>
      <c r="T107" s="39">
        <f>U107*T$7</f>
        <v>2436.0902255639098</v>
      </c>
      <c r="U107" s="8">
        <f t="shared" si="50"/>
        <v>33.834586466165412</v>
      </c>
      <c r="V107" s="12">
        <f t="shared" si="53"/>
        <v>3.0564215416590254E-2</v>
      </c>
      <c r="X107" s="39">
        <f>Y107*X$7</f>
        <v>2063.9097744360902</v>
      </c>
      <c r="Y107" s="8">
        <f t="shared" si="51"/>
        <v>33.834586466165412</v>
      </c>
      <c r="Z107" s="12">
        <f t="shared" si="54"/>
        <v>2.6289499973710499E-2</v>
      </c>
      <c r="AB107" s="19">
        <f>+X107+T107</f>
        <v>4500</v>
      </c>
      <c r="AC107" s="40">
        <f>+AB107/AB$7</f>
        <v>33.834586466165412</v>
      </c>
      <c r="AD107" s="12">
        <f>+AC107/AC$8</f>
        <v>2.8219004558936958E-2</v>
      </c>
    </row>
    <row r="108" spans="1:30" s="8" customFormat="1">
      <c r="A108" s="17"/>
      <c r="B108" s="8" t="s">
        <v>245</v>
      </c>
      <c r="L108" s="8">
        <f>4000*CMF</f>
        <v>4500</v>
      </c>
      <c r="M108" s="8">
        <f>L108/10.3</f>
        <v>436.89320388349512</v>
      </c>
      <c r="P108" s="39">
        <f t="shared" si="40"/>
        <v>33.834586466165412</v>
      </c>
      <c r="Q108" s="8">
        <f t="shared" si="49"/>
        <v>33.834586466165412</v>
      </c>
      <c r="R108" s="12">
        <f t="shared" si="41"/>
        <v>2.8242559654562113E-2</v>
      </c>
      <c r="T108" s="39">
        <f>U108*T$7</f>
        <v>2436.0902255639098</v>
      </c>
      <c r="U108" s="8">
        <f t="shared" si="50"/>
        <v>33.834586466165412</v>
      </c>
      <c r="V108" s="12">
        <f t="shared" si="53"/>
        <v>3.0564215416590254E-2</v>
      </c>
      <c r="X108" s="39">
        <f>Y108*X$7</f>
        <v>2063.9097744360902</v>
      </c>
      <c r="Y108" s="8">
        <f t="shared" si="51"/>
        <v>33.834586466165412</v>
      </c>
      <c r="Z108" s="12">
        <f t="shared" si="54"/>
        <v>2.6289499973710499E-2</v>
      </c>
      <c r="AB108" s="19">
        <f>+X108+T108</f>
        <v>4500</v>
      </c>
      <c r="AC108" s="40">
        <f>+AB108/AB$7</f>
        <v>33.834586466165412</v>
      </c>
      <c r="AD108" s="12">
        <f>+AC108/AC$8</f>
        <v>2.8219004558936958E-2</v>
      </c>
    </row>
    <row r="109" spans="1:30" s="8" customFormat="1">
      <c r="A109" s="17"/>
      <c r="B109" s="20" t="s">
        <v>359</v>
      </c>
      <c r="P109" s="39">
        <v>0</v>
      </c>
      <c r="Q109" s="8">
        <v>0</v>
      </c>
      <c r="R109" s="12">
        <f t="shared" si="41"/>
        <v>0</v>
      </c>
      <c r="T109" s="39">
        <f>U109*T$7</f>
        <v>53687.712194592415</v>
      </c>
      <c r="U109" s="8">
        <f>+$Q123/SM134Units</f>
        <v>745.66266936933914</v>
      </c>
      <c r="V109" s="12">
        <f t="shared" si="53"/>
        <v>0.67358868055044185</v>
      </c>
      <c r="X109" s="39">
        <f>Y109*X$7</f>
        <v>45485.422831529686</v>
      </c>
      <c r="Y109" s="8">
        <f>+$Q123/SM134Units</f>
        <v>745.66266936933914</v>
      </c>
      <c r="Z109" s="12">
        <f t="shared" si="54"/>
        <v>0.57938047348044996</v>
      </c>
      <c r="AB109" s="19">
        <f>+X109+T109</f>
        <v>99173.135026122094</v>
      </c>
      <c r="AC109" s="40">
        <f>+AB109/AB$7</f>
        <v>745.66266936933903</v>
      </c>
      <c r="AD109" s="12">
        <f>+AC109/AC$8</f>
        <v>0.62190381098360215</v>
      </c>
    </row>
    <row r="110" spans="1:30" s="8" customFormat="1">
      <c r="A110" s="17"/>
      <c r="B110" s="28" t="s">
        <v>248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>
        <f>SUM(L106:L108)</f>
        <v>93375</v>
      </c>
      <c r="M110" s="28">
        <f>SUM(M106:M108)</f>
        <v>9065.5339805825242</v>
      </c>
      <c r="P110" s="41">
        <f>SUM(P106:P109)</f>
        <v>702.06766917293237</v>
      </c>
      <c r="Q110" s="41">
        <f>SUM(Q106:Q108)</f>
        <v>702.06766917293237</v>
      </c>
      <c r="R110" s="42">
        <f>+Q110/Q$8</f>
        <v>0.58603311283216386</v>
      </c>
      <c r="T110" s="41">
        <f>SUM(T106:T109)</f>
        <v>104236.58437504355</v>
      </c>
      <c r="U110" s="41">
        <f>SUM(U106:U108)</f>
        <v>702.06766917293237</v>
      </c>
      <c r="V110" s="42">
        <f t="shared" si="53"/>
        <v>0.63420746989424781</v>
      </c>
      <c r="X110" s="41">
        <f>SUM(X106:X109)</f>
        <v>88311.550651078564</v>
      </c>
      <c r="Y110" s="41">
        <f>SUM(Y106:Y108)</f>
        <v>702.06766917293237</v>
      </c>
      <c r="Z110" s="42">
        <f t="shared" si="54"/>
        <v>0.5455071244544929</v>
      </c>
      <c r="AB110" s="41">
        <f>SUM(AB106:AB109)</f>
        <v>192548.13502612209</v>
      </c>
      <c r="AC110" s="41">
        <f>SUM(AC106:AC108)</f>
        <v>702.06766917293237</v>
      </c>
      <c r="AD110" s="42">
        <f>SUM(AD106:AD108)</f>
        <v>0.58554434459794202</v>
      </c>
    </row>
    <row r="111" spans="1:30" s="8" customFormat="1">
      <c r="A111" s="17"/>
      <c r="B111" s="45" t="s">
        <v>264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>
        <f>+L110+L103</f>
        <v>917885.27980621462</v>
      </c>
      <c r="M111" s="28">
        <f>+M110+M103</f>
        <v>89115.07570934121</v>
      </c>
      <c r="P111" s="41">
        <f>+P110+P103</f>
        <v>7028.2727804978531</v>
      </c>
      <c r="Q111" s="41">
        <f>+Q110+Q103</f>
        <v>7028.2727804978531</v>
      </c>
      <c r="R111" s="42">
        <f>+Q111/Q$8</f>
        <v>5.8666717700315969</v>
      </c>
      <c r="T111" s="41">
        <f>+T110+T103</f>
        <v>559723.35239043785</v>
      </c>
      <c r="U111" s="41">
        <f>+U110+U103</f>
        <v>7028.2727804978531</v>
      </c>
      <c r="V111" s="42">
        <f t="shared" si="53"/>
        <v>6.3489365677487379</v>
      </c>
      <c r="X111" s="41">
        <f>+X110+X103</f>
        <v>474210.0624418988</v>
      </c>
      <c r="Y111" s="41">
        <f>+Y110+Y103</f>
        <v>7028.2727804978531</v>
      </c>
      <c r="Z111" s="42">
        <f t="shared" si="54"/>
        <v>5.4609734114202428</v>
      </c>
      <c r="AB111" s="41">
        <f>+AB110+AB103</f>
        <v>1033933.4148323367</v>
      </c>
      <c r="AC111" s="41">
        <f>+AC110+AC103</f>
        <v>7028.2727804978531</v>
      </c>
      <c r="AD111" s="42">
        <f>+AD110+AD103</f>
        <v>5.8617787994143908</v>
      </c>
    </row>
    <row r="112" spans="1:30" s="8" customFormat="1">
      <c r="A112" s="17"/>
      <c r="B112" s="45" t="s">
        <v>255</v>
      </c>
      <c r="C112" s="45"/>
      <c r="D112" s="88"/>
      <c r="E112" s="89"/>
      <c r="F112" s="89"/>
      <c r="G112" s="89"/>
      <c r="H112" s="89"/>
      <c r="I112" s="89"/>
      <c r="J112" s="89"/>
      <c r="K112" s="89"/>
      <c r="L112" s="46">
        <f>+L111+L91</f>
        <v>2039555.2798062149</v>
      </c>
      <c r="M112" s="46">
        <f>+M111+M91</f>
        <v>198015.07570934121</v>
      </c>
      <c r="N112" s="90"/>
      <c r="O112" s="90"/>
      <c r="P112" s="46">
        <f>+P111+P91</f>
        <v>15461.881803054246</v>
      </c>
      <c r="Q112" s="46">
        <f>+Q111+Q91</f>
        <v>15461.881803054246</v>
      </c>
      <c r="R112" s="47">
        <f>+Q112/Q$8</f>
        <v>12.906412189527751</v>
      </c>
      <c r="S112" s="48"/>
      <c r="T112" s="46">
        <f>+T111+T91</f>
        <v>1166943.2020144982</v>
      </c>
      <c r="U112" s="46">
        <f>+U111+U91</f>
        <v>15461.881803054246</v>
      </c>
      <c r="V112" s="47">
        <f t="shared" si="53"/>
        <v>13.967372902488027</v>
      </c>
      <c r="W112" s="48"/>
      <c r="X112" s="46">
        <f>+X111+X91</f>
        <v>988660.21281783876</v>
      </c>
      <c r="Y112" s="46">
        <f>+Y111+Y91</f>
        <v>15461.881803054246</v>
      </c>
      <c r="Z112" s="47">
        <f t="shared" si="54"/>
        <v>12.013894174867325</v>
      </c>
      <c r="AA112" s="48"/>
      <c r="AB112" s="49">
        <f>+AB111+AB91</f>
        <v>2155603.4148323368</v>
      </c>
      <c r="AC112" s="46">
        <f>+AC111+AC91</f>
        <v>15461.881803054246</v>
      </c>
      <c r="AD112" s="47">
        <f>+AD111+AD91</f>
        <v>12.895647875775019</v>
      </c>
    </row>
    <row r="113" spans="1:30" s="8" customFormat="1">
      <c r="A113" s="17"/>
      <c r="B113" s="24" t="s">
        <v>217</v>
      </c>
      <c r="L113" s="8">
        <f>0.15*(L111+L88)</f>
        <v>243137.02197093217</v>
      </c>
      <c r="P113" s="8">
        <f>0.15*(P111+P88)</f>
        <v>11359.546297947931</v>
      </c>
      <c r="Q113" s="8">
        <f>0.15*(Q111+Q88)</f>
        <v>11359.546297947931</v>
      </c>
      <c r="R113" s="18">
        <f>+Q113/Q$8</f>
        <v>9.4820920684039489</v>
      </c>
      <c r="T113" s="8">
        <f>0.15*(T111+T88)</f>
        <v>786273.86729939061</v>
      </c>
      <c r="U113" s="8">
        <f>0.15*(U111+U88)</f>
        <v>10808.620978752801</v>
      </c>
      <c r="V113" s="18">
        <f t="shared" si="53"/>
        <v>9.763885256325926</v>
      </c>
      <c r="X113" s="8">
        <f>0.15*(X111+X88)</f>
        <v>729434.75142765895</v>
      </c>
      <c r="Y113" s="8">
        <f>0.15*(Y111+Y88)</f>
        <v>11846.097344310318</v>
      </c>
      <c r="Z113" s="18">
        <f t="shared" si="54"/>
        <v>9.2044268409559571</v>
      </c>
      <c r="AB113" s="8">
        <f>+X113+T113</f>
        <v>1515708.6187270496</v>
      </c>
      <c r="AC113" s="8">
        <f>0.15*(AC111+AC88)</f>
        <v>11284.456003557378</v>
      </c>
      <c r="AD113" s="8">
        <f>0.15*(AD111+AD88)</f>
        <v>9.4115562998810489</v>
      </c>
    </row>
    <row r="114" spans="1:30" s="8" customFormat="1">
      <c r="A114" s="17"/>
      <c r="B114" s="45" t="s">
        <v>265</v>
      </c>
      <c r="C114" s="45"/>
      <c r="D114" s="88"/>
      <c r="E114" s="89"/>
      <c r="F114" s="89"/>
      <c r="G114" s="89"/>
      <c r="H114" s="89"/>
      <c r="I114" s="89"/>
      <c r="J114" s="89"/>
      <c r="K114" s="89"/>
      <c r="L114" s="46">
        <f>+L113+L112+L88</f>
        <v>2985720.5017771474</v>
      </c>
      <c r="M114" s="46"/>
      <c r="N114" s="90"/>
      <c r="O114" s="90"/>
      <c r="P114" s="46">
        <f>+P113+P112+P88</f>
        <v>95523.463973490536</v>
      </c>
      <c r="Q114" s="46">
        <f>+Q113+Q112+Q88</f>
        <v>95523.463973490536</v>
      </c>
      <c r="R114" s="47">
        <f>+Q114/Q$8</f>
        <v>79.735779610593099</v>
      </c>
      <c r="S114" s="48"/>
      <c r="T114" s="46">
        <f>+T113+T112+T88</f>
        <v>6635319.4989193883</v>
      </c>
      <c r="U114" s="46">
        <f>+U113+U112+U88</f>
        <v>91299.703192994522</v>
      </c>
      <c r="V114" s="47">
        <f t="shared" si="53"/>
        <v>82.474889966571382</v>
      </c>
      <c r="W114" s="48"/>
      <c r="X114" s="46">
        <f>+X113+X112+X88</f>
        <v>6106783.2446546592</v>
      </c>
      <c r="Y114" s="46">
        <f>+Y113+Y112+Y88</f>
        <v>99253.688662268833</v>
      </c>
      <c r="Z114" s="47">
        <f t="shared" si="54"/>
        <v>77.120193210776094</v>
      </c>
      <c r="AA114" s="48"/>
      <c r="AB114" s="49">
        <f>+AB113+AB112+AB88</f>
        <v>12742102.743574046</v>
      </c>
      <c r="AC114" s="46">
        <f>+AC113+AC112+AC88</f>
        <v>94947.771716496296</v>
      </c>
      <c r="AD114" s="47">
        <f>+AD113+AD112+AD88</f>
        <v>79.189134042115342</v>
      </c>
    </row>
    <row r="115" spans="1:30" s="8" customFormat="1">
      <c r="A115" s="17"/>
      <c r="B115" s="24"/>
      <c r="R115" s="12"/>
    </row>
    <row r="116" spans="1:30" s="8" customFormat="1">
      <c r="A116" s="17"/>
      <c r="B116" s="27" t="s">
        <v>257</v>
      </c>
    </row>
    <row r="117" spans="1:30" s="8" customFormat="1">
      <c r="A117" s="17"/>
      <c r="B117" s="8" t="s">
        <v>69</v>
      </c>
      <c r="L117" s="8">
        <v>4000</v>
      </c>
      <c r="P117" s="38">
        <f>Q117*P$7</f>
        <v>30.075187969924812</v>
      </c>
      <c r="Q117" s="38">
        <f>+$L117/SM134Units</f>
        <v>30.075187969924812</v>
      </c>
      <c r="R117" s="11">
        <f t="shared" si="41"/>
        <v>2.5104497470721882E-2</v>
      </c>
      <c r="T117" s="38">
        <f>U117*T$7</f>
        <v>2165.4135338345864</v>
      </c>
      <c r="U117" s="38">
        <f>+$L117/SM134Units</f>
        <v>30.075187969924812</v>
      </c>
      <c r="V117" s="11">
        <f>+U117/U$8</f>
        <v>2.716819148141356E-2</v>
      </c>
      <c r="X117" s="38">
        <f>Y117*X$7</f>
        <v>1834.5864661654136</v>
      </c>
      <c r="Y117" s="38">
        <f>+$L117/SM134Units</f>
        <v>30.075187969924812</v>
      </c>
      <c r="Z117" s="11">
        <f>+Y117/Y$8</f>
        <v>2.3368444421075999E-2</v>
      </c>
      <c r="AB117" s="61">
        <f>+X117+T117</f>
        <v>4000</v>
      </c>
      <c r="AC117" s="40">
        <f>+AB117/AB$7</f>
        <v>30.075187969924812</v>
      </c>
      <c r="AD117" s="12">
        <f>+AC117/AC$8</f>
        <v>2.5083559607943964E-2</v>
      </c>
    </row>
    <row r="118" spans="1:30" s="8" customFormat="1">
      <c r="A118" s="17"/>
      <c r="B118" s="8" t="s">
        <v>258</v>
      </c>
      <c r="L118" s="8">
        <f>0.0075*0.75*13000000</f>
        <v>73125</v>
      </c>
      <c r="P118" s="39">
        <f>Q118*P$7</f>
        <v>549.81203007518798</v>
      </c>
      <c r="Q118" s="8">
        <f>+$L118/SM134Units</f>
        <v>549.81203007518798</v>
      </c>
      <c r="R118" s="12">
        <f t="shared" si="41"/>
        <v>0.45894159438663434</v>
      </c>
      <c r="T118" s="39">
        <f>U118*T$7</f>
        <v>39586.466165413534</v>
      </c>
      <c r="U118" s="8">
        <f>+$L118/SM134Units</f>
        <v>549.81203007518798</v>
      </c>
      <c r="V118" s="12">
        <f>+U118/U$8</f>
        <v>0.49666850051959166</v>
      </c>
      <c r="X118" s="39">
        <f>Y118*X$7</f>
        <v>33538.533834586466</v>
      </c>
      <c r="Y118" s="8">
        <f>+$L118/SM134Units</f>
        <v>549.81203007518798</v>
      </c>
      <c r="Z118" s="12">
        <f>+Y118/Y$8</f>
        <v>0.42720437457279564</v>
      </c>
      <c r="AB118" s="19">
        <f>+X118+T118</f>
        <v>73125</v>
      </c>
      <c r="AC118" s="40">
        <f>+AB118/AB$7</f>
        <v>549.81203007518798</v>
      </c>
      <c r="AD118" s="12">
        <f>+AC118/AC$8</f>
        <v>0.45855882408272558</v>
      </c>
    </row>
    <row r="119" spans="1:30" s="8" customFormat="1">
      <c r="A119" s="17"/>
      <c r="B119" s="8" t="s">
        <v>262</v>
      </c>
      <c r="L119" s="8">
        <f>0.0025*0.75*13000000</f>
        <v>24375</v>
      </c>
      <c r="P119" s="39">
        <f>Q119*P$7</f>
        <v>183.27067669172934</v>
      </c>
      <c r="Q119" s="8">
        <f>+$L119/SM134Units</f>
        <v>183.27067669172934</v>
      </c>
      <c r="R119" s="12">
        <f t="shared" si="41"/>
        <v>0.15298053146221147</v>
      </c>
      <c r="T119" s="39">
        <f>U119*T$7</f>
        <v>13195.488721804511</v>
      </c>
      <c r="U119" s="8">
        <f>+$L119/SM134Units</f>
        <v>183.27067669172934</v>
      </c>
      <c r="V119" s="12">
        <f>+U119/U$8</f>
        <v>0.16555616683986391</v>
      </c>
      <c r="X119" s="39">
        <f>Y119*X$7</f>
        <v>11179.511278195489</v>
      </c>
      <c r="Y119" s="8">
        <f>+$L119/SM134Units</f>
        <v>183.27067669172934</v>
      </c>
      <c r="Z119" s="12">
        <f>+Y119/Y$8</f>
        <v>0.14240145819093189</v>
      </c>
      <c r="AB119" s="19">
        <f>+X119+T119</f>
        <v>24375</v>
      </c>
      <c r="AC119" s="40">
        <f>+AB119/AB$7</f>
        <v>183.27067669172934</v>
      </c>
      <c r="AD119" s="12">
        <f>+AC119/AC$8</f>
        <v>0.15285294136090855</v>
      </c>
    </row>
    <row r="120" spans="1:30" s="8" customFormat="1">
      <c r="A120" s="17"/>
      <c r="B120" s="8" t="s">
        <v>259</v>
      </c>
      <c r="L120" s="8">
        <f>13000000*0.75*0.75*0.105*0.5</f>
        <v>383906.25</v>
      </c>
      <c r="P120" s="39">
        <f>Q120*P$7</f>
        <v>2886.5131578947367</v>
      </c>
      <c r="Q120" s="8">
        <f>+$L120/SM134Units</f>
        <v>2886.5131578947367</v>
      </c>
      <c r="R120" s="12">
        <f t="shared" si="41"/>
        <v>2.4094433705298304</v>
      </c>
      <c r="T120" s="39">
        <f>U120*T$7</f>
        <v>207828.94736842104</v>
      </c>
      <c r="U120" s="8">
        <f>+$L120/SM134Units</f>
        <v>2886.5131578947367</v>
      </c>
      <c r="V120" s="12">
        <f>+U120/U$8</f>
        <v>2.6075096277278562</v>
      </c>
      <c r="X120" s="39">
        <f>Y120*X$7</f>
        <v>176077.30263157893</v>
      </c>
      <c r="Y120" s="8">
        <f>+$L120/SM134Units</f>
        <v>2886.5131578947367</v>
      </c>
      <c r="Z120" s="12">
        <f>+Y120/Y$8</f>
        <v>2.2428229665071768</v>
      </c>
      <c r="AB120" s="19">
        <f>+X120+T120</f>
        <v>383906.25</v>
      </c>
      <c r="AC120" s="40">
        <f>+AB120/AB$7</f>
        <v>2886.5131578947367</v>
      </c>
      <c r="AD120" s="12">
        <f>+AC120/AC$8</f>
        <v>2.4074338264343091</v>
      </c>
    </row>
    <row r="121" spans="1:30" s="8" customFormat="1">
      <c r="A121" s="17"/>
      <c r="B121" s="30" t="s">
        <v>260</v>
      </c>
      <c r="L121" s="30">
        <f>SUM(L117:L120)</f>
        <v>485406.25</v>
      </c>
      <c r="M121" s="30"/>
      <c r="P121" s="91">
        <f>SUM(P117:P120)</f>
        <v>3649.6710526315787</v>
      </c>
      <c r="Q121" s="91">
        <f>SUM(Q117:Q120)</f>
        <v>3649.6710526315787</v>
      </c>
      <c r="R121" s="43">
        <f>SUM(R117:R120)</f>
        <v>3.046469993849398</v>
      </c>
      <c r="T121" s="91">
        <f>SUM(T117:T120)</f>
        <v>262776.31578947365</v>
      </c>
      <c r="U121" s="91">
        <f>SUM(U117:U120)</f>
        <v>3649.6710526315787</v>
      </c>
      <c r="V121" s="43">
        <f>SUM(V117:V120)</f>
        <v>3.2969024865687251</v>
      </c>
      <c r="X121" s="91">
        <f>SUM(X117:X120)</f>
        <v>222629.93421052629</v>
      </c>
      <c r="Y121" s="91">
        <f>SUM(Y117:Y120)</f>
        <v>3649.6710526315787</v>
      </c>
      <c r="Z121" s="43">
        <f>SUM(Z117:Z120)</f>
        <v>2.8357972436919803</v>
      </c>
      <c r="AB121" s="91">
        <f>SUM(AB117:AB120)</f>
        <v>485406.25</v>
      </c>
      <c r="AC121" s="91">
        <f>SUM(AC117:AC120)</f>
        <v>3649.6710526315787</v>
      </c>
      <c r="AD121" s="43">
        <f>SUM(AD117:AD120)</f>
        <v>3.0439291514858873</v>
      </c>
    </row>
    <row r="122" spans="1:30" s="8" customFormat="1">
      <c r="A122" s="17"/>
      <c r="B122" s="28"/>
      <c r="L122" s="28"/>
      <c r="M122" s="28"/>
      <c r="P122" s="41"/>
      <c r="Q122" s="41"/>
      <c r="R122" s="92"/>
      <c r="T122" s="41"/>
      <c r="U122" s="41"/>
      <c r="V122" s="92"/>
      <c r="X122" s="41"/>
      <c r="Y122" s="41"/>
      <c r="Z122" s="92"/>
      <c r="AB122" s="41"/>
      <c r="AC122" s="41"/>
      <c r="AD122" s="92"/>
    </row>
    <row r="123" spans="1:30" s="8" customFormat="1" ht="12.75" thickBot="1">
      <c r="A123" s="17"/>
      <c r="B123" s="14" t="s">
        <v>261</v>
      </c>
      <c r="L123" s="14">
        <f>+L121+L114+L88</f>
        <v>4174154.9517771476</v>
      </c>
      <c r="M123" s="14"/>
      <c r="P123" s="3">
        <f>+P121+P114</f>
        <v>99173.135026122109</v>
      </c>
      <c r="Q123" s="3">
        <f>+Q121+Q114</f>
        <v>99173.135026122109</v>
      </c>
      <c r="R123" s="2">
        <f>+R121+R114</f>
        <v>82.782249604442498</v>
      </c>
      <c r="T123" s="3">
        <f>+T121+T114</f>
        <v>6898095.8147088615</v>
      </c>
      <c r="U123" s="3">
        <f>+U121+U114</f>
        <v>94949.374245626095</v>
      </c>
      <c r="V123" s="2">
        <f>+V121+V114</f>
        <v>85.771792453140108</v>
      </c>
      <c r="X123" s="3">
        <f>+X121+X114</f>
        <v>6329413.178865185</v>
      </c>
      <c r="Y123" s="3">
        <f>+Y121+Y114</f>
        <v>102903.35971490041</v>
      </c>
      <c r="Z123" s="2">
        <f>+Z121+Z114</f>
        <v>79.955990454468079</v>
      </c>
      <c r="AB123" s="3">
        <f>+AB121+AB114</f>
        <v>13227508.993574046</v>
      </c>
      <c r="AC123" s="3">
        <f>+AC121+AC114</f>
        <v>98597.442769127869</v>
      </c>
      <c r="AD123" s="2">
        <f>+AD121+AD114</f>
        <v>82.233063193601225</v>
      </c>
    </row>
    <row r="124" spans="1:30" s="8" customFormat="1" ht="12.75" thickTop="1">
      <c r="A124" s="17"/>
    </row>
    <row r="125" spans="1:30">
      <c r="A125" s="17"/>
      <c r="B125" s="8" t="s">
        <v>266</v>
      </c>
      <c r="C125" s="8"/>
      <c r="D125" s="8"/>
      <c r="E125" s="8"/>
      <c r="F125" s="8"/>
      <c r="G125" s="8"/>
      <c r="H125" s="8"/>
      <c r="I125" s="8"/>
      <c r="J125" s="8"/>
      <c r="K125" s="8"/>
      <c r="L125" s="31">
        <v>0.75</v>
      </c>
      <c r="M125" s="35" t="s">
        <v>267</v>
      </c>
      <c r="T125" s="35">
        <f>0.75*T123</f>
        <v>5173571.8610316459</v>
      </c>
      <c r="U125" s="35">
        <f>0.75*U123</f>
        <v>71212.030684219571</v>
      </c>
      <c r="V125" s="35">
        <f>0.75*V123</f>
        <v>64.328844339855081</v>
      </c>
      <c r="X125" s="35">
        <f>0.75*X123</f>
        <v>4747059.8841488883</v>
      </c>
      <c r="Y125" s="35">
        <f>0.75*Y123</f>
        <v>77177.519786175311</v>
      </c>
      <c r="Z125" s="35">
        <f>0.75*Z123</f>
        <v>59.966992840851063</v>
      </c>
      <c r="AB125" s="35">
        <f>0.75*AB123</f>
        <v>9920631.7451805342</v>
      </c>
      <c r="AC125" s="35">
        <f>0.75*AC123</f>
        <v>73948.082076845894</v>
      </c>
      <c r="AD125" s="35">
        <f>0.75*AD123</f>
        <v>61.674797395200919</v>
      </c>
    </row>
    <row r="126" spans="1:30">
      <c r="B126" s="93" t="s">
        <v>268</v>
      </c>
    </row>
    <row r="127" spans="1:30">
      <c r="B127" s="8" t="s">
        <v>253</v>
      </c>
      <c r="T127" s="35">
        <f>+T123-T125</f>
        <v>1724523.9536772156</v>
      </c>
      <c r="X127" s="35">
        <f>+X123-X125</f>
        <v>1582353.2947162967</v>
      </c>
      <c r="AB127" s="35">
        <f>+AB123-AB125</f>
        <v>3306877.2483935114</v>
      </c>
    </row>
    <row r="128" spans="1:30">
      <c r="B128" s="8" t="s">
        <v>269</v>
      </c>
      <c r="T128" s="35">
        <f>-T113</f>
        <v>-786273.86729939061</v>
      </c>
      <c r="X128" s="35">
        <f>-X113</f>
        <v>-729434.75142765895</v>
      </c>
      <c r="AB128" s="35">
        <f>-AB113</f>
        <v>-1515708.6187270496</v>
      </c>
    </row>
    <row r="129" spans="2:28">
      <c r="B129" s="8" t="s">
        <v>270</v>
      </c>
      <c r="T129" s="35">
        <f>+T128+T127</f>
        <v>938250.08637782501</v>
      </c>
      <c r="X129" s="35">
        <f>+X128+X127</f>
        <v>852918.54328863777</v>
      </c>
      <c r="AB129" s="35">
        <f>+AB128+AB127</f>
        <v>1791168.6296664618</v>
      </c>
    </row>
    <row r="135" spans="2:28">
      <c r="L135" s="35">
        <f>10.3*43560</f>
        <v>448668.00000000006</v>
      </c>
      <c r="P135" s="35">
        <f>P$7*28</f>
        <v>28</v>
      </c>
      <c r="T135" s="35">
        <f>T7*15.83</f>
        <v>1139.76</v>
      </c>
      <c r="X135" s="35">
        <f>X7*26</f>
        <v>1586</v>
      </c>
    </row>
    <row r="136" spans="2:28">
      <c r="L136" s="35">
        <f>SQRT(L135)</f>
        <v>669.82684329608651</v>
      </c>
      <c r="M136" s="35">
        <f>L136*25</f>
        <v>16745.671082402161</v>
      </c>
      <c r="N136" s="35">
        <f>M136*4</f>
        <v>66982.684329608644</v>
      </c>
      <c r="P136" s="35">
        <f>P$7*20</f>
        <v>20</v>
      </c>
      <c r="T136" s="35">
        <f>T$7*20</f>
        <v>1440</v>
      </c>
      <c r="X136" s="35">
        <f>X$7*20</f>
        <v>1220</v>
      </c>
    </row>
    <row r="137" spans="2:28">
      <c r="L137" s="35">
        <f>L136*4-120</f>
        <v>2559.307373184346</v>
      </c>
      <c r="N137" s="35">
        <f>300*300</f>
        <v>90000</v>
      </c>
      <c r="P137" s="35">
        <f>+P136+P135</f>
        <v>48</v>
      </c>
      <c r="T137" s="35">
        <f>+T136+T135</f>
        <v>2579.7600000000002</v>
      </c>
      <c r="X137" s="35">
        <f>+X136+X135</f>
        <v>2806</v>
      </c>
    </row>
    <row r="138" spans="2:28">
      <c r="L138" s="35">
        <f>30*L137</f>
        <v>76779.221195530379</v>
      </c>
      <c r="N138" s="35">
        <f>+N137+N136</f>
        <v>156982.68432960863</v>
      </c>
    </row>
    <row r="139" spans="2:28">
      <c r="N139" s="35">
        <f>-2.5*60*80</f>
        <v>-12000</v>
      </c>
    </row>
    <row r="140" spans="2:28">
      <c r="N140" s="35">
        <f>-4000</f>
        <v>-4000</v>
      </c>
    </row>
    <row r="141" spans="2:28">
      <c r="N141" s="35">
        <f>SUM(N138:N140)</f>
        <v>140982.68432960863</v>
      </c>
    </row>
    <row r="142" spans="2:28">
      <c r="N142" s="35">
        <f>N141/134</f>
        <v>1052.1095845493182</v>
      </c>
    </row>
    <row r="143" spans="2:28">
      <c r="N143" s="35">
        <f>6500*12</f>
        <v>78000</v>
      </c>
    </row>
    <row r="144" spans="2:28">
      <c r="L144" s="35">
        <f>670-(37.5*2+25*2)</f>
        <v>545</v>
      </c>
    </row>
    <row r="145" spans="2:14">
      <c r="L145" s="35">
        <v>60</v>
      </c>
    </row>
    <row r="146" spans="2:14">
      <c r="L146" s="35">
        <v>4</v>
      </c>
    </row>
    <row r="147" spans="2:14">
      <c r="L147" s="35">
        <f>L146*L145*L144</f>
        <v>130800</v>
      </c>
    </row>
    <row r="148" spans="2:14">
      <c r="L148" s="35">
        <f>2*L147</f>
        <v>261600</v>
      </c>
    </row>
    <row r="149" spans="2:14">
      <c r="L149" s="35">
        <f>L144*L146*2.1</f>
        <v>4578</v>
      </c>
    </row>
    <row r="150" spans="2:14">
      <c r="L150" s="35">
        <f>10*L149</f>
        <v>45780</v>
      </c>
    </row>
    <row r="151" spans="2:14">
      <c r="L151" s="35">
        <f>+L150+L148</f>
        <v>307380</v>
      </c>
      <c r="M151" s="35">
        <f>75000*10.3</f>
        <v>772500</v>
      </c>
      <c r="N151" s="31">
        <f>+L151/M151</f>
        <v>0.39790291262135924</v>
      </c>
    </row>
    <row r="152" spans="2:14">
      <c r="L152" s="35">
        <f>+N141*1.5</f>
        <v>211474.02649441294</v>
      </c>
    </row>
    <row r="153" spans="2:14">
      <c r="B153" s="35" t="s">
        <v>224</v>
      </c>
      <c r="L153" s="35">
        <f>545*4*35</f>
        <v>76300</v>
      </c>
      <c r="M153" s="35">
        <v>16</v>
      </c>
    </row>
    <row r="154" spans="2:14">
      <c r="B154" s="35" t="s">
        <v>225</v>
      </c>
    </row>
    <row r="155" spans="2:14">
      <c r="B155" s="35" t="s">
        <v>226</v>
      </c>
    </row>
    <row r="156" spans="2:14">
      <c r="B156" s="35" t="s">
        <v>227</v>
      </c>
    </row>
    <row r="157" spans="2:14">
      <c r="B157" s="35" t="s">
        <v>228</v>
      </c>
      <c r="L157" s="35">
        <v>25000</v>
      </c>
    </row>
    <row r="158" spans="2:14">
      <c r="B158" s="35" t="s">
        <v>229</v>
      </c>
      <c r="L158" s="35">
        <f>10000</f>
        <v>10000</v>
      </c>
    </row>
    <row r="159" spans="2:14">
      <c r="B159" s="35" t="s">
        <v>231</v>
      </c>
      <c r="L159" s="35">
        <v>15000</v>
      </c>
    </row>
    <row r="160" spans="2:14">
      <c r="B160" s="35" t="s">
        <v>232</v>
      </c>
      <c r="L160" s="35">
        <v>15000</v>
      </c>
    </row>
    <row r="161" spans="2:14">
      <c r="B161" s="35" t="s">
        <v>233</v>
      </c>
      <c r="L161" s="35">
        <f>900*35</f>
        <v>31500</v>
      </c>
      <c r="M161" s="35">
        <f>SUM(L151:L161)</f>
        <v>691654.02649441292</v>
      </c>
      <c r="N161" s="35">
        <f>M161/10.3</f>
        <v>67150.876358680864</v>
      </c>
    </row>
    <row r="162" spans="2:14">
      <c r="B162" s="35" t="s">
        <v>234</v>
      </c>
      <c r="L162" s="35">
        <v>75000</v>
      </c>
    </row>
    <row r="163" spans="2:14">
      <c r="B163" s="35" t="s">
        <v>235</v>
      </c>
      <c r="L163" s="35">
        <v>4000</v>
      </c>
    </row>
    <row r="164" spans="2:14">
      <c r="B164" s="35" t="s">
        <v>236</v>
      </c>
      <c r="L164" s="35">
        <v>4000</v>
      </c>
      <c r="M164" s="35">
        <f>SUM(L151:L164)</f>
        <v>774654.02649441292</v>
      </c>
      <c r="N164" s="35">
        <f>M164/10.3</f>
        <v>75209.128785865323</v>
      </c>
    </row>
  </sheetData>
  <mergeCells count="4">
    <mergeCell ref="P5:R5"/>
    <mergeCell ref="T5:V5"/>
    <mergeCell ref="X5:Z5"/>
    <mergeCell ref="AB5:AD5"/>
  </mergeCells>
  <printOptions horizontalCentered="1" gridLines="1"/>
  <pageMargins left="0.5" right="0.5" top="1.81" bottom="0.8" header="0.5" footer="0.5"/>
  <pageSetup scale="86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57</vt:i4>
      </vt:variant>
    </vt:vector>
  </HeadingPairs>
  <TitlesOfParts>
    <vt:vector size="63" baseType="lpstr">
      <vt:lpstr>Summary</vt:lpstr>
      <vt:lpstr>Proforma</vt:lpstr>
      <vt:lpstr>UCost Final</vt:lpstr>
      <vt:lpstr>Comps</vt:lpstr>
      <vt:lpstr>Project Schedule</vt:lpstr>
      <vt:lpstr>Initial Mix</vt:lpstr>
      <vt:lpstr>_3BGarage</vt:lpstr>
      <vt:lpstr>Adj2B</vt:lpstr>
      <vt:lpstr>ADj3B</vt:lpstr>
      <vt:lpstr>CapRate</vt:lpstr>
      <vt:lpstr>'UCost Final'!CMF</vt:lpstr>
      <vt:lpstr>CMF</vt:lpstr>
      <vt:lpstr>Const_Profit</vt:lpstr>
      <vt:lpstr>ConstProfit</vt:lpstr>
      <vt:lpstr>constprofit2B</vt:lpstr>
      <vt:lpstr>constprofit3B</vt:lpstr>
      <vt:lpstr>Garage_Rate</vt:lpstr>
      <vt:lpstr>Interim_Int_Rate</vt:lpstr>
      <vt:lpstr>Internet</vt:lpstr>
      <vt:lpstr>INVESTOR_SHARE___50</vt:lpstr>
      <vt:lpstr>InvShare</vt:lpstr>
      <vt:lpstr>Land</vt:lpstr>
      <vt:lpstr>LandscapeArea</vt:lpstr>
      <vt:lpstr>LoanPerU</vt:lpstr>
      <vt:lpstr>LTV</vt:lpstr>
      <vt:lpstr>MgrOffFirstFlr</vt:lpstr>
      <vt:lpstr>MonthlyNOI</vt:lpstr>
      <vt:lpstr>Mortg2002</vt:lpstr>
      <vt:lpstr>MortgageLoan</vt:lpstr>
      <vt:lpstr>MortgagePmt</vt:lpstr>
      <vt:lpstr>MortPts</vt:lpstr>
      <vt:lpstr>MortRate</vt:lpstr>
      <vt:lpstr>NetCash</vt:lpstr>
      <vt:lpstr>NOI</vt:lpstr>
      <vt:lpstr>Pool</vt:lpstr>
      <vt:lpstr>Comps!Print_Area</vt:lpstr>
      <vt:lpstr>'Initial Mix'!Print_Area</vt:lpstr>
      <vt:lpstr>Proforma!Print_Area</vt:lpstr>
      <vt:lpstr>Summary!Print_Area</vt:lpstr>
      <vt:lpstr>'UCost Final'!Print_Area</vt:lpstr>
      <vt:lpstr>'Initial Mix'!Print_Titles</vt:lpstr>
      <vt:lpstr>Proforma!Print_Titles</vt:lpstr>
      <vt:lpstr>'Project Schedule'!Print_Titles</vt:lpstr>
      <vt:lpstr>Summary!Print_Titles</vt:lpstr>
      <vt:lpstr>'UCost Final'!Print_Titles</vt:lpstr>
      <vt:lpstr>Project_Value</vt:lpstr>
      <vt:lpstr>'UCost Final'!SM134Units</vt:lpstr>
      <vt:lpstr>SM134Units</vt:lpstr>
      <vt:lpstr>Term</vt:lpstr>
      <vt:lpstr>Three_Bedroom_Rate</vt:lpstr>
      <vt:lpstr>ThreeBdrm_First_Flr</vt:lpstr>
      <vt:lpstr>TotalCost</vt:lpstr>
      <vt:lpstr>TotalCProfit</vt:lpstr>
      <vt:lpstr>TotalDirectCost</vt:lpstr>
      <vt:lpstr>TotalSF</vt:lpstr>
      <vt:lpstr>TotalValue</vt:lpstr>
      <vt:lpstr>'UCost Final'!TRUnits</vt:lpstr>
      <vt:lpstr>TRUnits</vt:lpstr>
      <vt:lpstr>TUnits</vt:lpstr>
      <vt:lpstr>Two_Bedroom_Rate</vt:lpstr>
      <vt:lpstr>TwoBdrm_First_Flr</vt:lpstr>
      <vt:lpstr>Vollyball___Basketball</vt:lpstr>
      <vt:lpstr>Vollybasketball</vt:lpstr>
    </vt:vector>
  </TitlesOfParts>
  <Company>GWR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Jan Havlíček</cp:lastModifiedBy>
  <cp:lastPrinted>2001-02-23T17:26:50Z</cp:lastPrinted>
  <dcterms:created xsi:type="dcterms:W3CDTF">1998-01-21T04:19:53Z</dcterms:created>
  <dcterms:modified xsi:type="dcterms:W3CDTF">2023-09-17T11:49:16Z</dcterms:modified>
</cp:coreProperties>
</file>