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F0BF44-9222-4C19-A942-77FD2A6C7E98}" xr6:coauthVersionLast="47" xr6:coauthVersionMax="47" xr10:uidLastSave="{00000000-0000-0000-0000-000000000000}"/>
  <bookViews>
    <workbookView xWindow="-120" yWindow="-120" windowWidth="38640" windowHeight="15720" tabRatio="574" firstSheet="2" activeTab="2"/>
  </bookViews>
  <sheets>
    <sheet name="Proforma" sheetId="7" r:id="rId1"/>
    <sheet name="Unit Costs" sheetId="6" r:id="rId2"/>
    <sheet name="UCost AltA" sheetId="9" r:id="rId3"/>
    <sheet name="Comps" sheetId="8" r:id="rId4"/>
  </sheets>
  <definedNames>
    <definedName name="CMF" localSheetId="2">'UCost AltA'!$L$1</definedName>
    <definedName name="CMF">'Unit Costs'!$L$1</definedName>
    <definedName name="CTime">#REF!</definedName>
    <definedName name="_xlnm.Print_Area" localSheetId="3">Comps!$A$5:$AL$13</definedName>
    <definedName name="_xlnm.Print_Area" localSheetId="2">'UCost AltA'!$Q$9:$AI$88</definedName>
    <definedName name="_xlnm.Print_Area" localSheetId="1">'Unit Costs'!$P$9:$AD$88</definedName>
    <definedName name="_xlnm.Print_Titles" localSheetId="2">'UCost AltA'!$B:$B,'UCost AltA'!$5:$8</definedName>
    <definedName name="_xlnm.Print_Titles" localSheetId="1">'Unit Costs'!$B:$B,'Unit Costs'!$5:$8</definedName>
    <definedName name="SM134Units" localSheetId="2">'UCost AltA'!$R$2</definedName>
    <definedName name="SM134Units">'Unit Costs'!$Q$2</definedName>
    <definedName name="TRUnits" localSheetId="2">'UCost AltA'!$L$2</definedName>
    <definedName name="TRUnits">'Unit Costs'!$L$2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M4" i="7"/>
  <c r="D8" i="7"/>
  <c r="G8" i="7"/>
  <c r="J8" i="7"/>
  <c r="M8" i="7"/>
  <c r="E10" i="7"/>
  <c r="H10" i="7"/>
  <c r="J10" i="7"/>
  <c r="K10" i="7"/>
  <c r="M10" i="7"/>
  <c r="N10" i="7"/>
  <c r="O10" i="7"/>
  <c r="D12" i="7"/>
  <c r="E12" i="7"/>
  <c r="G12" i="7"/>
  <c r="H12" i="7"/>
  <c r="J12" i="7"/>
  <c r="K12" i="7"/>
  <c r="M12" i="7"/>
  <c r="N12" i="7"/>
  <c r="O12" i="7"/>
  <c r="D13" i="7"/>
  <c r="E13" i="7"/>
  <c r="G13" i="7"/>
  <c r="H13" i="7"/>
  <c r="J13" i="7"/>
  <c r="K13" i="7"/>
  <c r="M13" i="7"/>
  <c r="N13" i="7"/>
  <c r="O13" i="7"/>
  <c r="D14" i="7"/>
  <c r="E14" i="7"/>
  <c r="G14" i="7"/>
  <c r="H14" i="7"/>
  <c r="J14" i="7"/>
  <c r="K14" i="7"/>
  <c r="M14" i="7"/>
  <c r="N14" i="7"/>
  <c r="O14" i="7"/>
  <c r="B17" i="7"/>
  <c r="D17" i="7"/>
  <c r="E17" i="7"/>
  <c r="G17" i="7"/>
  <c r="H17" i="7"/>
  <c r="J17" i="7"/>
  <c r="K17" i="7"/>
  <c r="M17" i="7"/>
  <c r="N17" i="7"/>
  <c r="O17" i="7"/>
  <c r="B18" i="7"/>
  <c r="D18" i="7"/>
  <c r="E18" i="7"/>
  <c r="G18" i="7"/>
  <c r="H18" i="7"/>
  <c r="J18" i="7"/>
  <c r="K18" i="7"/>
  <c r="M18" i="7"/>
  <c r="N18" i="7"/>
  <c r="O18" i="7"/>
  <c r="E19" i="7"/>
  <c r="H19" i="7"/>
  <c r="K19" i="7"/>
  <c r="M19" i="7"/>
  <c r="N19" i="7"/>
  <c r="O19" i="7"/>
  <c r="D20" i="7"/>
  <c r="E20" i="7"/>
  <c r="G20" i="7"/>
  <c r="H20" i="7"/>
  <c r="J20" i="7"/>
  <c r="K20" i="7"/>
  <c r="M20" i="7"/>
  <c r="N20" i="7"/>
  <c r="O20" i="7"/>
  <c r="D21" i="7"/>
  <c r="E21" i="7"/>
  <c r="G21" i="7"/>
  <c r="H21" i="7"/>
  <c r="J21" i="7"/>
  <c r="K21" i="7"/>
  <c r="M21" i="7"/>
  <c r="N21" i="7"/>
  <c r="O21" i="7"/>
  <c r="M22" i="7"/>
  <c r="N22" i="7"/>
  <c r="O22" i="7"/>
  <c r="D23" i="7"/>
  <c r="E23" i="7"/>
  <c r="G23" i="7"/>
  <c r="H23" i="7"/>
  <c r="J23" i="7"/>
  <c r="K23" i="7"/>
  <c r="M23" i="7"/>
  <c r="N23" i="7"/>
  <c r="O23" i="7"/>
  <c r="D24" i="7"/>
  <c r="E24" i="7"/>
  <c r="G24" i="7"/>
  <c r="H24" i="7"/>
  <c r="J24" i="7"/>
  <c r="K24" i="7"/>
  <c r="M24" i="7"/>
  <c r="N24" i="7"/>
  <c r="O24" i="7"/>
  <c r="D26" i="7"/>
  <c r="E26" i="7"/>
  <c r="G26" i="7"/>
  <c r="H26" i="7"/>
  <c r="J26" i="7"/>
  <c r="K26" i="7"/>
  <c r="M26" i="7"/>
  <c r="N26" i="7"/>
  <c r="O26" i="7"/>
  <c r="D28" i="7"/>
  <c r="G28" i="7"/>
  <c r="J28" i="7"/>
  <c r="M28" i="7"/>
  <c r="D29" i="7"/>
  <c r="G29" i="7"/>
  <c r="J29" i="7"/>
  <c r="M29" i="7"/>
  <c r="D30" i="7"/>
  <c r="G30" i="7"/>
  <c r="J30" i="7"/>
  <c r="M30" i="7"/>
  <c r="D31" i="7"/>
  <c r="G31" i="7"/>
  <c r="J31" i="7"/>
  <c r="M31" i="7"/>
  <c r="AD1" i="9"/>
  <c r="AD2" i="9"/>
  <c r="AD3" i="9"/>
  <c r="L7" i="9"/>
  <c r="U7" i="9"/>
  <c r="Y7" i="9"/>
  <c r="AC7" i="9"/>
  <c r="AG7" i="9"/>
  <c r="AP7" i="9"/>
  <c r="AQ7" i="9"/>
  <c r="O8" i="9"/>
  <c r="S8" i="9"/>
  <c r="W8" i="9"/>
  <c r="AA8" i="9"/>
  <c r="AD8" i="9"/>
  <c r="AE8" i="9"/>
  <c r="AH8" i="9"/>
  <c r="AI8" i="9"/>
  <c r="D9" i="9"/>
  <c r="L9" i="9"/>
  <c r="M9" i="9"/>
  <c r="N9" i="9"/>
  <c r="O9" i="9"/>
  <c r="Q9" i="9"/>
  <c r="R9" i="9"/>
  <c r="S9" i="9"/>
  <c r="U9" i="9"/>
  <c r="V9" i="9"/>
  <c r="W9" i="9"/>
  <c r="Y9" i="9"/>
  <c r="Z9" i="9"/>
  <c r="AA9" i="9"/>
  <c r="AC9" i="9"/>
  <c r="AD9" i="9"/>
  <c r="AE9" i="9"/>
  <c r="AG9" i="9"/>
  <c r="AH9" i="9"/>
  <c r="AI9" i="9"/>
  <c r="AN9" i="9"/>
  <c r="AO9" i="9"/>
  <c r="AP9" i="9"/>
  <c r="AQ9" i="9"/>
  <c r="N10" i="9"/>
  <c r="O10" i="9"/>
  <c r="Q10" i="9"/>
  <c r="R10" i="9"/>
  <c r="S10" i="9"/>
  <c r="U10" i="9"/>
  <c r="V10" i="9"/>
  <c r="W10" i="9"/>
  <c r="Y10" i="9"/>
  <c r="Z10" i="9"/>
  <c r="AA10" i="9"/>
  <c r="AC10" i="9"/>
  <c r="AD10" i="9"/>
  <c r="AE10" i="9"/>
  <c r="AG10" i="9"/>
  <c r="AH10" i="9"/>
  <c r="AI10" i="9"/>
  <c r="AN10" i="9"/>
  <c r="AO10" i="9"/>
  <c r="AP10" i="9"/>
  <c r="AQ10" i="9"/>
  <c r="D11" i="9"/>
  <c r="L11" i="9"/>
  <c r="M11" i="9"/>
  <c r="N11" i="9"/>
  <c r="O11" i="9"/>
  <c r="Q11" i="9"/>
  <c r="R11" i="9"/>
  <c r="S11" i="9"/>
  <c r="U11" i="9"/>
  <c r="V11" i="9"/>
  <c r="W11" i="9"/>
  <c r="Y11" i="9"/>
  <c r="Z11" i="9"/>
  <c r="AA11" i="9"/>
  <c r="AC11" i="9"/>
  <c r="AD11" i="9"/>
  <c r="AE11" i="9"/>
  <c r="AG11" i="9"/>
  <c r="AH11" i="9"/>
  <c r="AI11" i="9"/>
  <c r="AN11" i="9"/>
  <c r="AP11" i="9"/>
  <c r="AQ11" i="9"/>
  <c r="D12" i="9"/>
  <c r="L12" i="9"/>
  <c r="M12" i="9"/>
  <c r="N12" i="9"/>
  <c r="O12" i="9"/>
  <c r="Q12" i="9"/>
  <c r="S12" i="9"/>
  <c r="U12" i="9"/>
  <c r="W12" i="9"/>
  <c r="Y12" i="9"/>
  <c r="AA12" i="9"/>
  <c r="AC12" i="9"/>
  <c r="AE12" i="9"/>
  <c r="AG12" i="9"/>
  <c r="AH12" i="9"/>
  <c r="AI12" i="9"/>
  <c r="AN12" i="9"/>
  <c r="AO12" i="9"/>
  <c r="AP12" i="9"/>
  <c r="AQ12" i="9"/>
  <c r="D13" i="9"/>
  <c r="L13" i="9"/>
  <c r="M13" i="9"/>
  <c r="N13" i="9"/>
  <c r="O13" i="9"/>
  <c r="Q13" i="9"/>
  <c r="R13" i="9"/>
  <c r="S13" i="9"/>
  <c r="U13" i="9"/>
  <c r="V13" i="9"/>
  <c r="W13" i="9"/>
  <c r="Y13" i="9"/>
  <c r="Z13" i="9"/>
  <c r="AA13" i="9"/>
  <c r="AC13" i="9"/>
  <c r="AD13" i="9"/>
  <c r="AE13" i="9"/>
  <c r="AG13" i="9"/>
  <c r="AH13" i="9"/>
  <c r="AI13" i="9"/>
  <c r="AN13" i="9"/>
  <c r="AO13" i="9"/>
  <c r="AP13" i="9"/>
  <c r="AQ13" i="9"/>
  <c r="AN14" i="9"/>
  <c r="AO14" i="9"/>
  <c r="AP14" i="9"/>
  <c r="AQ14" i="9"/>
  <c r="D15" i="9"/>
  <c r="L15" i="9"/>
  <c r="M15" i="9"/>
  <c r="N15" i="9"/>
  <c r="O15" i="9"/>
  <c r="Q15" i="9"/>
  <c r="R15" i="9"/>
  <c r="S15" i="9"/>
  <c r="U15" i="9"/>
  <c r="V15" i="9"/>
  <c r="W15" i="9"/>
  <c r="Y15" i="9"/>
  <c r="Z15" i="9"/>
  <c r="AA15" i="9"/>
  <c r="AC15" i="9"/>
  <c r="AD15" i="9"/>
  <c r="AE15" i="9"/>
  <c r="AG15" i="9"/>
  <c r="AH15" i="9"/>
  <c r="AI15" i="9"/>
  <c r="AN15" i="9"/>
  <c r="AO15" i="9"/>
  <c r="AP15" i="9"/>
  <c r="AQ15" i="9"/>
  <c r="D16" i="9"/>
  <c r="L16" i="9"/>
  <c r="M16" i="9"/>
  <c r="N16" i="9"/>
  <c r="O16" i="9"/>
  <c r="S16" i="9"/>
  <c r="W16" i="9"/>
  <c r="AA16" i="9"/>
  <c r="AE16" i="9"/>
  <c r="AG16" i="9"/>
  <c r="AH16" i="9"/>
  <c r="AI16" i="9"/>
  <c r="AN16" i="9"/>
  <c r="AO16" i="9"/>
  <c r="AP16" i="9"/>
  <c r="AQ16" i="9"/>
  <c r="D17" i="9"/>
  <c r="L17" i="9"/>
  <c r="M17" i="9"/>
  <c r="N17" i="9"/>
  <c r="O17" i="9"/>
  <c r="S17" i="9"/>
  <c r="W17" i="9"/>
  <c r="AA17" i="9"/>
  <c r="AE17" i="9"/>
  <c r="AG17" i="9"/>
  <c r="AH17" i="9"/>
  <c r="AI17" i="9"/>
  <c r="AN17" i="9"/>
  <c r="AO17" i="9"/>
  <c r="AP17" i="9"/>
  <c r="AQ17" i="9"/>
  <c r="L18" i="9"/>
  <c r="N18" i="9"/>
  <c r="AN18" i="9"/>
  <c r="AO18" i="9"/>
  <c r="AP18" i="9"/>
  <c r="AQ18" i="9"/>
  <c r="D19" i="9"/>
  <c r="L19" i="9"/>
  <c r="M19" i="9"/>
  <c r="N19" i="9"/>
  <c r="O19" i="9"/>
  <c r="Q19" i="9"/>
  <c r="R19" i="9"/>
  <c r="S19" i="9"/>
  <c r="U19" i="9"/>
  <c r="V19" i="9"/>
  <c r="W19" i="9"/>
  <c r="Y19" i="9"/>
  <c r="Z19" i="9"/>
  <c r="AA19" i="9"/>
  <c r="AC19" i="9"/>
  <c r="AD19" i="9"/>
  <c r="AE19" i="9"/>
  <c r="AG19" i="9"/>
  <c r="AH19" i="9"/>
  <c r="AI19" i="9"/>
  <c r="AN19" i="9"/>
  <c r="AO19" i="9"/>
  <c r="AP19" i="9"/>
  <c r="AQ19" i="9"/>
  <c r="D20" i="9"/>
  <c r="L20" i="9"/>
  <c r="M20" i="9"/>
  <c r="N20" i="9"/>
  <c r="O20" i="9"/>
  <c r="Q20" i="9"/>
  <c r="R20" i="9"/>
  <c r="S20" i="9"/>
  <c r="U20" i="9"/>
  <c r="V20" i="9"/>
  <c r="W20" i="9"/>
  <c r="Y20" i="9"/>
  <c r="Z20" i="9"/>
  <c r="AA20" i="9"/>
  <c r="AC20" i="9"/>
  <c r="AD20" i="9"/>
  <c r="AE20" i="9"/>
  <c r="AG20" i="9"/>
  <c r="AH20" i="9"/>
  <c r="AI20" i="9"/>
  <c r="AN20" i="9"/>
  <c r="AO20" i="9"/>
  <c r="AP20" i="9"/>
  <c r="AQ20" i="9"/>
  <c r="D21" i="9"/>
  <c r="L21" i="9"/>
  <c r="M21" i="9"/>
  <c r="N21" i="9"/>
  <c r="O21" i="9"/>
  <c r="Q21" i="9"/>
  <c r="R21" i="9"/>
  <c r="S21" i="9"/>
  <c r="U21" i="9"/>
  <c r="V21" i="9"/>
  <c r="W21" i="9"/>
  <c r="Y21" i="9"/>
  <c r="Z21" i="9"/>
  <c r="AA21" i="9"/>
  <c r="AC21" i="9"/>
  <c r="AD21" i="9"/>
  <c r="AE21" i="9"/>
  <c r="AG21" i="9"/>
  <c r="AH21" i="9"/>
  <c r="AI21" i="9"/>
  <c r="AN21" i="9"/>
  <c r="AO21" i="9"/>
  <c r="AP21" i="9"/>
  <c r="AQ21" i="9"/>
  <c r="N22" i="9"/>
  <c r="AN22" i="9"/>
  <c r="AO22" i="9"/>
  <c r="AP22" i="9"/>
  <c r="AQ22" i="9"/>
  <c r="D23" i="9"/>
  <c r="L23" i="9"/>
  <c r="M23" i="9"/>
  <c r="N23" i="9"/>
  <c r="O23" i="9"/>
  <c r="Q23" i="9"/>
  <c r="R23" i="9"/>
  <c r="S23" i="9"/>
  <c r="U23" i="9"/>
  <c r="V23" i="9"/>
  <c r="W23" i="9"/>
  <c r="Y23" i="9"/>
  <c r="Z23" i="9"/>
  <c r="AA23" i="9"/>
  <c r="AC23" i="9"/>
  <c r="AD23" i="9"/>
  <c r="AE23" i="9"/>
  <c r="AG23" i="9"/>
  <c r="AH23" i="9"/>
  <c r="AI23" i="9"/>
  <c r="AN23" i="9"/>
  <c r="AO23" i="9"/>
  <c r="AP23" i="9"/>
  <c r="AQ23" i="9"/>
  <c r="D24" i="9"/>
  <c r="L24" i="9"/>
  <c r="M24" i="9"/>
  <c r="N24" i="9"/>
  <c r="O24" i="9"/>
  <c r="Q24" i="9"/>
  <c r="S24" i="9"/>
  <c r="U24" i="9"/>
  <c r="V24" i="9"/>
  <c r="W24" i="9"/>
  <c r="Y24" i="9"/>
  <c r="Z24" i="9"/>
  <c r="AA24" i="9"/>
  <c r="AC24" i="9"/>
  <c r="AD24" i="9"/>
  <c r="AE24" i="9"/>
  <c r="AG24" i="9"/>
  <c r="AH24" i="9"/>
  <c r="AI24" i="9"/>
  <c r="AP24" i="9"/>
  <c r="AQ24" i="9"/>
  <c r="D25" i="9"/>
  <c r="L25" i="9"/>
  <c r="M25" i="9"/>
  <c r="N25" i="9"/>
  <c r="O25" i="9"/>
  <c r="Q25" i="9"/>
  <c r="R25" i="9"/>
  <c r="S25" i="9"/>
  <c r="U25" i="9"/>
  <c r="V25" i="9"/>
  <c r="W25" i="9"/>
  <c r="Y25" i="9"/>
  <c r="Z25" i="9"/>
  <c r="AA25" i="9"/>
  <c r="AC25" i="9"/>
  <c r="AD25" i="9"/>
  <c r="AE25" i="9"/>
  <c r="AG25" i="9"/>
  <c r="AH25" i="9"/>
  <c r="AI25" i="9"/>
  <c r="AN25" i="9"/>
  <c r="AO25" i="9"/>
  <c r="AP25" i="9"/>
  <c r="AQ25" i="9"/>
  <c r="D26" i="9"/>
  <c r="L26" i="9"/>
  <c r="M26" i="9"/>
  <c r="N26" i="9"/>
  <c r="O26" i="9"/>
  <c r="Q26" i="9"/>
  <c r="R26" i="9"/>
  <c r="S26" i="9"/>
  <c r="U26" i="9"/>
  <c r="V26" i="9"/>
  <c r="W26" i="9"/>
  <c r="Y26" i="9"/>
  <c r="Z26" i="9"/>
  <c r="AA26" i="9"/>
  <c r="AC26" i="9"/>
  <c r="AD26" i="9"/>
  <c r="AE26" i="9"/>
  <c r="AG26" i="9"/>
  <c r="AH26" i="9"/>
  <c r="AI26" i="9"/>
  <c r="AN26" i="9"/>
  <c r="AO26" i="9"/>
  <c r="AP26" i="9"/>
  <c r="AQ26" i="9"/>
  <c r="AN27" i="9"/>
  <c r="AP27" i="9"/>
  <c r="AQ27" i="9"/>
  <c r="D28" i="9"/>
  <c r="L28" i="9"/>
  <c r="M28" i="9"/>
  <c r="N28" i="9"/>
  <c r="O28" i="9"/>
  <c r="Q28" i="9"/>
  <c r="R28" i="9"/>
  <c r="S28" i="9"/>
  <c r="U28" i="9"/>
  <c r="V28" i="9"/>
  <c r="W28" i="9"/>
  <c r="Y28" i="9"/>
  <c r="Z28" i="9"/>
  <c r="AA28" i="9"/>
  <c r="AC28" i="9"/>
  <c r="AD28" i="9"/>
  <c r="AE28" i="9"/>
  <c r="AG28" i="9"/>
  <c r="AH28" i="9"/>
  <c r="AI28" i="9"/>
  <c r="AN28" i="9"/>
  <c r="AO28" i="9"/>
  <c r="AP28" i="9"/>
  <c r="AQ28" i="9"/>
  <c r="D29" i="9"/>
  <c r="L29" i="9"/>
  <c r="M29" i="9"/>
  <c r="N29" i="9"/>
  <c r="O29" i="9"/>
  <c r="Q29" i="9"/>
  <c r="R29" i="9"/>
  <c r="S29" i="9"/>
  <c r="U29" i="9"/>
  <c r="V29" i="9"/>
  <c r="W29" i="9"/>
  <c r="Y29" i="9"/>
  <c r="Z29" i="9"/>
  <c r="AA29" i="9"/>
  <c r="AC29" i="9"/>
  <c r="AD29" i="9"/>
  <c r="AE29" i="9"/>
  <c r="AG29" i="9"/>
  <c r="AH29" i="9"/>
  <c r="AI29" i="9"/>
  <c r="AN29" i="9"/>
  <c r="AO29" i="9"/>
  <c r="AP29" i="9"/>
  <c r="AQ29" i="9"/>
  <c r="D30" i="9"/>
  <c r="L30" i="9"/>
  <c r="M30" i="9"/>
  <c r="N30" i="9"/>
  <c r="O30" i="9"/>
  <c r="Q30" i="9"/>
  <c r="R30" i="9"/>
  <c r="S30" i="9"/>
  <c r="U30" i="9"/>
  <c r="V30" i="9"/>
  <c r="W30" i="9"/>
  <c r="Y30" i="9"/>
  <c r="Z30" i="9"/>
  <c r="AA30" i="9"/>
  <c r="AC30" i="9"/>
  <c r="AD30" i="9"/>
  <c r="AE30" i="9"/>
  <c r="AG30" i="9"/>
  <c r="AH30" i="9"/>
  <c r="AI30" i="9"/>
  <c r="AN30" i="9"/>
  <c r="AO30" i="9"/>
  <c r="AP30" i="9"/>
  <c r="AQ30" i="9"/>
  <c r="D31" i="9"/>
  <c r="L31" i="9"/>
  <c r="N31" i="9"/>
  <c r="O31" i="9"/>
  <c r="Q31" i="9"/>
  <c r="R31" i="9"/>
  <c r="S31" i="9"/>
  <c r="U31" i="9"/>
  <c r="V31" i="9"/>
  <c r="W31" i="9"/>
  <c r="Y31" i="9"/>
  <c r="Z31" i="9"/>
  <c r="AA31" i="9"/>
  <c r="AC31" i="9"/>
  <c r="AD31" i="9"/>
  <c r="AE31" i="9"/>
  <c r="AG31" i="9"/>
  <c r="AH31" i="9"/>
  <c r="AI31" i="9"/>
  <c r="AN31" i="9"/>
  <c r="AP31" i="9"/>
  <c r="AQ31" i="9"/>
  <c r="D32" i="9"/>
  <c r="L32" i="9"/>
  <c r="N32" i="9"/>
  <c r="O32" i="9"/>
  <c r="Q32" i="9"/>
  <c r="R32" i="9"/>
  <c r="S32" i="9"/>
  <c r="U32" i="9"/>
  <c r="V32" i="9"/>
  <c r="W32" i="9"/>
  <c r="Y32" i="9"/>
  <c r="Z32" i="9"/>
  <c r="AA32" i="9"/>
  <c r="AC32" i="9"/>
  <c r="AD32" i="9"/>
  <c r="AE32" i="9"/>
  <c r="AG32" i="9"/>
  <c r="AH32" i="9"/>
  <c r="AI32" i="9"/>
  <c r="AN32" i="9"/>
  <c r="AO32" i="9"/>
  <c r="AP32" i="9"/>
  <c r="AQ32" i="9"/>
  <c r="D33" i="9"/>
  <c r="L33" i="9"/>
  <c r="N33" i="9"/>
  <c r="O33" i="9"/>
  <c r="Q33" i="9"/>
  <c r="R33" i="9"/>
  <c r="S33" i="9"/>
  <c r="U33" i="9"/>
  <c r="V33" i="9"/>
  <c r="W33" i="9"/>
  <c r="Y33" i="9"/>
  <c r="Z33" i="9"/>
  <c r="AA33" i="9"/>
  <c r="AC33" i="9"/>
  <c r="AD33" i="9"/>
  <c r="AE33" i="9"/>
  <c r="AG33" i="9"/>
  <c r="AH33" i="9"/>
  <c r="AI33" i="9"/>
  <c r="AN33" i="9"/>
  <c r="AP33" i="9"/>
  <c r="AQ33" i="9"/>
  <c r="D34" i="9"/>
  <c r="L34" i="9"/>
  <c r="M34" i="9"/>
  <c r="N34" i="9"/>
  <c r="O34" i="9"/>
  <c r="Q34" i="9"/>
  <c r="R34" i="9"/>
  <c r="S34" i="9"/>
  <c r="U34" i="9"/>
  <c r="V34" i="9"/>
  <c r="W34" i="9"/>
  <c r="Y34" i="9"/>
  <c r="Z34" i="9"/>
  <c r="AA34" i="9"/>
  <c r="AC34" i="9"/>
  <c r="AD34" i="9"/>
  <c r="AE34" i="9"/>
  <c r="AG34" i="9"/>
  <c r="AH34" i="9"/>
  <c r="AI34" i="9"/>
  <c r="AN34" i="9"/>
  <c r="AO34" i="9"/>
  <c r="AP34" i="9"/>
  <c r="AQ34" i="9"/>
  <c r="D35" i="9"/>
  <c r="L35" i="9"/>
  <c r="M35" i="9"/>
  <c r="N35" i="9"/>
  <c r="O35" i="9"/>
  <c r="Q35" i="9"/>
  <c r="R35" i="9"/>
  <c r="S35" i="9"/>
  <c r="U35" i="9"/>
  <c r="V35" i="9"/>
  <c r="W35" i="9"/>
  <c r="Y35" i="9"/>
  <c r="Z35" i="9"/>
  <c r="AA35" i="9"/>
  <c r="AC35" i="9"/>
  <c r="AD35" i="9"/>
  <c r="AE35" i="9"/>
  <c r="AG35" i="9"/>
  <c r="AH35" i="9"/>
  <c r="AI35" i="9"/>
  <c r="AN35" i="9"/>
  <c r="AO35" i="9"/>
  <c r="AP35" i="9"/>
  <c r="AQ35" i="9"/>
  <c r="AN36" i="9"/>
  <c r="AO36" i="9"/>
  <c r="AP36" i="9"/>
  <c r="AQ36" i="9"/>
  <c r="N37" i="9"/>
  <c r="O37" i="9"/>
  <c r="Q37" i="9"/>
  <c r="S37" i="9"/>
  <c r="U37" i="9"/>
  <c r="W37" i="9"/>
  <c r="Y37" i="9"/>
  <c r="AA37" i="9"/>
  <c r="AC37" i="9"/>
  <c r="AE37" i="9"/>
  <c r="AG37" i="9"/>
  <c r="AH37" i="9"/>
  <c r="AI37" i="9"/>
  <c r="AN37" i="9"/>
  <c r="AO37" i="9"/>
  <c r="AP37" i="9"/>
  <c r="AQ37" i="9"/>
  <c r="N38" i="9"/>
  <c r="O38" i="9"/>
  <c r="Q38" i="9"/>
  <c r="S38" i="9"/>
  <c r="U38" i="9"/>
  <c r="W38" i="9"/>
  <c r="Y38" i="9"/>
  <c r="AA38" i="9"/>
  <c r="AC38" i="9"/>
  <c r="AE38" i="9"/>
  <c r="AG38" i="9"/>
  <c r="AH38" i="9"/>
  <c r="AI38" i="9"/>
  <c r="AN38" i="9"/>
  <c r="AO38" i="9"/>
  <c r="AP38" i="9"/>
  <c r="AQ38" i="9"/>
  <c r="AN39" i="9"/>
  <c r="AO39" i="9"/>
  <c r="AP39" i="9"/>
  <c r="AQ39" i="9"/>
  <c r="D40" i="9"/>
  <c r="L40" i="9"/>
  <c r="M40" i="9"/>
  <c r="N40" i="9"/>
  <c r="O40" i="9"/>
  <c r="Q40" i="9"/>
  <c r="R40" i="9"/>
  <c r="S40" i="9"/>
  <c r="U40" i="9"/>
  <c r="V40" i="9"/>
  <c r="W40" i="9"/>
  <c r="Y40" i="9"/>
  <c r="Z40" i="9"/>
  <c r="AA40" i="9"/>
  <c r="AC40" i="9"/>
  <c r="AD40" i="9"/>
  <c r="AE40" i="9"/>
  <c r="AG40" i="9"/>
  <c r="AH40" i="9"/>
  <c r="AI40" i="9"/>
  <c r="AN40" i="9"/>
  <c r="AP40" i="9"/>
  <c r="AQ40" i="9"/>
  <c r="D41" i="9"/>
  <c r="L41" i="9"/>
  <c r="M41" i="9"/>
  <c r="N41" i="9"/>
  <c r="O41" i="9"/>
  <c r="Q41" i="9"/>
  <c r="R41" i="9"/>
  <c r="S41" i="9"/>
  <c r="U41" i="9"/>
  <c r="V41" i="9"/>
  <c r="W41" i="9"/>
  <c r="Y41" i="9"/>
  <c r="Z41" i="9"/>
  <c r="AA41" i="9"/>
  <c r="AC41" i="9"/>
  <c r="AD41" i="9"/>
  <c r="AE41" i="9"/>
  <c r="AG41" i="9"/>
  <c r="AH41" i="9"/>
  <c r="AI41" i="9"/>
  <c r="AN41" i="9"/>
  <c r="AO41" i="9"/>
  <c r="AP41" i="9"/>
  <c r="AQ41" i="9"/>
  <c r="AN42" i="9"/>
  <c r="AO42" i="9"/>
  <c r="AP42" i="9"/>
  <c r="AQ42" i="9"/>
  <c r="D43" i="9"/>
  <c r="L43" i="9"/>
  <c r="M43" i="9"/>
  <c r="N43" i="9"/>
  <c r="O43" i="9"/>
  <c r="Q43" i="9"/>
  <c r="R43" i="9"/>
  <c r="S43" i="9"/>
  <c r="U43" i="9"/>
  <c r="V43" i="9"/>
  <c r="W43" i="9"/>
  <c r="Y43" i="9"/>
  <c r="Z43" i="9"/>
  <c r="AA43" i="9"/>
  <c r="AC43" i="9"/>
  <c r="AD43" i="9"/>
  <c r="AE43" i="9"/>
  <c r="AG43" i="9"/>
  <c r="AH43" i="9"/>
  <c r="AI43" i="9"/>
  <c r="AN43" i="9"/>
  <c r="AO43" i="9"/>
  <c r="AP43" i="9"/>
  <c r="AQ43" i="9"/>
  <c r="D44" i="9"/>
  <c r="L44" i="9"/>
  <c r="M44" i="9"/>
  <c r="N44" i="9"/>
  <c r="O44" i="9"/>
  <c r="Q44" i="9"/>
  <c r="R44" i="9"/>
  <c r="S44" i="9"/>
  <c r="U44" i="9"/>
  <c r="V44" i="9"/>
  <c r="W44" i="9"/>
  <c r="Y44" i="9"/>
  <c r="Z44" i="9"/>
  <c r="AA44" i="9"/>
  <c r="AC44" i="9"/>
  <c r="AD44" i="9"/>
  <c r="AE44" i="9"/>
  <c r="AG44" i="9"/>
  <c r="AH44" i="9"/>
  <c r="AI44" i="9"/>
  <c r="AN44" i="9"/>
  <c r="AO44" i="9"/>
  <c r="AP44" i="9"/>
  <c r="AQ44" i="9"/>
  <c r="D45" i="9"/>
  <c r="L45" i="9"/>
  <c r="M45" i="9"/>
  <c r="N45" i="9"/>
  <c r="O45" i="9"/>
  <c r="Q45" i="9"/>
  <c r="R45" i="9"/>
  <c r="S45" i="9"/>
  <c r="U45" i="9"/>
  <c r="V45" i="9"/>
  <c r="W45" i="9"/>
  <c r="Y45" i="9"/>
  <c r="Z45" i="9"/>
  <c r="AA45" i="9"/>
  <c r="AC45" i="9"/>
  <c r="AD45" i="9"/>
  <c r="AE45" i="9"/>
  <c r="AG45" i="9"/>
  <c r="AH45" i="9"/>
  <c r="AI45" i="9"/>
  <c r="AN45" i="9"/>
  <c r="AO45" i="9"/>
  <c r="AP45" i="9"/>
  <c r="AQ45" i="9"/>
  <c r="AN46" i="9"/>
  <c r="AO46" i="9"/>
  <c r="AP46" i="9"/>
  <c r="AQ46" i="9"/>
  <c r="D47" i="9"/>
  <c r="L47" i="9"/>
  <c r="N47" i="9"/>
  <c r="O47" i="9"/>
  <c r="Q47" i="9"/>
  <c r="R47" i="9"/>
  <c r="S47" i="9"/>
  <c r="U47" i="9"/>
  <c r="V47" i="9"/>
  <c r="W47" i="9"/>
  <c r="Y47" i="9"/>
  <c r="Z47" i="9"/>
  <c r="AA47" i="9"/>
  <c r="AC47" i="9"/>
  <c r="AD47" i="9"/>
  <c r="AE47" i="9"/>
  <c r="AG47" i="9"/>
  <c r="AH47" i="9"/>
  <c r="AI47" i="9"/>
  <c r="AN47" i="9"/>
  <c r="AO47" i="9"/>
  <c r="AP47" i="9"/>
  <c r="AQ47" i="9"/>
  <c r="D48" i="9"/>
  <c r="L48" i="9"/>
  <c r="M48" i="9"/>
  <c r="N48" i="9"/>
  <c r="O48" i="9"/>
  <c r="Q48" i="9"/>
  <c r="R48" i="9"/>
  <c r="S48" i="9"/>
  <c r="U48" i="9"/>
  <c r="V48" i="9"/>
  <c r="W48" i="9"/>
  <c r="Y48" i="9"/>
  <c r="Z48" i="9"/>
  <c r="AA48" i="9"/>
  <c r="AC48" i="9"/>
  <c r="AD48" i="9"/>
  <c r="AE48" i="9"/>
  <c r="AG48" i="9"/>
  <c r="AH48" i="9"/>
  <c r="AI48" i="9"/>
  <c r="AN48" i="9"/>
  <c r="AO48" i="9"/>
  <c r="AP48" i="9"/>
  <c r="AQ48" i="9"/>
  <c r="L49" i="9"/>
  <c r="D50" i="9"/>
  <c r="L50" i="9"/>
  <c r="M50" i="9"/>
  <c r="N50" i="9"/>
  <c r="O50" i="9"/>
  <c r="Q50" i="9"/>
  <c r="R50" i="9"/>
  <c r="S50" i="9"/>
  <c r="U50" i="9"/>
  <c r="V50" i="9"/>
  <c r="W50" i="9"/>
  <c r="Y50" i="9"/>
  <c r="Z50" i="9"/>
  <c r="AA50" i="9"/>
  <c r="AC50" i="9"/>
  <c r="AD50" i="9"/>
  <c r="AE50" i="9"/>
  <c r="AG50" i="9"/>
  <c r="AH50" i="9"/>
  <c r="AI50" i="9"/>
  <c r="AN50" i="9"/>
  <c r="AO50" i="9"/>
  <c r="AP50" i="9"/>
  <c r="AQ50" i="9"/>
  <c r="D51" i="9"/>
  <c r="L51" i="9"/>
  <c r="M51" i="9"/>
  <c r="N51" i="9"/>
  <c r="O51" i="9"/>
  <c r="Q51" i="9"/>
  <c r="R51" i="9"/>
  <c r="S51" i="9"/>
  <c r="U51" i="9"/>
  <c r="V51" i="9"/>
  <c r="W51" i="9"/>
  <c r="Y51" i="9"/>
  <c r="Z51" i="9"/>
  <c r="AA51" i="9"/>
  <c r="AC51" i="9"/>
  <c r="AD51" i="9"/>
  <c r="AE51" i="9"/>
  <c r="AG51" i="9"/>
  <c r="AH51" i="9"/>
  <c r="AI51" i="9"/>
  <c r="AN51" i="9"/>
  <c r="AO51" i="9"/>
  <c r="AP51" i="9"/>
  <c r="AQ51" i="9"/>
  <c r="D52" i="9"/>
  <c r="L52" i="9"/>
  <c r="M52" i="9"/>
  <c r="N52" i="9"/>
  <c r="O52" i="9"/>
  <c r="Q52" i="9"/>
  <c r="R52" i="9"/>
  <c r="S52" i="9"/>
  <c r="U52" i="9"/>
  <c r="V52" i="9"/>
  <c r="W52" i="9"/>
  <c r="Y52" i="9"/>
  <c r="Z52" i="9"/>
  <c r="AA52" i="9"/>
  <c r="AC52" i="9"/>
  <c r="AD52" i="9"/>
  <c r="AE52" i="9"/>
  <c r="AG52" i="9"/>
  <c r="AH52" i="9"/>
  <c r="AI52" i="9"/>
  <c r="AN52" i="9"/>
  <c r="AO52" i="9"/>
  <c r="AP52" i="9"/>
  <c r="AQ52" i="9"/>
  <c r="AN53" i="9"/>
  <c r="AO53" i="9"/>
  <c r="AP53" i="9"/>
  <c r="AQ53" i="9"/>
  <c r="D54" i="9"/>
  <c r="L54" i="9"/>
  <c r="M54" i="9"/>
  <c r="N54" i="9"/>
  <c r="O54" i="9"/>
  <c r="Q54" i="9"/>
  <c r="R54" i="9"/>
  <c r="S54" i="9"/>
  <c r="U54" i="9"/>
  <c r="V54" i="9"/>
  <c r="W54" i="9"/>
  <c r="Y54" i="9"/>
  <c r="Z54" i="9"/>
  <c r="AA54" i="9"/>
  <c r="AC54" i="9"/>
  <c r="AD54" i="9"/>
  <c r="AE54" i="9"/>
  <c r="AG54" i="9"/>
  <c r="AH54" i="9"/>
  <c r="AI54" i="9"/>
  <c r="AN54" i="9"/>
  <c r="AO54" i="9"/>
  <c r="AP54" i="9"/>
  <c r="AQ54" i="9"/>
  <c r="D55" i="9"/>
  <c r="L55" i="9"/>
  <c r="M55" i="9"/>
  <c r="N55" i="9"/>
  <c r="O55" i="9"/>
  <c r="Q55" i="9"/>
  <c r="R55" i="9"/>
  <c r="S55" i="9"/>
  <c r="U55" i="9"/>
  <c r="V55" i="9"/>
  <c r="W55" i="9"/>
  <c r="Y55" i="9"/>
  <c r="Z55" i="9"/>
  <c r="AA55" i="9"/>
  <c r="AC55" i="9"/>
  <c r="AD55" i="9"/>
  <c r="AE55" i="9"/>
  <c r="AG55" i="9"/>
  <c r="AH55" i="9"/>
  <c r="AI55" i="9"/>
  <c r="D56" i="9"/>
  <c r="L56" i="9"/>
  <c r="M56" i="9"/>
  <c r="N56" i="9"/>
  <c r="O56" i="9"/>
  <c r="Q56" i="9"/>
  <c r="S56" i="9"/>
  <c r="U56" i="9"/>
  <c r="W56" i="9"/>
  <c r="Y56" i="9"/>
  <c r="AA56" i="9"/>
  <c r="AC56" i="9"/>
  <c r="AE56" i="9"/>
  <c r="AG56" i="9"/>
  <c r="AH56" i="9"/>
  <c r="AI56" i="9"/>
  <c r="AO56" i="9"/>
  <c r="AO57" i="9"/>
  <c r="D58" i="9"/>
  <c r="L58" i="9"/>
  <c r="M58" i="9"/>
  <c r="N58" i="9"/>
  <c r="O58" i="9"/>
  <c r="Q58" i="9"/>
  <c r="R58" i="9"/>
  <c r="S58" i="9"/>
  <c r="U58" i="9"/>
  <c r="V58" i="9"/>
  <c r="W58" i="9"/>
  <c r="Y58" i="9"/>
  <c r="Z58" i="9"/>
  <c r="AA58" i="9"/>
  <c r="AC58" i="9"/>
  <c r="AD58" i="9"/>
  <c r="AE58" i="9"/>
  <c r="AG58" i="9"/>
  <c r="AH58" i="9"/>
  <c r="AI58" i="9"/>
  <c r="AO58" i="9"/>
  <c r="D59" i="9"/>
  <c r="L59" i="9"/>
  <c r="M59" i="9"/>
  <c r="N59" i="9"/>
  <c r="O59" i="9"/>
  <c r="Q59" i="9"/>
  <c r="R59" i="9"/>
  <c r="S59" i="9"/>
  <c r="U59" i="9"/>
  <c r="V59" i="9"/>
  <c r="W59" i="9"/>
  <c r="Y59" i="9"/>
  <c r="Z59" i="9"/>
  <c r="AA59" i="9"/>
  <c r="AC59" i="9"/>
  <c r="AD59" i="9"/>
  <c r="AE59" i="9"/>
  <c r="AG59" i="9"/>
  <c r="AH59" i="9"/>
  <c r="AI59" i="9"/>
  <c r="D60" i="9"/>
  <c r="L60" i="9"/>
  <c r="M60" i="9"/>
  <c r="N60" i="9"/>
  <c r="O60" i="9"/>
  <c r="Q60" i="9"/>
  <c r="R60" i="9"/>
  <c r="S60" i="9"/>
  <c r="U60" i="9"/>
  <c r="V60" i="9"/>
  <c r="W60" i="9"/>
  <c r="Y60" i="9"/>
  <c r="Z60" i="9"/>
  <c r="AA60" i="9"/>
  <c r="AC60" i="9"/>
  <c r="AD60" i="9"/>
  <c r="AE60" i="9"/>
  <c r="AG60" i="9"/>
  <c r="AH60" i="9"/>
  <c r="AI60" i="9"/>
  <c r="AO60" i="9"/>
  <c r="AP60" i="9"/>
  <c r="AQ60" i="9"/>
  <c r="AS60" i="9"/>
  <c r="D61" i="9"/>
  <c r="AO61" i="9"/>
  <c r="AQ61" i="9"/>
  <c r="AS61" i="9"/>
  <c r="D62" i="9"/>
  <c r="L62" i="9"/>
  <c r="M62" i="9"/>
  <c r="N62" i="9"/>
  <c r="O62" i="9"/>
  <c r="Q62" i="9"/>
  <c r="R62" i="9"/>
  <c r="S62" i="9"/>
  <c r="U62" i="9"/>
  <c r="V62" i="9"/>
  <c r="W62" i="9"/>
  <c r="Y62" i="9"/>
  <c r="Z62" i="9"/>
  <c r="AA62" i="9"/>
  <c r="AC62" i="9"/>
  <c r="AD62" i="9"/>
  <c r="AE62" i="9"/>
  <c r="AG62" i="9"/>
  <c r="AH62" i="9"/>
  <c r="AI62" i="9"/>
  <c r="AO62" i="9"/>
  <c r="AQ62" i="9"/>
  <c r="AR62" i="9"/>
  <c r="AS62" i="9"/>
  <c r="D63" i="9"/>
  <c r="L63" i="9"/>
  <c r="M63" i="9"/>
  <c r="N63" i="9"/>
  <c r="O63" i="9"/>
  <c r="Q63" i="9"/>
  <c r="R63" i="9"/>
  <c r="S63" i="9"/>
  <c r="U63" i="9"/>
  <c r="V63" i="9"/>
  <c r="W63" i="9"/>
  <c r="Y63" i="9"/>
  <c r="Z63" i="9"/>
  <c r="AA63" i="9"/>
  <c r="AC63" i="9"/>
  <c r="AD63" i="9"/>
  <c r="AE63" i="9"/>
  <c r="AG63" i="9"/>
  <c r="AH63" i="9"/>
  <c r="AI63" i="9"/>
  <c r="AO63" i="9"/>
  <c r="AP63" i="9"/>
  <c r="D64" i="9"/>
  <c r="L64" i="9"/>
  <c r="M64" i="9"/>
  <c r="N64" i="9"/>
  <c r="O64" i="9"/>
  <c r="Q64" i="9"/>
  <c r="R64" i="9"/>
  <c r="S64" i="9"/>
  <c r="U64" i="9"/>
  <c r="V64" i="9"/>
  <c r="W64" i="9"/>
  <c r="Y64" i="9"/>
  <c r="Z64" i="9"/>
  <c r="AA64" i="9"/>
  <c r="AC64" i="9"/>
  <c r="AD64" i="9"/>
  <c r="AE64" i="9"/>
  <c r="AG64" i="9"/>
  <c r="AH64" i="9"/>
  <c r="AI64" i="9"/>
  <c r="AO64" i="9"/>
  <c r="AP64" i="9"/>
  <c r="D66" i="9"/>
  <c r="L66" i="9"/>
  <c r="M66" i="9"/>
  <c r="N66" i="9"/>
  <c r="O66" i="9"/>
  <c r="Q66" i="9"/>
  <c r="R66" i="9"/>
  <c r="S66" i="9"/>
  <c r="U66" i="9"/>
  <c r="V66" i="9"/>
  <c r="W66" i="9"/>
  <c r="Y66" i="9"/>
  <c r="Z66" i="9"/>
  <c r="AA66" i="9"/>
  <c r="AC66" i="9"/>
  <c r="AD66" i="9"/>
  <c r="AE66" i="9"/>
  <c r="AG66" i="9"/>
  <c r="AH66" i="9"/>
  <c r="AI66" i="9"/>
  <c r="AO66" i="9"/>
  <c r="D67" i="9"/>
  <c r="L67" i="9"/>
  <c r="M67" i="9"/>
  <c r="N67" i="9"/>
  <c r="O67" i="9"/>
  <c r="Q67" i="9"/>
  <c r="R67" i="9"/>
  <c r="S67" i="9"/>
  <c r="U67" i="9"/>
  <c r="V67" i="9"/>
  <c r="W67" i="9"/>
  <c r="Y67" i="9"/>
  <c r="Z67" i="9"/>
  <c r="AA67" i="9"/>
  <c r="AC67" i="9"/>
  <c r="AD67" i="9"/>
  <c r="AE67" i="9"/>
  <c r="AG67" i="9"/>
  <c r="AH67" i="9"/>
  <c r="AI67" i="9"/>
  <c r="D68" i="9"/>
  <c r="L68" i="9"/>
  <c r="M68" i="9"/>
  <c r="N68" i="9"/>
  <c r="O68" i="9"/>
  <c r="Q68" i="9"/>
  <c r="R68" i="9"/>
  <c r="S68" i="9"/>
  <c r="U68" i="9"/>
  <c r="V68" i="9"/>
  <c r="W68" i="9"/>
  <c r="Y68" i="9"/>
  <c r="Z68" i="9"/>
  <c r="AA68" i="9"/>
  <c r="AC68" i="9"/>
  <c r="AD68" i="9"/>
  <c r="AE68" i="9"/>
  <c r="AG68" i="9"/>
  <c r="AH68" i="9"/>
  <c r="AI68" i="9"/>
  <c r="AO68" i="9"/>
  <c r="D69" i="9"/>
  <c r="L69" i="9"/>
  <c r="M69" i="9"/>
  <c r="N69" i="9"/>
  <c r="O69" i="9"/>
  <c r="Q69" i="9"/>
  <c r="R69" i="9"/>
  <c r="S69" i="9"/>
  <c r="U69" i="9"/>
  <c r="V69" i="9"/>
  <c r="W69" i="9"/>
  <c r="Y69" i="9"/>
  <c r="Z69" i="9"/>
  <c r="AA69" i="9"/>
  <c r="AC69" i="9"/>
  <c r="AD69" i="9"/>
  <c r="AE69" i="9"/>
  <c r="AG69" i="9"/>
  <c r="AH69" i="9"/>
  <c r="AI69" i="9"/>
  <c r="AO69" i="9"/>
  <c r="AQ69" i="9"/>
  <c r="D70" i="9"/>
  <c r="L70" i="9"/>
  <c r="M70" i="9"/>
  <c r="N70" i="9"/>
  <c r="O70" i="9"/>
  <c r="Q70" i="9"/>
  <c r="R70" i="9"/>
  <c r="S70" i="9"/>
  <c r="U70" i="9"/>
  <c r="V70" i="9"/>
  <c r="W70" i="9"/>
  <c r="Y70" i="9"/>
  <c r="Z70" i="9"/>
  <c r="AA70" i="9"/>
  <c r="AC70" i="9"/>
  <c r="AD70" i="9"/>
  <c r="AE70" i="9"/>
  <c r="AG70" i="9"/>
  <c r="AH70" i="9"/>
  <c r="AI70" i="9"/>
  <c r="AO70" i="9"/>
  <c r="AQ70" i="9"/>
  <c r="D71" i="9"/>
  <c r="L71" i="9"/>
  <c r="M71" i="9"/>
  <c r="N71" i="9"/>
  <c r="O71" i="9"/>
  <c r="Q71" i="9"/>
  <c r="R71" i="9"/>
  <c r="S71" i="9"/>
  <c r="U71" i="9"/>
  <c r="V71" i="9"/>
  <c r="W71" i="9"/>
  <c r="Y71" i="9"/>
  <c r="Z71" i="9"/>
  <c r="AA71" i="9"/>
  <c r="AC71" i="9"/>
  <c r="AD71" i="9"/>
  <c r="AE71" i="9"/>
  <c r="AG71" i="9"/>
  <c r="AH71" i="9"/>
  <c r="AI71" i="9"/>
  <c r="AO71" i="9"/>
  <c r="D72" i="9"/>
  <c r="L72" i="9"/>
  <c r="M72" i="9"/>
  <c r="N72" i="9"/>
  <c r="O72" i="9"/>
  <c r="Q72" i="9"/>
  <c r="R72" i="9"/>
  <c r="S72" i="9"/>
  <c r="U72" i="9"/>
  <c r="V72" i="9"/>
  <c r="W72" i="9"/>
  <c r="Y72" i="9"/>
  <c r="Z72" i="9"/>
  <c r="AA72" i="9"/>
  <c r="AC72" i="9"/>
  <c r="AD72" i="9"/>
  <c r="AE72" i="9"/>
  <c r="AG72" i="9"/>
  <c r="AH72" i="9"/>
  <c r="AI72" i="9"/>
  <c r="AO72" i="9"/>
  <c r="D73" i="9"/>
  <c r="L73" i="9"/>
  <c r="M73" i="9"/>
  <c r="N73" i="9"/>
  <c r="O73" i="9"/>
  <c r="Q73" i="9"/>
  <c r="R73" i="9"/>
  <c r="S73" i="9"/>
  <c r="U73" i="9"/>
  <c r="V73" i="9"/>
  <c r="W73" i="9"/>
  <c r="Y73" i="9"/>
  <c r="Z73" i="9"/>
  <c r="AA73" i="9"/>
  <c r="AC73" i="9"/>
  <c r="AD73" i="9"/>
  <c r="AE73" i="9"/>
  <c r="AG73" i="9"/>
  <c r="AH73" i="9"/>
  <c r="AI73" i="9"/>
  <c r="AO73" i="9"/>
  <c r="D74" i="9"/>
  <c r="L74" i="9"/>
  <c r="N74" i="9"/>
  <c r="O74" i="9"/>
  <c r="Q74" i="9"/>
  <c r="R74" i="9"/>
  <c r="S74" i="9"/>
  <c r="U74" i="9"/>
  <c r="V74" i="9"/>
  <c r="W74" i="9"/>
  <c r="Y74" i="9"/>
  <c r="Z74" i="9"/>
  <c r="AA74" i="9"/>
  <c r="AC74" i="9"/>
  <c r="AD74" i="9"/>
  <c r="AE74" i="9"/>
  <c r="AG74" i="9"/>
  <c r="AH74" i="9"/>
  <c r="AI74" i="9"/>
  <c r="D75" i="9"/>
  <c r="L75" i="9"/>
  <c r="N75" i="9"/>
  <c r="O75" i="9"/>
  <c r="Q75" i="9"/>
  <c r="R75" i="9"/>
  <c r="S75" i="9"/>
  <c r="U75" i="9"/>
  <c r="V75" i="9"/>
  <c r="W75" i="9"/>
  <c r="Y75" i="9"/>
  <c r="Z75" i="9"/>
  <c r="AA75" i="9"/>
  <c r="AC75" i="9"/>
  <c r="AD75" i="9"/>
  <c r="AE75" i="9"/>
  <c r="AG75" i="9"/>
  <c r="AH75" i="9"/>
  <c r="AI75" i="9"/>
  <c r="AO75" i="9"/>
  <c r="AQ75" i="9"/>
  <c r="AT75" i="9"/>
  <c r="D76" i="9"/>
  <c r="L76" i="9"/>
  <c r="N76" i="9"/>
  <c r="O76" i="9"/>
  <c r="Q76" i="9"/>
  <c r="R76" i="9"/>
  <c r="S76" i="9"/>
  <c r="U76" i="9"/>
  <c r="V76" i="9"/>
  <c r="W76" i="9"/>
  <c r="Y76" i="9"/>
  <c r="Z76" i="9"/>
  <c r="AA76" i="9"/>
  <c r="AC76" i="9"/>
  <c r="AD76" i="9"/>
  <c r="AE76" i="9"/>
  <c r="AG76" i="9"/>
  <c r="AH76" i="9"/>
  <c r="AI76" i="9"/>
  <c r="AO76" i="9"/>
  <c r="AQ76" i="9"/>
  <c r="D77" i="9"/>
  <c r="L77" i="9"/>
  <c r="M77" i="9"/>
  <c r="N77" i="9"/>
  <c r="O77" i="9"/>
  <c r="Q77" i="9"/>
  <c r="R77" i="9"/>
  <c r="S77" i="9"/>
  <c r="U77" i="9"/>
  <c r="V77" i="9"/>
  <c r="W77" i="9"/>
  <c r="Y77" i="9"/>
  <c r="Z77" i="9"/>
  <c r="AA77" i="9"/>
  <c r="AC77" i="9"/>
  <c r="AD77" i="9"/>
  <c r="AE77" i="9"/>
  <c r="AG77" i="9"/>
  <c r="AH77" i="9"/>
  <c r="AI77" i="9"/>
  <c r="AO77" i="9"/>
  <c r="D78" i="9"/>
  <c r="L78" i="9"/>
  <c r="M78" i="9"/>
  <c r="N78" i="9"/>
  <c r="O78" i="9"/>
  <c r="Q78" i="9"/>
  <c r="S78" i="9"/>
  <c r="U78" i="9"/>
  <c r="W78" i="9"/>
  <c r="Y78" i="9"/>
  <c r="AA78" i="9"/>
  <c r="AC78" i="9"/>
  <c r="AE78" i="9"/>
  <c r="AG78" i="9"/>
  <c r="AH78" i="9"/>
  <c r="AI78" i="9"/>
  <c r="AO78" i="9"/>
  <c r="D79" i="9"/>
  <c r="L79" i="9"/>
  <c r="M79" i="9"/>
  <c r="N79" i="9"/>
  <c r="O79" i="9"/>
  <c r="Q79" i="9"/>
  <c r="S79" i="9"/>
  <c r="U79" i="9"/>
  <c r="W79" i="9"/>
  <c r="Y79" i="9"/>
  <c r="AA79" i="9"/>
  <c r="AC79" i="9"/>
  <c r="AE79" i="9"/>
  <c r="AG79" i="9"/>
  <c r="AH79" i="9"/>
  <c r="AI79" i="9"/>
  <c r="AO79" i="9"/>
  <c r="D81" i="9"/>
  <c r="L81" i="9"/>
  <c r="M81" i="9"/>
  <c r="N81" i="9"/>
  <c r="O81" i="9"/>
  <c r="Q81" i="9"/>
  <c r="R81" i="9"/>
  <c r="S81" i="9"/>
  <c r="U81" i="9"/>
  <c r="V81" i="9"/>
  <c r="W81" i="9"/>
  <c r="Y81" i="9"/>
  <c r="Z81" i="9"/>
  <c r="AA81" i="9"/>
  <c r="AC81" i="9"/>
  <c r="AD81" i="9"/>
  <c r="AE81" i="9"/>
  <c r="AG81" i="9"/>
  <c r="AH81" i="9"/>
  <c r="AI81" i="9"/>
  <c r="D82" i="9"/>
  <c r="L82" i="9"/>
  <c r="M82" i="9"/>
  <c r="N82" i="9"/>
  <c r="O82" i="9"/>
  <c r="Q82" i="9"/>
  <c r="R82" i="9"/>
  <c r="S82" i="9"/>
  <c r="U82" i="9"/>
  <c r="V82" i="9"/>
  <c r="W82" i="9"/>
  <c r="Y82" i="9"/>
  <c r="Z82" i="9"/>
  <c r="AA82" i="9"/>
  <c r="AC82" i="9"/>
  <c r="AD82" i="9"/>
  <c r="AE82" i="9"/>
  <c r="AG82" i="9"/>
  <c r="AH82" i="9"/>
  <c r="AI82" i="9"/>
  <c r="AO82" i="9"/>
  <c r="D83" i="9"/>
  <c r="L83" i="9"/>
  <c r="M83" i="9"/>
  <c r="N83" i="9"/>
  <c r="O83" i="9"/>
  <c r="Q83" i="9"/>
  <c r="R83" i="9"/>
  <c r="S83" i="9"/>
  <c r="U83" i="9"/>
  <c r="V83" i="9"/>
  <c r="W83" i="9"/>
  <c r="Y83" i="9"/>
  <c r="Z83" i="9"/>
  <c r="AA83" i="9"/>
  <c r="AC83" i="9"/>
  <c r="AD83" i="9"/>
  <c r="AE83" i="9"/>
  <c r="AG83" i="9"/>
  <c r="AH83" i="9"/>
  <c r="AI83" i="9"/>
  <c r="AO83" i="9"/>
  <c r="D84" i="9"/>
  <c r="L84" i="9"/>
  <c r="M84" i="9"/>
  <c r="N84" i="9"/>
  <c r="O84" i="9"/>
  <c r="Q84" i="9"/>
  <c r="R84" i="9"/>
  <c r="S84" i="9"/>
  <c r="U84" i="9"/>
  <c r="V84" i="9"/>
  <c r="W84" i="9"/>
  <c r="Y84" i="9"/>
  <c r="Z84" i="9"/>
  <c r="AA84" i="9"/>
  <c r="AC84" i="9"/>
  <c r="AD84" i="9"/>
  <c r="AE84" i="9"/>
  <c r="AG84" i="9"/>
  <c r="AH84" i="9"/>
  <c r="AI84" i="9"/>
  <c r="AO84" i="9"/>
  <c r="D85" i="9"/>
  <c r="L85" i="9"/>
  <c r="M85" i="9"/>
  <c r="N85" i="9"/>
  <c r="O85" i="9"/>
  <c r="Q85" i="9"/>
  <c r="R85" i="9"/>
  <c r="S85" i="9"/>
  <c r="U85" i="9"/>
  <c r="V85" i="9"/>
  <c r="W85" i="9"/>
  <c r="Y85" i="9"/>
  <c r="Z85" i="9"/>
  <c r="AA85" i="9"/>
  <c r="AC85" i="9"/>
  <c r="AD85" i="9"/>
  <c r="AE85" i="9"/>
  <c r="AG85" i="9"/>
  <c r="AH85" i="9"/>
  <c r="AI85" i="9"/>
  <c r="AO85" i="9"/>
  <c r="D86" i="9"/>
  <c r="L86" i="9"/>
  <c r="M86" i="9"/>
  <c r="N86" i="9"/>
  <c r="O86" i="9"/>
  <c r="Q86" i="9"/>
  <c r="R86" i="9"/>
  <c r="S86" i="9"/>
  <c r="U86" i="9"/>
  <c r="V86" i="9"/>
  <c r="W86" i="9"/>
  <c r="Y86" i="9"/>
  <c r="Z86" i="9"/>
  <c r="AA86" i="9"/>
  <c r="AC86" i="9"/>
  <c r="AD86" i="9"/>
  <c r="AE86" i="9"/>
  <c r="AG86" i="9"/>
  <c r="AH86" i="9"/>
  <c r="AI86" i="9"/>
  <c r="AO86" i="9"/>
  <c r="D87" i="9"/>
  <c r="L87" i="9"/>
  <c r="M87" i="9"/>
  <c r="N87" i="9"/>
  <c r="O87" i="9"/>
  <c r="Q87" i="9"/>
  <c r="R87" i="9"/>
  <c r="S87" i="9"/>
  <c r="U87" i="9"/>
  <c r="V87" i="9"/>
  <c r="W87" i="9"/>
  <c r="Y87" i="9"/>
  <c r="Z87" i="9"/>
  <c r="AA87" i="9"/>
  <c r="AC87" i="9"/>
  <c r="AD87" i="9"/>
  <c r="AE87" i="9"/>
  <c r="AG87" i="9"/>
  <c r="AH87" i="9"/>
  <c r="AI87" i="9"/>
  <c r="AO87" i="9"/>
  <c r="D88" i="9"/>
  <c r="L88" i="9"/>
  <c r="M88" i="9"/>
  <c r="N88" i="9"/>
  <c r="O88" i="9"/>
  <c r="Q88" i="9"/>
  <c r="R88" i="9"/>
  <c r="S88" i="9"/>
  <c r="U88" i="9"/>
  <c r="V88" i="9"/>
  <c r="W88" i="9"/>
  <c r="Y88" i="9"/>
  <c r="Z88" i="9"/>
  <c r="AA88" i="9"/>
  <c r="AC88" i="9"/>
  <c r="AD88" i="9"/>
  <c r="AE88" i="9"/>
  <c r="AG88" i="9"/>
  <c r="AH88" i="9"/>
  <c r="AI88" i="9"/>
  <c r="AO88" i="9"/>
  <c r="M91" i="9"/>
  <c r="N91" i="9"/>
  <c r="Q91" i="9"/>
  <c r="R91" i="9"/>
  <c r="S91" i="9"/>
  <c r="U91" i="9"/>
  <c r="V91" i="9"/>
  <c r="W91" i="9"/>
  <c r="Y91" i="9"/>
  <c r="Z91" i="9"/>
  <c r="AA91" i="9"/>
  <c r="AC91" i="9"/>
  <c r="AD91" i="9"/>
  <c r="AE91" i="9"/>
  <c r="AG91" i="9"/>
  <c r="AH91" i="9"/>
  <c r="AI91" i="9"/>
  <c r="M94" i="9"/>
  <c r="N94" i="9"/>
  <c r="Q94" i="9"/>
  <c r="R94" i="9"/>
  <c r="S94" i="9"/>
  <c r="U94" i="9"/>
  <c r="V94" i="9"/>
  <c r="W94" i="9"/>
  <c r="Y94" i="9"/>
  <c r="Z94" i="9"/>
  <c r="AA94" i="9"/>
  <c r="AC94" i="9"/>
  <c r="AD94" i="9"/>
  <c r="AE94" i="9"/>
  <c r="AG94" i="9"/>
  <c r="AH94" i="9"/>
  <c r="AI94" i="9"/>
  <c r="M95" i="9"/>
  <c r="N95" i="9"/>
  <c r="Q95" i="9"/>
  <c r="R95" i="9"/>
  <c r="S95" i="9"/>
  <c r="U95" i="9"/>
  <c r="V95" i="9"/>
  <c r="W95" i="9"/>
  <c r="Y95" i="9"/>
  <c r="Z95" i="9"/>
  <c r="AA95" i="9"/>
  <c r="AC95" i="9"/>
  <c r="AD95" i="9"/>
  <c r="AE95" i="9"/>
  <c r="AG95" i="9"/>
  <c r="AH95" i="9"/>
  <c r="AI95" i="9"/>
  <c r="M96" i="9"/>
  <c r="N96" i="9"/>
  <c r="Q96" i="9"/>
  <c r="R96" i="9"/>
  <c r="S96" i="9"/>
  <c r="U96" i="9"/>
  <c r="V96" i="9"/>
  <c r="W96" i="9"/>
  <c r="Y96" i="9"/>
  <c r="Z96" i="9"/>
  <c r="AA96" i="9"/>
  <c r="AC96" i="9"/>
  <c r="AD96" i="9"/>
  <c r="AE96" i="9"/>
  <c r="AG96" i="9"/>
  <c r="AH96" i="9"/>
  <c r="AI96" i="9"/>
  <c r="M97" i="9"/>
  <c r="N97" i="9"/>
  <c r="Q97" i="9"/>
  <c r="R97" i="9"/>
  <c r="S97" i="9"/>
  <c r="U97" i="9"/>
  <c r="V97" i="9"/>
  <c r="W97" i="9"/>
  <c r="Y97" i="9"/>
  <c r="Z97" i="9"/>
  <c r="AA97" i="9"/>
  <c r="AC97" i="9"/>
  <c r="AD97" i="9"/>
  <c r="AE97" i="9"/>
  <c r="AG97" i="9"/>
  <c r="AH97" i="9"/>
  <c r="AI97" i="9"/>
  <c r="M98" i="9"/>
  <c r="N98" i="9"/>
  <c r="Q98" i="9"/>
  <c r="R98" i="9"/>
  <c r="S98" i="9"/>
  <c r="U98" i="9"/>
  <c r="V98" i="9"/>
  <c r="W98" i="9"/>
  <c r="Y98" i="9"/>
  <c r="Z98" i="9"/>
  <c r="AA98" i="9"/>
  <c r="AC98" i="9"/>
  <c r="AD98" i="9"/>
  <c r="AE98" i="9"/>
  <c r="AG98" i="9"/>
  <c r="AH98" i="9"/>
  <c r="AI98" i="9"/>
  <c r="M99" i="9"/>
  <c r="N99" i="9"/>
  <c r="Q99" i="9"/>
  <c r="R99" i="9"/>
  <c r="S99" i="9"/>
  <c r="U99" i="9"/>
  <c r="V99" i="9"/>
  <c r="W99" i="9"/>
  <c r="Y99" i="9"/>
  <c r="Z99" i="9"/>
  <c r="AA99" i="9"/>
  <c r="AC99" i="9"/>
  <c r="AD99" i="9"/>
  <c r="AE99" i="9"/>
  <c r="AG99" i="9"/>
  <c r="AH99" i="9"/>
  <c r="AI99" i="9"/>
  <c r="M100" i="9"/>
  <c r="N100" i="9"/>
  <c r="Q100" i="9"/>
  <c r="R100" i="9"/>
  <c r="S100" i="9"/>
  <c r="U100" i="9"/>
  <c r="V100" i="9"/>
  <c r="W100" i="9"/>
  <c r="Y100" i="9"/>
  <c r="Z100" i="9"/>
  <c r="AA100" i="9"/>
  <c r="AC100" i="9"/>
  <c r="AD100" i="9"/>
  <c r="AE100" i="9"/>
  <c r="AG100" i="9"/>
  <c r="AH100" i="9"/>
  <c r="AI100" i="9"/>
  <c r="M101" i="9"/>
  <c r="N101" i="9"/>
  <c r="Q101" i="9"/>
  <c r="R101" i="9"/>
  <c r="S101" i="9"/>
  <c r="U101" i="9"/>
  <c r="V101" i="9"/>
  <c r="W101" i="9"/>
  <c r="Y101" i="9"/>
  <c r="Z101" i="9"/>
  <c r="AA101" i="9"/>
  <c r="AC101" i="9"/>
  <c r="AD101" i="9"/>
  <c r="AE101" i="9"/>
  <c r="AG101" i="9"/>
  <c r="AH101" i="9"/>
  <c r="AI101" i="9"/>
  <c r="M102" i="9"/>
  <c r="N102" i="9"/>
  <c r="Q102" i="9"/>
  <c r="R102" i="9"/>
  <c r="S102" i="9"/>
  <c r="U102" i="9"/>
  <c r="V102" i="9"/>
  <c r="W102" i="9"/>
  <c r="Y102" i="9"/>
  <c r="Z102" i="9"/>
  <c r="AA102" i="9"/>
  <c r="AC102" i="9"/>
  <c r="AD102" i="9"/>
  <c r="AE102" i="9"/>
  <c r="AG102" i="9"/>
  <c r="AH102" i="9"/>
  <c r="AI102" i="9"/>
  <c r="M103" i="9"/>
  <c r="N103" i="9"/>
  <c r="Q103" i="9"/>
  <c r="R103" i="9"/>
  <c r="S103" i="9"/>
  <c r="U103" i="9"/>
  <c r="V103" i="9"/>
  <c r="W103" i="9"/>
  <c r="Y103" i="9"/>
  <c r="Z103" i="9"/>
  <c r="AA103" i="9"/>
  <c r="AC103" i="9"/>
  <c r="AD103" i="9"/>
  <c r="AE103" i="9"/>
  <c r="AG103" i="9"/>
  <c r="AH103" i="9"/>
  <c r="AI103" i="9"/>
  <c r="M104" i="9"/>
  <c r="N104" i="9"/>
  <c r="Q104" i="9"/>
  <c r="R104" i="9"/>
  <c r="S104" i="9"/>
  <c r="U104" i="9"/>
  <c r="V104" i="9"/>
  <c r="W104" i="9"/>
  <c r="Y104" i="9"/>
  <c r="Z104" i="9"/>
  <c r="AA104" i="9"/>
  <c r="AC104" i="9"/>
  <c r="AD104" i="9"/>
  <c r="AE104" i="9"/>
  <c r="AG104" i="9"/>
  <c r="AH104" i="9"/>
  <c r="AI104" i="9"/>
  <c r="V105" i="9"/>
  <c r="Z105" i="9"/>
  <c r="AD105" i="9"/>
  <c r="V106" i="9"/>
  <c r="Z106" i="9"/>
  <c r="AD106" i="9"/>
  <c r="M107" i="9"/>
  <c r="N107" i="9"/>
  <c r="Q107" i="9"/>
  <c r="R107" i="9"/>
  <c r="S107" i="9"/>
  <c r="U107" i="9"/>
  <c r="V107" i="9"/>
  <c r="W107" i="9"/>
  <c r="Y107" i="9"/>
  <c r="Z107" i="9"/>
  <c r="AA107" i="9"/>
  <c r="AC107" i="9"/>
  <c r="AD107" i="9"/>
  <c r="AE107" i="9"/>
  <c r="AG107" i="9"/>
  <c r="AH107" i="9"/>
  <c r="AI107" i="9"/>
  <c r="M108" i="9"/>
  <c r="N108" i="9"/>
  <c r="Q108" i="9"/>
  <c r="R108" i="9"/>
  <c r="S108" i="9"/>
  <c r="U108" i="9"/>
  <c r="V108" i="9"/>
  <c r="W108" i="9"/>
  <c r="Y108" i="9"/>
  <c r="Z108" i="9"/>
  <c r="AA108" i="9"/>
  <c r="AC108" i="9"/>
  <c r="AD108" i="9"/>
  <c r="AE108" i="9"/>
  <c r="AG108" i="9"/>
  <c r="AH108" i="9"/>
  <c r="AI108" i="9"/>
  <c r="M109" i="9"/>
  <c r="N109" i="9"/>
  <c r="Q109" i="9"/>
  <c r="R109" i="9"/>
  <c r="S109" i="9"/>
  <c r="U109" i="9"/>
  <c r="V109" i="9"/>
  <c r="W109" i="9"/>
  <c r="Y109" i="9"/>
  <c r="Z109" i="9"/>
  <c r="AA109" i="9"/>
  <c r="AC109" i="9"/>
  <c r="AD109" i="9"/>
  <c r="AE109" i="9"/>
  <c r="AG109" i="9"/>
  <c r="AH109" i="9"/>
  <c r="AI109" i="9"/>
  <c r="M110" i="9"/>
  <c r="N110" i="9"/>
  <c r="Q110" i="9"/>
  <c r="R110" i="9"/>
  <c r="S110" i="9"/>
  <c r="U110" i="9"/>
  <c r="V110" i="9"/>
  <c r="W110" i="9"/>
  <c r="Y110" i="9"/>
  <c r="Z110" i="9"/>
  <c r="AA110" i="9"/>
  <c r="AC110" i="9"/>
  <c r="AD110" i="9"/>
  <c r="AE110" i="9"/>
  <c r="AG110" i="9"/>
  <c r="AH110" i="9"/>
  <c r="AI110" i="9"/>
  <c r="M111" i="9"/>
  <c r="N111" i="9"/>
  <c r="Q111" i="9"/>
  <c r="R111" i="9"/>
  <c r="S111" i="9"/>
  <c r="U111" i="9"/>
  <c r="V111" i="9"/>
  <c r="W111" i="9"/>
  <c r="Y111" i="9"/>
  <c r="Z111" i="9"/>
  <c r="AA111" i="9"/>
  <c r="AC111" i="9"/>
  <c r="AD111" i="9"/>
  <c r="AE111" i="9"/>
  <c r="AG111" i="9"/>
  <c r="AH111" i="9"/>
  <c r="AI111" i="9"/>
  <c r="M112" i="9"/>
  <c r="N112" i="9"/>
  <c r="Q112" i="9"/>
  <c r="R112" i="9"/>
  <c r="S112" i="9"/>
  <c r="U112" i="9"/>
  <c r="V112" i="9"/>
  <c r="W112" i="9"/>
  <c r="Y112" i="9"/>
  <c r="Z112" i="9"/>
  <c r="AA112" i="9"/>
  <c r="AC112" i="9"/>
  <c r="AD112" i="9"/>
  <c r="AE112" i="9"/>
  <c r="AG112" i="9"/>
  <c r="AH112" i="9"/>
  <c r="AI112" i="9"/>
  <c r="Q113" i="9"/>
  <c r="R113" i="9"/>
  <c r="S113" i="9"/>
  <c r="U113" i="9"/>
  <c r="V113" i="9"/>
  <c r="W113" i="9"/>
  <c r="Y113" i="9"/>
  <c r="Z113" i="9"/>
  <c r="AA113" i="9"/>
  <c r="AC113" i="9"/>
  <c r="AD113" i="9"/>
  <c r="AE113" i="9"/>
  <c r="AG113" i="9"/>
  <c r="AH113" i="9"/>
  <c r="AI113" i="9"/>
  <c r="Q114" i="9"/>
  <c r="R114" i="9"/>
  <c r="S114" i="9"/>
  <c r="U114" i="9"/>
  <c r="V114" i="9"/>
  <c r="W114" i="9"/>
  <c r="Y114" i="9"/>
  <c r="Z114" i="9"/>
  <c r="AA114" i="9"/>
  <c r="AC114" i="9"/>
  <c r="AD114" i="9"/>
  <c r="AE114" i="9"/>
  <c r="AG114" i="9"/>
  <c r="AH114" i="9"/>
  <c r="AI114" i="9"/>
  <c r="Q117" i="9"/>
  <c r="R117" i="9"/>
  <c r="S117" i="9"/>
  <c r="U117" i="9"/>
  <c r="V117" i="9"/>
  <c r="W117" i="9"/>
  <c r="Y117" i="9"/>
  <c r="Z117" i="9"/>
  <c r="AA117" i="9"/>
  <c r="AC117" i="9"/>
  <c r="AD117" i="9"/>
  <c r="AE117" i="9"/>
  <c r="AG117" i="9"/>
  <c r="AH117" i="9"/>
  <c r="AI117" i="9"/>
  <c r="M118" i="9"/>
  <c r="Q118" i="9"/>
  <c r="R118" i="9"/>
  <c r="S118" i="9"/>
  <c r="U118" i="9"/>
  <c r="V118" i="9"/>
  <c r="W118" i="9"/>
  <c r="Y118" i="9"/>
  <c r="Z118" i="9"/>
  <c r="AA118" i="9"/>
  <c r="AC118" i="9"/>
  <c r="AD118" i="9"/>
  <c r="AE118" i="9"/>
  <c r="AG118" i="9"/>
  <c r="AH118" i="9"/>
  <c r="AI118" i="9"/>
  <c r="M119" i="9"/>
  <c r="Q119" i="9"/>
  <c r="R119" i="9"/>
  <c r="S119" i="9"/>
  <c r="U119" i="9"/>
  <c r="V119" i="9"/>
  <c r="W119" i="9"/>
  <c r="Y119" i="9"/>
  <c r="Z119" i="9"/>
  <c r="AA119" i="9"/>
  <c r="AC119" i="9"/>
  <c r="AD119" i="9"/>
  <c r="AE119" i="9"/>
  <c r="AG119" i="9"/>
  <c r="AH119" i="9"/>
  <c r="AI119" i="9"/>
  <c r="M120" i="9"/>
  <c r="Q120" i="9"/>
  <c r="R120" i="9"/>
  <c r="S120" i="9"/>
  <c r="U120" i="9"/>
  <c r="V120" i="9"/>
  <c r="W120" i="9"/>
  <c r="Y120" i="9"/>
  <c r="Z120" i="9"/>
  <c r="AA120" i="9"/>
  <c r="AC120" i="9"/>
  <c r="AD120" i="9"/>
  <c r="AE120" i="9"/>
  <c r="AG120" i="9"/>
  <c r="AH120" i="9"/>
  <c r="AI120" i="9"/>
  <c r="M121" i="9"/>
  <c r="Q121" i="9"/>
  <c r="R121" i="9"/>
  <c r="S121" i="9"/>
  <c r="U121" i="9"/>
  <c r="V121" i="9"/>
  <c r="W121" i="9"/>
  <c r="Y121" i="9"/>
  <c r="Z121" i="9"/>
  <c r="AA121" i="9"/>
  <c r="AC121" i="9"/>
  <c r="AD121" i="9"/>
  <c r="AE121" i="9"/>
  <c r="AG121" i="9"/>
  <c r="AH121" i="9"/>
  <c r="AI121" i="9"/>
  <c r="M123" i="9"/>
  <c r="Q123" i="9"/>
  <c r="R123" i="9"/>
  <c r="S123" i="9"/>
  <c r="U123" i="9"/>
  <c r="V123" i="9"/>
  <c r="W123" i="9"/>
  <c r="Y123" i="9"/>
  <c r="Z123" i="9"/>
  <c r="AA123" i="9"/>
  <c r="AC123" i="9"/>
  <c r="AD123" i="9"/>
  <c r="AE123" i="9"/>
  <c r="AG123" i="9"/>
  <c r="AH123" i="9"/>
  <c r="AI123" i="9"/>
  <c r="R124" i="9"/>
  <c r="V124" i="9"/>
  <c r="Z124" i="9"/>
  <c r="AD124" i="9"/>
  <c r="R126" i="9"/>
  <c r="V126" i="9"/>
  <c r="Z126" i="9"/>
  <c r="AD126" i="9"/>
  <c r="Q128" i="9"/>
  <c r="R128" i="9"/>
  <c r="S128" i="9"/>
  <c r="U128" i="9"/>
  <c r="V128" i="9"/>
  <c r="W128" i="9"/>
  <c r="Y128" i="9"/>
  <c r="Z128" i="9"/>
  <c r="AA128" i="9"/>
  <c r="AC128" i="9"/>
  <c r="AD128" i="9"/>
  <c r="AE128" i="9"/>
  <c r="AG128" i="9"/>
  <c r="AH128" i="9"/>
  <c r="AI128" i="9"/>
  <c r="Q130" i="9"/>
  <c r="U130" i="9"/>
  <c r="Y130" i="9"/>
  <c r="AC130" i="9"/>
  <c r="AG130" i="9"/>
  <c r="Q131" i="9"/>
  <c r="U131" i="9"/>
  <c r="Y131" i="9"/>
  <c r="AC131" i="9"/>
  <c r="AG131" i="9"/>
  <c r="Q132" i="9"/>
  <c r="U132" i="9"/>
  <c r="Y132" i="9"/>
  <c r="AC132" i="9"/>
  <c r="AG132" i="9"/>
  <c r="L138" i="9"/>
  <c r="Q138" i="9"/>
  <c r="U138" i="9"/>
  <c r="Y138" i="9"/>
  <c r="L139" i="9"/>
  <c r="M139" i="9"/>
  <c r="N139" i="9"/>
  <c r="Q139" i="9"/>
  <c r="U139" i="9"/>
  <c r="Y139" i="9"/>
  <c r="L140" i="9"/>
  <c r="N140" i="9"/>
  <c r="Q140" i="9"/>
  <c r="U140" i="9"/>
  <c r="Y140" i="9"/>
  <c r="L141" i="9"/>
  <c r="N141" i="9"/>
  <c r="N142" i="9"/>
  <c r="N143" i="9"/>
  <c r="N144" i="9"/>
  <c r="V144" i="9"/>
  <c r="N145" i="9"/>
  <c r="N146" i="9"/>
  <c r="L147" i="9"/>
  <c r="L150" i="9"/>
  <c r="L151" i="9"/>
  <c r="L152" i="9"/>
  <c r="L153" i="9"/>
  <c r="L154" i="9"/>
  <c r="M154" i="9"/>
  <c r="N154" i="9"/>
  <c r="L155" i="9"/>
  <c r="L156" i="9"/>
  <c r="L161" i="9"/>
  <c r="L164" i="9"/>
  <c r="M164" i="9"/>
  <c r="N164" i="9"/>
  <c r="M167" i="9"/>
  <c r="N167" i="9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L109" i="6"/>
  <c r="M109" i="6"/>
  <c r="P109" i="6"/>
  <c r="Q109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P116" i="6"/>
  <c r="Q116" i="6"/>
  <c r="R116" i="6"/>
  <c r="T116" i="6"/>
  <c r="U116" i="6"/>
  <c r="V116" i="6"/>
  <c r="X116" i="6"/>
  <c r="Y116" i="6"/>
  <c r="Z116" i="6"/>
  <c r="AB116" i="6"/>
  <c r="AC116" i="6"/>
  <c r="AD116" i="6"/>
  <c r="L117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2" i="6"/>
  <c r="P122" i="6"/>
  <c r="Q122" i="6"/>
  <c r="R122" i="6"/>
  <c r="T122" i="6"/>
  <c r="U122" i="6"/>
  <c r="V122" i="6"/>
  <c r="X122" i="6"/>
  <c r="Y122" i="6"/>
  <c r="Z122" i="6"/>
  <c r="AB122" i="6"/>
  <c r="AC122" i="6"/>
  <c r="AD122" i="6"/>
  <c r="P124" i="6"/>
  <c r="Q124" i="6"/>
  <c r="R124" i="6"/>
  <c r="T124" i="6"/>
  <c r="U124" i="6"/>
  <c r="V124" i="6"/>
  <c r="X124" i="6"/>
  <c r="Y124" i="6"/>
  <c r="Z124" i="6"/>
  <c r="AB124" i="6"/>
  <c r="AC124" i="6"/>
  <c r="AD124" i="6"/>
  <c r="P126" i="6"/>
  <c r="T126" i="6"/>
  <c r="X126" i="6"/>
  <c r="AB126" i="6"/>
  <c r="P127" i="6"/>
  <c r="T127" i="6"/>
  <c r="X127" i="6"/>
  <c r="AB127" i="6"/>
  <c r="P128" i="6"/>
  <c r="T128" i="6"/>
  <c r="X128" i="6"/>
  <c r="AB128" i="6"/>
  <c r="L134" i="6"/>
  <c r="P134" i="6"/>
  <c r="T134" i="6"/>
  <c r="X134" i="6"/>
  <c r="L135" i="6"/>
  <c r="M135" i="6"/>
  <c r="N135" i="6"/>
  <c r="P135" i="6"/>
  <c r="T135" i="6"/>
  <c r="X135" i="6"/>
  <c r="L136" i="6"/>
  <c r="N136" i="6"/>
  <c r="P136" i="6"/>
  <c r="T136" i="6"/>
  <c r="X136" i="6"/>
  <c r="L137" i="6"/>
  <c r="N137" i="6"/>
  <c r="N138" i="6"/>
  <c r="N139" i="6"/>
  <c r="N140" i="6"/>
  <c r="N141" i="6"/>
  <c r="N142" i="6"/>
  <c r="L143" i="6"/>
  <c r="L146" i="6"/>
  <c r="L147" i="6"/>
  <c r="L148" i="6"/>
  <c r="L149" i="6"/>
  <c r="L150" i="6"/>
  <c r="M150" i="6"/>
  <c r="N150" i="6"/>
  <c r="L151" i="6"/>
  <c r="L152" i="6"/>
  <c r="L157" i="6"/>
  <c r="L160" i="6"/>
  <c r="M160" i="6"/>
  <c r="N160" i="6"/>
  <c r="M163" i="6"/>
  <c r="N163" i="6"/>
</calcChain>
</file>

<file path=xl/sharedStrings.xml><?xml version="1.0" encoding="utf-8"?>
<sst xmlns="http://schemas.openxmlformats.org/spreadsheetml/2006/main" count="1557" uniqueCount="342">
  <si>
    <t>Per SF</t>
  </si>
  <si>
    <t>Total Rental Units</t>
  </si>
  <si>
    <t>TOTALS</t>
  </si>
  <si>
    <t>Permits</t>
  </si>
  <si>
    <t>LTV</t>
  </si>
  <si>
    <t>Net Operating Income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</si>
  <si>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</si>
  <si>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</si>
  <si>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</si>
  <si>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</si>
  <si>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</si>
  <si>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</si>
  <si>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</si>
  <si>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</si>
  <si>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</si>
  <si>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</si>
  <si>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</si>
  <si>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</si>
  <si>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</si>
  <si>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</si>
  <si>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</si>
  <si>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</si>
  <si>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</si>
  <si>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</si>
  <si>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</si>
  <si>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</si>
  <si>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</si>
  <si>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</si>
  <si>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</si>
  <si>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</si>
  <si>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</si>
  <si>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</si>
  <si>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</si>
  <si>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</si>
  <si>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</si>
  <si>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</si>
  <si>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</si>
  <si>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</si>
  <si>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</si>
  <si>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</si>
  <si>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</si>
  <si>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</si>
  <si>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</si>
  <si>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</si>
  <si>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</si>
  <si>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</si>
  <si>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</si>
  <si>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</si>
  <si>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</si>
  <si>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</si>
  <si>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</si>
  <si>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</si>
  <si>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</si>
  <si>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</si>
  <si>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</si>
  <si>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</si>
  <si>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</si>
  <si>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</si>
  <si>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</si>
  <si>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</si>
  <si>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</si>
  <si>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</si>
  <si>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</si>
  <si>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</si>
  <si>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</si>
  <si>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</si>
  <si>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</si>
  <si>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</si>
  <si>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</si>
  <si>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</si>
  <si>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</si>
  <si>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</si>
  <si>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</si>
  <si>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</si>
  <si>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</si>
  <si>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</si>
  <si>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</si>
  <si>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</si>
  <si>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</si>
  <si>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</si>
  <si>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</si>
  <si>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</si>
  <si>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</si>
  <si>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</si>
  <si>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</si>
  <si>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</si>
  <si>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</si>
  <si>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</si>
  <si>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</si>
  <si>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</si>
  <si>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</si>
  <si>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</si>
  <si>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</si>
  <si>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</si>
  <si>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</si>
  <si>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</si>
  <si>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</si>
  <si>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</si>
  <si>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</si>
  <si>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</si>
  <si>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</si>
  <si>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</si>
  <si>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</si>
  <si>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</si>
  <si>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</si>
  <si>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</si>
  <si>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</si>
  <si>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</si>
  <si>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</si>
  <si>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</si>
  <si>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</si>
  <si>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</si>
  <si>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</si>
  <si>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</si>
  <si>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</si>
  <si>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</si>
  <si>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</si>
  <si>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</si>
  <si>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</si>
  <si>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</si>
  <si>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</si>
  <si>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</si>
  <si>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</si>
  <si>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</si>
  <si>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</si>
  <si>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</si>
  <si>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</si>
  <si>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</si>
  <si>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</si>
  <si>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</si>
  <si>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</si>
  <si>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</si>
  <si>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</si>
  <si>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</si>
  <si>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</si>
  <si>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</si>
  <si>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</si>
  <si>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</si>
  <si>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</si>
  <si>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</si>
  <si>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</si>
  <si>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</si>
  <si>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</si>
  <si>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</si>
  <si>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</si>
  <si>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</si>
  <si>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</si>
  <si>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</si>
  <si>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</si>
  <si>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</si>
  <si>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</si>
  <si>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</si>
  <si>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</si>
  <si>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</si>
  <si>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</si>
  <si>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</si>
  <si>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</si>
  <si>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</si>
  <si>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</si>
  <si>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</si>
  <si>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</si>
  <si>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</si>
  <si>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</si>
  <si>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</si>
  <si>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</si>
  <si>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</si>
  <si>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</si>
  <si>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</si>
  <si>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</si>
  <si>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</si>
  <si>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</si>
  <si>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</si>
  <si>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</si>
  <si>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</si>
  <si>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</si>
  <si>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</si>
  <si>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</si>
  <si>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</si>
  <si>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</si>
  <si>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</si>
  <si>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</si>
  <si>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</si>
  <si>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</si>
  <si>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</si>
  <si>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</si>
  <si>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</si>
  <si>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</si>
  <si>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</si>
  <si>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</si>
  <si>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</si>
  <si>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</si>
  <si>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</si>
  <si>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</si>
  <si>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</si>
  <si>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</si>
  <si>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</si>
  <si>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</si>
  <si>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</si>
  <si>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</si>
  <si>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</si>
  <si>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</si>
  <si>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</si>
  <si>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</si>
  <si>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</si>
  <si>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</si>
  <si>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</si>
  <si>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</si>
  <si>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</si>
  <si>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</si>
  <si>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</si>
  <si>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</si>
  <si>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</si>
  <si>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</si>
  <si>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</si>
  <si>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</si>
  <si>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</si>
  <si>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</si>
  <si>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</si>
  <si>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</si>
  <si>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</si>
  <si>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</si>
  <si>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</si>
  <si>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</si>
  <si>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</si>
  <si>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</si>
  <si>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</si>
  <si>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</si>
  <si>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</si>
  <si>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</si>
  <si>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</si>
  <si>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</si>
  <si>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</si>
  <si>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</si>
  <si>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</si>
  <si>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</si>
  <si>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</si>
  <si>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</si>
  <si>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</si>
  <si>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</si>
  <si>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</si>
  <si>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</si>
  <si>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</si>
  <si>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</si>
  <si>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</si>
  <si>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</si>
  <si>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</si>
  <si>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</si>
  <si>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</si>
  <si>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</si>
  <si>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</si>
  <si>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</si>
  <si>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</si>
  <si>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</si>
  <si>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</si>
  <si>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</si>
  <si>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</si>
  <si>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</si>
  <si>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</si>
  <si>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</si>
  <si>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</si>
  <si>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</si>
  <si>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</si>
  <si>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</si>
  <si>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</si>
  <si>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</si>
  <si>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</si>
  <si>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</si>
  <si>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</si>
  <si>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</si>
  <si>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</si>
  <si>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</si>
  <si>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</si>
  <si>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Amenities</t>
  </si>
  <si>
    <t>Unit Cost</t>
  </si>
  <si>
    <t>Fianance Cost</t>
  </si>
  <si>
    <t>Plan 1198 ADA</t>
  </si>
  <si>
    <t>Bedrooms/Baths</t>
  </si>
  <si>
    <t>Plan 1107</t>
  </si>
  <si>
    <t>Plan 1287</t>
  </si>
  <si>
    <t>Square Feet</t>
  </si>
  <si>
    <t>Stories</t>
  </si>
  <si>
    <t>Single</t>
  </si>
  <si>
    <t>Two Story</t>
  </si>
  <si>
    <t>Unit Width</t>
  </si>
  <si>
    <t>LF</t>
  </si>
  <si>
    <t>Rental Income</t>
  </si>
  <si>
    <t>Vacancy Allowance</t>
  </si>
  <si>
    <t>Management Fee</t>
  </si>
  <si>
    <t>Net Revenue</t>
  </si>
  <si>
    <t>Property Tax</t>
  </si>
  <si>
    <t>Insurance</t>
  </si>
  <si>
    <t>Maintenance</t>
  </si>
  <si>
    <t>Replacement Reserve</t>
  </si>
  <si>
    <t>Expenses</t>
  </si>
  <si>
    <t>TOTAL</t>
  </si>
  <si>
    <t>Mix</t>
  </si>
  <si>
    <t>Sub Total Expenses</t>
  </si>
  <si>
    <t>Value @ 10% Capitalization Rate</t>
  </si>
  <si>
    <t>/unit/year</t>
  </si>
  <si>
    <t>Per Mo</t>
  </si>
  <si>
    <t>Mortgage</t>
  </si>
  <si>
    <t>Principal &amp; Interest</t>
  </si>
  <si>
    <t>Per Yr/30Yr</t>
  </si>
  <si>
    <t>Monthly Net Income</t>
  </si>
  <si>
    <t>Annual Net Income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</si>
  <si>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</si>
  <si>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</si>
  <si>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</si>
  <si>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</si>
  <si>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</si>
  <si>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</si>
  <si>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</si>
  <si>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</si>
  <si>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</si>
  <si>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</si>
  <si>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</si>
  <si>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</si>
  <si>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</si>
  <si>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</si>
  <si>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</si>
  <si>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</si>
  <si>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</si>
  <si>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</si>
  <si>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</si>
  <si>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</si>
  <si>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</si>
  <si>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PLAN D - 4+2+2</t>
  </si>
  <si>
    <t>PLAN C - 3+3.5+2</t>
  </si>
  <si>
    <t>Rent/Bedroom/Mo</t>
  </si>
  <si>
    <t>Return on Cost/Year</t>
  </si>
  <si>
    <t>Per ACSF</t>
  </si>
  <si>
    <t>Per Cvrd SF</t>
  </si>
  <si>
    <t>$8/LF</t>
  </si>
  <si>
    <t>$2/SF</t>
  </si>
  <si>
    <t>$2.50/SF</t>
  </si>
  <si>
    <t>$0.50/SF</t>
  </si>
  <si>
    <t>$35/LF</t>
  </si>
  <si>
    <t>$4000/Gate</t>
  </si>
  <si>
    <t>Landscaping &amp; Sprinklers</t>
  </si>
  <si>
    <t>Civil Engineering</t>
  </si>
  <si>
    <t>Architecture &amp; Engineering</t>
  </si>
  <si>
    <t>Total Bdrm Rent + Garage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</si>
</sst>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7" formatCode="#,##0.000_);[Red]\(#,##0.000\)"/>
    <numFmt numFmtId="203" formatCode="_(* #,##0.00_);_(* \(#,##0.00\);_(* &quot;-&quot;_);_(@_)"/>
    <numFmt numFmtId="205" formatCode="_(&quot;$&quot;* #,##0.0000_);_(&quot;$&quot;* \(#,##0.0000\);_(&quot;$&quot;* &quot;-&quot;??_);_(@_)"/>
  </numFmts>
  <fonts count="19">
    <font>
      <b/>
      <sz val="8"/>
      <name val="Benguiat Bk BT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8"/>
      <name val="Goudy"/>
      <family val="1"/>
    </font>
    <font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0">
    <xf numFmtId="38" fontId="0" fillId="0" borderId="0" applyNumberFormat="0" applyFont="0"/>
    <xf numFmtId="0" fontId="1" fillId="0" borderId="1" applyNumberFormat="0" applyFill="0" applyBorder="0" applyAlignment="0" applyProtection="0">
      <protection locked="0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44" fontId="6" fillId="0" borderId="0" applyFill="0" applyBorder="0" applyAlignment="0" applyProtection="0"/>
    <xf numFmtId="42" fontId="6" fillId="0" borderId="0" applyFill="0" applyBorder="0" applyAlignment="0" applyProtection="0"/>
    <xf numFmtId="0" fontId="5" fillId="0" borderId="2" applyBorder="0">
      <alignment horizontal="center"/>
    </xf>
    <xf numFmtId="0" fontId="3" fillId="0" borderId="0" applyNumberFormat="0" applyFill="0" applyBorder="0" applyProtection="0"/>
    <xf numFmtId="0" fontId="2" fillId="0" borderId="3"/>
    <xf numFmtId="168" fontId="4" fillId="0" borderId="0" applyFill="0" applyBorder="0" applyAlignment="0" applyProtection="0"/>
  </cellStyleXfs>
  <cellXfs count="206">
    <xf numFmtId="38" fontId="0" fillId="0" borderId="0" xfId="0"/>
    <xf numFmtId="165" fontId="0" fillId="0" borderId="0" xfId="0" applyNumberFormat="1"/>
    <xf numFmtId="44" fontId="6" fillId="0" borderId="0" xfId="4"/>
    <xf numFmtId="165" fontId="6" fillId="0" borderId="0" xfId="4" applyNumberFormat="1"/>
    <xf numFmtId="168" fontId="4" fillId="0" borderId="0" xfId="9"/>
    <xf numFmtId="44" fontId="6" fillId="0" borderId="4" xfId="4" applyBorder="1"/>
    <xf numFmtId="38" fontId="0" fillId="0" borderId="4" xfId="0" applyBorder="1"/>
    <xf numFmtId="38" fontId="0" fillId="0" borderId="0" xfId="0" applyFill="1" applyBorder="1"/>
    <xf numFmtId="44" fontId="7" fillId="0" borderId="5" xfId="4" applyFont="1" applyBorder="1"/>
    <xf numFmtId="43" fontId="6" fillId="0" borderId="0" xfId="2"/>
    <xf numFmtId="165" fontId="7" fillId="0" borderId="5" xfId="4" applyNumberFormat="1" applyFont="1" applyBorder="1"/>
    <xf numFmtId="0" fontId="8" fillId="0" borderId="0" xfId="7" applyFont="1" applyFill="1" applyBorder="1" applyProtection="1">
      <protection locked="0"/>
    </xf>
    <xf numFmtId="0" fontId="8" fillId="0" borderId="0" xfId="7" applyFont="1" applyFill="1" applyBorder="1" applyAlignment="1" applyProtection="1">
      <alignment horizontal="center" wrapText="1"/>
      <protection locked="0"/>
    </xf>
    <xf numFmtId="0" fontId="9" fillId="0" borderId="0" xfId="7" applyFont="1" applyFill="1" applyBorder="1" applyAlignment="1" applyProtection="1">
      <alignment horizontal="center" wrapText="1"/>
      <protection locked="0"/>
    </xf>
    <xf numFmtId="167" fontId="9" fillId="0" borderId="0" xfId="2" applyNumberFormat="1" applyFont="1" applyFill="1" applyBorder="1" applyAlignment="1" applyProtection="1">
      <alignment horizontal="center" wrapText="1"/>
      <protection locked="0"/>
    </xf>
    <xf numFmtId="38" fontId="9" fillId="0" borderId="0" xfId="0" applyFont="1"/>
    <xf numFmtId="10" fontId="9" fillId="0" borderId="0" xfId="9" applyNumberFormat="1" applyFont="1"/>
    <xf numFmtId="167" fontId="9" fillId="0" borderId="0" xfId="0" applyNumberFormat="1" applyFont="1"/>
    <xf numFmtId="44" fontId="9" fillId="0" borderId="0" xfId="4" applyFont="1"/>
    <xf numFmtId="43" fontId="9" fillId="0" borderId="0" xfId="2" applyFont="1"/>
    <xf numFmtId="0" fontId="9" fillId="0" borderId="0" xfId="7" applyFont="1" applyFill="1" applyBorder="1" applyProtection="1">
      <protection locked="0"/>
    </xf>
    <xf numFmtId="38" fontId="7" fillId="0" borderId="5" xfId="0" applyFont="1" applyBorder="1"/>
    <xf numFmtId="10" fontId="7" fillId="0" borderId="5" xfId="9" applyNumberFormat="1" applyFont="1" applyBorder="1"/>
    <xf numFmtId="167" fontId="9" fillId="0" borderId="0" xfId="0" applyNumberFormat="1" applyFont="1" applyFill="1"/>
    <xf numFmtId="38" fontId="9" fillId="0" borderId="0" xfId="0" applyFont="1" applyFill="1"/>
    <xf numFmtId="40" fontId="9" fillId="0" borderId="0" xfId="0" applyNumberFormat="1" applyFont="1"/>
    <xf numFmtId="38" fontId="9" fillId="0" borderId="0" xfId="0" applyNumberFormat="1" applyFont="1"/>
    <xf numFmtId="38" fontId="6" fillId="0" borderId="0" xfId="0" applyFont="1"/>
    <xf numFmtId="44" fontId="7" fillId="0" borderId="6" xfId="4" applyFont="1" applyBorder="1"/>
    <xf numFmtId="165" fontId="7" fillId="0" borderId="6" xfId="4" applyNumberFormat="1" applyFont="1" applyBorder="1"/>
    <xf numFmtId="38" fontId="7" fillId="0" borderId="0" xfId="0" applyFont="1"/>
    <xf numFmtId="38" fontId="9" fillId="0" borderId="0" xfId="0" applyFont="1" applyFill="1" applyBorder="1"/>
    <xf numFmtId="38" fontId="7" fillId="0" borderId="0" xfId="0" applyFont="1" applyFill="1"/>
    <xf numFmtId="38" fontId="7" fillId="0" borderId="6" xfId="0" applyFont="1" applyBorder="1"/>
    <xf numFmtId="38" fontId="8" fillId="0" borderId="0" xfId="0" applyFont="1"/>
    <xf numFmtId="38" fontId="9" fillId="0" borderId="7" xfId="0" applyFont="1" applyBorder="1"/>
    <xf numFmtId="38" fontId="8" fillId="0" borderId="0" xfId="0" applyFont="1" applyAlignment="1">
      <alignment horizontal="center"/>
    </xf>
    <xf numFmtId="38" fontId="9" fillId="0" borderId="4" xfId="0" applyFont="1" applyBorder="1"/>
    <xf numFmtId="44" fontId="6" fillId="0" borderId="0" xfId="4" applyFont="1"/>
    <xf numFmtId="168" fontId="10" fillId="0" borderId="0" xfId="9" applyFont="1"/>
    <xf numFmtId="43" fontId="11" fillId="0" borderId="0" xfId="2" applyFont="1"/>
    <xf numFmtId="38" fontId="11" fillId="0" borderId="0" xfId="0" applyNumberFormat="1" applyFont="1"/>
    <xf numFmtId="41" fontId="11" fillId="0" borderId="0" xfId="3" applyFont="1"/>
    <xf numFmtId="167" fontId="11" fillId="0" borderId="0" xfId="2" applyNumberFormat="1" applyFont="1"/>
    <xf numFmtId="38" fontId="11" fillId="0" borderId="0" xfId="0" applyFont="1"/>
    <xf numFmtId="8" fontId="7" fillId="0" borderId="6" xfId="4" applyNumberFormat="1" applyFont="1" applyBorder="1"/>
    <xf numFmtId="8" fontId="7" fillId="0" borderId="8" xfId="4" applyNumberFormat="1" applyFont="1" applyBorder="1"/>
    <xf numFmtId="165" fontId="9" fillId="0" borderId="0" xfId="4" applyNumberFormat="1" applyFont="1"/>
    <xf numFmtId="41" fontId="9" fillId="0" borderId="0" xfId="3" applyFont="1"/>
    <xf numFmtId="167" fontId="9" fillId="0" borderId="0" xfId="2" applyNumberFormat="1" applyFont="1"/>
    <xf numFmtId="165" fontId="9" fillId="0" borderId="7" xfId="4" applyNumberFormat="1" applyFont="1" applyBorder="1"/>
    <xf numFmtId="44" fontId="9" fillId="0" borderId="7" xfId="4" applyNumberFormat="1" applyFont="1" applyBorder="1"/>
    <xf numFmtId="44" fontId="9" fillId="0" borderId="4" xfId="4" applyFont="1" applyBorder="1"/>
    <xf numFmtId="6" fontId="7" fillId="0" borderId="6" xfId="4" applyNumberFormat="1" applyFont="1" applyBorder="1"/>
    <xf numFmtId="38" fontId="7" fillId="0" borderId="7" xfId="0" applyFont="1" applyBorder="1"/>
    <xf numFmtId="165" fontId="7" fillId="0" borderId="7" xfId="4" applyNumberFormat="1" applyFont="1" applyBorder="1"/>
    <xf numFmtId="44" fontId="7" fillId="0" borderId="7" xfId="4" applyFont="1" applyBorder="1"/>
    <xf numFmtId="8" fontId="7" fillId="0" borderId="7" xfId="4" applyNumberFormat="1" applyFont="1" applyBorder="1"/>
    <xf numFmtId="6" fontId="7" fillId="0" borderId="7" xfId="4" applyNumberFormat="1" applyFont="1" applyBorder="1"/>
    <xf numFmtId="38" fontId="6" fillId="0" borderId="0" xfId="0" applyFont="1" applyFill="1"/>
    <xf numFmtId="38" fontId="11" fillId="0" borderId="0" xfId="0" applyFont="1" applyFill="1"/>
    <xf numFmtId="38" fontId="7" fillId="2" borderId="9" xfId="0" applyFont="1" applyFill="1" applyBorder="1"/>
    <xf numFmtId="38" fontId="9" fillId="2" borderId="10" xfId="0" applyFont="1" applyFill="1" applyBorder="1"/>
    <xf numFmtId="38" fontId="9" fillId="2" borderId="11" xfId="0" applyFont="1" applyFill="1" applyBorder="1"/>
    <xf numFmtId="49" fontId="9" fillId="0" borderId="0" xfId="0" applyNumberFormat="1" applyFont="1" applyAlignment="1">
      <alignment horizontal="center"/>
    </xf>
    <xf numFmtId="0" fontId="12" fillId="0" borderId="0" xfId="7" applyFont="1" applyFill="1" applyBorder="1" applyAlignment="1" applyProtection="1">
      <alignment horizontal="center" wrapText="1"/>
      <protection locked="0"/>
    </xf>
    <xf numFmtId="38" fontId="7" fillId="0" borderId="0" xfId="0" applyFont="1" applyAlignment="1">
      <alignment horizontal="center"/>
    </xf>
    <xf numFmtId="0" fontId="8" fillId="3" borderId="0" xfId="7" applyFont="1" applyFill="1" applyBorder="1" applyAlignment="1" applyProtection="1">
      <alignment horizontal="center" wrapText="1"/>
      <protection locked="0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2" applyNumberFormat="1" applyFont="1" applyAlignment="1">
      <alignment horizontal="center"/>
    </xf>
    <xf numFmtId="42" fontId="9" fillId="0" borderId="0" xfId="5" applyFont="1"/>
    <xf numFmtId="38" fontId="9" fillId="4" borderId="0" xfId="0" applyNumberFormat="1" applyFont="1" applyFill="1"/>
    <xf numFmtId="49" fontId="9" fillId="0" borderId="0" xfId="0" applyNumberFormat="1" applyFont="1"/>
    <xf numFmtId="167" fontId="9" fillId="5" borderId="12" xfId="2" applyNumberFormat="1" applyFont="1" applyFill="1" applyBorder="1" applyAlignment="1">
      <alignment horizontal="center"/>
    </xf>
    <xf numFmtId="167" fontId="7" fillId="6" borderId="0" xfId="2" applyNumberFormat="1" applyFont="1" applyFill="1" applyAlignment="1">
      <alignment horizontal="center"/>
    </xf>
    <xf numFmtId="38" fontId="9" fillId="0" borderId="0" xfId="0" applyFont="1" applyAlignment="1">
      <alignment horizontal="center"/>
    </xf>
    <xf numFmtId="203" fontId="9" fillId="0" borderId="0" xfId="3" applyNumberFormat="1" applyFont="1"/>
    <xf numFmtId="38" fontId="9" fillId="7" borderId="0" xfId="0" applyNumberFormat="1" applyFont="1" applyFill="1"/>
    <xf numFmtId="38" fontId="9" fillId="8" borderId="0" xfId="0" applyNumberFormat="1" applyFont="1" applyFill="1"/>
    <xf numFmtId="41" fontId="9" fillId="0" borderId="0" xfId="3" applyNumberFormat="1" applyFont="1"/>
    <xf numFmtId="38" fontId="11" fillId="4" borderId="0" xfId="0" applyNumberFormat="1" applyFont="1" applyFill="1"/>
    <xf numFmtId="49" fontId="11" fillId="0" borderId="0" xfId="0" applyNumberFormat="1" applyFont="1"/>
    <xf numFmtId="10" fontId="11" fillId="0" borderId="0" xfId="9" applyNumberFormat="1" applyFont="1"/>
    <xf numFmtId="167" fontId="11" fillId="0" borderId="0" xfId="0" applyNumberFormat="1" applyFont="1"/>
    <xf numFmtId="168" fontId="11" fillId="0" borderId="0" xfId="0" applyNumberFormat="1" applyFont="1" applyFill="1" applyBorder="1" applyAlignment="1" applyProtection="1">
      <alignment horizontal="center"/>
      <protection locked="0"/>
    </xf>
    <xf numFmtId="167" fontId="11" fillId="0" borderId="0" xfId="2" applyNumberFormat="1" applyFont="1" applyAlignment="1">
      <alignment horizontal="center"/>
    </xf>
    <xf numFmtId="38" fontId="9" fillId="0" borderId="0" xfId="0" applyNumberFormat="1" applyFont="1" applyFill="1"/>
    <xf numFmtId="175" fontId="9" fillId="0" borderId="0" xfId="2" applyNumberFormat="1" applyFont="1"/>
    <xf numFmtId="167" fontId="9" fillId="6" borderId="12" xfId="2" applyNumberFormat="1" applyFont="1" applyFill="1" applyBorder="1" applyAlignment="1">
      <alignment horizontal="center"/>
    </xf>
    <xf numFmtId="197" fontId="9" fillId="0" borderId="0" xfId="0" applyNumberFormat="1" applyFont="1"/>
    <xf numFmtId="38" fontId="9" fillId="0" borderId="5" xfId="0" applyFont="1" applyFill="1" applyBorder="1"/>
    <xf numFmtId="10" fontId="7" fillId="0" borderId="6" xfId="4" applyNumberFormat="1" applyFont="1" applyBorder="1"/>
    <xf numFmtId="10" fontId="9" fillId="0" borderId="6" xfId="4" applyNumberFormat="1" applyFont="1" applyBorder="1" applyAlignment="1">
      <alignment horizontal="center"/>
    </xf>
    <xf numFmtId="43" fontId="13" fillId="0" borderId="6" xfId="2" applyFont="1" applyFill="1" applyBorder="1"/>
    <xf numFmtId="8" fontId="7" fillId="0" borderId="0" xfId="4" applyNumberFormat="1" applyFont="1" applyBorder="1"/>
    <xf numFmtId="8" fontId="7" fillId="4" borderId="0" xfId="4" applyNumberFormat="1" applyFont="1" applyFill="1" applyBorder="1"/>
    <xf numFmtId="38" fontId="14" fillId="0" borderId="0" xfId="0" applyFont="1" applyAlignment="1">
      <alignment horizontal="center"/>
    </xf>
    <xf numFmtId="38" fontId="15" fillId="0" borderId="0" xfId="0" applyFont="1"/>
    <xf numFmtId="38" fontId="15" fillId="0" borderId="0" xfId="0" applyFont="1" applyFill="1"/>
    <xf numFmtId="10" fontId="7" fillId="0" borderId="7" xfId="4" applyNumberFormat="1" applyFont="1" applyBorder="1"/>
    <xf numFmtId="10" fontId="9" fillId="0" borderId="7" xfId="4" applyNumberFormat="1" applyFont="1" applyBorder="1" applyAlignment="1">
      <alignment horizontal="center"/>
    </xf>
    <xf numFmtId="43" fontId="13" fillId="0" borderId="7" xfId="2" applyFont="1" applyFill="1" applyBorder="1"/>
    <xf numFmtId="165" fontId="9" fillId="0" borderId="4" xfId="4" applyNumberFormat="1" applyFont="1" applyBorder="1"/>
    <xf numFmtId="44" fontId="9" fillId="0" borderId="7" xfId="4" applyFont="1" applyBorder="1"/>
    <xf numFmtId="38" fontId="14" fillId="0" borderId="0" xfId="0" applyFont="1"/>
    <xf numFmtId="189" fontId="0" fillId="0" borderId="0" xfId="0" applyNumberFormat="1"/>
    <xf numFmtId="38" fontId="0" fillId="0" borderId="0" xfId="0" applyAlignment="1">
      <alignment horizontal="center"/>
    </xf>
    <xf numFmtId="40" fontId="0" fillId="0" borderId="0" xfId="0" applyNumberFormat="1"/>
    <xf numFmtId="6" fontId="0" fillId="0" borderId="0" xfId="0" applyNumberFormat="1"/>
    <xf numFmtId="205" fontId="6" fillId="0" borderId="0" xfId="4" applyNumberFormat="1"/>
    <xf numFmtId="167" fontId="6" fillId="0" borderId="0" xfId="2" applyNumberFormat="1" applyFont="1"/>
    <xf numFmtId="38" fontId="6" fillId="2" borderId="10" xfId="0" applyFont="1" applyFill="1" applyBorder="1"/>
    <xf numFmtId="38" fontId="6" fillId="2" borderId="11" xfId="0" applyFont="1" applyFill="1" applyBorder="1"/>
    <xf numFmtId="49" fontId="6" fillId="0" borderId="0" xfId="0" applyNumberFormat="1" applyFont="1" applyAlignment="1">
      <alignment horizontal="center"/>
    </xf>
    <xf numFmtId="0" fontId="6" fillId="0" borderId="0" xfId="7" applyFont="1" applyFill="1" applyBorder="1" applyAlignment="1" applyProtection="1">
      <alignment horizontal="center" wrapText="1"/>
      <protection locked="0"/>
    </xf>
    <xf numFmtId="167" fontId="6" fillId="0" borderId="0" xfId="2" applyNumberFormat="1" applyFont="1" applyFill="1" applyBorder="1" applyAlignment="1" applyProtection="1">
      <alignment horizontal="center" wrapText="1"/>
      <protection locked="0"/>
    </xf>
    <xf numFmtId="168" fontId="6" fillId="0" borderId="0" xfId="0" applyNumberFormat="1" applyFont="1" applyFill="1" applyBorder="1" applyAlignment="1" applyProtection="1">
      <alignment horizontal="center"/>
      <protection locked="0"/>
    </xf>
    <xf numFmtId="10" fontId="6" fillId="0" borderId="0" xfId="9" applyNumberFormat="1" applyFont="1"/>
    <xf numFmtId="167" fontId="6" fillId="0" borderId="0" xfId="2" applyNumberFormat="1" applyFont="1" applyAlignment="1">
      <alignment horizontal="center"/>
    </xf>
    <xf numFmtId="38" fontId="6" fillId="0" borderId="0" xfId="0" applyNumberFormat="1" applyFont="1"/>
    <xf numFmtId="43" fontId="6" fillId="0" borderId="0" xfId="2" applyFont="1"/>
    <xf numFmtId="42" fontId="6" fillId="0" borderId="0" xfId="5" applyFont="1"/>
    <xf numFmtId="38" fontId="6" fillId="4" borderId="0" xfId="0" applyNumberFormat="1" applyFont="1" applyFill="1"/>
    <xf numFmtId="49" fontId="6" fillId="0" borderId="0" xfId="0" applyNumberFormat="1" applyFont="1"/>
    <xf numFmtId="167" fontId="6" fillId="0" borderId="0" xfId="0" applyNumberFormat="1" applyFont="1"/>
    <xf numFmtId="41" fontId="6" fillId="0" borderId="0" xfId="3" applyFont="1"/>
    <xf numFmtId="0" fontId="6" fillId="0" borderId="0" xfId="7" applyFont="1" applyFill="1" applyBorder="1" applyProtection="1">
      <protection locked="0"/>
    </xf>
    <xf numFmtId="167" fontId="6" fillId="5" borderId="12" xfId="2" applyNumberFormat="1" applyFont="1" applyFill="1" applyBorder="1" applyAlignment="1">
      <alignment horizontal="center"/>
    </xf>
    <xf numFmtId="167" fontId="6" fillId="0" borderId="0" xfId="0" applyNumberFormat="1" applyFont="1" applyFill="1"/>
    <xf numFmtId="38" fontId="6" fillId="0" borderId="0" xfId="0" applyFont="1" applyAlignment="1">
      <alignment horizontal="center"/>
    </xf>
    <xf numFmtId="203" fontId="6" fillId="0" borderId="0" xfId="3" applyNumberFormat="1" applyFont="1"/>
    <xf numFmtId="38" fontId="6" fillId="7" borderId="0" xfId="0" applyNumberFormat="1" applyFont="1" applyFill="1"/>
    <xf numFmtId="38" fontId="6" fillId="8" borderId="0" xfId="0" applyNumberFormat="1" applyFont="1" applyFill="1"/>
    <xf numFmtId="41" fontId="6" fillId="0" borderId="0" xfId="3" applyNumberFormat="1" applyFont="1"/>
    <xf numFmtId="38" fontId="6" fillId="0" borderId="0" xfId="0" applyFont="1" applyFill="1" applyBorder="1"/>
    <xf numFmtId="40" fontId="6" fillId="0" borderId="0" xfId="0" applyNumberFormat="1" applyFont="1"/>
    <xf numFmtId="38" fontId="6" fillId="0" borderId="0" xfId="0" applyNumberFormat="1" applyFont="1" applyFill="1"/>
    <xf numFmtId="175" fontId="6" fillId="0" borderId="0" xfId="2" applyNumberFormat="1" applyFont="1"/>
    <xf numFmtId="167" fontId="6" fillId="6" borderId="12" xfId="2" applyNumberFormat="1" applyFont="1" applyFill="1" applyBorder="1" applyAlignment="1">
      <alignment horizontal="center"/>
    </xf>
    <xf numFmtId="197" fontId="6" fillId="0" borderId="0" xfId="0" applyNumberFormat="1" applyFont="1"/>
    <xf numFmtId="38" fontId="6" fillId="0" borderId="5" xfId="0" applyFont="1" applyFill="1" applyBorder="1"/>
    <xf numFmtId="10" fontId="6" fillId="0" borderId="6" xfId="4" applyNumberFormat="1" applyFont="1" applyBorder="1" applyAlignment="1">
      <alignment horizontal="center"/>
    </xf>
    <xf numFmtId="165" fontId="6" fillId="0" borderId="0" xfId="4" applyNumberFormat="1" applyFont="1"/>
    <xf numFmtId="38" fontId="6" fillId="0" borderId="7" xfId="0" applyFont="1" applyBorder="1"/>
    <xf numFmtId="165" fontId="6" fillId="0" borderId="7" xfId="4" applyNumberFormat="1" applyFont="1" applyBorder="1"/>
    <xf numFmtId="44" fontId="6" fillId="0" borderId="7" xfId="4" applyNumberFormat="1" applyFont="1" applyBorder="1"/>
    <xf numFmtId="10" fontId="6" fillId="0" borderId="7" xfId="4" applyNumberFormat="1" applyFont="1" applyBorder="1" applyAlignment="1">
      <alignment horizontal="center"/>
    </xf>
    <xf numFmtId="38" fontId="6" fillId="0" borderId="4" xfId="0" applyFont="1" applyBorder="1"/>
    <xf numFmtId="165" fontId="6" fillId="0" borderId="4" xfId="4" applyNumberFormat="1" applyFont="1" applyBorder="1"/>
    <xf numFmtId="44" fontId="6" fillId="0" borderId="4" xfId="4" applyFont="1" applyBorder="1"/>
    <xf numFmtId="44" fontId="6" fillId="0" borderId="7" xfId="4" applyFont="1" applyBorder="1"/>
    <xf numFmtId="38" fontId="7" fillId="0" borderId="0" xfId="0" applyFont="1" applyBorder="1"/>
    <xf numFmtId="165" fontId="7" fillId="0" borderId="0" xfId="4" applyNumberFormat="1" applyFont="1" applyBorder="1"/>
    <xf numFmtId="44" fontId="7" fillId="0" borderId="0" xfId="4" applyFont="1" applyBorder="1"/>
    <xf numFmtId="169" fontId="4" fillId="0" borderId="0" xfId="9" applyNumberFormat="1" applyBorder="1"/>
    <xf numFmtId="38" fontId="6" fillId="2" borderId="0" xfId="0" applyFont="1" applyFill="1" applyBorder="1"/>
    <xf numFmtId="44" fontId="6" fillId="0" borderId="13" xfId="4" applyBorder="1"/>
    <xf numFmtId="44" fontId="6" fillId="0" borderId="14" xfId="4" applyBorder="1"/>
    <xf numFmtId="38" fontId="6" fillId="9" borderId="0" xfId="0" applyFont="1" applyFill="1"/>
    <xf numFmtId="38" fontId="16" fillId="0" borderId="0" xfId="0" applyFont="1"/>
    <xf numFmtId="38" fontId="16" fillId="0" borderId="0" xfId="0" applyFont="1" applyAlignment="1">
      <alignment horizontal="centerContinuous"/>
    </xf>
    <xf numFmtId="38" fontId="16" fillId="0" borderId="15" xfId="0" applyFont="1" applyBorder="1" applyAlignment="1">
      <alignment horizontal="left"/>
    </xf>
    <xf numFmtId="38" fontId="16" fillId="0" borderId="0" xfId="0" applyFont="1" applyBorder="1" applyAlignment="1">
      <alignment horizontal="center"/>
    </xf>
    <xf numFmtId="38" fontId="17" fillId="10" borderId="17" xfId="0" applyFont="1" applyFill="1" applyBorder="1"/>
    <xf numFmtId="38" fontId="17" fillId="10" borderId="18" xfId="0" applyFont="1" applyFill="1" applyBorder="1"/>
    <xf numFmtId="165" fontId="17" fillId="10" borderId="18" xfId="0" applyNumberFormat="1" applyFont="1" applyFill="1" applyBorder="1"/>
    <xf numFmtId="8" fontId="17" fillId="10" borderId="18" xfId="0" applyNumberFormat="1" applyFont="1" applyFill="1" applyBorder="1"/>
    <xf numFmtId="43" fontId="17" fillId="10" borderId="18" xfId="0" applyNumberFormat="1" applyFont="1" applyFill="1" applyBorder="1"/>
    <xf numFmtId="44" fontId="17" fillId="10" borderId="18" xfId="0" applyNumberFormat="1" applyFont="1" applyFill="1" applyBorder="1"/>
    <xf numFmtId="38" fontId="17" fillId="10" borderId="0" xfId="0" applyFont="1" applyFill="1"/>
    <xf numFmtId="38" fontId="17" fillId="10" borderId="19" xfId="0" applyFont="1" applyFill="1" applyBorder="1"/>
    <xf numFmtId="38" fontId="17" fillId="10" borderId="20" xfId="0" applyFont="1" applyFill="1" applyBorder="1"/>
    <xf numFmtId="38" fontId="17" fillId="10" borderId="0" xfId="0" applyFont="1" applyFill="1" applyBorder="1"/>
    <xf numFmtId="165" fontId="17" fillId="10" borderId="0" xfId="0" applyNumberFormat="1" applyFont="1" applyFill="1" applyBorder="1"/>
    <xf numFmtId="8" fontId="17" fillId="10" borderId="0" xfId="0" applyNumberFormat="1" applyFont="1" applyFill="1" applyBorder="1"/>
    <xf numFmtId="44" fontId="17" fillId="10" borderId="0" xfId="0" applyNumberFormat="1" applyFont="1" applyFill="1" applyBorder="1"/>
    <xf numFmtId="38" fontId="17" fillId="10" borderId="21" xfId="0" applyFont="1" applyFill="1" applyBorder="1"/>
    <xf numFmtId="38" fontId="16" fillId="10" borderId="22" xfId="0" applyFont="1" applyFill="1" applyBorder="1"/>
    <xf numFmtId="38" fontId="16" fillId="10" borderId="23" xfId="0" applyFont="1" applyFill="1" applyBorder="1"/>
    <xf numFmtId="165" fontId="16" fillId="10" borderId="23" xfId="0" applyNumberFormat="1" applyFont="1" applyFill="1" applyBorder="1"/>
    <xf numFmtId="44" fontId="16" fillId="10" borderId="23" xfId="0" applyNumberFormat="1" applyFont="1" applyFill="1" applyBorder="1"/>
    <xf numFmtId="43" fontId="16" fillId="10" borderId="23" xfId="0" applyNumberFormat="1" applyFont="1" applyFill="1" applyBorder="1"/>
    <xf numFmtId="8" fontId="16" fillId="10" borderId="23" xfId="0" applyNumberFormat="1" applyFont="1" applyFill="1" applyBorder="1"/>
    <xf numFmtId="167" fontId="16" fillId="10" borderId="23" xfId="0" applyNumberFormat="1" applyFont="1" applyFill="1" applyBorder="1"/>
    <xf numFmtId="38" fontId="16" fillId="10" borderId="24" xfId="0" applyFont="1" applyFill="1" applyBorder="1"/>
    <xf numFmtId="38" fontId="16" fillId="10" borderId="0" xfId="0" applyFont="1" applyFill="1"/>
    <xf numFmtId="165" fontId="17" fillId="0" borderId="0" xfId="4" applyNumberFormat="1" applyFont="1"/>
    <xf numFmtId="44" fontId="17" fillId="0" borderId="0" xfId="4" applyFont="1"/>
    <xf numFmtId="165" fontId="16" fillId="0" borderId="0" xfId="0" applyNumberFormat="1" applyFont="1"/>
    <xf numFmtId="38" fontId="18" fillId="0" borderId="17" xfId="0" applyFont="1" applyBorder="1"/>
    <xf numFmtId="38" fontId="18" fillId="0" borderId="18" xfId="0" applyFont="1" applyBorder="1"/>
    <xf numFmtId="165" fontId="18" fillId="0" borderId="18" xfId="4" applyNumberFormat="1" applyFont="1" applyBorder="1"/>
    <xf numFmtId="44" fontId="18" fillId="0" borderId="18" xfId="4" applyFont="1" applyBorder="1"/>
    <xf numFmtId="165" fontId="18" fillId="0" borderId="18" xfId="0" applyNumberFormat="1" applyFont="1" applyBorder="1"/>
    <xf numFmtId="165" fontId="18" fillId="0" borderId="19" xfId="0" applyNumberFormat="1" applyFont="1" applyBorder="1"/>
    <xf numFmtId="38" fontId="18" fillId="0" borderId="22" xfId="0" applyFont="1" applyBorder="1"/>
    <xf numFmtId="38" fontId="18" fillId="0" borderId="23" xfId="0" applyFont="1" applyBorder="1"/>
    <xf numFmtId="165" fontId="18" fillId="0" borderId="23" xfId="4" applyNumberFormat="1" applyFont="1" applyBorder="1"/>
    <xf numFmtId="44" fontId="18" fillId="0" borderId="23" xfId="4" applyFont="1" applyBorder="1"/>
    <xf numFmtId="165" fontId="18" fillId="0" borderId="23" xfId="0" applyNumberFormat="1" applyFont="1" applyBorder="1"/>
    <xf numFmtId="165" fontId="18" fillId="0" borderId="24" xfId="0" applyNumberFormat="1" applyFont="1" applyBorder="1"/>
    <xf numFmtId="40" fontId="16" fillId="0" borderId="0" xfId="0" applyNumberFormat="1" applyFont="1"/>
    <xf numFmtId="38" fontId="0" fillId="0" borderId="0" xfId="0" applyAlignment="1">
      <alignment horizontal="center"/>
    </xf>
    <xf numFmtId="38" fontId="14" fillId="0" borderId="0" xfId="0" applyFont="1" applyAlignment="1">
      <alignment horizontal="center"/>
    </xf>
    <xf numFmtId="38" fontId="8" fillId="0" borderId="0" xfId="0" applyFont="1" applyAlignment="1">
      <alignment horizontal="center"/>
    </xf>
    <xf numFmtId="38" fontId="16" fillId="0" borderId="16" xfId="0" applyFont="1" applyBorder="1" applyAlignment="1">
      <alignment horizontal="center"/>
    </xf>
  </cellXfs>
  <cellStyles count="10">
    <cellStyle name="Column Headings" xfId="1"/>
    <cellStyle name="Comma" xfId="2" builtinId="3"/>
    <cellStyle name="Comma [0]" xfId="3" builtinId="6"/>
    <cellStyle name="Currency" xfId="4" builtinId="4"/>
    <cellStyle name="Currency [0]" xfId="5" builtinId="7"/>
    <cellStyle name="HEADING" xfId="6"/>
    <cellStyle name="Heading 2" xfId="7" builtinId="17" customBuiltin="1"/>
    <cellStyle name="HEADING2" xfId="8"/>
    <cellStyle name="Normal" xfId="0" builtinId="0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M31" sqref="M31"/>
    </sheetView>
  </sheetViews>
  <sheetFormatPr defaultRowHeight="10.5"/>
  <cols>
    <col min="1" max="1" width="18.83203125" customWidth="1"/>
    <col min="4" max="4" width="12" customWidth="1"/>
    <col min="7" max="7" width="9.5" customWidth="1"/>
    <col min="10" max="10" width="9.5" customWidth="1"/>
    <col min="13" max="13" width="12" customWidth="1"/>
    <col min="14" max="14" width="10" customWidth="1"/>
  </cols>
  <sheetData>
    <row r="1" spans="1:15" ht="12">
      <c r="D1" s="203" t="s">
        <v>275</v>
      </c>
      <c r="E1" s="203"/>
      <c r="G1" s="203" t="s">
        <v>277</v>
      </c>
      <c r="H1" s="203"/>
      <c r="J1" s="203" t="s">
        <v>278</v>
      </c>
      <c r="K1" s="203"/>
      <c r="M1" s="202" t="s">
        <v>294</v>
      </c>
      <c r="N1" s="202"/>
      <c r="O1" s="202"/>
    </row>
    <row r="2" spans="1:15" ht="12">
      <c r="D2" s="96"/>
      <c r="E2" s="96"/>
      <c r="G2" s="96"/>
      <c r="H2" s="96"/>
      <c r="J2" s="96"/>
      <c r="K2" s="96"/>
      <c r="M2" s="106" t="s">
        <v>294</v>
      </c>
      <c r="N2" s="106" t="s">
        <v>74</v>
      </c>
      <c r="O2" s="106" t="s">
        <v>0</v>
      </c>
    </row>
    <row r="3" spans="1:15">
      <c r="A3" t="s">
        <v>276</v>
      </c>
      <c r="D3">
        <v>2</v>
      </c>
      <c r="E3">
        <v>2</v>
      </c>
      <c r="G3">
        <v>2</v>
      </c>
      <c r="H3" s="105">
        <v>2.5</v>
      </c>
      <c r="J3">
        <v>3</v>
      </c>
      <c r="K3" s="105">
        <v>3.5</v>
      </c>
    </row>
    <row r="4" spans="1:15">
      <c r="A4" t="s">
        <v>279</v>
      </c>
      <c r="D4">
        <v>1198</v>
      </c>
      <c r="G4">
        <v>1107</v>
      </c>
      <c r="J4">
        <v>1287</v>
      </c>
      <c r="M4">
        <f>+J4*J8+G4*G8+D4*D8</f>
        <v>159051</v>
      </c>
    </row>
    <row r="5" spans="1:15">
      <c r="A5" t="s">
        <v>280</v>
      </c>
      <c r="D5" s="202" t="s">
        <v>281</v>
      </c>
      <c r="E5" s="202"/>
      <c r="G5" s="202" t="s">
        <v>282</v>
      </c>
      <c r="H5" s="202"/>
      <c r="J5" s="202" t="s">
        <v>282</v>
      </c>
      <c r="K5" s="202"/>
    </row>
    <row r="6" spans="1:15">
      <c r="A6" t="s">
        <v>283</v>
      </c>
      <c r="D6">
        <v>28</v>
      </c>
      <c r="E6" t="s">
        <v>284</v>
      </c>
      <c r="G6" s="107">
        <v>15.83</v>
      </c>
      <c r="H6" t="s">
        <v>284</v>
      </c>
      <c r="J6">
        <v>26</v>
      </c>
      <c r="K6" t="s">
        <v>284</v>
      </c>
    </row>
    <row r="7" spans="1:15">
      <c r="G7" s="107"/>
    </row>
    <row r="8" spans="1:15">
      <c r="A8" t="s">
        <v>295</v>
      </c>
      <c r="D8">
        <f>+'Unit Costs'!P7</f>
        <v>3</v>
      </c>
      <c r="G8">
        <f>+'Unit Costs'!T7</f>
        <v>73</v>
      </c>
      <c r="J8">
        <f>+'Unit Costs'!X7</f>
        <v>58</v>
      </c>
      <c r="M8">
        <f>J8+G8+D8</f>
        <v>134</v>
      </c>
    </row>
    <row r="10" spans="1:15" ht="12">
      <c r="A10" t="s">
        <v>285</v>
      </c>
      <c r="D10" s="3">
        <v>1250</v>
      </c>
      <c r="E10" s="2">
        <f>+D10/D$4</f>
        <v>1.0434056761268782</v>
      </c>
      <c r="G10" s="3">
        <v>1200</v>
      </c>
      <c r="H10" s="2">
        <f>+G10/G$4</f>
        <v>1.084010840108401</v>
      </c>
      <c r="J10" s="3">
        <f>475*3</f>
        <v>1425</v>
      </c>
      <c r="K10" s="2">
        <f>+J10/J$4</f>
        <v>1.1072261072261071</v>
      </c>
      <c r="M10" s="3">
        <f>J10*J$8+G10*G$8+D10*D$8</f>
        <v>174000</v>
      </c>
      <c r="N10" s="3">
        <f>+M10/M$8</f>
        <v>1298.5074626865671</v>
      </c>
      <c r="O10" s="2">
        <f>+M10/M$4</f>
        <v>1.0939887205990531</v>
      </c>
    </row>
    <row r="12" spans="1:15" ht="12.75">
      <c r="A12" t="s">
        <v>286</v>
      </c>
      <c r="B12" s="4">
        <v>0.05</v>
      </c>
      <c r="C12" s="4"/>
      <c r="D12">
        <f>-$B12*D$10</f>
        <v>-62.5</v>
      </c>
      <c r="E12" s="2">
        <f>+D12/D$4</f>
        <v>-5.2170283806343906E-2</v>
      </c>
      <c r="G12">
        <f>-$B12*G$10</f>
        <v>-60</v>
      </c>
      <c r="H12" s="2">
        <f>+G12/G$4</f>
        <v>-5.4200542005420058E-2</v>
      </c>
      <c r="J12">
        <f>-$B12*J$10</f>
        <v>-71.25</v>
      </c>
      <c r="K12" s="2">
        <f>+J12/J$4</f>
        <v>-5.536130536130536E-2</v>
      </c>
      <c r="M12">
        <f>J12*J$8+G12*G$8+D12*D$8</f>
        <v>-8700</v>
      </c>
      <c r="N12">
        <f>+M12/M$8</f>
        <v>-64.925373134328353</v>
      </c>
      <c r="O12" s="107">
        <f>+M12/M$4</f>
        <v>-5.4699436029952656E-2</v>
      </c>
    </row>
    <row r="13" spans="1:15" ht="12.75">
      <c r="A13" t="s">
        <v>287</v>
      </c>
      <c r="B13" s="4">
        <v>0.05</v>
      </c>
      <c r="C13" s="4"/>
      <c r="D13">
        <f>-$B13*D$10</f>
        <v>-62.5</v>
      </c>
      <c r="E13" s="9">
        <f>+D13/D$4</f>
        <v>-5.2170283806343906E-2</v>
      </c>
      <c r="G13">
        <f>-$B13*G$10</f>
        <v>-60</v>
      </c>
      <c r="H13" s="9">
        <f>+G13/G$4</f>
        <v>-5.4200542005420058E-2</v>
      </c>
      <c r="J13">
        <f>-$B13*J$10</f>
        <v>-71.25</v>
      </c>
      <c r="K13" s="9">
        <f>+J13/J$4</f>
        <v>-5.536130536130536E-2</v>
      </c>
      <c r="M13">
        <f>J13*J$8+G13*G$8+D13*D$8</f>
        <v>-8700</v>
      </c>
      <c r="N13">
        <f>+M13/M$8</f>
        <v>-64.925373134328353</v>
      </c>
      <c r="O13" s="107">
        <f>+M13/M$4</f>
        <v>-5.4699436029952656E-2</v>
      </c>
    </row>
    <row r="14" spans="1:15" ht="12">
      <c r="A14" t="s">
        <v>288</v>
      </c>
      <c r="D14" s="3">
        <f>SUM(D10:D13)</f>
        <v>1125</v>
      </c>
      <c r="E14" s="2">
        <f>+D14/D$4</f>
        <v>0.93906510851419034</v>
      </c>
      <c r="G14" s="3">
        <f>SUM(G10:G13)</f>
        <v>1080</v>
      </c>
      <c r="H14" s="2">
        <f>+G14/G$4</f>
        <v>0.97560975609756095</v>
      </c>
      <c r="J14" s="3">
        <f>SUM(J10:J13)</f>
        <v>1282.5</v>
      </c>
      <c r="K14" s="2">
        <f>+J14/J$4</f>
        <v>0.99650349650349646</v>
      </c>
      <c r="M14" s="3">
        <f>SUM(M10:M13)</f>
        <v>156600</v>
      </c>
      <c r="N14" s="3">
        <f>+M14/M$8</f>
        <v>1168.6567164179105</v>
      </c>
      <c r="O14" s="2">
        <f>+M14/M$4</f>
        <v>0.98458984853914777</v>
      </c>
    </row>
    <row r="16" spans="1:15" ht="12">
      <c r="A16" s="104" t="s">
        <v>293</v>
      </c>
    </row>
    <row r="17" spans="1:21" ht="12">
      <c r="A17" t="s">
        <v>289</v>
      </c>
      <c r="B17" s="2">
        <f>55000/12/1343/28</f>
        <v>0.12188419671666133</v>
      </c>
      <c r="C17" s="38" t="s">
        <v>0</v>
      </c>
      <c r="D17">
        <f>-$B17*D$4</f>
        <v>-146.01726766656026</v>
      </c>
      <c r="E17" s="2">
        <f t="shared" ref="E17:E26" si="0">+D17/D$4</f>
        <v>-0.12188419671666131</v>
      </c>
      <c r="G17">
        <f>-$B17*G4</f>
        <v>-134.92580576534408</v>
      </c>
      <c r="H17" s="2">
        <f t="shared" ref="H17:H26" si="1">+G17/G$4</f>
        <v>-0.12188419671666131</v>
      </c>
      <c r="J17">
        <f>-$B17*J4</f>
        <v>-156.86496117434314</v>
      </c>
      <c r="K17" s="2">
        <f t="shared" ref="K17:K26" si="2">+J17/J$4</f>
        <v>-0.12188419671666133</v>
      </c>
      <c r="M17">
        <f t="shared" ref="M17:M22" si="3">J17*J$8+G17*G$8+D17*D$8</f>
        <v>-19385.803371981703</v>
      </c>
      <c r="N17">
        <f t="shared" ref="N17:N22" si="4">+M17/M$8</f>
        <v>-144.67017441777389</v>
      </c>
      <c r="O17" s="107">
        <f t="shared" ref="O17:O26" si="5">+M17/M$4</f>
        <v>-0.12188419671666134</v>
      </c>
    </row>
    <row r="18" spans="1:21" ht="12">
      <c r="A18" t="s">
        <v>290</v>
      </c>
      <c r="B18" s="109">
        <f>0.0045/0.025*B17</f>
        <v>2.1939155408999034E-2</v>
      </c>
      <c r="C18" s="38" t="s">
        <v>0</v>
      </c>
      <c r="D18">
        <f>-$B18*D$4</f>
        <v>-26.283108179980843</v>
      </c>
      <c r="E18" s="9">
        <f t="shared" si="0"/>
        <v>-2.1939155408999034E-2</v>
      </c>
      <c r="G18">
        <f>-$B18*G$4</f>
        <v>-24.286645037761932</v>
      </c>
      <c r="H18" s="9">
        <f t="shared" si="1"/>
        <v>-2.1939155408999034E-2</v>
      </c>
      <c r="J18">
        <f>-$B18*J$4</f>
        <v>-28.235693011381759</v>
      </c>
      <c r="K18" s="9">
        <f t="shared" si="2"/>
        <v>-2.1939155408999034E-2</v>
      </c>
      <c r="M18">
        <f t="shared" si="3"/>
        <v>-3489.4446069567057</v>
      </c>
      <c r="N18">
        <f t="shared" si="4"/>
        <v>-26.040631395199295</v>
      </c>
      <c r="O18" s="107">
        <f t="shared" si="5"/>
        <v>-2.1939155408999034E-2</v>
      </c>
    </row>
    <row r="19" spans="1:21" ht="12">
      <c r="A19" t="s">
        <v>291</v>
      </c>
      <c r="D19">
        <v>-50</v>
      </c>
      <c r="E19" s="9">
        <f t="shared" si="0"/>
        <v>-4.1736227045075125E-2</v>
      </c>
      <c r="G19">
        <v>-50</v>
      </c>
      <c r="H19" s="9">
        <f t="shared" si="1"/>
        <v>-4.5167118337850046E-2</v>
      </c>
      <c r="J19">
        <v>-50</v>
      </c>
      <c r="K19" s="9">
        <f t="shared" si="2"/>
        <v>-3.8850038850038848E-2</v>
      </c>
      <c r="M19">
        <f t="shared" si="3"/>
        <v>-6700</v>
      </c>
      <c r="N19">
        <f t="shared" si="4"/>
        <v>-50</v>
      </c>
      <c r="O19" s="107">
        <f t="shared" si="5"/>
        <v>-4.212485303456124E-2</v>
      </c>
    </row>
    <row r="20" spans="1:21" ht="12">
      <c r="A20" t="s">
        <v>292</v>
      </c>
      <c r="B20">
        <v>350</v>
      </c>
      <c r="C20" t="s">
        <v>298</v>
      </c>
      <c r="D20">
        <f>-$B20/12</f>
        <v>-29.166666666666668</v>
      </c>
      <c r="E20" s="9">
        <f t="shared" si="0"/>
        <v>-2.4346132442960491E-2</v>
      </c>
      <c r="G20">
        <f>-$B20/12</f>
        <v>-29.166666666666668</v>
      </c>
      <c r="H20" s="9">
        <f t="shared" si="1"/>
        <v>-2.6347485697079193E-2</v>
      </c>
      <c r="J20">
        <f>-$B20/12</f>
        <v>-29.166666666666668</v>
      </c>
      <c r="K20" s="9">
        <f t="shared" si="2"/>
        <v>-2.2662522662522663E-2</v>
      </c>
      <c r="M20">
        <f t="shared" si="3"/>
        <v>-3908.3333333333339</v>
      </c>
      <c r="N20">
        <f t="shared" si="4"/>
        <v>-29.166666666666671</v>
      </c>
      <c r="O20" s="107">
        <f t="shared" si="5"/>
        <v>-2.4572830936827394E-2</v>
      </c>
    </row>
    <row r="21" spans="1:21" ht="12">
      <c r="A21" t="s">
        <v>241</v>
      </c>
      <c r="B21">
        <v>200</v>
      </c>
      <c r="C21" t="s">
        <v>299</v>
      </c>
      <c r="D21" s="107">
        <f>-200/134</f>
        <v>-1.4925373134328359</v>
      </c>
      <c r="E21" s="9">
        <f t="shared" si="0"/>
        <v>-1.245857523733586E-3</v>
      </c>
      <c r="G21" s="107">
        <f>-200/134</f>
        <v>-1.4925373134328359</v>
      </c>
      <c r="H21" s="9">
        <f t="shared" si="1"/>
        <v>-1.3482721891895537E-3</v>
      </c>
      <c r="J21" s="107">
        <f>-200/134</f>
        <v>-1.4925373134328359</v>
      </c>
      <c r="K21" s="9">
        <f t="shared" si="2"/>
        <v>-1.1597026522399657E-3</v>
      </c>
      <c r="M21">
        <f t="shared" si="3"/>
        <v>-200</v>
      </c>
      <c r="N21">
        <f t="shared" si="4"/>
        <v>-1.4925373134328359</v>
      </c>
      <c r="O21" s="107">
        <f t="shared" si="5"/>
        <v>-1.2574582995391415E-3</v>
      </c>
    </row>
    <row r="22" spans="1:21" ht="12">
      <c r="E22" s="9"/>
      <c r="H22" s="9"/>
      <c r="K22" s="9"/>
      <c r="M22">
        <f t="shared" si="3"/>
        <v>0</v>
      </c>
      <c r="N22">
        <f t="shared" si="4"/>
        <v>0</v>
      </c>
      <c r="O22" s="107">
        <f t="shared" si="5"/>
        <v>0</v>
      </c>
    </row>
    <row r="23" spans="1:21" ht="12">
      <c r="A23" s="6" t="s">
        <v>296</v>
      </c>
      <c r="B23" s="6"/>
      <c r="C23" s="6"/>
      <c r="D23" s="5">
        <f>SUM(D17:D22)</f>
        <v>-252.95957982664061</v>
      </c>
      <c r="E23" s="2">
        <f t="shared" si="0"/>
        <v>-0.21115156913742955</v>
      </c>
      <c r="F23" s="6"/>
      <c r="G23" s="5">
        <f>SUM(G17:G22)</f>
        <v>-239.87165478320551</v>
      </c>
      <c r="H23" s="2">
        <f t="shared" si="1"/>
        <v>-0.21668622834977916</v>
      </c>
      <c r="I23" s="6"/>
      <c r="J23" s="5">
        <f>SUM(J17:J22)</f>
        <v>-265.75985816582437</v>
      </c>
      <c r="K23" s="2">
        <f t="shared" si="2"/>
        <v>-0.20649561629046181</v>
      </c>
      <c r="L23" s="6"/>
      <c r="M23" s="5">
        <f>SUM(M17:M22)</f>
        <v>-33683.581312271745</v>
      </c>
      <c r="N23" s="5">
        <f>SUM(N17:N22)</f>
        <v>-251.37000979307268</v>
      </c>
      <c r="O23" s="5">
        <f>SUM(O17:O22)</f>
        <v>-0.21177849439658814</v>
      </c>
      <c r="P23" s="6"/>
      <c r="Q23" s="6"/>
      <c r="R23" s="6"/>
      <c r="S23" s="6"/>
      <c r="T23" s="6"/>
      <c r="U23" s="6"/>
    </row>
    <row r="24" spans="1:21" ht="12">
      <c r="A24" s="7" t="s">
        <v>5</v>
      </c>
      <c r="D24" s="108">
        <f>+D14+D23</f>
        <v>872.04042017335939</v>
      </c>
      <c r="E24" s="2">
        <f t="shared" si="0"/>
        <v>0.72791353937676073</v>
      </c>
      <c r="G24" s="108">
        <f>+G14+G23</f>
        <v>840.12834521679451</v>
      </c>
      <c r="H24" s="2">
        <f t="shared" si="1"/>
        <v>0.75892352774778182</v>
      </c>
      <c r="J24" s="108">
        <f>+J14+J23</f>
        <v>1016.7401418341756</v>
      </c>
      <c r="K24" s="2">
        <f t="shared" si="2"/>
        <v>0.79000788021303459</v>
      </c>
      <c r="M24" s="108">
        <f>+M14+M23</f>
        <v>122916.41868772826</v>
      </c>
      <c r="N24" s="108">
        <f>+N14+N23</f>
        <v>917.28670662483785</v>
      </c>
      <c r="O24" s="107">
        <f t="shared" si="5"/>
        <v>0.77281135414255975</v>
      </c>
    </row>
    <row r="25" spans="1:21" ht="12">
      <c r="E25" s="2"/>
      <c r="H25" s="2"/>
    </row>
    <row r="26" spans="1:21" ht="12">
      <c r="A26" t="s">
        <v>297</v>
      </c>
      <c r="D26" s="3">
        <f>D24/0.1*12</f>
        <v>104644.85042080312</v>
      </c>
      <c r="E26" s="2">
        <f t="shared" si="0"/>
        <v>87.349624725211285</v>
      </c>
      <c r="G26" s="3">
        <f>G24/0.1*12</f>
        <v>100815.40142601533</v>
      </c>
      <c r="H26" s="2">
        <f t="shared" si="1"/>
        <v>91.070823329733813</v>
      </c>
      <c r="J26" s="3">
        <f>J24/0.1*12</f>
        <v>122008.81702010107</v>
      </c>
      <c r="K26" s="2">
        <f t="shared" si="2"/>
        <v>94.800945625564154</v>
      </c>
      <c r="M26" s="3">
        <f>M24/0.1*12</f>
        <v>14749970.242527392</v>
      </c>
      <c r="N26">
        <f>+M26/M$8</f>
        <v>110074.40479498054</v>
      </c>
      <c r="O26" s="107">
        <f t="shared" si="5"/>
        <v>92.737362497107171</v>
      </c>
    </row>
    <row r="28" spans="1:21" ht="12.75">
      <c r="A28" t="s">
        <v>300</v>
      </c>
      <c r="B28" s="4">
        <v>0.8</v>
      </c>
      <c r="C28" t="s">
        <v>4</v>
      </c>
      <c r="D28">
        <f>$B28*D26</f>
        <v>83715.880336642498</v>
      </c>
      <c r="G28">
        <f>$B28*G26</f>
        <v>80652.321140812273</v>
      </c>
      <c r="J28">
        <f>$B28*J26</f>
        <v>97607.053616080855</v>
      </c>
      <c r="M28">
        <f>$B28*M26</f>
        <v>11799976.194021914</v>
      </c>
    </row>
    <row r="29" spans="1:21" ht="12.75">
      <c r="A29" t="s">
        <v>301</v>
      </c>
      <c r="B29" s="4">
        <v>7.1999999999999995E-2</v>
      </c>
      <c r="C29" t="s">
        <v>302</v>
      </c>
      <c r="D29">
        <f>PMT(7.2%/12,360,D28)</f>
        <v>-568.25352517702106</v>
      </c>
      <c r="G29">
        <f>PMT(7.2%/12,360,G28)</f>
        <v>-547.45844656566931</v>
      </c>
      <c r="J29">
        <f>PMT(7.2%/12,360,J28)</f>
        <v>-662.54517155454369</v>
      </c>
      <c r="M29">
        <f>PMT(7.2%/12,360,M28)</f>
        <v>-80096.847124988446</v>
      </c>
    </row>
    <row r="30" spans="1:21" ht="12">
      <c r="A30" t="s">
        <v>303</v>
      </c>
      <c r="C30" s="1"/>
      <c r="D30" s="3">
        <f>+D29+D24</f>
        <v>303.78689499633833</v>
      </c>
      <c r="E30" s="1"/>
      <c r="F30" s="1"/>
      <c r="G30" s="3">
        <f>+G29+G24</f>
        <v>292.66989865112521</v>
      </c>
      <c r="H30" s="1"/>
      <c r="I30" s="1"/>
      <c r="J30" s="3">
        <f>+J29+J24</f>
        <v>354.19497027963189</v>
      </c>
      <c r="M30" s="3">
        <f>+M29+M24</f>
        <v>42819.571562739817</v>
      </c>
    </row>
    <row r="31" spans="1:21" ht="12">
      <c r="A31" t="s">
        <v>304</v>
      </c>
      <c r="C31" s="1"/>
      <c r="D31" s="3">
        <f>+D30*12</f>
        <v>3645.44273995606</v>
      </c>
      <c r="E31" s="1"/>
      <c r="F31" s="1"/>
      <c r="G31" s="3">
        <f>+G30*12</f>
        <v>3512.0387838135025</v>
      </c>
      <c r="H31" s="1"/>
      <c r="I31" s="1"/>
      <c r="J31" s="3">
        <f>+J30*12</f>
        <v>4250.3396433555827</v>
      </c>
      <c r="M31" s="3">
        <f>+M30*12</f>
        <v>513834.8587528778</v>
      </c>
    </row>
    <row r="32" spans="1:21" ht="12">
      <c r="D32" s="2"/>
      <c r="G32" s="2"/>
    </row>
    <row r="33" spans="1:7" ht="12">
      <c r="D33" s="2"/>
      <c r="G33" s="2"/>
    </row>
    <row r="35" spans="1:7">
      <c r="A35" t="s">
        <v>239</v>
      </c>
    </row>
    <row r="37" spans="1:7">
      <c r="A37" t="s">
        <v>240</v>
      </c>
    </row>
    <row r="39" spans="1:7">
      <c r="A39" t="s">
        <v>272</v>
      </c>
    </row>
    <row r="41" spans="1:7">
      <c r="A41" t="s">
        <v>273</v>
      </c>
    </row>
    <row r="43" spans="1:7">
      <c r="A43" t="s">
        <v>218</v>
      </c>
    </row>
    <row r="45" spans="1:7">
      <c r="A45" t="s">
        <v>274</v>
      </c>
    </row>
    <row r="47" spans="1:7" ht="12">
      <c r="A47" s="30" t="s">
        <v>262</v>
      </c>
    </row>
  </sheetData>
  <mergeCells count="7">
    <mergeCell ref="D5:E5"/>
    <mergeCell ref="G5:H5"/>
    <mergeCell ref="J5:K5"/>
    <mergeCell ref="M1:O1"/>
    <mergeCell ref="J1:K1"/>
    <mergeCell ref="G1:H1"/>
    <mergeCell ref="D1:E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3"/>
  <sheetViews>
    <sheetView topLeftCell="B1" workbookViewId="0">
      <pane xSplit="4650" ySplit="1110" topLeftCell="Y55" activePane="bottomRight"/>
      <selection activeCell="L2" sqref="L2"/>
      <selection pane="topRight" activeCell="Q8" sqref="Q8"/>
      <selection pane="bottomLeft" activeCell="B128" sqref="B128"/>
      <selection pane="bottomRight" activeCell="AB88" sqref="AB88"/>
    </sheetView>
  </sheetViews>
  <sheetFormatPr defaultColWidth="7.5" defaultRowHeight="12"/>
  <cols>
    <col min="1" max="1" width="8.5" style="60" customWidth="1"/>
    <col min="2" max="2" width="22.83203125" style="44" customWidth="1"/>
    <col min="3" max="3" width="5.83203125" style="44" hidden="1" customWidth="1"/>
    <col min="4" max="4" width="5.5" style="44" hidden="1" customWidth="1"/>
    <col min="5" max="11" width="7.5" style="44" hidden="1" customWidth="1"/>
    <col min="12" max="12" width="11.5" style="44" customWidth="1"/>
    <col min="13" max="14" width="9.83203125" style="44" customWidth="1"/>
    <col min="15" max="15" width="1" style="44" customWidth="1"/>
    <col min="16" max="16" width="12" style="44" customWidth="1"/>
    <col min="17" max="17" width="11" style="44" customWidth="1"/>
    <col min="18" max="18" width="12.5" style="44" customWidth="1"/>
    <col min="19" max="19" width="1" style="44" customWidth="1"/>
    <col min="20" max="20" width="13.5" style="44" customWidth="1"/>
    <col min="21" max="22" width="11.5" style="44" customWidth="1"/>
    <col min="23" max="23" width="1" style="44" customWidth="1"/>
    <col min="24" max="26" width="11.5" style="44" customWidth="1"/>
    <col min="27" max="27" width="1" style="44" customWidth="1"/>
    <col min="28" max="28" width="12" style="44" customWidth="1"/>
    <col min="29" max="29" width="8.5" style="44" customWidth="1"/>
    <col min="30" max="30" width="7.5" style="44" customWidth="1"/>
    <col min="31" max="31" width="1" style="44" customWidth="1"/>
    <col min="32" max="32" width="11.5" style="44" customWidth="1"/>
    <col min="33" max="33" width="3.5" style="44" customWidth="1"/>
    <col min="34" max="34" width="24" style="44" customWidth="1"/>
    <col min="35" max="35" width="7.6640625" style="44" customWidth="1"/>
    <col min="36" max="36" width="13.6640625" style="44" customWidth="1"/>
    <col min="37" max="38" width="9.5" style="44" customWidth="1"/>
    <col min="39" max="39" width="7.5" style="44" customWidth="1"/>
    <col min="40" max="40" width="11.5" style="44" customWidth="1"/>
    <col min="41" max="41" width="19" style="44" customWidth="1"/>
    <col min="42" max="42" width="16.33203125" style="44" customWidth="1"/>
    <col min="43" max="43" width="20" style="44" customWidth="1"/>
    <col min="44" max="16384" width="7.5" style="44"/>
  </cols>
  <sheetData>
    <row r="1" spans="1:38">
      <c r="A1" s="59"/>
      <c r="B1" s="27" t="s">
        <v>221</v>
      </c>
      <c r="C1" s="27"/>
      <c r="D1" s="27"/>
      <c r="E1" s="27"/>
      <c r="F1" s="27"/>
      <c r="G1" s="27"/>
      <c r="H1" s="27"/>
      <c r="I1" s="27"/>
      <c r="J1" s="27"/>
      <c r="K1" s="27"/>
      <c r="L1" s="39">
        <v>1.125</v>
      </c>
    </row>
    <row r="2" spans="1:38">
      <c r="B2" s="44" t="s">
        <v>1</v>
      </c>
      <c r="L2" s="43">
        <v>14</v>
      </c>
      <c r="P2" s="44" t="s">
        <v>203</v>
      </c>
      <c r="Q2" s="44">
        <v>134</v>
      </c>
    </row>
    <row r="3" spans="1:38" ht="12.75" thickBot="1">
      <c r="A3" s="60" t="s">
        <v>176</v>
      </c>
      <c r="B3" s="44" t="s">
        <v>182</v>
      </c>
      <c r="L3" s="44" t="s">
        <v>178</v>
      </c>
    </row>
    <row r="4" spans="1:38" s="15" customFormat="1" ht="12.75" thickBot="1">
      <c r="A4" s="60"/>
      <c r="B4" s="61" t="s">
        <v>222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3"/>
    </row>
    <row r="5" spans="1:38" s="15" customFormat="1">
      <c r="A5" s="24"/>
      <c r="E5" s="64" t="s">
        <v>183</v>
      </c>
      <c r="F5" s="64" t="s">
        <v>188</v>
      </c>
      <c r="G5" s="64" t="s">
        <v>69</v>
      </c>
      <c r="H5" s="64" t="s">
        <v>184</v>
      </c>
      <c r="I5" s="64" t="s">
        <v>185</v>
      </c>
      <c r="J5" s="64" t="s">
        <v>186</v>
      </c>
      <c r="K5" s="64" t="s">
        <v>187</v>
      </c>
      <c r="P5" s="204" t="s">
        <v>205</v>
      </c>
      <c r="Q5" s="204"/>
      <c r="R5" s="204"/>
      <c r="T5" s="204" t="s">
        <v>223</v>
      </c>
      <c r="U5" s="204"/>
      <c r="V5" s="204"/>
      <c r="W5" s="36"/>
      <c r="X5" s="204" t="s">
        <v>224</v>
      </c>
      <c r="Y5" s="204"/>
      <c r="Z5" s="204"/>
      <c r="AA5" s="36"/>
      <c r="AB5" s="204" t="s">
        <v>2</v>
      </c>
      <c r="AC5" s="204"/>
      <c r="AD5" s="204"/>
      <c r="AE5" s="36"/>
      <c r="AF5" s="36"/>
    </row>
    <row r="6" spans="1:38" s="15" customFormat="1" ht="22.9" customHeight="1">
      <c r="A6" s="24"/>
      <c r="B6" s="30" t="s">
        <v>76</v>
      </c>
      <c r="C6" s="65" t="s">
        <v>67</v>
      </c>
      <c r="D6" s="66" t="s">
        <v>177</v>
      </c>
      <c r="E6" s="64" t="s">
        <v>181</v>
      </c>
      <c r="F6" s="64" t="s">
        <v>189</v>
      </c>
      <c r="G6" s="64" t="s">
        <v>190</v>
      </c>
      <c r="H6" s="64" t="s">
        <v>191</v>
      </c>
      <c r="I6" s="64" t="s">
        <v>192</v>
      </c>
      <c r="J6" s="64" t="s">
        <v>193</v>
      </c>
      <c r="K6" s="64" t="s">
        <v>194</v>
      </c>
      <c r="L6" s="12" t="s">
        <v>75</v>
      </c>
      <c r="M6" s="12" t="s">
        <v>74</v>
      </c>
      <c r="N6" s="12" t="s">
        <v>0</v>
      </c>
      <c r="O6" s="12"/>
      <c r="P6" s="12" t="s">
        <v>75</v>
      </c>
      <c r="Q6" s="12" t="s">
        <v>74</v>
      </c>
      <c r="R6" s="12" t="s">
        <v>0</v>
      </c>
      <c r="T6" s="12" t="s">
        <v>75</v>
      </c>
      <c r="U6" s="12" t="s">
        <v>74</v>
      </c>
      <c r="V6" s="12" t="s">
        <v>0</v>
      </c>
      <c r="W6" s="12"/>
      <c r="X6" s="12" t="s">
        <v>75</v>
      </c>
      <c r="Y6" s="12" t="s">
        <v>74</v>
      </c>
      <c r="Z6" s="12" t="s">
        <v>0</v>
      </c>
      <c r="AA6" s="12"/>
      <c r="AB6" s="12" t="s">
        <v>75</v>
      </c>
      <c r="AC6" s="12" t="s">
        <v>74</v>
      </c>
      <c r="AD6" s="12" t="s">
        <v>0</v>
      </c>
      <c r="AE6" s="12"/>
      <c r="AF6" s="67"/>
      <c r="AH6" s="11" t="s">
        <v>76</v>
      </c>
      <c r="AI6" s="12" t="s">
        <v>179</v>
      </c>
      <c r="AJ6" s="12" t="s">
        <v>180</v>
      </c>
      <c r="AK6" s="12" t="s">
        <v>74</v>
      </c>
      <c r="AL6" s="12" t="s">
        <v>212</v>
      </c>
    </row>
    <row r="7" spans="1:38" s="15" customFormat="1" ht="22.9" customHeight="1">
      <c r="A7" s="24"/>
      <c r="B7" s="30" t="s">
        <v>202</v>
      </c>
      <c r="C7" s="65"/>
      <c r="D7" s="66"/>
      <c r="E7" s="64"/>
      <c r="F7" s="64"/>
      <c r="G7" s="64"/>
      <c r="H7" s="64"/>
      <c r="I7" s="64"/>
      <c r="J7" s="64"/>
      <c r="K7" s="64"/>
      <c r="L7" s="13">
        <f>TRUnits</f>
        <v>14</v>
      </c>
      <c r="M7" s="12"/>
      <c r="N7" s="12"/>
      <c r="O7" s="12"/>
      <c r="P7" s="13">
        <v>3</v>
      </c>
      <c r="Q7" s="12"/>
      <c r="R7" s="12"/>
      <c r="T7" s="13">
        <v>73</v>
      </c>
      <c r="U7" s="12"/>
      <c r="V7" s="12"/>
      <c r="W7" s="12"/>
      <c r="X7" s="13">
        <v>58</v>
      </c>
      <c r="Y7" s="12"/>
      <c r="Z7" s="12"/>
      <c r="AA7" s="12"/>
      <c r="AB7" s="13">
        <f>ROUND(X7+T7+P7,0)</f>
        <v>134</v>
      </c>
      <c r="AC7" s="12"/>
      <c r="AD7" s="12"/>
      <c r="AE7" s="12"/>
      <c r="AF7" s="67"/>
      <c r="AH7" s="11"/>
      <c r="AI7" s="12"/>
      <c r="AJ7" s="12"/>
      <c r="AK7" s="13">
        <f>+AB7</f>
        <v>134</v>
      </c>
      <c r="AL7" s="14">
        <f>AB7*AC8</f>
        <v>159058</v>
      </c>
    </row>
    <row r="8" spans="1:38" s="15" customFormat="1" ht="22.9" customHeight="1">
      <c r="A8" s="24"/>
      <c r="B8" s="30" t="s">
        <v>204</v>
      </c>
      <c r="C8" s="65"/>
      <c r="D8" s="66"/>
      <c r="E8" s="64"/>
      <c r="F8" s="64"/>
      <c r="G8" s="64"/>
      <c r="H8" s="64"/>
      <c r="I8" s="64"/>
      <c r="J8" s="64"/>
      <c r="K8" s="64"/>
      <c r="L8" s="13"/>
      <c r="M8" s="12"/>
      <c r="N8" s="12"/>
      <c r="O8" s="12"/>
      <c r="P8" s="13"/>
      <c r="Q8" s="13">
        <v>1198</v>
      </c>
      <c r="R8" s="13">
        <f>+Q8+280+67</f>
        <v>1545</v>
      </c>
      <c r="T8" s="13"/>
      <c r="U8" s="13">
        <v>1107</v>
      </c>
      <c r="V8" s="13">
        <f>+U8</f>
        <v>1107</v>
      </c>
      <c r="W8" s="12"/>
      <c r="X8" s="13"/>
      <c r="Y8" s="13">
        <v>1287</v>
      </c>
      <c r="Z8" s="13">
        <f>+Y8+295</f>
        <v>1582</v>
      </c>
      <c r="AA8" s="12"/>
      <c r="AB8" s="12"/>
      <c r="AC8" s="13">
        <f>ROUND((Y8*$X7+U8*$T7+Q8*$P7)/$AB$7,0)</f>
        <v>1187</v>
      </c>
      <c r="AD8" s="13">
        <f>ROUND((Z8*$X7+V8*$T7+R8*$P7)/$AB$7,0)</f>
        <v>1322</v>
      </c>
      <c r="AE8" s="12"/>
      <c r="AF8" s="67"/>
      <c r="AH8" s="11"/>
      <c r="AI8" s="12"/>
      <c r="AJ8" s="12"/>
      <c r="AK8" s="12"/>
      <c r="AL8" s="12"/>
    </row>
    <row r="9" spans="1:38" s="15" customFormat="1">
      <c r="A9" s="24" t="s">
        <v>150</v>
      </c>
      <c r="B9" s="15" t="s">
        <v>3</v>
      </c>
      <c r="C9" s="68"/>
      <c r="D9" s="16">
        <f>L9/$L$88</f>
        <v>2.3716402841308496E-2</v>
      </c>
      <c r="E9" s="69" t="s">
        <v>195</v>
      </c>
      <c r="F9" s="69" t="s">
        <v>195</v>
      </c>
      <c r="G9" s="69" t="s">
        <v>195</v>
      </c>
      <c r="H9" s="69" t="s">
        <v>195</v>
      </c>
      <c r="I9" s="69" t="s">
        <v>195</v>
      </c>
      <c r="J9" s="69" t="s">
        <v>195</v>
      </c>
      <c r="K9" s="69" t="s">
        <v>195</v>
      </c>
      <c r="L9" s="26">
        <f t="shared" ref="L9:L51" si="0">M9*TRUnits</f>
        <v>16673.3</v>
      </c>
      <c r="M9" s="26">
        <f>2381.9/2</f>
        <v>1190.95</v>
      </c>
      <c r="N9" s="19">
        <f>M9/1376</f>
        <v>0.86551598837209309</v>
      </c>
      <c r="O9" s="19"/>
      <c r="P9" s="70">
        <f>Q9*P$7</f>
        <v>3499.4975199854653</v>
      </c>
      <c r="Q9" s="70">
        <f>Q$8*$N9*CMF</f>
        <v>1166.4991733284885</v>
      </c>
      <c r="R9" s="18">
        <f>+Q9/Q$8</f>
        <v>0.9737054869186047</v>
      </c>
      <c r="S9" s="26"/>
      <c r="T9" s="70">
        <f>U9*T$7</f>
        <v>78686.114103379354</v>
      </c>
      <c r="U9" s="70">
        <f>U$8*$N9*CMF</f>
        <v>1077.8919740188953</v>
      </c>
      <c r="V9" s="18">
        <f>+U9/U$8</f>
        <v>0.97370548691860459</v>
      </c>
      <c r="W9" s="26"/>
      <c r="X9" s="70">
        <f>Y9*X$7</f>
        <v>72683.219776526166</v>
      </c>
      <c r="Y9" s="70">
        <f>Y$8*$N9*CMF</f>
        <v>1253.1589616642443</v>
      </c>
      <c r="Z9" s="18">
        <f>+Y9/Y$8</f>
        <v>0.9737054869186047</v>
      </c>
      <c r="AA9" s="26"/>
      <c r="AB9" s="70">
        <f>+X9+T9+P9</f>
        <v>154868.83139989097</v>
      </c>
      <c r="AC9" s="70">
        <f>AB9/AB$7</f>
        <v>1155.7375477603805</v>
      </c>
      <c r="AD9" s="18">
        <f>+AC9/AC$8</f>
        <v>0.97366263501295747</v>
      </c>
      <c r="AE9" s="26"/>
      <c r="AF9" s="71"/>
      <c r="AG9" s="72" t="s">
        <v>77</v>
      </c>
      <c r="AH9" s="15" t="s">
        <v>81</v>
      </c>
      <c r="AI9" s="16">
        <f t="shared" ref="AI9:AI23" si="1">AJ9/$AJ$48</f>
        <v>1.1703917230550144E-2</v>
      </c>
      <c r="AJ9" s="17">
        <f>+AB9</f>
        <v>154868.83139989097</v>
      </c>
      <c r="AK9" s="17">
        <f t="shared" ref="AK9:AK48" si="2">+AJ9/AK$7</f>
        <v>1155.7375477603805</v>
      </c>
      <c r="AL9" s="18">
        <f>+AJ9/AL$7</f>
        <v>0.97366263501295736</v>
      </c>
    </row>
    <row r="10" spans="1:38" s="15" customFormat="1">
      <c r="A10" s="24" t="s">
        <v>207</v>
      </c>
      <c r="B10" s="15" t="s">
        <v>206</v>
      </c>
      <c r="C10" s="68"/>
      <c r="D10" s="16"/>
      <c r="E10" s="69"/>
      <c r="F10" s="69"/>
      <c r="G10" s="69"/>
      <c r="H10" s="69"/>
      <c r="I10" s="69"/>
      <c r="J10" s="69"/>
      <c r="K10" s="69"/>
      <c r="L10" s="26"/>
      <c r="M10" s="26"/>
      <c r="N10" s="19"/>
      <c r="O10" s="19"/>
      <c r="P10" s="48">
        <f>Q10*P$7</f>
        <v>2907.7891791044776</v>
      </c>
      <c r="Q10" s="48">
        <f>((68000+9450+28000+8000+2000)/134)*CMF</f>
        <v>969.26305970149247</v>
      </c>
      <c r="R10" s="19">
        <f>+Q10/Q$8</f>
        <v>0.80906766252211393</v>
      </c>
      <c r="S10" s="26"/>
      <c r="T10" s="48">
        <f>U10*T$7</f>
        <v>70756.20335820895</v>
      </c>
      <c r="U10" s="48">
        <f>((68000+9450+28000+8000+2000)/134)*CMF</f>
        <v>969.26305970149247</v>
      </c>
      <c r="V10" s="19">
        <f>+U10/U$8</f>
        <v>0.87557638636087842</v>
      </c>
      <c r="W10" s="26"/>
      <c r="X10" s="48">
        <f>Y10*X$7</f>
        <v>56217.257462686561</v>
      </c>
      <c r="Y10" s="48">
        <f>((68000+9450+28000+8000+2000)/134)*CMF</f>
        <v>969.26305970149247</v>
      </c>
      <c r="Z10" s="19">
        <f>+Y10/Y$8</f>
        <v>0.75311815050621012</v>
      </c>
      <c r="AA10" s="26"/>
      <c r="AB10" s="48">
        <f t="shared" ref="AB10:AB77" si="3">+X10+T10+P10</f>
        <v>129881.24999999999</v>
      </c>
      <c r="AC10" s="49">
        <f>+AB10/AB$7</f>
        <v>969.26305970149247</v>
      </c>
      <c r="AD10" s="19">
        <f>+AC10/AC$8</f>
        <v>0.81656534094481248</v>
      </c>
      <c r="AE10" s="26"/>
      <c r="AF10" s="71"/>
      <c r="AG10" s="72" t="s">
        <v>78</v>
      </c>
      <c r="AH10" s="15" t="s">
        <v>213</v>
      </c>
      <c r="AI10" s="16">
        <f t="shared" si="1"/>
        <v>9.8155283155411024E-3</v>
      </c>
      <c r="AJ10" s="17">
        <f>+AB10</f>
        <v>129881.24999999999</v>
      </c>
      <c r="AK10" s="17">
        <f t="shared" si="2"/>
        <v>969.26305970149247</v>
      </c>
      <c r="AL10" s="19">
        <f>+AJ10/AL$7</f>
        <v>0.81656534094481248</v>
      </c>
    </row>
    <row r="11" spans="1:38" s="15" customFormat="1">
      <c r="A11" s="24" t="s">
        <v>152</v>
      </c>
      <c r="B11" s="15" t="s">
        <v>147</v>
      </c>
      <c r="C11" s="68"/>
      <c r="D11" s="16">
        <f>L11/$L$88</f>
        <v>2.6186716265435722E-3</v>
      </c>
      <c r="E11" s="69" t="s">
        <v>195</v>
      </c>
      <c r="F11" s="69" t="s">
        <v>195</v>
      </c>
      <c r="G11" s="69" t="s">
        <v>195</v>
      </c>
      <c r="H11" s="69" t="s">
        <v>195</v>
      </c>
      <c r="I11" s="69" t="s">
        <v>195</v>
      </c>
      <c r="J11" s="69" t="s">
        <v>195</v>
      </c>
      <c r="K11" s="69" t="s">
        <v>195</v>
      </c>
      <c r="L11" s="26">
        <f t="shared" si="0"/>
        <v>1841</v>
      </c>
      <c r="M11" s="26">
        <f>263/2</f>
        <v>131.5</v>
      </c>
      <c r="N11" s="19">
        <f t="shared" ref="N11:N77" si="4">M11/1376</f>
        <v>9.5566860465116282E-2</v>
      </c>
      <c r="O11" s="19"/>
      <c r="P11" s="48">
        <f>Q11*P$7</f>
        <v>386.40070857558146</v>
      </c>
      <c r="Q11" s="48">
        <f>Q$8*$N11*CMF</f>
        <v>128.80023619186048</v>
      </c>
      <c r="R11" s="19">
        <f t="shared" ref="R11:R77" si="5">+Q11/Q$8</f>
        <v>0.10751271802325582</v>
      </c>
      <c r="S11" s="26"/>
      <c r="T11" s="48">
        <f>U11*T$7</f>
        <v>8688.2102561773263</v>
      </c>
      <c r="U11" s="48">
        <f>U$8*$N11*CMF</f>
        <v>119.01657885174419</v>
      </c>
      <c r="V11" s="19">
        <f t="shared" ref="V11:V77" si="6">+U11/U$8</f>
        <v>0.10751271802325581</v>
      </c>
      <c r="W11" s="26"/>
      <c r="X11" s="48">
        <f>Y11*X$7</f>
        <v>8025.3943495639533</v>
      </c>
      <c r="Y11" s="48">
        <f>Y$8*$N11*CMF</f>
        <v>138.36886809593022</v>
      </c>
      <c r="Z11" s="19">
        <f t="shared" ref="Z11:Z77" si="7">+Y11/Y$8</f>
        <v>0.10751271802325581</v>
      </c>
      <c r="AA11" s="26"/>
      <c r="AB11" s="48">
        <f t="shared" si="3"/>
        <v>17100.005314316859</v>
      </c>
      <c r="AC11" s="49">
        <f>+AB11/AB$7</f>
        <v>127.6119799575885</v>
      </c>
      <c r="AD11" s="19">
        <f>+AC11/AC$8</f>
        <v>0.10750798648491028</v>
      </c>
      <c r="AE11" s="26"/>
      <c r="AF11" s="71"/>
      <c r="AG11" s="72" t="s">
        <v>79</v>
      </c>
      <c r="AH11" s="15" t="s">
        <v>82</v>
      </c>
      <c r="AI11" s="16">
        <f t="shared" si="1"/>
        <v>0</v>
      </c>
      <c r="AJ11" s="17">
        <v>0</v>
      </c>
      <c r="AK11" s="17">
        <f t="shared" si="2"/>
        <v>0</v>
      </c>
      <c r="AL11" s="19">
        <f t="shared" ref="AL11:AL48" si="8">+AJ11/AL$7</f>
        <v>0</v>
      </c>
    </row>
    <row r="12" spans="1:38" s="15" customFormat="1">
      <c r="A12" s="24" t="s">
        <v>151</v>
      </c>
      <c r="B12" s="15" t="s">
        <v>148</v>
      </c>
      <c r="C12" s="68"/>
      <c r="D12" s="16">
        <f>L12/$L$88</f>
        <v>1.7424621089168256E-3</v>
      </c>
      <c r="E12" s="69"/>
      <c r="F12" s="69"/>
      <c r="G12" s="69"/>
      <c r="H12" s="69"/>
      <c r="I12" s="69"/>
      <c r="J12" s="69"/>
      <c r="K12" s="69"/>
      <c r="L12" s="26">
        <f t="shared" si="0"/>
        <v>1225</v>
      </c>
      <c r="M12" s="26">
        <f>175/2</f>
        <v>87.5</v>
      </c>
      <c r="N12" s="19">
        <f t="shared" si="4"/>
        <v>6.3590116279069769E-2</v>
      </c>
      <c r="O12" s="19"/>
      <c r="P12" s="48">
        <f>Q12*P$7</f>
        <v>295.3125</v>
      </c>
      <c r="Q12" s="48">
        <f>+$M12*CMF</f>
        <v>98.4375</v>
      </c>
      <c r="R12" s="19">
        <f t="shared" si="5"/>
        <v>8.2168196994991657E-2</v>
      </c>
      <c r="S12" s="26"/>
      <c r="T12" s="48">
        <f>U12*T$7</f>
        <v>7185.9375</v>
      </c>
      <c r="U12" s="48">
        <f>+$M12*CMF</f>
        <v>98.4375</v>
      </c>
      <c r="V12" s="19">
        <f t="shared" si="6"/>
        <v>8.8922764227642281E-2</v>
      </c>
      <c r="W12" s="26"/>
      <c r="X12" s="48">
        <f>Y12*X$7</f>
        <v>5709.375</v>
      </c>
      <c r="Y12" s="48">
        <f>+$M12*CMF</f>
        <v>98.4375</v>
      </c>
      <c r="Z12" s="19">
        <f t="shared" si="7"/>
        <v>7.6486013986013984E-2</v>
      </c>
      <c r="AA12" s="26"/>
      <c r="AB12" s="48">
        <f t="shared" si="3"/>
        <v>13190.625</v>
      </c>
      <c r="AC12" s="49">
        <f>+AB12/AB$7</f>
        <v>98.4375</v>
      </c>
      <c r="AD12" s="19">
        <f>+AC12/AC$8</f>
        <v>8.2929654591406915E-2</v>
      </c>
      <c r="AE12" s="26"/>
      <c r="AF12" s="71"/>
      <c r="AG12" s="72" t="s">
        <v>80</v>
      </c>
      <c r="AH12" s="15" t="s">
        <v>83</v>
      </c>
      <c r="AI12" s="16">
        <f t="shared" si="1"/>
        <v>1.5825196811490402E-2</v>
      </c>
      <c r="AJ12" s="17">
        <f>AB12+AB13</f>
        <v>209402.5178571429</v>
      </c>
      <c r="AK12" s="17">
        <f t="shared" si="2"/>
        <v>1562.7053571428576</v>
      </c>
      <c r="AL12" s="19">
        <f t="shared" si="8"/>
        <v>1.3165167288482371</v>
      </c>
    </row>
    <row r="13" spans="1:38" s="15" customFormat="1">
      <c r="A13" s="24" t="s">
        <v>151</v>
      </c>
      <c r="B13" s="15" t="s">
        <v>149</v>
      </c>
      <c r="C13" s="68"/>
      <c r="D13" s="16">
        <f>L13/$L$88</f>
        <v>2.5919301672393792E-2</v>
      </c>
      <c r="E13" s="69" t="s">
        <v>195</v>
      </c>
      <c r="F13" s="69" t="s">
        <v>195</v>
      </c>
      <c r="G13" s="69" t="s">
        <v>195</v>
      </c>
      <c r="H13" s="69" t="s">
        <v>195</v>
      </c>
      <c r="I13" s="69" t="s">
        <v>195</v>
      </c>
      <c r="J13" s="69" t="s">
        <v>195</v>
      </c>
      <c r="K13" s="69" t="s">
        <v>195</v>
      </c>
      <c r="L13" s="26">
        <f t="shared" si="0"/>
        <v>18222</v>
      </c>
      <c r="M13" s="26">
        <f>(6797+11425)/14</f>
        <v>1301.5714285714287</v>
      </c>
      <c r="N13" s="19">
        <f t="shared" si="4"/>
        <v>0.94590946843853829</v>
      </c>
      <c r="O13" s="19"/>
      <c r="P13" s="48">
        <f>Q13*P$7</f>
        <v>4392.8035714285725</v>
      </c>
      <c r="Q13" s="48">
        <f>+$M13*CMF</f>
        <v>1464.2678571428573</v>
      </c>
      <c r="R13" s="19">
        <f t="shared" si="5"/>
        <v>1.2222603148103985</v>
      </c>
      <c r="S13" s="26"/>
      <c r="T13" s="48">
        <f>U13*T$7</f>
        <v>106891.55357142858</v>
      </c>
      <c r="U13" s="48">
        <f>+$M13*CMF</f>
        <v>1464.2678571428573</v>
      </c>
      <c r="V13" s="19">
        <f t="shared" si="6"/>
        <v>1.3227351916376309</v>
      </c>
      <c r="W13" s="26"/>
      <c r="X13" s="48">
        <f>Y13*X$7</f>
        <v>84927.535714285725</v>
      </c>
      <c r="Y13" s="48">
        <f>+$M13*CMF</f>
        <v>1464.2678571428573</v>
      </c>
      <c r="Z13" s="19">
        <f t="shared" si="7"/>
        <v>1.1377372627372628</v>
      </c>
      <c r="AA13" s="26"/>
      <c r="AB13" s="48">
        <f t="shared" si="3"/>
        <v>196211.8928571429</v>
      </c>
      <c r="AC13" s="49">
        <f>+AB13/AB$7</f>
        <v>1464.2678571428576</v>
      </c>
      <c r="AD13" s="19">
        <f>+AC13/AC$8</f>
        <v>1.2335870742568302</v>
      </c>
      <c r="AE13" s="26"/>
      <c r="AF13" s="71"/>
      <c r="AG13" s="72" t="s">
        <v>92</v>
      </c>
      <c r="AH13" s="15" t="s">
        <v>84</v>
      </c>
      <c r="AI13" s="16">
        <f t="shared" si="1"/>
        <v>9.7115279256581616E-2</v>
      </c>
      <c r="AJ13" s="17">
        <f>+AB15</f>
        <v>1285050.9375</v>
      </c>
      <c r="AK13" s="17">
        <f t="shared" si="2"/>
        <v>9589.9323694029845</v>
      </c>
      <c r="AL13" s="19">
        <f t="shared" si="8"/>
        <v>8.079134262344553</v>
      </c>
    </row>
    <row r="14" spans="1:38" s="15" customFormat="1">
      <c r="A14" s="24"/>
      <c r="B14" s="30" t="s">
        <v>6</v>
      </c>
      <c r="C14" s="68"/>
      <c r="E14" s="69"/>
      <c r="F14" s="69"/>
      <c r="G14" s="69"/>
      <c r="H14" s="69"/>
      <c r="I14" s="69"/>
      <c r="J14" s="69"/>
      <c r="K14" s="69"/>
      <c r="L14" s="26"/>
      <c r="M14" s="26"/>
      <c r="N14" s="19"/>
      <c r="O14" s="19"/>
      <c r="P14" s="48"/>
      <c r="Q14" s="48"/>
      <c r="R14" s="19"/>
      <c r="S14" s="26"/>
      <c r="T14" s="48"/>
      <c r="U14" s="48"/>
      <c r="V14" s="19"/>
      <c r="W14" s="26"/>
      <c r="X14" s="48"/>
      <c r="Y14" s="48"/>
      <c r="Z14" s="19"/>
      <c r="AA14" s="26"/>
      <c r="AB14" s="48"/>
      <c r="AC14" s="49"/>
      <c r="AD14" s="19"/>
      <c r="AE14" s="26"/>
      <c r="AF14" s="71"/>
      <c r="AG14" s="72" t="s">
        <v>93</v>
      </c>
      <c r="AH14" s="15" t="s">
        <v>85</v>
      </c>
      <c r="AI14" s="16">
        <f t="shared" si="1"/>
        <v>4.9502910288267116E-2</v>
      </c>
      <c r="AJ14" s="17">
        <f>+AB19+AB20</f>
        <v>655033.5</v>
      </c>
      <c r="AK14" s="17">
        <f t="shared" si="2"/>
        <v>4888.309701492537</v>
      </c>
      <c r="AL14" s="19">
        <f t="shared" si="8"/>
        <v>4.1182053087552966</v>
      </c>
    </row>
    <row r="15" spans="1:38" s="15" customFormat="1">
      <c r="A15" s="24" t="s">
        <v>162</v>
      </c>
      <c r="B15" s="15" t="s">
        <v>7</v>
      </c>
      <c r="C15" s="68"/>
      <c r="D15" s="16">
        <f>L15/$L$88</f>
        <v>2.887508637633597E-3</v>
      </c>
      <c r="E15" s="69" t="s">
        <v>195</v>
      </c>
      <c r="F15" s="69" t="s">
        <v>195</v>
      </c>
      <c r="G15" s="69" t="s">
        <v>195</v>
      </c>
      <c r="H15" s="69" t="s">
        <v>195</v>
      </c>
      <c r="I15" s="69" t="s">
        <v>195</v>
      </c>
      <c r="J15" s="69" t="s">
        <v>195</v>
      </c>
      <c r="K15" s="69" t="s">
        <v>195</v>
      </c>
      <c r="L15" s="26">
        <f t="shared" si="0"/>
        <v>2030</v>
      </c>
      <c r="M15" s="26">
        <f>290/2</f>
        <v>145</v>
      </c>
      <c r="N15" s="19">
        <f t="shared" si="4"/>
        <v>0.10537790697674419</v>
      </c>
      <c r="O15" s="19"/>
      <c r="P15" s="48">
        <f>Q15*P$7</f>
        <v>28679.0625</v>
      </c>
      <c r="Q15" s="48">
        <f>5.5*R8*CMF</f>
        <v>9559.6875</v>
      </c>
      <c r="R15" s="19">
        <f t="shared" si="5"/>
        <v>7.9797057595993319</v>
      </c>
      <c r="S15" s="26"/>
      <c r="T15" s="48">
        <f>U15*T$7</f>
        <v>700115.625</v>
      </c>
      <c r="U15" s="48">
        <f>5.5*1550*CMF</f>
        <v>9590.625</v>
      </c>
      <c r="V15" s="19">
        <f t="shared" si="6"/>
        <v>8.6636178861788622</v>
      </c>
      <c r="W15" s="26"/>
      <c r="X15" s="48">
        <f>Y15*X$7</f>
        <v>556256.25</v>
      </c>
      <c r="Y15" s="48">
        <f>5.5*1550*CMF</f>
        <v>9590.625</v>
      </c>
      <c r="Z15" s="19">
        <f t="shared" si="7"/>
        <v>7.4519230769230766</v>
      </c>
      <c r="AA15" s="26"/>
      <c r="AB15" s="48">
        <f t="shared" si="3"/>
        <v>1285050.9375</v>
      </c>
      <c r="AC15" s="49">
        <f>+AB15/AB$7</f>
        <v>9589.9323694029845</v>
      </c>
      <c r="AD15" s="19">
        <f>+AC15/AC$8</f>
        <v>8.079134262344553</v>
      </c>
      <c r="AE15" s="26"/>
      <c r="AF15" s="71"/>
      <c r="AG15" s="72" t="s">
        <v>94</v>
      </c>
      <c r="AH15" s="15" t="s">
        <v>90</v>
      </c>
      <c r="AI15" s="16">
        <f t="shared" si="1"/>
        <v>0.1627604005656198</v>
      </c>
      <c r="AJ15" s="17">
        <f>SUM(AB23:AB25)+SUM(AB28:AB32)+AB35</f>
        <v>2153681.7577605899</v>
      </c>
      <c r="AK15" s="17">
        <f t="shared" si="2"/>
        <v>16072.251923586493</v>
      </c>
      <c r="AL15" s="19">
        <f t="shared" si="8"/>
        <v>13.540229084740094</v>
      </c>
    </row>
    <row r="16" spans="1:38" s="15" customFormat="1">
      <c r="A16" s="24" t="s">
        <v>162</v>
      </c>
      <c r="B16" s="15" t="s">
        <v>8</v>
      </c>
      <c r="C16" s="68"/>
      <c r="D16" s="16">
        <f>L16/$L$88</f>
        <v>2.5937793107019033E-2</v>
      </c>
      <c r="E16" s="69" t="s">
        <v>195</v>
      </c>
      <c r="F16" s="69" t="s">
        <v>195</v>
      </c>
      <c r="G16" s="69" t="s">
        <v>195</v>
      </c>
      <c r="H16" s="69" t="s">
        <v>195</v>
      </c>
      <c r="I16" s="69" t="s">
        <v>195</v>
      </c>
      <c r="J16" s="69" t="s">
        <v>195</v>
      </c>
      <c r="K16" s="69" t="s">
        <v>195</v>
      </c>
      <c r="L16" s="26">
        <f t="shared" si="0"/>
        <v>18235</v>
      </c>
      <c r="M16" s="26">
        <f>2605/2</f>
        <v>1302.5</v>
      </c>
      <c r="N16" s="19">
        <f t="shared" si="4"/>
        <v>0.94658430232558144</v>
      </c>
      <c r="O16" s="19"/>
      <c r="P16" s="48"/>
      <c r="Q16" s="48"/>
      <c r="R16" s="19">
        <f t="shared" si="5"/>
        <v>0</v>
      </c>
      <c r="S16" s="26"/>
      <c r="T16" s="48"/>
      <c r="U16" s="48"/>
      <c r="V16" s="19">
        <f t="shared" si="6"/>
        <v>0</v>
      </c>
      <c r="W16" s="26"/>
      <c r="X16" s="48"/>
      <c r="Y16" s="48"/>
      <c r="Z16" s="19">
        <f t="shared" si="7"/>
        <v>0</v>
      </c>
      <c r="AA16" s="26"/>
      <c r="AB16" s="48">
        <f t="shared" si="3"/>
        <v>0</v>
      </c>
      <c r="AC16" s="49">
        <f>+AB16/AB$7</f>
        <v>0</v>
      </c>
      <c r="AD16" s="19">
        <f>+AC16/AC$8</f>
        <v>0</v>
      </c>
      <c r="AE16" s="26"/>
      <c r="AF16" s="71"/>
      <c r="AG16" s="72" t="s">
        <v>95</v>
      </c>
      <c r="AH16" s="15" t="s">
        <v>89</v>
      </c>
      <c r="AI16" s="16">
        <f t="shared" si="1"/>
        <v>8.0450661475673854E-3</v>
      </c>
      <c r="AJ16" s="17">
        <f>AB40+AB41</f>
        <v>106454.10149999999</v>
      </c>
      <c r="AK16" s="17">
        <f t="shared" si="2"/>
        <v>794.43359328358201</v>
      </c>
      <c r="AL16" s="19">
        <f t="shared" si="8"/>
        <v>0.66927851161211627</v>
      </c>
    </row>
    <row r="17" spans="1:38" s="15" customFormat="1">
      <c r="A17" s="24" t="s">
        <v>162</v>
      </c>
      <c r="B17" s="15" t="s">
        <v>9</v>
      </c>
      <c r="C17" s="68"/>
      <c r="D17" s="16">
        <f>L17/$L$88</f>
        <v>7.4955741462433501E-2</v>
      </c>
      <c r="E17" s="69" t="s">
        <v>195</v>
      </c>
      <c r="F17" s="69" t="s">
        <v>195</v>
      </c>
      <c r="G17" s="69" t="s">
        <v>195</v>
      </c>
      <c r="H17" s="69" t="s">
        <v>195</v>
      </c>
      <c r="I17" s="69" t="s">
        <v>195</v>
      </c>
      <c r="J17" s="69" t="s">
        <v>195</v>
      </c>
      <c r="K17" s="69" t="s">
        <v>195</v>
      </c>
      <c r="L17" s="26">
        <f t="shared" si="0"/>
        <v>52696</v>
      </c>
      <c r="M17" s="26">
        <f>7528/2</f>
        <v>3764</v>
      </c>
      <c r="N17" s="19">
        <f t="shared" si="4"/>
        <v>2.73546511627907</v>
      </c>
      <c r="O17" s="19"/>
      <c r="P17" s="48"/>
      <c r="Q17" s="48"/>
      <c r="R17" s="19">
        <f t="shared" si="5"/>
        <v>0</v>
      </c>
      <c r="S17" s="26"/>
      <c r="T17" s="48"/>
      <c r="U17" s="48"/>
      <c r="V17" s="19">
        <f t="shared" si="6"/>
        <v>0</v>
      </c>
      <c r="W17" s="26"/>
      <c r="X17" s="48"/>
      <c r="Y17" s="48"/>
      <c r="Z17" s="19">
        <f t="shared" si="7"/>
        <v>0</v>
      </c>
      <c r="AA17" s="26"/>
      <c r="AB17" s="48">
        <f t="shared" si="3"/>
        <v>0</v>
      </c>
      <c r="AC17" s="49">
        <f>+AB17/AB$7</f>
        <v>0</v>
      </c>
      <c r="AD17" s="19">
        <f>+AC17/AC$8</f>
        <v>0</v>
      </c>
      <c r="AE17" s="26"/>
      <c r="AF17" s="71"/>
      <c r="AG17" s="72" t="s">
        <v>96</v>
      </c>
      <c r="AH17" s="15" t="s">
        <v>91</v>
      </c>
      <c r="AI17" s="16">
        <f t="shared" si="1"/>
        <v>1.667706246294437E-2</v>
      </c>
      <c r="AJ17" s="17">
        <f>AB26+AB33</f>
        <v>220674.5932957849</v>
      </c>
      <c r="AK17" s="17">
        <f t="shared" si="2"/>
        <v>1646.8253231028723</v>
      </c>
      <c r="AL17" s="19">
        <f t="shared" si="8"/>
        <v>1.3873844339535573</v>
      </c>
    </row>
    <row r="18" spans="1:38" s="15" customFormat="1">
      <c r="A18" s="24"/>
      <c r="B18" s="30" t="s">
        <v>10</v>
      </c>
      <c r="C18" s="68"/>
      <c r="E18" s="69"/>
      <c r="F18" s="69"/>
      <c r="G18" s="69"/>
      <c r="H18" s="69"/>
      <c r="I18" s="69"/>
      <c r="J18" s="69"/>
      <c r="K18" s="69"/>
      <c r="L18" s="26">
        <f t="shared" si="0"/>
        <v>0</v>
      </c>
      <c r="M18" s="26"/>
      <c r="N18" s="19">
        <f t="shared" si="4"/>
        <v>0</v>
      </c>
      <c r="O18" s="19"/>
      <c r="P18" s="48"/>
      <c r="Q18" s="48"/>
      <c r="R18" s="19"/>
      <c r="S18" s="26"/>
      <c r="T18" s="48"/>
      <c r="U18" s="48"/>
      <c r="V18" s="19"/>
      <c r="W18" s="26"/>
      <c r="X18" s="48"/>
      <c r="Y18" s="48"/>
      <c r="Z18" s="19"/>
      <c r="AA18" s="26"/>
      <c r="AB18" s="48"/>
      <c r="AC18" s="49"/>
      <c r="AD18" s="19"/>
      <c r="AE18" s="26"/>
      <c r="AF18" s="71"/>
      <c r="AG18" s="72" t="s">
        <v>97</v>
      </c>
      <c r="AH18" s="15" t="s">
        <v>86</v>
      </c>
      <c r="AI18" s="16">
        <f t="shared" si="1"/>
        <v>6.7344131474578678E-3</v>
      </c>
      <c r="AJ18" s="17">
        <f>+AB34</f>
        <v>89111.25</v>
      </c>
      <c r="AK18" s="17">
        <f t="shared" si="2"/>
        <v>665.0093283582089</v>
      </c>
      <c r="AL18" s="19">
        <f t="shared" si="8"/>
        <v>0.56024374756378181</v>
      </c>
    </row>
    <row r="19" spans="1:38" s="15" customFormat="1">
      <c r="A19" s="24" t="s">
        <v>163</v>
      </c>
      <c r="B19" s="15" t="s">
        <v>11</v>
      </c>
      <c r="C19" s="68">
        <v>0.33300000000000002</v>
      </c>
      <c r="D19" s="16">
        <f>L19/$L$88</f>
        <v>4.5433454874214144E-2</v>
      </c>
      <c r="E19" s="69" t="s">
        <v>195</v>
      </c>
      <c r="F19" s="69" t="s">
        <v>195</v>
      </c>
      <c r="G19" s="69" t="s">
        <v>195</v>
      </c>
      <c r="H19" s="69" t="s">
        <v>195</v>
      </c>
      <c r="I19" s="69" t="s">
        <v>195</v>
      </c>
      <c r="J19" s="69" t="s">
        <v>195</v>
      </c>
      <c r="K19" s="69" t="s">
        <v>195</v>
      </c>
      <c r="L19" s="26">
        <f t="shared" si="0"/>
        <v>31941</v>
      </c>
      <c r="M19" s="26">
        <f>4563/2</f>
        <v>2281.5</v>
      </c>
      <c r="N19" s="19">
        <f t="shared" si="4"/>
        <v>1.6580668604651163</v>
      </c>
      <c r="O19" s="19"/>
      <c r="P19" s="48">
        <f t="shared" ref="P19:P79" si="9">Q19*P$7</f>
        <v>6849.5625</v>
      </c>
      <c r="Q19" s="48">
        <f>(13500+300-1500)/2*0.33*CMF</f>
        <v>2283.1875</v>
      </c>
      <c r="R19" s="19">
        <f t="shared" si="5"/>
        <v>1.9058326377295491</v>
      </c>
      <c r="S19" s="26"/>
      <c r="T19" s="48">
        <f t="shared" ref="T19:T79" si="10">U19*T$7</f>
        <v>172092.9375</v>
      </c>
      <c r="U19" s="48">
        <f>(13500+300-1100)/2*0.33*CMF</f>
        <v>2357.4375</v>
      </c>
      <c r="V19" s="19">
        <f t="shared" si="6"/>
        <v>2.1295731707317072</v>
      </c>
      <c r="W19" s="26"/>
      <c r="X19" s="48">
        <f t="shared" ref="X19:X79" si="11">Y19*X$7</f>
        <v>148574.25</v>
      </c>
      <c r="Y19" s="48">
        <f>(13500+300)/2*0.33*CMF</f>
        <v>2561.625</v>
      </c>
      <c r="Z19" s="19">
        <f t="shared" si="7"/>
        <v>1.9903846153846154</v>
      </c>
      <c r="AA19" s="26"/>
      <c r="AB19" s="48">
        <f t="shared" si="3"/>
        <v>327516.75</v>
      </c>
      <c r="AC19" s="49">
        <f>+AB19/AB$7</f>
        <v>2444.1548507462685</v>
      </c>
      <c r="AD19" s="19">
        <f>+AC19/AC$8</f>
        <v>2.0591026543776483</v>
      </c>
      <c r="AE19" s="26"/>
      <c r="AF19" s="71"/>
      <c r="AG19" s="72" t="s">
        <v>98</v>
      </c>
      <c r="AH19" s="15" t="s">
        <v>87</v>
      </c>
      <c r="AI19" s="16">
        <f t="shared" si="1"/>
        <v>1.1153618687298798E-2</v>
      </c>
      <c r="AJ19" s="17">
        <f>+AB62</f>
        <v>147587.15889353197</v>
      </c>
      <c r="AK19" s="17">
        <f t="shared" si="2"/>
        <v>1101.3967081606863</v>
      </c>
      <c r="AL19" s="19">
        <f t="shared" si="8"/>
        <v>0.92788265219939881</v>
      </c>
    </row>
    <row r="20" spans="1:38" s="15" customFormat="1" ht="12.75" thickBot="1">
      <c r="A20" s="24" t="s">
        <v>164</v>
      </c>
      <c r="B20" s="15" t="s">
        <v>12</v>
      </c>
      <c r="C20" s="68">
        <v>0.33300000000000002</v>
      </c>
      <c r="D20" s="16">
        <f>L20/$L$88</f>
        <v>4.5433454874214144E-2</v>
      </c>
      <c r="E20" s="69" t="s">
        <v>195</v>
      </c>
      <c r="F20" s="69" t="s">
        <v>195</v>
      </c>
      <c r="G20" s="69" t="s">
        <v>195</v>
      </c>
      <c r="H20" s="69" t="s">
        <v>195</v>
      </c>
      <c r="I20" s="69" t="s">
        <v>195</v>
      </c>
      <c r="J20" s="69" t="s">
        <v>195</v>
      </c>
      <c r="K20" s="69" t="s">
        <v>195</v>
      </c>
      <c r="L20" s="26">
        <f t="shared" si="0"/>
        <v>31941</v>
      </c>
      <c r="M20" s="26">
        <f>4563/2</f>
        <v>2281.5</v>
      </c>
      <c r="N20" s="19">
        <f t="shared" si="4"/>
        <v>1.6580668604651163</v>
      </c>
      <c r="O20" s="19"/>
      <c r="P20" s="48">
        <f t="shared" si="9"/>
        <v>6849.5625</v>
      </c>
      <c r="Q20" s="48">
        <f>(13500+300-1500)/2*0.33*CMF</f>
        <v>2283.1875</v>
      </c>
      <c r="R20" s="19">
        <f t="shared" si="5"/>
        <v>1.9058326377295491</v>
      </c>
      <c r="S20" s="26"/>
      <c r="T20" s="48">
        <f t="shared" si="10"/>
        <v>172092.9375</v>
      </c>
      <c r="U20" s="48">
        <f>(13500+300-1100)/2*0.33*CMF</f>
        <v>2357.4375</v>
      </c>
      <c r="V20" s="19">
        <f t="shared" si="6"/>
        <v>2.1295731707317072</v>
      </c>
      <c r="W20" s="26"/>
      <c r="X20" s="48">
        <f t="shared" si="11"/>
        <v>148574.25</v>
      </c>
      <c r="Y20" s="48">
        <f>(13500+300)/2*0.33*CMF</f>
        <v>2561.625</v>
      </c>
      <c r="Z20" s="19">
        <f t="shared" si="7"/>
        <v>1.9903846153846154</v>
      </c>
      <c r="AA20" s="26"/>
      <c r="AB20" s="48">
        <f t="shared" si="3"/>
        <v>327516.75</v>
      </c>
      <c r="AC20" s="49">
        <f>+AB20/AB$7</f>
        <v>2444.1548507462685</v>
      </c>
      <c r="AD20" s="19">
        <f>+AC20/AC$8</f>
        <v>2.0591026543776483</v>
      </c>
      <c r="AE20" s="26"/>
      <c r="AF20" s="71"/>
      <c r="AG20" s="72" t="s">
        <v>99</v>
      </c>
      <c r="AH20" s="20" t="s">
        <v>88</v>
      </c>
      <c r="AI20" s="16">
        <f t="shared" si="1"/>
        <v>1.7675964928121436E-2</v>
      </c>
      <c r="AJ20" s="17">
        <f>AB43+AB44</f>
        <v>233892.29250000004</v>
      </c>
      <c r="AK20" s="17">
        <f t="shared" si="2"/>
        <v>1745.4648694029854</v>
      </c>
      <c r="AL20" s="19">
        <f t="shared" si="8"/>
        <v>1.4704843044675531</v>
      </c>
    </row>
    <row r="21" spans="1:38" s="15" customFormat="1" ht="12.75" thickBot="1">
      <c r="A21" s="24" t="s">
        <v>164</v>
      </c>
      <c r="B21" s="15" t="s">
        <v>13</v>
      </c>
      <c r="C21" s="68">
        <v>0.33300000000000002</v>
      </c>
      <c r="D21" s="16">
        <f>L21/$L$88</f>
        <v>4.5433454874214144E-2</v>
      </c>
      <c r="E21" s="69" t="s">
        <v>195</v>
      </c>
      <c r="F21" s="69" t="s">
        <v>195</v>
      </c>
      <c r="G21" s="73"/>
      <c r="H21" s="69" t="s">
        <v>195</v>
      </c>
      <c r="I21" s="69" t="s">
        <v>195</v>
      </c>
      <c r="J21" s="73"/>
      <c r="K21" s="74" t="s">
        <v>195</v>
      </c>
      <c r="L21" s="26">
        <f t="shared" si="0"/>
        <v>31941</v>
      </c>
      <c r="M21" s="26">
        <f>4563/2</f>
        <v>2281.5</v>
      </c>
      <c r="N21" s="19">
        <f t="shared" si="4"/>
        <v>1.6580668604651163</v>
      </c>
      <c r="O21" s="19"/>
      <c r="P21" s="48">
        <f t="shared" si="9"/>
        <v>6849.5625</v>
      </c>
      <c r="Q21" s="48">
        <f>(13500+300-1500)/2*0.33*CMF</f>
        <v>2283.1875</v>
      </c>
      <c r="R21" s="19">
        <f t="shared" si="5"/>
        <v>1.9058326377295491</v>
      </c>
      <c r="S21" s="26"/>
      <c r="T21" s="48">
        <f t="shared" si="10"/>
        <v>172092.9375</v>
      </c>
      <c r="U21" s="48">
        <f>(13500+300-1100)/2*0.33*CMF</f>
        <v>2357.4375</v>
      </c>
      <c r="V21" s="19">
        <f t="shared" si="6"/>
        <v>2.1295731707317072</v>
      </c>
      <c r="W21" s="26"/>
      <c r="X21" s="48">
        <f t="shared" si="11"/>
        <v>148574.25</v>
      </c>
      <c r="Y21" s="48">
        <f>(13500+300)/2*0.33*CMF</f>
        <v>2561.625</v>
      </c>
      <c r="Z21" s="19">
        <f t="shared" si="7"/>
        <v>1.9903846153846154</v>
      </c>
      <c r="AA21" s="26"/>
      <c r="AB21" s="48">
        <f t="shared" si="3"/>
        <v>327516.75</v>
      </c>
      <c r="AC21" s="49">
        <f>+AB21/AB$7</f>
        <v>2444.1548507462685</v>
      </c>
      <c r="AD21" s="19">
        <f>+AC21/AC$8</f>
        <v>2.0591026543776483</v>
      </c>
      <c r="AE21" s="26"/>
      <c r="AF21" s="71"/>
      <c r="AG21" s="72" t="s">
        <v>100</v>
      </c>
      <c r="AH21" s="15" t="s">
        <v>128</v>
      </c>
      <c r="AI21" s="16">
        <f t="shared" si="1"/>
        <v>1.3522473747207692E-2</v>
      </c>
      <c r="AJ21" s="17">
        <f>AB50</f>
        <v>178932.375</v>
      </c>
      <c r="AK21" s="17">
        <f t="shared" si="2"/>
        <v>1335.3162313432836</v>
      </c>
      <c r="AL21" s="19">
        <f t="shared" si="8"/>
        <v>1.1249504897584528</v>
      </c>
    </row>
    <row r="22" spans="1:38" s="15" customFormat="1">
      <c r="A22" s="24"/>
      <c r="B22" s="30" t="s">
        <v>14</v>
      </c>
      <c r="C22" s="68"/>
      <c r="E22" s="69"/>
      <c r="F22" s="69"/>
      <c r="G22" s="69"/>
      <c r="H22" s="69"/>
      <c r="I22" s="69"/>
      <c r="J22" s="69"/>
      <c r="K22" s="69"/>
      <c r="L22" s="26"/>
      <c r="M22" s="26"/>
      <c r="N22" s="19">
        <f t="shared" si="4"/>
        <v>0</v>
      </c>
      <c r="O22" s="19"/>
      <c r="P22" s="48"/>
      <c r="Q22" s="48"/>
      <c r="R22" s="19"/>
      <c r="S22" s="26"/>
      <c r="T22" s="48"/>
      <c r="U22" s="48"/>
      <c r="V22" s="19"/>
      <c r="W22" s="26"/>
      <c r="X22" s="48"/>
      <c r="Y22" s="48"/>
      <c r="Z22" s="19"/>
      <c r="AA22" s="26"/>
      <c r="AB22" s="48"/>
      <c r="AC22" s="49"/>
      <c r="AD22" s="19"/>
      <c r="AE22" s="26"/>
      <c r="AF22" s="71"/>
      <c r="AG22" s="72" t="s">
        <v>101</v>
      </c>
      <c r="AH22" s="15" t="s">
        <v>129</v>
      </c>
      <c r="AI22" s="16">
        <f t="shared" si="1"/>
        <v>1.3522473747207692E-2</v>
      </c>
      <c r="AJ22" s="17">
        <f>AB51</f>
        <v>178932.375</v>
      </c>
      <c r="AK22" s="17">
        <f t="shared" si="2"/>
        <v>1335.3162313432836</v>
      </c>
      <c r="AL22" s="19">
        <f t="shared" si="8"/>
        <v>1.1249504897584528</v>
      </c>
    </row>
    <row r="23" spans="1:38" s="15" customFormat="1">
      <c r="A23" s="24" t="s">
        <v>165</v>
      </c>
      <c r="B23" s="15" t="s">
        <v>15</v>
      </c>
      <c r="C23" s="68">
        <v>0.15</v>
      </c>
      <c r="D23" s="16">
        <f>L23/$L$88</f>
        <v>1.4487327819851322E-2</v>
      </c>
      <c r="E23" s="69" t="s">
        <v>195</v>
      </c>
      <c r="F23" s="69" t="s">
        <v>195</v>
      </c>
      <c r="G23" s="69" t="s">
        <v>195</v>
      </c>
      <c r="H23" s="69" t="s">
        <v>195</v>
      </c>
      <c r="I23" s="69" t="s">
        <v>195</v>
      </c>
      <c r="J23" s="69" t="s">
        <v>195</v>
      </c>
      <c r="K23" s="69" t="s">
        <v>195</v>
      </c>
      <c r="L23" s="26">
        <f t="shared" si="0"/>
        <v>10185</v>
      </c>
      <c r="M23" s="26">
        <f>1455/2</f>
        <v>727.5</v>
      </c>
      <c r="N23" s="19">
        <f t="shared" si="4"/>
        <v>0.52870639534883723</v>
      </c>
      <c r="O23" s="19"/>
      <c r="P23" s="48">
        <f t="shared" si="9"/>
        <v>2137.6921329941861</v>
      </c>
      <c r="Q23" s="48">
        <f>Q$8*$N23*CMF</f>
        <v>712.56404433139528</v>
      </c>
      <c r="R23" s="19">
        <f t="shared" si="5"/>
        <v>0.59479469476744184</v>
      </c>
      <c r="S23" s="26"/>
      <c r="T23" s="48">
        <f t="shared" si="10"/>
        <v>48065.954078851748</v>
      </c>
      <c r="U23" s="48">
        <f>U$8*$N23*CMF</f>
        <v>658.4377271075582</v>
      </c>
      <c r="V23" s="19">
        <f t="shared" si="6"/>
        <v>0.59479469476744196</v>
      </c>
      <c r="W23" s="26"/>
      <c r="X23" s="48">
        <f t="shared" si="11"/>
        <v>44399.044785610466</v>
      </c>
      <c r="Y23" s="48">
        <f>Y$8*$N23*CMF</f>
        <v>765.50077216569764</v>
      </c>
      <c r="Z23" s="19">
        <f t="shared" si="7"/>
        <v>0.59479469476744184</v>
      </c>
      <c r="AA23" s="26"/>
      <c r="AB23" s="48">
        <f t="shared" si="3"/>
        <v>94602.690997456404</v>
      </c>
      <c r="AC23" s="49">
        <f>+AB23/AB$7</f>
        <v>705.99023132430148</v>
      </c>
      <c r="AD23" s="19">
        <f>+AC23/AC$8</f>
        <v>0.59476851838610068</v>
      </c>
      <c r="AE23" s="26"/>
      <c r="AF23" s="71"/>
      <c r="AG23" s="72" t="s">
        <v>102</v>
      </c>
      <c r="AH23" s="15" t="s">
        <v>130</v>
      </c>
      <c r="AI23" s="16">
        <f t="shared" si="1"/>
        <v>1.1494102685126538E-2</v>
      </c>
      <c r="AJ23" s="23">
        <f>AB52</f>
        <v>152092.51874999999</v>
      </c>
      <c r="AK23" s="17">
        <f t="shared" si="2"/>
        <v>1135.0187966417909</v>
      </c>
      <c r="AL23" s="19">
        <f t="shared" si="8"/>
        <v>0.95620791629468493</v>
      </c>
    </row>
    <row r="24" spans="1:38" s="15" customFormat="1">
      <c r="A24" s="24" t="s">
        <v>165</v>
      </c>
      <c r="B24" s="15" t="s">
        <v>16</v>
      </c>
      <c r="C24" s="68">
        <v>0.25</v>
      </c>
      <c r="D24" s="16">
        <f>L24/$L$88</f>
        <v>2.4145546366418868E-2</v>
      </c>
      <c r="E24" s="69" t="s">
        <v>195</v>
      </c>
      <c r="F24" s="69" t="s">
        <v>195</v>
      </c>
      <c r="G24" s="69" t="s">
        <v>195</v>
      </c>
      <c r="H24" s="69" t="s">
        <v>195</v>
      </c>
      <c r="I24" s="69" t="s">
        <v>195</v>
      </c>
      <c r="J24" s="69" t="s">
        <v>195</v>
      </c>
      <c r="K24" s="69" t="s">
        <v>195</v>
      </c>
      <c r="L24" s="26">
        <f t="shared" si="0"/>
        <v>16975</v>
      </c>
      <c r="M24" s="26">
        <f>2425/2</f>
        <v>1212.5</v>
      </c>
      <c r="N24" s="19">
        <f t="shared" si="4"/>
        <v>0.88117732558139539</v>
      </c>
      <c r="O24" s="19"/>
      <c r="P24" s="48">
        <f t="shared" si="9"/>
        <v>3562.8202216569771</v>
      </c>
      <c r="Q24" s="48">
        <f t="shared" ref="Q24:Q33" si="12">Q$8*$N24*CMF</f>
        <v>1187.6067405523256</v>
      </c>
      <c r="R24" s="19">
        <f t="shared" si="5"/>
        <v>0.99132449127906985</v>
      </c>
      <c r="S24" s="26"/>
      <c r="T24" s="48">
        <f t="shared" si="10"/>
        <v>80109.923464752908</v>
      </c>
      <c r="U24" s="48">
        <f t="shared" ref="U24:U33" si="13">U$8*$N24*CMF</f>
        <v>1097.3962118459303</v>
      </c>
      <c r="V24" s="19">
        <f t="shared" si="6"/>
        <v>0.99132449127906985</v>
      </c>
      <c r="W24" s="26"/>
      <c r="X24" s="48">
        <f t="shared" si="11"/>
        <v>73998.40797601745</v>
      </c>
      <c r="Y24" s="48">
        <f t="shared" ref="Y24:Y33" si="14">Y$8*$N24*CMF</f>
        <v>1275.8346202761629</v>
      </c>
      <c r="Z24" s="19">
        <f t="shared" si="7"/>
        <v>0.99132449127906985</v>
      </c>
      <c r="AA24" s="26"/>
      <c r="AB24" s="48">
        <f t="shared" si="3"/>
        <v>157671.15166242735</v>
      </c>
      <c r="AC24" s="49">
        <f>+AB24/AB$7</f>
        <v>1176.6503855405026</v>
      </c>
      <c r="AD24" s="19">
        <f>+AC24/AC$8</f>
        <v>0.99128086397683457</v>
      </c>
      <c r="AE24" s="26"/>
      <c r="AF24" s="71"/>
      <c r="AG24" s="72" t="s">
        <v>103</v>
      </c>
      <c r="AH24" s="15" t="s">
        <v>131</v>
      </c>
      <c r="AI24" s="15" t="s">
        <v>142</v>
      </c>
      <c r="AJ24" s="17"/>
      <c r="AK24" s="17">
        <f t="shared" si="2"/>
        <v>0</v>
      </c>
      <c r="AL24" s="19">
        <f t="shared" si="8"/>
        <v>0</v>
      </c>
    </row>
    <row r="25" spans="1:38" s="15" customFormat="1">
      <c r="A25" s="24" t="s">
        <v>165</v>
      </c>
      <c r="B25" s="15" t="s">
        <v>17</v>
      </c>
      <c r="C25" s="68">
        <v>0.25</v>
      </c>
      <c r="D25" s="16">
        <f>L25/$L$88</f>
        <v>2.4145546366418868E-2</v>
      </c>
      <c r="E25" s="69" t="s">
        <v>195</v>
      </c>
      <c r="F25" s="69" t="s">
        <v>195</v>
      </c>
      <c r="G25" s="69" t="s">
        <v>195</v>
      </c>
      <c r="H25" s="69" t="s">
        <v>195</v>
      </c>
      <c r="I25" s="69" t="s">
        <v>195</v>
      </c>
      <c r="J25" s="69" t="s">
        <v>195</v>
      </c>
      <c r="K25" s="69" t="s">
        <v>195</v>
      </c>
      <c r="L25" s="26">
        <f t="shared" si="0"/>
        <v>16975</v>
      </c>
      <c r="M25" s="26">
        <f>2425/2</f>
        <v>1212.5</v>
      </c>
      <c r="N25" s="19">
        <f t="shared" si="4"/>
        <v>0.88117732558139539</v>
      </c>
      <c r="O25" s="19"/>
      <c r="P25" s="48">
        <f t="shared" si="9"/>
        <v>3562.8202216569771</v>
      </c>
      <c r="Q25" s="48">
        <f t="shared" si="12"/>
        <v>1187.6067405523256</v>
      </c>
      <c r="R25" s="19">
        <f t="shared" si="5"/>
        <v>0.99132449127906985</v>
      </c>
      <c r="S25" s="26"/>
      <c r="T25" s="48">
        <f t="shared" si="10"/>
        <v>80109.923464752908</v>
      </c>
      <c r="U25" s="48">
        <f t="shared" si="13"/>
        <v>1097.3962118459303</v>
      </c>
      <c r="V25" s="19">
        <f t="shared" si="6"/>
        <v>0.99132449127906985</v>
      </c>
      <c r="W25" s="26"/>
      <c r="X25" s="48">
        <f t="shared" si="11"/>
        <v>73998.40797601745</v>
      </c>
      <c r="Y25" s="48">
        <f t="shared" si="14"/>
        <v>1275.8346202761629</v>
      </c>
      <c r="Z25" s="19">
        <f t="shared" si="7"/>
        <v>0.99132449127906985</v>
      </c>
      <c r="AA25" s="26"/>
      <c r="AB25" s="48">
        <f t="shared" si="3"/>
        <v>157671.15166242735</v>
      </c>
      <c r="AC25" s="49">
        <f>+AB25/AB$7</f>
        <v>1176.6503855405026</v>
      </c>
      <c r="AD25" s="19">
        <f>+AC25/AC$8</f>
        <v>0.99128086397683457</v>
      </c>
      <c r="AE25" s="26"/>
      <c r="AF25" s="71"/>
      <c r="AG25" s="72" t="s">
        <v>104</v>
      </c>
      <c r="AH25" s="15" t="s">
        <v>132</v>
      </c>
      <c r="AI25" s="16">
        <f t="shared" ref="AI25:AI47" si="15">AJ25/$AJ$48</f>
        <v>2.4751455144133558E-2</v>
      </c>
      <c r="AJ25" s="17">
        <f>+AB21</f>
        <v>327516.75</v>
      </c>
      <c r="AK25" s="17">
        <f t="shared" si="2"/>
        <v>2444.1548507462685</v>
      </c>
      <c r="AL25" s="19">
        <f t="shared" si="8"/>
        <v>2.0591026543776483</v>
      </c>
    </row>
    <row r="26" spans="1:38" s="15" customFormat="1">
      <c r="A26" s="24" t="s">
        <v>166</v>
      </c>
      <c r="B26" s="15" t="s">
        <v>18</v>
      </c>
      <c r="C26" s="68">
        <v>0.35</v>
      </c>
      <c r="D26" s="16">
        <f>L26/$L$88</f>
        <v>3.379380798664975E-2</v>
      </c>
      <c r="E26" s="69" t="s">
        <v>195</v>
      </c>
      <c r="F26" s="69" t="s">
        <v>195</v>
      </c>
      <c r="G26" s="69" t="s">
        <v>195</v>
      </c>
      <c r="H26" s="69" t="s">
        <v>195</v>
      </c>
      <c r="I26" s="69" t="s">
        <v>195</v>
      </c>
      <c r="J26" s="69" t="s">
        <v>195</v>
      </c>
      <c r="K26" s="69" t="s">
        <v>195</v>
      </c>
      <c r="L26" s="26">
        <f t="shared" si="0"/>
        <v>23758</v>
      </c>
      <c r="M26" s="26">
        <f>3394/2</f>
        <v>1697</v>
      </c>
      <c r="N26" s="19">
        <f t="shared" si="4"/>
        <v>1.2332848837209303</v>
      </c>
      <c r="O26" s="19"/>
      <c r="P26" s="48">
        <f t="shared" si="9"/>
        <v>4986.4791061046508</v>
      </c>
      <c r="Q26" s="48">
        <f t="shared" si="12"/>
        <v>1662.1597020348836</v>
      </c>
      <c r="R26" s="19">
        <f t="shared" si="5"/>
        <v>1.3874454941860463</v>
      </c>
      <c r="S26" s="26"/>
      <c r="T26" s="48">
        <f t="shared" si="10"/>
        <v>112120.85783066862</v>
      </c>
      <c r="U26" s="48">
        <f t="shared" si="13"/>
        <v>1535.9021620639537</v>
      </c>
      <c r="V26" s="19">
        <f t="shared" si="6"/>
        <v>1.3874454941860468</v>
      </c>
      <c r="W26" s="26"/>
      <c r="X26" s="48">
        <f t="shared" si="11"/>
        <v>103567.25635901163</v>
      </c>
      <c r="Y26" s="48">
        <f t="shared" si="14"/>
        <v>1785.642351017442</v>
      </c>
      <c r="Z26" s="19">
        <f t="shared" si="7"/>
        <v>1.3874454941860466</v>
      </c>
      <c r="AA26" s="26"/>
      <c r="AB26" s="48">
        <f t="shared" si="3"/>
        <v>220674.5932957849</v>
      </c>
      <c r="AC26" s="49">
        <f>+AB26/AB$7</f>
        <v>1646.8253231028723</v>
      </c>
      <c r="AD26" s="19">
        <f>+AC26/AC$8</f>
        <v>1.387384433953557</v>
      </c>
      <c r="AE26" s="26"/>
      <c r="AF26" s="71"/>
      <c r="AG26" s="72" t="s">
        <v>105</v>
      </c>
      <c r="AH26" s="15" t="s">
        <v>141</v>
      </c>
      <c r="AI26" s="16">
        <f t="shared" si="15"/>
        <v>4.6994658089349025E-3</v>
      </c>
      <c r="AJ26" s="15">
        <f>+AB37+AB38</f>
        <v>62184.375</v>
      </c>
      <c r="AK26" s="17">
        <f t="shared" si="2"/>
        <v>464.0625</v>
      </c>
      <c r="AL26" s="19">
        <f t="shared" si="8"/>
        <v>0.39095408593091829</v>
      </c>
    </row>
    <row r="27" spans="1:38" s="15" customFormat="1">
      <c r="A27" s="24"/>
      <c r="B27" s="30" t="s">
        <v>19</v>
      </c>
      <c r="C27" s="68"/>
      <c r="E27" s="75"/>
      <c r="F27" s="75"/>
      <c r="G27" s="75"/>
      <c r="H27" s="75"/>
      <c r="I27" s="75"/>
      <c r="J27" s="75"/>
      <c r="K27" s="75"/>
      <c r="L27" s="26"/>
      <c r="M27" s="26"/>
      <c r="N27" s="19"/>
      <c r="O27" s="19"/>
      <c r="P27" s="48"/>
      <c r="Q27" s="76"/>
      <c r="R27" s="19"/>
      <c r="S27" s="26"/>
      <c r="T27" s="48"/>
      <c r="U27" s="48"/>
      <c r="V27" s="19"/>
      <c r="W27" s="26"/>
      <c r="X27" s="48"/>
      <c r="Y27" s="48"/>
      <c r="Z27" s="19"/>
      <c r="AA27" s="26"/>
      <c r="AB27" s="48"/>
      <c r="AC27" s="49"/>
      <c r="AD27" s="19"/>
      <c r="AE27" s="26"/>
      <c r="AF27" s="71"/>
      <c r="AG27" s="72" t="s">
        <v>106</v>
      </c>
      <c r="AH27" s="15" t="s">
        <v>133</v>
      </c>
      <c r="AI27" s="16">
        <f t="shared" si="15"/>
        <v>0</v>
      </c>
      <c r="AJ27" s="17">
        <v>0</v>
      </c>
      <c r="AK27" s="17">
        <f t="shared" si="2"/>
        <v>0</v>
      </c>
      <c r="AL27" s="19">
        <f t="shared" si="8"/>
        <v>0</v>
      </c>
    </row>
    <row r="28" spans="1:38" s="15" customFormat="1">
      <c r="A28" s="24" t="s">
        <v>165</v>
      </c>
      <c r="B28" s="15" t="s">
        <v>68</v>
      </c>
      <c r="C28" s="68"/>
      <c r="D28" s="16">
        <f t="shared" ref="D28:D35" si="16">L28/$L$88</f>
        <v>6.4909202788735923E-2</v>
      </c>
      <c r="E28" s="69" t="s">
        <v>195</v>
      </c>
      <c r="F28" s="69" t="s">
        <v>195</v>
      </c>
      <c r="G28" s="69" t="s">
        <v>195</v>
      </c>
      <c r="H28" s="69" t="s">
        <v>195</v>
      </c>
      <c r="I28" s="69" t="s">
        <v>195</v>
      </c>
      <c r="J28" s="69" t="s">
        <v>195</v>
      </c>
      <c r="K28" s="69" t="s">
        <v>195</v>
      </c>
      <c r="L28" s="26">
        <f t="shared" si="0"/>
        <v>45633</v>
      </c>
      <c r="M28" s="77">
        <f>(2975+(24808/7))/2</f>
        <v>3259.5</v>
      </c>
      <c r="N28" s="19">
        <f t="shared" si="4"/>
        <v>2.3688226744186047</v>
      </c>
      <c r="O28" s="19"/>
      <c r="P28" s="48">
        <f t="shared" si="9"/>
        <v>9577.7422783430229</v>
      </c>
      <c r="Q28" s="48">
        <f t="shared" si="12"/>
        <v>3192.5807594476746</v>
      </c>
      <c r="R28" s="19">
        <f t="shared" si="5"/>
        <v>2.6649255087209305</v>
      </c>
      <c r="S28" s="26"/>
      <c r="T28" s="48">
        <f t="shared" si="10"/>
        <v>215355.29528524712</v>
      </c>
      <c r="U28" s="48">
        <f t="shared" si="13"/>
        <v>2950.0725381540701</v>
      </c>
      <c r="V28" s="19">
        <f t="shared" si="6"/>
        <v>2.6649255087209305</v>
      </c>
      <c r="W28" s="26"/>
      <c r="X28" s="48">
        <f t="shared" si="11"/>
        <v>198926.02952398255</v>
      </c>
      <c r="Y28" s="48">
        <f t="shared" si="14"/>
        <v>3429.7591297238373</v>
      </c>
      <c r="Z28" s="19">
        <f t="shared" si="7"/>
        <v>2.6649255087209305</v>
      </c>
      <c r="AA28" s="26"/>
      <c r="AB28" s="48">
        <f t="shared" si="3"/>
        <v>423859.06708757271</v>
      </c>
      <c r="AC28" s="49">
        <f t="shared" ref="AC28:AC35" si="17">+AB28/AB$7</f>
        <v>3163.1273663251695</v>
      </c>
      <c r="AD28" s="19">
        <f t="shared" ref="AD28:AD35" si="18">+AC28/AC$8</f>
        <v>2.664808227738138</v>
      </c>
      <c r="AE28" s="26"/>
      <c r="AF28" s="71"/>
      <c r="AG28" s="72" t="s">
        <v>107</v>
      </c>
      <c r="AH28" s="15" t="s">
        <v>134</v>
      </c>
      <c r="AI28" s="16">
        <f t="shared" si="15"/>
        <v>4.859147633943927E-2</v>
      </c>
      <c r="AJ28" s="17">
        <f>+AB54+AB55</f>
        <v>642973.20362463663</v>
      </c>
      <c r="AK28" s="17">
        <f t="shared" si="2"/>
        <v>4798.3074897360939</v>
      </c>
      <c r="AL28" s="19">
        <f t="shared" si="8"/>
        <v>4.0423820469554288</v>
      </c>
    </row>
    <row r="29" spans="1:38" s="15" customFormat="1">
      <c r="A29" s="24" t="s">
        <v>165</v>
      </c>
      <c r="B29" s="15" t="s">
        <v>201</v>
      </c>
      <c r="C29" s="68"/>
      <c r="D29" s="16">
        <f t="shared" si="16"/>
        <v>5.8226682798783881E-2</v>
      </c>
      <c r="E29" s="69" t="s">
        <v>195</v>
      </c>
      <c r="F29" s="69" t="s">
        <v>195</v>
      </c>
      <c r="G29" s="69" t="s">
        <v>195</v>
      </c>
      <c r="H29" s="69" t="s">
        <v>195</v>
      </c>
      <c r="I29" s="69" t="s">
        <v>195</v>
      </c>
      <c r="J29" s="69" t="s">
        <v>195</v>
      </c>
      <c r="K29" s="69" t="s">
        <v>195</v>
      </c>
      <c r="L29" s="26">
        <f t="shared" si="0"/>
        <v>40935</v>
      </c>
      <c r="M29" s="77">
        <f>(2465+(23680/7))/2</f>
        <v>2923.9285714285716</v>
      </c>
      <c r="N29" s="19">
        <f t="shared" si="4"/>
        <v>2.1249480897009967</v>
      </c>
      <c r="O29" s="19"/>
      <c r="P29" s="48">
        <f t="shared" si="9"/>
        <v>8591.6963636835535</v>
      </c>
      <c r="Q29" s="48">
        <f t="shared" si="12"/>
        <v>2863.8987878945181</v>
      </c>
      <c r="R29" s="19">
        <f t="shared" si="5"/>
        <v>2.3905666009136213</v>
      </c>
      <c r="S29" s="26"/>
      <c r="T29" s="48">
        <f t="shared" si="10"/>
        <v>193184.07758643065</v>
      </c>
      <c r="U29" s="48">
        <f t="shared" si="13"/>
        <v>2646.3572272113788</v>
      </c>
      <c r="V29" s="19">
        <f t="shared" si="6"/>
        <v>2.3905666009136213</v>
      </c>
      <c r="W29" s="26"/>
      <c r="X29" s="48">
        <f t="shared" si="11"/>
        <v>178446.23449179818</v>
      </c>
      <c r="Y29" s="48">
        <f t="shared" si="14"/>
        <v>3076.6592153758306</v>
      </c>
      <c r="Z29" s="19">
        <f t="shared" si="7"/>
        <v>2.3905666009136213</v>
      </c>
      <c r="AA29" s="26"/>
      <c r="AB29" s="48">
        <f t="shared" si="3"/>
        <v>380222.00844191236</v>
      </c>
      <c r="AC29" s="49">
        <f t="shared" si="17"/>
        <v>2837.4776749396447</v>
      </c>
      <c r="AD29" s="19">
        <f t="shared" si="18"/>
        <v>2.3904613942204254</v>
      </c>
      <c r="AE29" s="26"/>
      <c r="AF29" s="71"/>
      <c r="AG29" s="72" t="s">
        <v>108</v>
      </c>
      <c r="AH29" s="15" t="s">
        <v>146</v>
      </c>
      <c r="AI29" s="16">
        <f t="shared" si="15"/>
        <v>2.5171793791393435E-2</v>
      </c>
      <c r="AJ29" s="17">
        <f>+AB56+SUM(AB58:AB60)+AB72</f>
        <v>333078.76430777617</v>
      </c>
      <c r="AK29" s="17">
        <f t="shared" si="2"/>
        <v>2485.6624202072849</v>
      </c>
      <c r="AL29" s="19">
        <f t="shared" si="8"/>
        <v>2.0940711206464067</v>
      </c>
    </row>
    <row r="30" spans="1:38" s="15" customFormat="1">
      <c r="A30" s="24" t="s">
        <v>165</v>
      </c>
      <c r="B30" s="15" t="s">
        <v>20</v>
      </c>
      <c r="C30" s="68"/>
      <c r="D30" s="16">
        <f t="shared" si="16"/>
        <v>0.13193923088718204</v>
      </c>
      <c r="E30" s="69" t="s">
        <v>195</v>
      </c>
      <c r="F30" s="69" t="s">
        <v>195</v>
      </c>
      <c r="G30" s="69" t="s">
        <v>195</v>
      </c>
      <c r="H30" s="69" t="s">
        <v>195</v>
      </c>
      <c r="I30" s="69" t="s">
        <v>195</v>
      </c>
      <c r="J30" s="69" t="s">
        <v>195</v>
      </c>
      <c r="K30" s="69" t="s">
        <v>195</v>
      </c>
      <c r="L30" s="26">
        <f t="shared" si="0"/>
        <v>92757</v>
      </c>
      <c r="M30" s="77">
        <f>13251/2</f>
        <v>6625.5</v>
      </c>
      <c r="N30" s="19">
        <f t="shared" si="4"/>
        <v>4.8150436046511631</v>
      </c>
      <c r="O30" s="19"/>
      <c r="P30" s="48">
        <f t="shared" si="9"/>
        <v>19468.425054505817</v>
      </c>
      <c r="Q30" s="48">
        <f t="shared" si="12"/>
        <v>6489.4750181686049</v>
      </c>
      <c r="R30" s="19">
        <f t="shared" si="5"/>
        <v>5.4169240552325588</v>
      </c>
      <c r="S30" s="26"/>
      <c r="T30" s="48">
        <f t="shared" si="10"/>
        <v>437747.04982739832</v>
      </c>
      <c r="U30" s="48">
        <f t="shared" si="13"/>
        <v>5996.5349291424427</v>
      </c>
      <c r="V30" s="19">
        <f t="shared" si="6"/>
        <v>5.4169240552325588</v>
      </c>
      <c r="W30" s="26"/>
      <c r="X30" s="48">
        <f t="shared" si="11"/>
        <v>404351.71302688954</v>
      </c>
      <c r="Y30" s="48">
        <f t="shared" si="14"/>
        <v>6971.5812590843025</v>
      </c>
      <c r="Z30" s="19">
        <f t="shared" si="7"/>
        <v>5.4169240552325579</v>
      </c>
      <c r="AA30" s="26"/>
      <c r="AB30" s="48">
        <f t="shared" si="3"/>
        <v>861567.18790879368</v>
      </c>
      <c r="AC30" s="49">
        <f t="shared" si="17"/>
        <v>6429.6058799163711</v>
      </c>
      <c r="AD30" s="19">
        <f t="shared" si="18"/>
        <v>5.4166856612606331</v>
      </c>
      <c r="AE30" s="26"/>
      <c r="AF30" s="71"/>
      <c r="AG30" s="72" t="s">
        <v>109</v>
      </c>
      <c r="AH30" s="15" t="s">
        <v>135</v>
      </c>
      <c r="AI30" s="16">
        <f t="shared" si="15"/>
        <v>1.9367495455004446E-2</v>
      </c>
      <c r="AJ30" s="17">
        <f>AB66+AB67</f>
        <v>256275</v>
      </c>
      <c r="AK30" s="17">
        <f t="shared" si="2"/>
        <v>1912.5</v>
      </c>
      <c r="AL30" s="19">
        <f t="shared" si="8"/>
        <v>1.6112047177759057</v>
      </c>
    </row>
    <row r="31" spans="1:38" s="15" customFormat="1">
      <c r="A31" s="24" t="s">
        <v>165</v>
      </c>
      <c r="B31" s="15" t="s">
        <v>21</v>
      </c>
      <c r="C31" s="68"/>
      <c r="D31" s="16">
        <f t="shared" si="16"/>
        <v>0</v>
      </c>
      <c r="E31" s="69" t="s">
        <v>195</v>
      </c>
      <c r="F31" s="69" t="s">
        <v>195</v>
      </c>
      <c r="G31" s="69" t="s">
        <v>195</v>
      </c>
      <c r="H31" s="69" t="s">
        <v>195</v>
      </c>
      <c r="I31" s="69" t="s">
        <v>195</v>
      </c>
      <c r="J31" s="69" t="s">
        <v>195</v>
      </c>
      <c r="K31" s="69" t="s">
        <v>195</v>
      </c>
      <c r="L31" s="26">
        <f t="shared" si="0"/>
        <v>0</v>
      </c>
      <c r="M31" s="26"/>
      <c r="N31" s="19">
        <f t="shared" si="4"/>
        <v>0</v>
      </c>
      <c r="O31" s="19"/>
      <c r="P31" s="48">
        <f t="shared" si="9"/>
        <v>0</v>
      </c>
      <c r="Q31" s="48">
        <f t="shared" si="12"/>
        <v>0</v>
      </c>
      <c r="R31" s="19">
        <f t="shared" si="5"/>
        <v>0</v>
      </c>
      <c r="S31" s="26"/>
      <c r="T31" s="48">
        <f t="shared" si="10"/>
        <v>0</v>
      </c>
      <c r="U31" s="48">
        <f t="shared" si="13"/>
        <v>0</v>
      </c>
      <c r="V31" s="19">
        <f t="shared" si="6"/>
        <v>0</v>
      </c>
      <c r="W31" s="26"/>
      <c r="X31" s="48">
        <f t="shared" si="11"/>
        <v>0</v>
      </c>
      <c r="Y31" s="48">
        <f t="shared" si="14"/>
        <v>0</v>
      </c>
      <c r="Z31" s="19">
        <f t="shared" si="7"/>
        <v>0</v>
      </c>
      <c r="AA31" s="26"/>
      <c r="AB31" s="48">
        <f t="shared" si="3"/>
        <v>0</v>
      </c>
      <c r="AC31" s="49">
        <f t="shared" si="17"/>
        <v>0</v>
      </c>
      <c r="AD31" s="19">
        <f t="shared" si="18"/>
        <v>0</v>
      </c>
      <c r="AE31" s="26"/>
      <c r="AF31" s="71"/>
      <c r="AG31" s="72" t="s">
        <v>110</v>
      </c>
      <c r="AH31" s="15" t="s">
        <v>136</v>
      </c>
      <c r="AI31" s="16">
        <f t="shared" si="15"/>
        <v>0</v>
      </c>
      <c r="AJ31" s="17">
        <v>0</v>
      </c>
      <c r="AK31" s="17">
        <f t="shared" si="2"/>
        <v>0</v>
      </c>
      <c r="AL31" s="19">
        <f t="shared" si="8"/>
        <v>0</v>
      </c>
    </row>
    <row r="32" spans="1:38" s="15" customFormat="1">
      <c r="A32" s="24" t="s">
        <v>165</v>
      </c>
      <c r="B32" s="15" t="s">
        <v>22</v>
      </c>
      <c r="C32" s="68"/>
      <c r="D32" s="16">
        <f t="shared" si="16"/>
        <v>0</v>
      </c>
      <c r="E32" s="69" t="s">
        <v>195</v>
      </c>
      <c r="F32" s="69" t="s">
        <v>195</v>
      </c>
      <c r="G32" s="69" t="s">
        <v>195</v>
      </c>
      <c r="H32" s="69" t="s">
        <v>195</v>
      </c>
      <c r="I32" s="69" t="s">
        <v>195</v>
      </c>
      <c r="J32" s="69" t="s">
        <v>195</v>
      </c>
      <c r="K32" s="69" t="s">
        <v>195</v>
      </c>
      <c r="L32" s="26">
        <f t="shared" si="0"/>
        <v>0</v>
      </c>
      <c r="M32" s="26"/>
      <c r="N32" s="19">
        <f t="shared" si="4"/>
        <v>0</v>
      </c>
      <c r="O32" s="19"/>
      <c r="P32" s="48">
        <f t="shared" si="9"/>
        <v>0</v>
      </c>
      <c r="Q32" s="48">
        <f t="shared" si="12"/>
        <v>0</v>
      </c>
      <c r="R32" s="19">
        <f t="shared" si="5"/>
        <v>0</v>
      </c>
      <c r="S32" s="26"/>
      <c r="T32" s="48">
        <f t="shared" si="10"/>
        <v>0</v>
      </c>
      <c r="U32" s="48">
        <f t="shared" si="13"/>
        <v>0</v>
      </c>
      <c r="V32" s="19">
        <f t="shared" si="6"/>
        <v>0</v>
      </c>
      <c r="W32" s="26"/>
      <c r="X32" s="48">
        <f t="shared" si="11"/>
        <v>0</v>
      </c>
      <c r="Y32" s="48">
        <f t="shared" si="14"/>
        <v>0</v>
      </c>
      <c r="Z32" s="19">
        <f t="shared" si="7"/>
        <v>0</v>
      </c>
      <c r="AA32" s="26"/>
      <c r="AB32" s="48">
        <f t="shared" si="3"/>
        <v>0</v>
      </c>
      <c r="AC32" s="49">
        <f t="shared" si="17"/>
        <v>0</v>
      </c>
      <c r="AD32" s="19">
        <f t="shared" si="18"/>
        <v>0</v>
      </c>
      <c r="AE32" s="26"/>
      <c r="AF32" s="71"/>
      <c r="AG32" s="72" t="s">
        <v>111</v>
      </c>
      <c r="AH32" s="15" t="s">
        <v>137</v>
      </c>
      <c r="AI32" s="16">
        <f t="shared" si="15"/>
        <v>1.1438607938137051E-2</v>
      </c>
      <c r="AJ32" s="17">
        <f>AB63+AB64</f>
        <v>151358.19993640989</v>
      </c>
      <c r="AK32" s="17">
        <f t="shared" si="2"/>
        <v>1129.5388054955961</v>
      </c>
      <c r="AL32" s="19">
        <f t="shared" si="8"/>
        <v>0.95159124304599507</v>
      </c>
    </row>
    <row r="33" spans="1:38" s="15" customFormat="1">
      <c r="A33" s="24" t="s">
        <v>166</v>
      </c>
      <c r="B33" s="15" t="s">
        <v>23</v>
      </c>
      <c r="C33" s="68"/>
      <c r="D33" s="16">
        <f t="shared" si="16"/>
        <v>0</v>
      </c>
      <c r="E33" s="69" t="s">
        <v>195</v>
      </c>
      <c r="F33" s="69" t="s">
        <v>195</v>
      </c>
      <c r="G33" s="69" t="s">
        <v>195</v>
      </c>
      <c r="H33" s="69" t="s">
        <v>195</v>
      </c>
      <c r="I33" s="69" t="s">
        <v>195</v>
      </c>
      <c r="J33" s="69" t="s">
        <v>195</v>
      </c>
      <c r="K33" s="69" t="s">
        <v>195</v>
      </c>
      <c r="L33" s="26">
        <f t="shared" si="0"/>
        <v>0</v>
      </c>
      <c r="N33" s="19">
        <f t="shared" si="4"/>
        <v>0</v>
      </c>
      <c r="O33" s="19"/>
      <c r="P33" s="48">
        <f t="shared" si="9"/>
        <v>0</v>
      </c>
      <c r="Q33" s="48">
        <f t="shared" si="12"/>
        <v>0</v>
      </c>
      <c r="R33" s="19">
        <f t="shared" si="5"/>
        <v>0</v>
      </c>
      <c r="T33" s="48">
        <f t="shared" si="10"/>
        <v>0</v>
      </c>
      <c r="U33" s="48">
        <f t="shared" si="13"/>
        <v>0</v>
      </c>
      <c r="V33" s="19">
        <f t="shared" si="6"/>
        <v>0</v>
      </c>
      <c r="W33" s="26"/>
      <c r="X33" s="48">
        <f t="shared" si="11"/>
        <v>0</v>
      </c>
      <c r="Y33" s="48">
        <f t="shared" si="14"/>
        <v>0</v>
      </c>
      <c r="Z33" s="19">
        <f t="shared" si="7"/>
        <v>0</v>
      </c>
      <c r="AA33" s="26"/>
      <c r="AB33" s="48">
        <f t="shared" si="3"/>
        <v>0</v>
      </c>
      <c r="AC33" s="49">
        <f t="shared" si="17"/>
        <v>0</v>
      </c>
      <c r="AD33" s="19">
        <f t="shared" si="18"/>
        <v>0</v>
      </c>
      <c r="AE33" s="26"/>
      <c r="AF33" s="71"/>
      <c r="AG33" s="72" t="s">
        <v>112</v>
      </c>
      <c r="AH33" s="15" t="s">
        <v>138</v>
      </c>
      <c r="AI33" s="16">
        <f t="shared" si="15"/>
        <v>0</v>
      </c>
      <c r="AJ33" s="17">
        <v>0</v>
      </c>
      <c r="AK33" s="17">
        <f t="shared" si="2"/>
        <v>0</v>
      </c>
      <c r="AL33" s="19">
        <f t="shared" si="8"/>
        <v>0</v>
      </c>
    </row>
    <row r="34" spans="1:38" s="15" customFormat="1">
      <c r="A34" s="24" t="s">
        <v>167</v>
      </c>
      <c r="B34" s="15" t="s">
        <v>24</v>
      </c>
      <c r="C34" s="68"/>
      <c r="D34" s="16">
        <f t="shared" si="16"/>
        <v>8.9014921449808125E-3</v>
      </c>
      <c r="E34" s="69" t="s">
        <v>195</v>
      </c>
      <c r="F34" s="69" t="s">
        <v>195</v>
      </c>
      <c r="G34" s="69" t="s">
        <v>195</v>
      </c>
      <c r="H34" s="69" t="s">
        <v>195</v>
      </c>
      <c r="I34" s="69" t="s">
        <v>195</v>
      </c>
      <c r="J34" s="69" t="s">
        <v>195</v>
      </c>
      <c r="K34" s="69" t="s">
        <v>195</v>
      </c>
      <c r="L34" s="26">
        <f t="shared" si="0"/>
        <v>6258</v>
      </c>
      <c r="M34" s="26">
        <f>894/2</f>
        <v>447</v>
      </c>
      <c r="N34" s="19">
        <f t="shared" si="4"/>
        <v>0.32485465116279072</v>
      </c>
      <c r="O34" s="19"/>
      <c r="P34" s="48">
        <f t="shared" si="9"/>
        <v>1046.25</v>
      </c>
      <c r="Q34" s="48">
        <f>(120+80+70+40)*CMF</f>
        <v>348.75</v>
      </c>
      <c r="R34" s="19">
        <f t="shared" si="5"/>
        <v>0.291110183639399</v>
      </c>
      <c r="S34" s="26"/>
      <c r="T34" s="48">
        <f t="shared" si="10"/>
        <v>44347.5</v>
      </c>
      <c r="U34" s="48">
        <f>(120+3*70+2*65+2*40)*CMF</f>
        <v>607.5</v>
      </c>
      <c r="V34" s="19">
        <f t="shared" si="6"/>
        <v>0.54878048780487809</v>
      </c>
      <c r="W34" s="26"/>
      <c r="X34" s="48">
        <f t="shared" si="11"/>
        <v>43717.5</v>
      </c>
      <c r="Y34" s="48">
        <f>(120+4*80+70+4*40)*CMF</f>
        <v>753.75</v>
      </c>
      <c r="Z34" s="19">
        <f t="shared" si="7"/>
        <v>0.58566433566433562</v>
      </c>
      <c r="AA34" s="26"/>
      <c r="AB34" s="48">
        <f t="shared" si="3"/>
        <v>89111.25</v>
      </c>
      <c r="AC34" s="49">
        <f t="shared" si="17"/>
        <v>665.0093283582089</v>
      </c>
      <c r="AD34" s="19">
        <f t="shared" si="18"/>
        <v>0.5602437475637817</v>
      </c>
      <c r="AE34" s="26"/>
      <c r="AF34" s="71"/>
      <c r="AG34" s="72" t="s">
        <v>113</v>
      </c>
      <c r="AH34" s="15" t="s">
        <v>50</v>
      </c>
      <c r="AI34" s="16">
        <f t="shared" si="15"/>
        <v>1.0253379946767061E-2</v>
      </c>
      <c r="AJ34" s="17">
        <f>+AB70</f>
        <v>135675</v>
      </c>
      <c r="AK34" s="17">
        <f t="shared" si="2"/>
        <v>1012.5</v>
      </c>
      <c r="AL34" s="19">
        <f t="shared" si="8"/>
        <v>0.85299073294018535</v>
      </c>
    </row>
    <row r="35" spans="1:38" s="15" customFormat="1">
      <c r="A35" s="24" t="s">
        <v>165</v>
      </c>
      <c r="B35" s="15" t="s">
        <v>25</v>
      </c>
      <c r="C35" s="68"/>
      <c r="D35" s="16">
        <f t="shared" si="16"/>
        <v>5.9741558020005451E-3</v>
      </c>
      <c r="E35" s="69" t="s">
        <v>195</v>
      </c>
      <c r="F35" s="69" t="s">
        <v>195</v>
      </c>
      <c r="G35" s="69" t="s">
        <v>195</v>
      </c>
      <c r="H35" s="69" t="s">
        <v>195</v>
      </c>
      <c r="I35" s="69" t="s">
        <v>195</v>
      </c>
      <c r="J35" s="69" t="s">
        <v>195</v>
      </c>
      <c r="K35" s="69" t="s">
        <v>195</v>
      </c>
      <c r="L35" s="26">
        <f t="shared" si="0"/>
        <v>4200</v>
      </c>
      <c r="M35" s="78">
        <f>600/2</f>
        <v>300</v>
      </c>
      <c r="N35" s="19">
        <f t="shared" si="4"/>
        <v>0.21802325581395349</v>
      </c>
      <c r="O35" s="19"/>
      <c r="P35" s="48">
        <f t="shared" si="9"/>
        <v>1748.25</v>
      </c>
      <c r="Q35" s="79">
        <f>((75+46+13)*2+180+70)*CMF</f>
        <v>582.75</v>
      </c>
      <c r="R35" s="19">
        <f t="shared" si="5"/>
        <v>0.48643572621035058</v>
      </c>
      <c r="S35" s="26"/>
      <c r="T35" s="48">
        <f t="shared" si="10"/>
        <v>42540.75</v>
      </c>
      <c r="U35" s="79">
        <f>((75+46+13)*2+180+70)*CMF</f>
        <v>582.75</v>
      </c>
      <c r="V35" s="19">
        <f t="shared" si="6"/>
        <v>0.52642276422764223</v>
      </c>
      <c r="W35" s="26"/>
      <c r="X35" s="48">
        <f t="shared" si="11"/>
        <v>33799.5</v>
      </c>
      <c r="Y35" s="79">
        <f>((75+46+13)*2+180+70)*CMF</f>
        <v>582.75</v>
      </c>
      <c r="Z35" s="19">
        <f t="shared" si="7"/>
        <v>0.45279720279720281</v>
      </c>
      <c r="AA35" s="26"/>
      <c r="AB35" s="48">
        <f t="shared" si="3"/>
        <v>78088.5</v>
      </c>
      <c r="AC35" s="49">
        <f t="shared" si="17"/>
        <v>582.75</v>
      </c>
      <c r="AD35" s="19">
        <f t="shared" si="18"/>
        <v>0.49094355518112892</v>
      </c>
      <c r="AE35" s="26"/>
      <c r="AF35" s="71"/>
      <c r="AG35" s="72" t="s">
        <v>114</v>
      </c>
      <c r="AH35" s="15" t="s">
        <v>139</v>
      </c>
      <c r="AI35" s="16">
        <f t="shared" si="15"/>
        <v>1.6497417971593382E-2</v>
      </c>
      <c r="AJ35" s="17">
        <f>+AB71</f>
        <v>218297.4975</v>
      </c>
      <c r="AK35" s="17">
        <f t="shared" si="2"/>
        <v>1629.0858022388059</v>
      </c>
      <c r="AL35" s="19">
        <f t="shared" si="8"/>
        <v>1.3724395975053125</v>
      </c>
    </row>
    <row r="36" spans="1:38" s="15" customFormat="1">
      <c r="A36" s="24"/>
      <c r="B36" s="30" t="s">
        <v>219</v>
      </c>
      <c r="C36" s="68"/>
      <c r="D36" s="16"/>
      <c r="E36" s="69"/>
      <c r="F36" s="69"/>
      <c r="G36" s="69"/>
      <c r="H36" s="69"/>
      <c r="I36" s="69"/>
      <c r="J36" s="69"/>
      <c r="K36" s="69"/>
      <c r="L36" s="26"/>
      <c r="M36" s="26"/>
      <c r="N36" s="19"/>
      <c r="O36" s="19"/>
      <c r="P36" s="48"/>
      <c r="Q36" s="76"/>
      <c r="R36" s="19"/>
      <c r="S36" s="26"/>
      <c r="T36" s="48"/>
      <c r="U36" s="48"/>
      <c r="V36" s="19"/>
      <c r="W36" s="26"/>
      <c r="X36" s="48"/>
      <c r="Y36" s="48"/>
      <c r="Z36" s="19"/>
      <c r="AA36" s="26"/>
      <c r="AB36" s="48"/>
      <c r="AC36" s="49"/>
      <c r="AD36" s="19"/>
      <c r="AE36" s="26"/>
      <c r="AF36" s="71"/>
      <c r="AG36" s="72" t="s">
        <v>115</v>
      </c>
      <c r="AH36" s="15" t="s">
        <v>140</v>
      </c>
      <c r="AI36" s="16">
        <f t="shared" si="15"/>
        <v>3.8450174800376473E-3</v>
      </c>
      <c r="AJ36" s="17">
        <f>SUM(AB73:AB76)</f>
        <v>50878.125</v>
      </c>
      <c r="AK36" s="17">
        <f t="shared" si="2"/>
        <v>379.6875</v>
      </c>
      <c r="AL36" s="19">
        <f t="shared" si="8"/>
        <v>0.31987152485256948</v>
      </c>
    </row>
    <row r="37" spans="1:38" s="15" customFormat="1">
      <c r="A37" s="24" t="s">
        <v>220</v>
      </c>
      <c r="B37" s="15" t="s">
        <v>27</v>
      </c>
      <c r="C37" s="68"/>
      <c r="D37" s="16"/>
      <c r="E37" s="69"/>
      <c r="F37" s="69"/>
      <c r="G37" s="69"/>
      <c r="H37" s="69"/>
      <c r="I37" s="69"/>
      <c r="J37" s="69"/>
      <c r="K37" s="69"/>
      <c r="L37" s="26">
        <v>0</v>
      </c>
      <c r="M37" s="26">
        <v>0</v>
      </c>
      <c r="N37" s="19"/>
      <c r="O37" s="19"/>
      <c r="P37" s="48">
        <f t="shared" si="9"/>
        <v>506.25</v>
      </c>
      <c r="Q37" s="48">
        <f>(28-3)*3*2*CMF</f>
        <v>168.75</v>
      </c>
      <c r="R37" s="19">
        <f t="shared" si="5"/>
        <v>0.14085976627712854</v>
      </c>
      <c r="S37" s="26"/>
      <c r="T37" s="48">
        <f t="shared" si="10"/>
        <v>12318.75</v>
      </c>
      <c r="U37" s="48">
        <f>(28-3)*3*2*CMF</f>
        <v>168.75</v>
      </c>
      <c r="V37" s="19">
        <f t="shared" si="6"/>
        <v>0.1524390243902439</v>
      </c>
      <c r="W37" s="26"/>
      <c r="X37" s="48">
        <f t="shared" si="11"/>
        <v>9787.5</v>
      </c>
      <c r="Y37" s="48">
        <f>(28-3)*3*2*CMF</f>
        <v>168.75</v>
      </c>
      <c r="Z37" s="19">
        <f t="shared" si="7"/>
        <v>0.13111888111888112</v>
      </c>
      <c r="AA37" s="26"/>
      <c r="AB37" s="48">
        <f>+X37+T37+P37</f>
        <v>22612.5</v>
      </c>
      <c r="AC37" s="49">
        <f>+AB37/AB$7</f>
        <v>168.75</v>
      </c>
      <c r="AD37" s="19">
        <f>+AC37/AC$8</f>
        <v>0.14216512215669755</v>
      </c>
      <c r="AE37" s="26"/>
      <c r="AF37" s="71"/>
      <c r="AG37" s="72" t="s">
        <v>116</v>
      </c>
      <c r="AH37" s="15" t="s">
        <v>48</v>
      </c>
      <c r="AI37" s="16">
        <f t="shared" si="15"/>
        <v>6.9760161235457386E-3</v>
      </c>
      <c r="AJ37" s="17">
        <f>+AB68</f>
        <v>92308.19422238371</v>
      </c>
      <c r="AK37" s="17">
        <f t="shared" si="2"/>
        <v>688.86712106256505</v>
      </c>
      <c r="AL37" s="19">
        <f t="shared" si="8"/>
        <v>0.58034298320350886</v>
      </c>
    </row>
    <row r="38" spans="1:38" s="15" customFormat="1">
      <c r="A38" s="24" t="s">
        <v>220</v>
      </c>
      <c r="B38" s="15" t="s">
        <v>28</v>
      </c>
      <c r="C38" s="68"/>
      <c r="D38" s="16"/>
      <c r="E38" s="69"/>
      <c r="F38" s="69"/>
      <c r="G38" s="69"/>
      <c r="H38" s="69"/>
      <c r="I38" s="69"/>
      <c r="J38" s="69"/>
      <c r="K38" s="69"/>
      <c r="L38" s="26">
        <v>0</v>
      </c>
      <c r="M38" s="26">
        <v>0</v>
      </c>
      <c r="N38" s="19"/>
      <c r="O38" s="19"/>
      <c r="P38" s="48">
        <f t="shared" si="9"/>
        <v>885.9375</v>
      </c>
      <c r="Q38" s="48">
        <f>(28-3)*3*3.5*CMF</f>
        <v>295.3125</v>
      </c>
      <c r="R38" s="19">
        <f t="shared" si="5"/>
        <v>0.24650459098497496</v>
      </c>
      <c r="S38" s="26"/>
      <c r="T38" s="48">
        <f t="shared" si="10"/>
        <v>21557.8125</v>
      </c>
      <c r="U38" s="48">
        <f>(28-3)*3*3.5*CMF</f>
        <v>295.3125</v>
      </c>
      <c r="V38" s="19">
        <f t="shared" si="6"/>
        <v>0.26676829268292684</v>
      </c>
      <c r="W38" s="26"/>
      <c r="X38" s="48">
        <f t="shared" si="11"/>
        <v>17128.125</v>
      </c>
      <c r="Y38" s="48">
        <f>(28-3)*3*3.5*CMF</f>
        <v>295.3125</v>
      </c>
      <c r="Z38" s="19">
        <f t="shared" si="7"/>
        <v>0.22945804195804195</v>
      </c>
      <c r="AA38" s="26"/>
      <c r="AB38" s="48">
        <f>+X38+T38+P38</f>
        <v>39571.875</v>
      </c>
      <c r="AC38" s="49">
        <f>+AB38/AB$7</f>
        <v>295.3125</v>
      </c>
      <c r="AD38" s="19">
        <f>+AC38/AC$8</f>
        <v>0.24878896377422072</v>
      </c>
      <c r="AE38" s="26"/>
      <c r="AF38" s="71"/>
      <c r="AG38" s="72" t="s">
        <v>117</v>
      </c>
      <c r="AH38" s="15" t="s">
        <v>145</v>
      </c>
      <c r="AI38" s="16">
        <f t="shared" si="15"/>
        <v>9.9790510213505091E-3</v>
      </c>
      <c r="AJ38" s="17">
        <f>SUM(AB77:AB79)</f>
        <v>132045.01874999999</v>
      </c>
      <c r="AK38" s="17">
        <f t="shared" si="2"/>
        <v>985.41058768656706</v>
      </c>
      <c r="AL38" s="19">
        <f t="shared" si="8"/>
        <v>0.83016898709904552</v>
      </c>
    </row>
    <row r="39" spans="1:38" s="15" customFormat="1">
      <c r="A39" s="24"/>
      <c r="B39" s="30" t="s">
        <v>26</v>
      </c>
      <c r="C39" s="68"/>
      <c r="D39" s="16"/>
      <c r="E39" s="69"/>
      <c r="F39" s="69"/>
      <c r="G39" s="69"/>
      <c r="H39" s="69"/>
      <c r="I39" s="69"/>
      <c r="J39" s="69"/>
      <c r="K39" s="69"/>
      <c r="L39" s="26"/>
      <c r="M39" s="26"/>
      <c r="N39" s="19"/>
      <c r="O39" s="19"/>
      <c r="P39" s="48"/>
      <c r="Q39" s="48"/>
      <c r="R39" s="19"/>
      <c r="S39" s="26"/>
      <c r="T39" s="48"/>
      <c r="U39" s="48"/>
      <c r="V39" s="19"/>
      <c r="W39" s="26"/>
      <c r="X39" s="48"/>
      <c r="Y39" s="48"/>
      <c r="Z39" s="19"/>
      <c r="AA39" s="26"/>
      <c r="AB39" s="48"/>
      <c r="AC39" s="49"/>
      <c r="AD39" s="19"/>
      <c r="AE39" s="26"/>
      <c r="AF39" s="71"/>
      <c r="AG39" s="72" t="s">
        <v>118</v>
      </c>
      <c r="AH39" s="15" t="s">
        <v>143</v>
      </c>
      <c r="AI39" s="16">
        <f t="shared" si="15"/>
        <v>1.8375837447235033E-2</v>
      </c>
      <c r="AJ39" s="23">
        <f>SUM(AB81:AB85)</f>
        <v>243153.16106468023</v>
      </c>
      <c r="AK39" s="17">
        <f t="shared" si="2"/>
        <v>1814.5758288408972</v>
      </c>
      <c r="AL39" s="19">
        <f t="shared" si="8"/>
        <v>1.5287075221911519</v>
      </c>
    </row>
    <row r="40" spans="1:38" s="15" customFormat="1" ht="14.45" customHeight="1">
      <c r="A40" s="24" t="s">
        <v>168</v>
      </c>
      <c r="B40" s="15" t="s">
        <v>27</v>
      </c>
      <c r="C40" s="68"/>
      <c r="D40" s="16">
        <f>L40/$L$88</f>
        <v>7.4676947525006811E-3</v>
      </c>
      <c r="E40" s="69" t="s">
        <v>195</v>
      </c>
      <c r="F40" s="69" t="s">
        <v>195</v>
      </c>
      <c r="G40" s="69" t="s">
        <v>195</v>
      </c>
      <c r="H40" s="69" t="s">
        <v>195</v>
      </c>
      <c r="I40" s="69" t="s">
        <v>195</v>
      </c>
      <c r="J40" s="69" t="s">
        <v>195</v>
      </c>
      <c r="K40" s="69" t="s">
        <v>195</v>
      </c>
      <c r="L40" s="26">
        <f t="shared" si="0"/>
        <v>5250</v>
      </c>
      <c r="M40" s="26">
        <f>750/2</f>
        <v>375</v>
      </c>
      <c r="N40" s="19">
        <f t="shared" si="4"/>
        <v>0.27252906976744184</v>
      </c>
      <c r="O40" s="19"/>
      <c r="P40" s="48">
        <f t="shared" si="9"/>
        <v>1470.4537500000001</v>
      </c>
      <c r="Q40" s="48">
        <f>((R$8*1.2)/100*23.5)*CMF</f>
        <v>490.15125</v>
      </c>
      <c r="R40" s="19">
        <f t="shared" si="5"/>
        <v>0.40914127712854759</v>
      </c>
      <c r="S40" s="26"/>
      <c r="T40" s="48">
        <f t="shared" si="10"/>
        <v>25637.28975</v>
      </c>
      <c r="U40" s="48">
        <f>((V$8*1.2)/100*23.5)*CMF</f>
        <v>351.19574999999998</v>
      </c>
      <c r="V40" s="19">
        <f t="shared" si="6"/>
        <v>0.31724999999999998</v>
      </c>
      <c r="W40" s="26"/>
      <c r="X40" s="48">
        <f t="shared" si="11"/>
        <v>29109.590999999997</v>
      </c>
      <c r="Y40" s="48">
        <f>((Z$8*1.2)/100*23.5)*CMF</f>
        <v>501.88949999999994</v>
      </c>
      <c r="Z40" s="19">
        <f t="shared" si="7"/>
        <v>0.38996853146853144</v>
      </c>
      <c r="AA40" s="26"/>
      <c r="AB40" s="48">
        <f t="shared" si="3"/>
        <v>56217.334499999997</v>
      </c>
      <c r="AC40" s="49">
        <f>+AB40/AB$7</f>
        <v>419.53234701492534</v>
      </c>
      <c r="AD40" s="19">
        <f>+AC40/AC$8</f>
        <v>0.35343921399740974</v>
      </c>
      <c r="AE40" s="26"/>
      <c r="AF40" s="71"/>
      <c r="AG40" s="72" t="s">
        <v>119</v>
      </c>
      <c r="AH40" s="15" t="s">
        <v>127</v>
      </c>
      <c r="AI40" s="16">
        <f t="shared" si="15"/>
        <v>0</v>
      </c>
      <c r="AJ40" s="23"/>
      <c r="AK40" s="17">
        <f t="shared" si="2"/>
        <v>0</v>
      </c>
      <c r="AL40" s="19">
        <f t="shared" si="8"/>
        <v>0</v>
      </c>
    </row>
    <row r="41" spans="1:38" s="15" customFormat="1">
      <c r="A41" s="24" t="s">
        <v>168</v>
      </c>
      <c r="B41" s="15" t="s">
        <v>28</v>
      </c>
      <c r="C41" s="68"/>
      <c r="D41" s="16">
        <f>L41/$L$88</f>
        <v>7.069417699033978E-3</v>
      </c>
      <c r="E41" s="69" t="s">
        <v>195</v>
      </c>
      <c r="F41" s="69" t="s">
        <v>195</v>
      </c>
      <c r="G41" s="69" t="s">
        <v>195</v>
      </c>
      <c r="H41" s="69" t="s">
        <v>195</v>
      </c>
      <c r="I41" s="69" t="s">
        <v>195</v>
      </c>
      <c r="J41" s="69" t="s">
        <v>195</v>
      </c>
      <c r="K41" s="69" t="s">
        <v>195</v>
      </c>
      <c r="L41" s="26">
        <f t="shared" si="0"/>
        <v>4970</v>
      </c>
      <c r="M41" s="26">
        <f>710/2</f>
        <v>355</v>
      </c>
      <c r="N41" s="19">
        <f t="shared" si="4"/>
        <v>0.25799418604651164</v>
      </c>
      <c r="O41" s="19"/>
      <c r="P41" s="48">
        <f t="shared" si="9"/>
        <v>1314.0225</v>
      </c>
      <c r="Q41" s="48">
        <f>((R$8*1.2)/100*21)*CMF</f>
        <v>438.00749999999999</v>
      </c>
      <c r="R41" s="19">
        <f t="shared" si="5"/>
        <v>0.36561560934891485</v>
      </c>
      <c r="S41" s="26"/>
      <c r="T41" s="48">
        <f t="shared" si="10"/>
        <v>22909.9185</v>
      </c>
      <c r="U41" s="48">
        <f>((V$8*1.2)/100*21)*CMF</f>
        <v>313.83449999999999</v>
      </c>
      <c r="V41" s="19">
        <f t="shared" si="6"/>
        <v>0.28349999999999997</v>
      </c>
      <c r="W41" s="26"/>
      <c r="X41" s="48">
        <f t="shared" si="11"/>
        <v>26012.825999999997</v>
      </c>
      <c r="Y41" s="48">
        <f>((Z$8*1.2)/100*21)*CMF</f>
        <v>448.49699999999996</v>
      </c>
      <c r="Z41" s="19">
        <f t="shared" si="7"/>
        <v>0.34848251748251746</v>
      </c>
      <c r="AA41" s="26"/>
      <c r="AB41" s="48">
        <f t="shared" si="3"/>
        <v>50236.767</v>
      </c>
      <c r="AC41" s="49">
        <f>+AB41/AB$7</f>
        <v>374.90124626865673</v>
      </c>
      <c r="AD41" s="19">
        <f>+AC41/AC$8</f>
        <v>0.31583929761470658</v>
      </c>
      <c r="AE41" s="26"/>
      <c r="AF41" s="71"/>
      <c r="AG41" s="72" t="s">
        <v>120</v>
      </c>
      <c r="AH41" s="15" t="s">
        <v>126</v>
      </c>
      <c r="AI41" s="16">
        <f t="shared" si="15"/>
        <v>2.8033105735807615E-2</v>
      </c>
      <c r="AJ41" s="23">
        <f>(SUM(AJ9:AJ40)+SUM(AJ42:AJ45))*1.0125*0.7*0.095/12*6</f>
        <v>370940.27924956841</v>
      </c>
      <c r="AK41" s="17">
        <f t="shared" si="2"/>
        <v>2768.2110391758838</v>
      </c>
      <c r="AL41" s="19">
        <f t="shared" si="8"/>
        <v>2.3321070254219745</v>
      </c>
    </row>
    <row r="42" spans="1:38" s="15" customFormat="1">
      <c r="A42" s="24"/>
      <c r="B42" s="30" t="s">
        <v>29</v>
      </c>
      <c r="C42" s="68"/>
      <c r="E42" s="69"/>
      <c r="F42" s="69"/>
      <c r="G42" s="69"/>
      <c r="H42" s="69"/>
      <c r="I42" s="69"/>
      <c r="J42" s="69"/>
      <c r="K42" s="69"/>
      <c r="L42" s="26"/>
      <c r="M42" s="26"/>
      <c r="N42" s="19"/>
      <c r="O42" s="19"/>
      <c r="P42" s="48"/>
      <c r="Q42" s="48"/>
      <c r="R42" s="19"/>
      <c r="S42" s="26"/>
      <c r="T42" s="48"/>
      <c r="U42" s="48"/>
      <c r="V42" s="19"/>
      <c r="W42" s="26"/>
      <c r="X42" s="48"/>
      <c r="Y42" s="48"/>
      <c r="Z42" s="19"/>
      <c r="AA42" s="26"/>
      <c r="AB42" s="48"/>
      <c r="AC42" s="49" t="s">
        <v>72</v>
      </c>
      <c r="AD42" s="19"/>
      <c r="AE42" s="26"/>
      <c r="AF42" s="71"/>
      <c r="AG42" s="72" t="s">
        <v>121</v>
      </c>
      <c r="AH42" s="15" t="s">
        <v>125</v>
      </c>
      <c r="AI42" s="16">
        <f t="shared" si="15"/>
        <v>0.14314829330213941</v>
      </c>
      <c r="AJ42" s="23">
        <f>(2.5*43560+75000)*10.3</f>
        <v>1894170.0000000002</v>
      </c>
      <c r="AK42" s="17">
        <f t="shared" si="2"/>
        <v>14135.597014925375</v>
      </c>
      <c r="AL42" s="19">
        <f t="shared" si="8"/>
        <v>11.908674823020535</v>
      </c>
    </row>
    <row r="43" spans="1:38" s="15" customFormat="1">
      <c r="A43" s="24" t="s">
        <v>169</v>
      </c>
      <c r="B43" s="15" t="s">
        <v>30</v>
      </c>
      <c r="C43" s="68">
        <v>0.1</v>
      </c>
      <c r="D43" s="16">
        <f>L43/$L$88</f>
        <v>2.9870779010002725E-3</v>
      </c>
      <c r="E43" s="69" t="s">
        <v>195</v>
      </c>
      <c r="F43" s="69" t="s">
        <v>195</v>
      </c>
      <c r="G43" s="69" t="s">
        <v>195</v>
      </c>
      <c r="H43" s="69" t="s">
        <v>195</v>
      </c>
      <c r="I43" s="69" t="s">
        <v>195</v>
      </c>
      <c r="J43" s="69" t="s">
        <v>195</v>
      </c>
      <c r="K43" s="69" t="s">
        <v>195</v>
      </c>
      <c r="L43" s="26">
        <f t="shared" si="0"/>
        <v>2100</v>
      </c>
      <c r="M43" s="26">
        <f>300/2</f>
        <v>150</v>
      </c>
      <c r="N43" s="19">
        <f t="shared" si="4"/>
        <v>0.10901162790697674</v>
      </c>
      <c r="O43" s="19"/>
      <c r="P43" s="48">
        <f t="shared" si="9"/>
        <v>188.89925373134326</v>
      </c>
      <c r="Q43" s="48">
        <f>7500/SM134Units*CMF</f>
        <v>62.96641791044776</v>
      </c>
      <c r="R43" s="19">
        <f t="shared" si="5"/>
        <v>5.2559614282510651E-2</v>
      </c>
      <c r="S43" s="26"/>
      <c r="T43" s="48">
        <f t="shared" si="10"/>
        <v>4596.5485074626868</v>
      </c>
      <c r="U43" s="48">
        <f>7500/SM134Units*CMF</f>
        <v>62.96641791044776</v>
      </c>
      <c r="V43" s="19">
        <f t="shared" si="6"/>
        <v>5.6880232981434291E-2</v>
      </c>
      <c r="W43" s="26"/>
      <c r="X43" s="48">
        <f t="shared" si="11"/>
        <v>3652.0522388059699</v>
      </c>
      <c r="Y43" s="48">
        <f>7500/SM134Units*CMF</f>
        <v>62.96641791044776</v>
      </c>
      <c r="Z43" s="19">
        <f t="shared" si="7"/>
        <v>4.8924955641373551E-2</v>
      </c>
      <c r="AA43" s="26"/>
      <c r="AB43" s="48">
        <f t="shared" si="3"/>
        <v>8437.5</v>
      </c>
      <c r="AC43" s="49">
        <f>+AB43/AB$7</f>
        <v>62.96641791044776</v>
      </c>
      <c r="AD43" s="19">
        <f>+AC43/AC$8</f>
        <v>5.3046687371902074E-2</v>
      </c>
      <c r="AE43" s="26"/>
      <c r="AF43" s="71"/>
      <c r="AG43" s="72" t="s">
        <v>122</v>
      </c>
      <c r="AH43" s="15" t="s">
        <v>124</v>
      </c>
      <c r="AI43" s="16">
        <f t="shared" si="15"/>
        <v>1.2684944747039328E-2</v>
      </c>
      <c r="AJ43" s="23">
        <f>AB11+AB86</f>
        <v>167850.00531431686</v>
      </c>
      <c r="AK43" s="17">
        <f t="shared" si="2"/>
        <v>1252.6119799575886</v>
      </c>
      <c r="AL43" s="19">
        <f t="shared" si="8"/>
        <v>1.0552754675295606</v>
      </c>
    </row>
    <row r="44" spans="1:38" s="15" customFormat="1" ht="12.75" thickBot="1">
      <c r="A44" s="24" t="s">
        <v>169</v>
      </c>
      <c r="B44" s="15" t="s">
        <v>11</v>
      </c>
      <c r="C44" s="68">
        <v>0.5</v>
      </c>
      <c r="D44" s="16">
        <f>L44/$L$88</f>
        <v>3.0975997833372827E-2</v>
      </c>
      <c r="E44" s="69" t="s">
        <v>195</v>
      </c>
      <c r="F44" s="69" t="s">
        <v>195</v>
      </c>
      <c r="G44" s="69" t="s">
        <v>195</v>
      </c>
      <c r="H44" s="69" t="s">
        <v>195</v>
      </c>
      <c r="I44" s="69" t="s">
        <v>195</v>
      </c>
      <c r="J44" s="69" t="s">
        <v>195</v>
      </c>
      <c r="K44" s="69" t="s">
        <v>195</v>
      </c>
      <c r="L44" s="26">
        <f t="shared" si="0"/>
        <v>21777</v>
      </c>
      <c r="M44" s="26">
        <f>3111/2</f>
        <v>1555.5</v>
      </c>
      <c r="N44" s="19">
        <f t="shared" si="4"/>
        <v>1.1304505813953489</v>
      </c>
      <c r="O44" s="19"/>
      <c r="P44" s="48">
        <f t="shared" si="9"/>
        <v>5094.4950000000008</v>
      </c>
      <c r="Q44" s="48">
        <f>2.1*CMF*60%*Q$8</f>
        <v>1698.1650000000002</v>
      </c>
      <c r="R44" s="19">
        <f t="shared" si="5"/>
        <v>1.4175000000000002</v>
      </c>
      <c r="S44" s="26"/>
      <c r="T44" s="48">
        <f t="shared" si="10"/>
        <v>114549.59250000001</v>
      </c>
      <c r="U44" s="48">
        <f>2.1*CMF*60%*U$8</f>
        <v>1569.1725000000001</v>
      </c>
      <c r="V44" s="19">
        <f t="shared" si="6"/>
        <v>1.4175000000000002</v>
      </c>
      <c r="W44" s="26"/>
      <c r="X44" s="48">
        <f t="shared" si="11"/>
        <v>105810.70500000002</v>
      </c>
      <c r="Y44" s="48">
        <f>2.1*CMF*60%*Y$8</f>
        <v>1824.3225000000002</v>
      </c>
      <c r="Z44" s="19">
        <f t="shared" si="7"/>
        <v>1.4175000000000002</v>
      </c>
      <c r="AA44" s="26"/>
      <c r="AB44" s="48">
        <f t="shared" si="3"/>
        <v>225454.79250000004</v>
      </c>
      <c r="AC44" s="49">
        <f>+AB44/AB$7</f>
        <v>1682.4984514925377</v>
      </c>
      <c r="AD44" s="19">
        <f>+AC44/AC$8</f>
        <v>1.4174376170956509</v>
      </c>
      <c r="AE44" s="26"/>
      <c r="AF44" s="71"/>
      <c r="AG44" s="72" t="s">
        <v>123</v>
      </c>
      <c r="AH44" s="15" t="s">
        <v>144</v>
      </c>
      <c r="AI44" s="16">
        <f t="shared" si="15"/>
        <v>1.7558531116236967E-2</v>
      </c>
      <c r="AJ44" s="23">
        <f>AB45+AB47+AB48+AB69</f>
        <v>232338.38222747092</v>
      </c>
      <c r="AK44" s="17">
        <f t="shared" si="2"/>
        <v>1733.8685240856039</v>
      </c>
      <c r="AL44" s="19">
        <f t="shared" si="8"/>
        <v>1.460714847586861</v>
      </c>
    </row>
    <row r="45" spans="1:38" s="15" customFormat="1" ht="12.75" thickBot="1">
      <c r="A45" s="24" t="s">
        <v>159</v>
      </c>
      <c r="B45" s="31" t="s">
        <v>31</v>
      </c>
      <c r="C45" s="68">
        <v>0.4</v>
      </c>
      <c r="D45" s="16">
        <f>L45/$L$88</f>
        <v>2.4782789651965596E-2</v>
      </c>
      <c r="E45" s="69" t="s">
        <v>195</v>
      </c>
      <c r="F45" s="69" t="s">
        <v>195</v>
      </c>
      <c r="G45" s="73"/>
      <c r="H45" s="69" t="s">
        <v>195</v>
      </c>
      <c r="I45" s="69" t="s">
        <v>195</v>
      </c>
      <c r="J45" s="73"/>
      <c r="K45" s="74" t="s">
        <v>195</v>
      </c>
      <c r="L45" s="26">
        <f t="shared" si="0"/>
        <v>17423</v>
      </c>
      <c r="M45" s="26">
        <f>2489/2</f>
        <v>1244.5</v>
      </c>
      <c r="N45" s="19">
        <f t="shared" si="4"/>
        <v>0.90443313953488369</v>
      </c>
      <c r="O45" s="19"/>
      <c r="P45" s="48">
        <f t="shared" si="9"/>
        <v>3396.3300000000004</v>
      </c>
      <c r="Q45" s="48">
        <f>2.1*CMF*40%*Q$8</f>
        <v>1132.1100000000001</v>
      </c>
      <c r="R45" s="19">
        <f t="shared" si="5"/>
        <v>0.94500000000000006</v>
      </c>
      <c r="S45" s="26"/>
      <c r="T45" s="48">
        <f t="shared" si="10"/>
        <v>76366.395000000019</v>
      </c>
      <c r="U45" s="48">
        <f>2.1*CMF*40%*U$8</f>
        <v>1046.1150000000002</v>
      </c>
      <c r="V45" s="19">
        <f t="shared" si="6"/>
        <v>0.94500000000000017</v>
      </c>
      <c r="W45" s="26"/>
      <c r="X45" s="48">
        <f t="shared" si="11"/>
        <v>70540.47</v>
      </c>
      <c r="Y45" s="48">
        <f>2.1*CMF*40%*Y$8</f>
        <v>1216.2150000000001</v>
      </c>
      <c r="Z45" s="19">
        <f t="shared" si="7"/>
        <v>0.94500000000000006</v>
      </c>
      <c r="AA45" s="26"/>
      <c r="AB45" s="48">
        <f t="shared" si="3"/>
        <v>150303.19500000001</v>
      </c>
      <c r="AC45" s="49">
        <f>+AB45/AB$7</f>
        <v>1121.6656343283582</v>
      </c>
      <c r="AD45" s="19">
        <f>+AC45/AC$8</f>
        <v>0.94495841139710046</v>
      </c>
      <c r="AE45" s="26"/>
      <c r="AF45" s="71"/>
      <c r="AG45" s="72" t="s">
        <v>211</v>
      </c>
      <c r="AH45" s="15" t="s">
        <v>71</v>
      </c>
      <c r="AI45" s="16">
        <f t="shared" si="15"/>
        <v>1.3805079343750425E-2</v>
      </c>
      <c r="AJ45" s="24">
        <f>+AB87</f>
        <v>182671.875</v>
      </c>
      <c r="AK45" s="17">
        <f t="shared" si="2"/>
        <v>1363.2229477611941</v>
      </c>
      <c r="AL45" s="19">
        <f t="shared" si="8"/>
        <v>1.1484607816016799</v>
      </c>
    </row>
    <row r="46" spans="1:38">
      <c r="A46" s="24"/>
      <c r="B46" s="30" t="s">
        <v>32</v>
      </c>
      <c r="C46" s="68"/>
      <c r="D46" s="15"/>
      <c r="E46" s="69"/>
      <c r="F46" s="69"/>
      <c r="G46" s="69"/>
      <c r="H46" s="69"/>
      <c r="I46" s="69"/>
      <c r="J46" s="69"/>
      <c r="K46" s="69"/>
      <c r="L46" s="26"/>
      <c r="M46" s="15"/>
      <c r="N46" s="19"/>
      <c r="O46" s="19"/>
      <c r="P46" s="48"/>
      <c r="Q46" s="39"/>
      <c r="R46" s="40"/>
      <c r="S46" s="41"/>
      <c r="T46" s="42"/>
      <c r="U46" s="42"/>
      <c r="V46" s="40"/>
      <c r="W46" s="41"/>
      <c r="X46" s="42"/>
      <c r="Y46" s="42"/>
      <c r="Z46" s="40"/>
      <c r="AA46" s="41"/>
      <c r="AB46" s="42"/>
      <c r="AC46" s="43" t="s">
        <v>72</v>
      </c>
      <c r="AD46" s="40"/>
      <c r="AE46" s="41"/>
      <c r="AF46" s="80"/>
      <c r="AG46" s="81" t="s">
        <v>122</v>
      </c>
      <c r="AH46" s="44" t="s">
        <v>217</v>
      </c>
      <c r="AI46" s="82">
        <f t="shared" si="15"/>
        <v>3.1167849227943703E-2</v>
      </c>
      <c r="AJ46" s="60">
        <f>(SUM(AJ$43:AJ45)+SUM(AJ$9:AJ$40))*0.1-500000</f>
        <v>412419.90114046156</v>
      </c>
      <c r="AK46" s="83">
        <f t="shared" si="2"/>
        <v>3077.7604562721012</v>
      </c>
      <c r="AL46" s="40">
        <f>+AJ46/AL$7</f>
        <v>2.5928900221331941</v>
      </c>
    </row>
    <row r="47" spans="1:38">
      <c r="A47" s="60" t="s">
        <v>159</v>
      </c>
      <c r="B47" s="44" t="s">
        <v>11</v>
      </c>
      <c r="C47" s="84">
        <v>0.75</v>
      </c>
      <c r="D47" s="82">
        <f t="shared" ref="D47:D52" si="19">L47/$L$88</f>
        <v>0</v>
      </c>
      <c r="E47" s="85" t="s">
        <v>195</v>
      </c>
      <c r="F47" s="85" t="s">
        <v>195</v>
      </c>
      <c r="G47" s="85" t="s">
        <v>195</v>
      </c>
      <c r="H47" s="85" t="s">
        <v>195</v>
      </c>
      <c r="I47" s="85" t="s">
        <v>195</v>
      </c>
      <c r="J47" s="85" t="s">
        <v>195</v>
      </c>
      <c r="K47" s="85" t="s">
        <v>195</v>
      </c>
      <c r="L47" s="41">
        <f t="shared" si="0"/>
        <v>0</v>
      </c>
      <c r="M47" s="41">
        <v>0</v>
      </c>
      <c r="N47" s="40">
        <f t="shared" si="4"/>
        <v>0</v>
      </c>
      <c r="O47" s="40"/>
      <c r="P47" s="42">
        <f t="shared" si="9"/>
        <v>0</v>
      </c>
      <c r="Q47" s="42">
        <f>0*CMF</f>
        <v>0</v>
      </c>
      <c r="R47" s="40">
        <f t="shared" si="5"/>
        <v>0</v>
      </c>
      <c r="S47" s="41"/>
      <c r="T47" s="42">
        <f t="shared" si="10"/>
        <v>0</v>
      </c>
      <c r="U47" s="42">
        <f>0*CMF</f>
        <v>0</v>
      </c>
      <c r="V47" s="40">
        <f t="shared" si="6"/>
        <v>0</v>
      </c>
      <c r="W47" s="41"/>
      <c r="X47" s="42">
        <f t="shared" si="11"/>
        <v>0</v>
      </c>
      <c r="Y47" s="42">
        <f>0*CMF</f>
        <v>0</v>
      </c>
      <c r="Z47" s="40">
        <f t="shared" si="7"/>
        <v>0</v>
      </c>
      <c r="AA47" s="41"/>
      <c r="AB47" s="42">
        <f t="shared" si="3"/>
        <v>0</v>
      </c>
      <c r="AC47" s="43">
        <f>+AB47/AB$7</f>
        <v>0</v>
      </c>
      <c r="AD47" s="40">
        <f>+AC47/AC$8</f>
        <v>0</v>
      </c>
      <c r="AE47" s="41"/>
      <c r="AF47" s="80"/>
      <c r="AG47" s="81" t="s">
        <v>123</v>
      </c>
      <c r="AH47" s="44" t="s">
        <v>216</v>
      </c>
      <c r="AI47" s="82">
        <f t="shared" si="15"/>
        <v>0.10810677403852867</v>
      </c>
      <c r="AJ47" s="60">
        <f>(SUM(AJ$43:AJ46)+SUM(AJ$9:AJ$40))*0.15</f>
        <v>1430492.8368817617</v>
      </c>
      <c r="AK47" s="83">
        <f t="shared" si="2"/>
        <v>10675.319678222102</v>
      </c>
      <c r="AL47" s="40">
        <f>+AJ47/AL$7</f>
        <v>8.9935296362443999</v>
      </c>
    </row>
    <row r="48" spans="1:38" s="15" customFormat="1" ht="12.75" thickBot="1">
      <c r="A48" s="60" t="s">
        <v>159</v>
      </c>
      <c r="B48" s="44" t="s">
        <v>31</v>
      </c>
      <c r="C48" s="84">
        <v>0.25</v>
      </c>
      <c r="D48" s="82">
        <f t="shared" si="19"/>
        <v>3.9827705346670303E-3</v>
      </c>
      <c r="E48" s="85" t="s">
        <v>195</v>
      </c>
      <c r="F48" s="85" t="s">
        <v>195</v>
      </c>
      <c r="G48" s="85" t="s">
        <v>195</v>
      </c>
      <c r="H48" s="85" t="s">
        <v>195</v>
      </c>
      <c r="I48" s="85" t="s">
        <v>195</v>
      </c>
      <c r="J48" s="85" t="s">
        <v>195</v>
      </c>
      <c r="K48" s="85" t="s">
        <v>195</v>
      </c>
      <c r="L48" s="41">
        <f t="shared" si="0"/>
        <v>2800</v>
      </c>
      <c r="M48" s="41">
        <f>400/2</f>
        <v>200</v>
      </c>
      <c r="N48" s="40">
        <f t="shared" si="4"/>
        <v>0.14534883720930233</v>
      </c>
      <c r="O48" s="40"/>
      <c r="P48" s="42">
        <f t="shared" si="9"/>
        <v>675</v>
      </c>
      <c r="Q48" s="42">
        <f>$M48*CMF</f>
        <v>225</v>
      </c>
      <c r="R48" s="40">
        <f t="shared" si="5"/>
        <v>0.18781302170283806</v>
      </c>
      <c r="S48" s="41"/>
      <c r="T48" s="42">
        <f t="shared" si="10"/>
        <v>16425</v>
      </c>
      <c r="U48" s="42">
        <f>$M48*CMF</f>
        <v>225</v>
      </c>
      <c r="V48" s="40">
        <f t="shared" si="6"/>
        <v>0.2032520325203252</v>
      </c>
      <c r="W48" s="41"/>
      <c r="X48" s="42">
        <f t="shared" si="11"/>
        <v>13050</v>
      </c>
      <c r="Y48" s="42">
        <f>$M48*CMF</f>
        <v>225</v>
      </c>
      <c r="Z48" s="40">
        <f t="shared" si="7"/>
        <v>0.17482517482517482</v>
      </c>
      <c r="AA48" s="41"/>
      <c r="AB48" s="42">
        <f t="shared" si="3"/>
        <v>30150</v>
      </c>
      <c r="AC48" s="43">
        <f>+AB48/AB$7</f>
        <v>225</v>
      </c>
      <c r="AD48" s="40">
        <f>+AC48/AC$8</f>
        <v>0.18955349620893008</v>
      </c>
      <c r="AE48" s="41"/>
      <c r="AF48" s="80"/>
      <c r="AG48" s="81"/>
      <c r="AH48" s="21" t="s">
        <v>75</v>
      </c>
      <c r="AI48" s="22">
        <f>SUM(AI9:AI47)</f>
        <v>1.0000000000000002</v>
      </c>
      <c r="AJ48" s="10">
        <f>SUM(AJ9:AJ47)</f>
        <v>13232222.028676406</v>
      </c>
      <c r="AK48" s="10">
        <f t="shared" si="2"/>
        <v>98747.925587137361</v>
      </c>
      <c r="AL48" s="8">
        <f t="shared" si="8"/>
        <v>83.191175726316217</v>
      </c>
    </row>
    <row r="49" spans="1:40" s="15" customFormat="1" ht="12.75" thickTop="1">
      <c r="A49" s="24"/>
      <c r="B49" s="30" t="s">
        <v>33</v>
      </c>
      <c r="C49" s="68"/>
      <c r="D49" s="16"/>
      <c r="E49" s="69"/>
      <c r="F49" s="69"/>
      <c r="G49" s="69"/>
      <c r="H49" s="69"/>
      <c r="I49" s="69"/>
      <c r="J49" s="69"/>
      <c r="K49" s="69"/>
      <c r="L49" s="26">
        <f t="shared" si="0"/>
        <v>0</v>
      </c>
      <c r="M49" s="26"/>
      <c r="N49" s="19"/>
      <c r="O49" s="19"/>
      <c r="P49" s="76"/>
      <c r="Q49" s="76"/>
      <c r="R49" s="19"/>
      <c r="S49" s="26"/>
      <c r="T49" s="48"/>
      <c r="U49" s="48"/>
      <c r="V49" s="19"/>
      <c r="W49" s="26"/>
      <c r="X49" s="48"/>
      <c r="Y49" s="48"/>
      <c r="Z49" s="19"/>
      <c r="AA49" s="26"/>
      <c r="AB49" s="48"/>
      <c r="AC49" s="49" t="s">
        <v>72</v>
      </c>
      <c r="AD49" s="19"/>
      <c r="AE49" s="26"/>
      <c r="AF49" s="71"/>
      <c r="AG49" s="72"/>
      <c r="AH49" s="34" t="s">
        <v>208</v>
      </c>
    </row>
    <row r="50" spans="1:40" s="15" customFormat="1" ht="12.75" thickBot="1">
      <c r="A50" s="24" t="s">
        <v>170</v>
      </c>
      <c r="B50" s="15" t="s">
        <v>11</v>
      </c>
      <c r="C50" s="68">
        <v>0.6</v>
      </c>
      <c r="D50" s="16">
        <f t="shared" si="19"/>
        <v>2.389662320800218E-2</v>
      </c>
      <c r="E50" s="69" t="s">
        <v>195</v>
      </c>
      <c r="F50" s="69" t="s">
        <v>195</v>
      </c>
      <c r="G50" s="69" t="s">
        <v>195</v>
      </c>
      <c r="H50" s="69" t="s">
        <v>195</v>
      </c>
      <c r="I50" s="69" t="s">
        <v>195</v>
      </c>
      <c r="J50" s="69" t="s">
        <v>195</v>
      </c>
      <c r="K50" s="69" t="s">
        <v>195</v>
      </c>
      <c r="L50" s="26">
        <f t="shared" si="0"/>
        <v>16800</v>
      </c>
      <c r="M50" s="26">
        <f>2400/2</f>
        <v>1200</v>
      </c>
      <c r="N50" s="19">
        <f t="shared" si="4"/>
        <v>0.87209302325581395</v>
      </c>
      <c r="O50" s="19"/>
      <c r="P50" s="48">
        <f t="shared" si="9"/>
        <v>4043.25</v>
      </c>
      <c r="Q50" s="48">
        <f>1*Q$8*CMF</f>
        <v>1347.75</v>
      </c>
      <c r="R50" s="19">
        <f t="shared" si="5"/>
        <v>1.125</v>
      </c>
      <c r="S50" s="26"/>
      <c r="T50" s="48">
        <f t="shared" si="10"/>
        <v>90912.375</v>
      </c>
      <c r="U50" s="48">
        <f>1*U$8*CMF</f>
        <v>1245.375</v>
      </c>
      <c r="V50" s="19">
        <f t="shared" si="6"/>
        <v>1.125</v>
      </c>
      <c r="W50" s="26"/>
      <c r="X50" s="48">
        <f t="shared" si="11"/>
        <v>83976.75</v>
      </c>
      <c r="Y50" s="48">
        <f>1*Y$8*CMF</f>
        <v>1447.875</v>
      </c>
      <c r="Z50" s="19">
        <f t="shared" si="7"/>
        <v>1.125</v>
      </c>
      <c r="AA50" s="26"/>
      <c r="AB50" s="48">
        <f t="shared" si="3"/>
        <v>178932.375</v>
      </c>
      <c r="AC50" s="49">
        <f>+AB50/AB$7</f>
        <v>1335.3162313432836</v>
      </c>
      <c r="AD50" s="19">
        <f>+AC50/AC$8</f>
        <v>1.1249504897584528</v>
      </c>
      <c r="AE50" s="26"/>
      <c r="AF50" s="71"/>
      <c r="AG50" s="72"/>
      <c r="AH50" s="15" t="s">
        <v>209</v>
      </c>
      <c r="AI50" s="16">
        <f>AJ50/$AJ$48</f>
        <v>-0.14314829330213941</v>
      </c>
      <c r="AJ50" s="15">
        <f>-AJ42</f>
        <v>-1894170.0000000002</v>
      </c>
      <c r="AK50" s="26">
        <f t="shared" ref="AK50:AL53" si="20">AJ50/AK$7</f>
        <v>-14135.597014925375</v>
      </c>
      <c r="AL50" s="25">
        <f t="shared" si="20"/>
        <v>-8.8870707634481599E-2</v>
      </c>
    </row>
    <row r="51" spans="1:40" s="15" customFormat="1" ht="12.75" thickBot="1">
      <c r="A51" s="24" t="s">
        <v>171</v>
      </c>
      <c r="B51" s="15" t="s">
        <v>34</v>
      </c>
      <c r="C51" s="68">
        <v>0.4</v>
      </c>
      <c r="D51" s="16">
        <f t="shared" si="19"/>
        <v>1.5931082138668121E-2</v>
      </c>
      <c r="E51" s="69" t="s">
        <v>195</v>
      </c>
      <c r="F51" s="69" t="s">
        <v>195</v>
      </c>
      <c r="G51" s="73"/>
      <c r="H51" s="69" t="s">
        <v>195</v>
      </c>
      <c r="I51" s="69" t="s">
        <v>195</v>
      </c>
      <c r="J51" s="74" t="s">
        <v>195</v>
      </c>
      <c r="K51" s="69" t="s">
        <v>195</v>
      </c>
      <c r="L51" s="26">
        <f t="shared" si="0"/>
        <v>11200</v>
      </c>
      <c r="M51" s="26">
        <f>1600/2</f>
        <v>800</v>
      </c>
      <c r="N51" s="19">
        <f t="shared" si="4"/>
        <v>0.58139534883720934</v>
      </c>
      <c r="O51" s="19"/>
      <c r="P51" s="48">
        <f t="shared" si="9"/>
        <v>4043.25</v>
      </c>
      <c r="Q51" s="48">
        <f>1*Q$8*CMF</f>
        <v>1347.75</v>
      </c>
      <c r="R51" s="19">
        <f t="shared" si="5"/>
        <v>1.125</v>
      </c>
      <c r="S51" s="26"/>
      <c r="T51" s="48">
        <f t="shared" si="10"/>
        <v>90912.375</v>
      </c>
      <c r="U51" s="48">
        <f>1*U$8*CMF</f>
        <v>1245.375</v>
      </c>
      <c r="V51" s="19">
        <f t="shared" si="6"/>
        <v>1.125</v>
      </c>
      <c r="W51" s="26"/>
      <c r="X51" s="48">
        <f t="shared" si="11"/>
        <v>83976.75</v>
      </c>
      <c r="Y51" s="48">
        <f>1*Y$8*CMF</f>
        <v>1447.875</v>
      </c>
      <c r="Z51" s="19">
        <f t="shared" si="7"/>
        <v>1.125</v>
      </c>
      <c r="AA51" s="26"/>
      <c r="AB51" s="48">
        <f t="shared" si="3"/>
        <v>178932.375</v>
      </c>
      <c r="AC51" s="49">
        <f>+AB51/AB$7</f>
        <v>1335.3162313432836</v>
      </c>
      <c r="AD51" s="19">
        <f>+AC51/AC$8</f>
        <v>1.1249504897584528</v>
      </c>
      <c r="AE51" s="26"/>
      <c r="AF51" s="71"/>
      <c r="AG51" s="72"/>
      <c r="AH51" s="15" t="s">
        <v>210</v>
      </c>
      <c r="AI51" s="16">
        <f>AJ51/$AJ$48</f>
        <v>-2.8033105735807615E-2</v>
      </c>
      <c r="AJ51" s="15">
        <f>-AJ41</f>
        <v>-370940.27924956841</v>
      </c>
      <c r="AK51" s="26">
        <f t="shared" si="20"/>
        <v>-2768.2110391758838</v>
      </c>
      <c r="AL51" s="25">
        <f t="shared" si="20"/>
        <v>-1.7403783771805782E-2</v>
      </c>
    </row>
    <row r="52" spans="1:40" s="15" customFormat="1">
      <c r="A52" s="24" t="s">
        <v>172</v>
      </c>
      <c r="B52" s="30" t="s">
        <v>35</v>
      </c>
      <c r="C52" s="68"/>
      <c r="D52" s="16">
        <f t="shared" si="19"/>
        <v>9.5905114474782085E-3</v>
      </c>
      <c r="E52" s="69" t="s">
        <v>195</v>
      </c>
      <c r="F52" s="69" t="s">
        <v>195</v>
      </c>
      <c r="G52" s="69" t="s">
        <v>195</v>
      </c>
      <c r="H52" s="69" t="s">
        <v>195</v>
      </c>
      <c r="I52" s="69" t="s">
        <v>195</v>
      </c>
      <c r="J52" s="69" t="s">
        <v>195</v>
      </c>
      <c r="K52" s="69" t="s">
        <v>195</v>
      </c>
      <c r="L52" s="26">
        <f>M52*TRUnits</f>
        <v>6742.4</v>
      </c>
      <c r="M52" s="26">
        <f>(1376*0.7)/2</f>
        <v>481.59999999999997</v>
      </c>
      <c r="N52" s="19">
        <f t="shared" si="4"/>
        <v>0.35</v>
      </c>
      <c r="O52" s="19"/>
      <c r="P52" s="48">
        <f t="shared" si="9"/>
        <v>3436.7624999999998</v>
      </c>
      <c r="Q52" s="48">
        <f>Q$8*0.85*CMF</f>
        <v>1145.5874999999999</v>
      </c>
      <c r="R52" s="19">
        <f t="shared" si="5"/>
        <v>0.95624999999999993</v>
      </c>
      <c r="S52" s="26"/>
      <c r="T52" s="48">
        <f t="shared" si="10"/>
        <v>77275.518749999988</v>
      </c>
      <c r="U52" s="48">
        <f>U$8*0.85*CMF</f>
        <v>1058.5687499999999</v>
      </c>
      <c r="V52" s="19">
        <f t="shared" si="6"/>
        <v>0.95624999999999993</v>
      </c>
      <c r="W52" s="26"/>
      <c r="X52" s="48">
        <f t="shared" si="11"/>
        <v>71380.237500000003</v>
      </c>
      <c r="Y52" s="48">
        <f>Y$8*0.85*CMF</f>
        <v>1230.6937500000001</v>
      </c>
      <c r="Z52" s="19">
        <f t="shared" si="7"/>
        <v>0.95625000000000016</v>
      </c>
      <c r="AA52" s="26"/>
      <c r="AB52" s="48">
        <f t="shared" si="3"/>
        <v>152092.51874999999</v>
      </c>
      <c r="AC52" s="49">
        <f>+AB52/AB$7</f>
        <v>1135.0187966417909</v>
      </c>
      <c r="AD52" s="19">
        <f>+AC52/AC$8</f>
        <v>0.95620791629468482</v>
      </c>
      <c r="AE52" s="26"/>
      <c r="AF52" s="71"/>
      <c r="AG52" s="72"/>
      <c r="AH52" s="15" t="s">
        <v>217</v>
      </c>
      <c r="AI52" s="16">
        <f>AJ52/$AJ$48</f>
        <v>-3.1167849227943703E-2</v>
      </c>
      <c r="AJ52" s="15">
        <f>-AJ46</f>
        <v>-412419.90114046156</v>
      </c>
      <c r="AK52" s="26">
        <f t="shared" si="20"/>
        <v>-3077.7604562721012</v>
      </c>
      <c r="AL52" s="25">
        <f t="shared" si="20"/>
        <v>-1.9349925538307416E-2</v>
      </c>
    </row>
    <row r="53" spans="1:40" s="15" customFormat="1">
      <c r="A53" s="24" t="s">
        <v>173</v>
      </c>
      <c r="B53" s="30" t="s">
        <v>36</v>
      </c>
      <c r="C53" s="68"/>
      <c r="E53" s="69"/>
      <c r="F53" s="69"/>
      <c r="G53" s="69"/>
      <c r="H53" s="69"/>
      <c r="I53" s="69"/>
      <c r="K53" s="69"/>
      <c r="L53" s="26"/>
      <c r="M53" s="26"/>
      <c r="N53" s="19"/>
      <c r="O53" s="19"/>
      <c r="P53" s="48"/>
      <c r="Q53" s="76"/>
      <c r="R53" s="19"/>
      <c r="S53" s="26"/>
      <c r="T53" s="48"/>
      <c r="U53" s="48"/>
      <c r="V53" s="19"/>
      <c r="W53" s="26"/>
      <c r="X53" s="48"/>
      <c r="Y53" s="48"/>
      <c r="Z53" s="19"/>
      <c r="AA53" s="26"/>
      <c r="AB53" s="48"/>
      <c r="AC53" s="49" t="s">
        <v>72</v>
      </c>
      <c r="AD53" s="19"/>
      <c r="AE53" s="26"/>
      <c r="AF53" s="71"/>
      <c r="AG53" s="72"/>
      <c r="AH53" s="15" t="s">
        <v>218</v>
      </c>
      <c r="AI53" s="16">
        <f>AJ53/$AJ$48</f>
        <v>-0.10810677403852867</v>
      </c>
      <c r="AJ53" s="15">
        <f>-AJ47</f>
        <v>-1430492.8368817617</v>
      </c>
      <c r="AK53" s="26">
        <f t="shared" si="20"/>
        <v>-10675.319678222102</v>
      </c>
      <c r="AL53" s="25">
        <f t="shared" si="20"/>
        <v>-6.7115892807794023E-2</v>
      </c>
    </row>
    <row r="54" spans="1:40" s="15" customFormat="1" ht="12.75" thickBot="1">
      <c r="A54" s="24" t="s">
        <v>173</v>
      </c>
      <c r="B54" s="15" t="s">
        <v>37</v>
      </c>
      <c r="C54" s="68"/>
      <c r="D54" s="16">
        <f>L54/$L$88</f>
        <v>2.9069246439900987E-2</v>
      </c>
      <c r="E54" s="69" t="s">
        <v>195</v>
      </c>
      <c r="F54" s="69" t="s">
        <v>195</v>
      </c>
      <c r="G54" s="69" t="s">
        <v>195</v>
      </c>
      <c r="H54" s="69" t="s">
        <v>195</v>
      </c>
      <c r="I54" s="69" t="s">
        <v>195</v>
      </c>
      <c r="J54" s="69" t="s">
        <v>195</v>
      </c>
      <c r="K54" s="69" t="s">
        <v>195</v>
      </c>
      <c r="L54" s="26">
        <f t="shared" ref="L54:L76" si="21">7*M54</f>
        <v>20436.5</v>
      </c>
      <c r="M54" s="26">
        <f>(2739+(21700/7))/2</f>
        <v>2919.5</v>
      </c>
      <c r="N54" s="19">
        <f t="shared" si="4"/>
        <v>2.1217296511627906</v>
      </c>
      <c r="O54" s="19"/>
      <c r="P54" s="48">
        <f t="shared" si="9"/>
        <v>8578.6834120639523</v>
      </c>
      <c r="Q54" s="48">
        <f>Q$8*$N54*CMF</f>
        <v>2859.5611373546508</v>
      </c>
      <c r="R54" s="19">
        <f t="shared" si="5"/>
        <v>2.386945857558139</v>
      </c>
      <c r="S54" s="26"/>
      <c r="T54" s="48">
        <f t="shared" si="10"/>
        <v>192891.48169513079</v>
      </c>
      <c r="U54" s="48">
        <f>U$8*$N54*CMF</f>
        <v>2642.3490643168602</v>
      </c>
      <c r="V54" s="19">
        <f t="shared" si="6"/>
        <v>2.3869458575581395</v>
      </c>
      <c r="W54" s="26"/>
      <c r="X54" s="48">
        <f t="shared" si="11"/>
        <v>178175.96048328487</v>
      </c>
      <c r="Y54" s="48">
        <f>Y$8*$N54*CMF</f>
        <v>3071.9993186773254</v>
      </c>
      <c r="Z54" s="19">
        <f t="shared" si="7"/>
        <v>2.3869458575581395</v>
      </c>
      <c r="AA54" s="26"/>
      <c r="AB54" s="48">
        <f t="shared" si="3"/>
        <v>379646.12559047958</v>
      </c>
      <c r="AC54" s="49">
        <f>+AB54/AB$7</f>
        <v>2833.180041719997</v>
      </c>
      <c r="AD54" s="19">
        <f>+AC54/AC$8</f>
        <v>2.3868408102106127</v>
      </c>
      <c r="AE54" s="26"/>
      <c r="AF54" s="71"/>
      <c r="AG54" s="72"/>
      <c r="AH54" s="21" t="s">
        <v>215</v>
      </c>
      <c r="AI54" s="22">
        <f>AJ54/$AJ$48</f>
        <v>0.68954397769558073</v>
      </c>
      <c r="AJ54" s="10">
        <f>SUM(AJ48:AJ53)</f>
        <v>9124199.0114046149</v>
      </c>
      <c r="AK54" s="10">
        <f>+AJ54/AK$7</f>
        <v>68091.037398541899</v>
      </c>
      <c r="AL54" s="8">
        <f>+AJ54/AL$7</f>
        <v>57.363974219496129</v>
      </c>
    </row>
    <row r="55" spans="1:40" s="15" customFormat="1" ht="13.5" thickTop="1" thickBot="1">
      <c r="A55" s="24" t="s">
        <v>173</v>
      </c>
      <c r="B55" s="15" t="s">
        <v>73</v>
      </c>
      <c r="C55" s="68"/>
      <c r="D55" s="16">
        <f>L55/$L$88</f>
        <v>2.0162775831751838E-2</v>
      </c>
      <c r="E55" s="69" t="s">
        <v>195</v>
      </c>
      <c r="F55" s="69" t="s">
        <v>195</v>
      </c>
      <c r="G55" s="74" t="s">
        <v>195</v>
      </c>
      <c r="H55" s="69" t="s">
        <v>195</v>
      </c>
      <c r="I55" s="69" t="s">
        <v>195</v>
      </c>
      <c r="J55" s="74" t="s">
        <v>195</v>
      </c>
      <c r="K55" s="74" t="s">
        <v>195</v>
      </c>
      <c r="L55" s="26">
        <f t="shared" si="21"/>
        <v>14175</v>
      </c>
      <c r="M55" s="26">
        <f>4050/2</f>
        <v>2025</v>
      </c>
      <c r="N55" s="19">
        <f t="shared" si="4"/>
        <v>1.4716569767441861</v>
      </c>
      <c r="O55" s="19"/>
      <c r="P55" s="48">
        <f t="shared" si="9"/>
        <v>5950.2770712209294</v>
      </c>
      <c r="Q55" s="48">
        <f>Q$8*$N55*CMF</f>
        <v>1983.4256904069766</v>
      </c>
      <c r="R55" s="19">
        <f t="shared" si="5"/>
        <v>1.6556140988372092</v>
      </c>
      <c r="S55" s="26"/>
      <c r="T55" s="48">
        <f t="shared" si="10"/>
        <v>133791.83094113372</v>
      </c>
      <c r="U55" s="48">
        <f>U$8*$N55*CMF</f>
        <v>1832.7648074127906</v>
      </c>
      <c r="V55" s="19">
        <f t="shared" si="6"/>
        <v>1.6556140988372092</v>
      </c>
      <c r="W55" s="26"/>
      <c r="X55" s="48">
        <f t="shared" si="11"/>
        <v>123584.97002180234</v>
      </c>
      <c r="Y55" s="48">
        <f>Y$8*$N55*CMF</f>
        <v>2130.7753452034885</v>
      </c>
      <c r="Z55" s="19">
        <f t="shared" si="7"/>
        <v>1.6556140988372094</v>
      </c>
      <c r="AA55" s="26"/>
      <c r="AB55" s="48">
        <f t="shared" si="3"/>
        <v>263327.07803415699</v>
      </c>
      <c r="AC55" s="49">
        <f>+AB55/AB$7</f>
        <v>1965.1274480160969</v>
      </c>
      <c r="AD55" s="19">
        <f>+AC55/AC$8</f>
        <v>1.6555412367448163</v>
      </c>
      <c r="AE55" s="26"/>
      <c r="AF55" s="71"/>
      <c r="AG55" s="72"/>
    </row>
    <row r="56" spans="1:40" s="15" customFormat="1" ht="12.75" thickBot="1">
      <c r="A56" s="24" t="s">
        <v>160</v>
      </c>
      <c r="B56" s="32" t="s">
        <v>38</v>
      </c>
      <c r="C56" s="68"/>
      <c r="D56" s="16">
        <f>L56/$L$88</f>
        <v>3.634278112883665E-3</v>
      </c>
      <c r="E56" s="69" t="s">
        <v>195</v>
      </c>
      <c r="F56" s="69" t="s">
        <v>195</v>
      </c>
      <c r="G56" s="73"/>
      <c r="H56" s="69" t="s">
        <v>195</v>
      </c>
      <c r="I56" s="69" t="s">
        <v>195</v>
      </c>
      <c r="J56" s="74" t="s">
        <v>195</v>
      </c>
      <c r="K56" s="74" t="s">
        <v>195</v>
      </c>
      <c r="L56" s="26">
        <f t="shared" si="21"/>
        <v>2555</v>
      </c>
      <c r="M56" s="26">
        <f>730/2</f>
        <v>365</v>
      </c>
      <c r="N56" s="19">
        <f t="shared" si="4"/>
        <v>0.26526162790697677</v>
      </c>
      <c r="O56" s="19"/>
      <c r="P56" s="48">
        <f t="shared" si="9"/>
        <v>675</v>
      </c>
      <c r="Q56" s="48">
        <f>200*CMF</f>
        <v>225</v>
      </c>
      <c r="R56" s="19">
        <f t="shared" si="5"/>
        <v>0.18781302170283806</v>
      </c>
      <c r="S56" s="26"/>
      <c r="T56" s="48">
        <f t="shared" si="10"/>
        <v>0</v>
      </c>
      <c r="U56" s="48">
        <v>0</v>
      </c>
      <c r="V56" s="19">
        <f t="shared" si="6"/>
        <v>0</v>
      </c>
      <c r="W56" s="26"/>
      <c r="X56" s="48">
        <f t="shared" si="11"/>
        <v>13050</v>
      </c>
      <c r="Y56" s="48">
        <f>200*CMF</f>
        <v>225</v>
      </c>
      <c r="Z56" s="19">
        <f t="shared" si="7"/>
        <v>0.17482517482517482</v>
      </c>
      <c r="AA56" s="26"/>
      <c r="AB56" s="48">
        <f t="shared" si="3"/>
        <v>13725</v>
      </c>
      <c r="AC56" s="49">
        <f>+AB56/AB$7</f>
        <v>102.42537313432835</v>
      </c>
      <c r="AD56" s="19">
        <f>+AC56/AC$8</f>
        <v>8.6289278124960705E-2</v>
      </c>
      <c r="AE56" s="26"/>
      <c r="AF56" s="71"/>
      <c r="AG56" s="72"/>
      <c r="AJ56" s="15">
        <f>0.75*AJ48</f>
        <v>9924166.5215073042</v>
      </c>
    </row>
    <row r="57" spans="1:40" s="15" customFormat="1" ht="12.75" thickBot="1">
      <c r="A57" s="24" t="s">
        <v>160</v>
      </c>
      <c r="B57" s="30" t="s">
        <v>39</v>
      </c>
      <c r="C57" s="68"/>
      <c r="D57" s="16"/>
      <c r="E57" s="69"/>
      <c r="F57" s="69"/>
      <c r="G57" s="69"/>
      <c r="H57" s="69"/>
      <c r="I57" s="69"/>
      <c r="J57" s="69"/>
      <c r="K57" s="69"/>
      <c r="L57" s="26"/>
      <c r="M57" s="86"/>
      <c r="N57" s="19"/>
      <c r="O57" s="19"/>
      <c r="P57" s="48"/>
      <c r="Q57" s="48"/>
      <c r="R57" s="19"/>
      <c r="S57" s="26"/>
      <c r="T57" s="48"/>
      <c r="U57" s="48"/>
      <c r="V57" s="19"/>
      <c r="W57" s="26"/>
      <c r="X57" s="48"/>
      <c r="Y57" s="48"/>
      <c r="Z57" s="19"/>
      <c r="AA57" s="26"/>
      <c r="AB57" s="48"/>
      <c r="AC57" s="49" t="s">
        <v>72</v>
      </c>
      <c r="AD57" s="19"/>
      <c r="AE57" s="26"/>
      <c r="AF57" s="71"/>
      <c r="AG57" s="72"/>
      <c r="AJ57" s="15">
        <f>+AJ48-AJ56</f>
        <v>3308055.5071691014</v>
      </c>
    </row>
    <row r="58" spans="1:40" s="15" customFormat="1" ht="12.75" thickBot="1">
      <c r="A58" s="24" t="s">
        <v>160</v>
      </c>
      <c r="B58" s="15" t="s">
        <v>40</v>
      </c>
      <c r="C58" s="68"/>
      <c r="D58" s="16">
        <f t="shared" ref="D58:D64" si="22">L58/$L$88</f>
        <v>7.3432331732923364E-3</v>
      </c>
      <c r="E58" s="69" t="s">
        <v>195</v>
      </c>
      <c r="F58" s="69" t="s">
        <v>195</v>
      </c>
      <c r="G58" s="73"/>
      <c r="H58" s="69" t="s">
        <v>195</v>
      </c>
      <c r="I58" s="69" t="s">
        <v>195</v>
      </c>
      <c r="J58" s="74" t="s">
        <v>195</v>
      </c>
      <c r="K58" s="74" t="s">
        <v>195</v>
      </c>
      <c r="L58" s="26">
        <f t="shared" si="21"/>
        <v>5162.5</v>
      </c>
      <c r="M58" s="26">
        <f>1475/2</f>
        <v>737.5</v>
      </c>
      <c r="N58" s="19">
        <f t="shared" si="4"/>
        <v>0.53597383720930236</v>
      </c>
      <c r="O58" s="19"/>
      <c r="P58" s="48">
        <f t="shared" si="9"/>
        <v>3037.5</v>
      </c>
      <c r="Q58" s="48">
        <f>12*75*CMF</f>
        <v>1012.5</v>
      </c>
      <c r="R58" s="19">
        <f t="shared" si="5"/>
        <v>0.84515859766277124</v>
      </c>
      <c r="S58" s="26"/>
      <c r="T58" s="48">
        <f t="shared" si="10"/>
        <v>73912.5</v>
      </c>
      <c r="U58" s="48">
        <f>12*75*CMF</f>
        <v>1012.5</v>
      </c>
      <c r="V58" s="19">
        <f t="shared" si="6"/>
        <v>0.91463414634146345</v>
      </c>
      <c r="W58" s="26"/>
      <c r="X58" s="48">
        <f t="shared" si="11"/>
        <v>58725</v>
      </c>
      <c r="Y58" s="48">
        <f>12*75*CMF</f>
        <v>1012.5</v>
      </c>
      <c r="Z58" s="19">
        <f t="shared" si="7"/>
        <v>0.78671328671328666</v>
      </c>
      <c r="AA58" s="26"/>
      <c r="AB58" s="48">
        <f t="shared" si="3"/>
        <v>135675</v>
      </c>
      <c r="AC58" s="49">
        <f>+AB58/AB$7</f>
        <v>1012.5</v>
      </c>
      <c r="AD58" s="19">
        <f>+AC58/AC$8</f>
        <v>0.85299073294018535</v>
      </c>
      <c r="AE58" s="26"/>
      <c r="AF58" s="71"/>
      <c r="AG58" s="72"/>
      <c r="AI58" s="16"/>
      <c r="AJ58" s="17">
        <f>AJ57-AJ47-AJ46</f>
        <v>1465142.7691468783</v>
      </c>
    </row>
    <row r="59" spans="1:40" s="15" customFormat="1" ht="12.75" thickBot="1">
      <c r="A59" s="24" t="s">
        <v>160</v>
      </c>
      <c r="B59" s="15" t="s">
        <v>41</v>
      </c>
      <c r="C59" s="68"/>
      <c r="D59" s="16">
        <f t="shared" si="22"/>
        <v>6.2977559079422409E-3</v>
      </c>
      <c r="E59" s="69" t="s">
        <v>195</v>
      </c>
      <c r="F59" s="69" t="s">
        <v>195</v>
      </c>
      <c r="G59" s="73"/>
      <c r="H59" s="69" t="s">
        <v>195</v>
      </c>
      <c r="I59" s="69" t="s">
        <v>195</v>
      </c>
      <c r="J59" s="74" t="s">
        <v>195</v>
      </c>
      <c r="K59" s="74" t="s">
        <v>195</v>
      </c>
      <c r="L59" s="26">
        <f t="shared" si="21"/>
        <v>4427.5</v>
      </c>
      <c r="M59" s="26">
        <f>1265/2</f>
        <v>632.5</v>
      </c>
      <c r="N59" s="19">
        <f t="shared" si="4"/>
        <v>0.45966569767441862</v>
      </c>
      <c r="O59" s="19"/>
      <c r="P59" s="48">
        <f t="shared" si="9"/>
        <v>1858.543332122093</v>
      </c>
      <c r="Q59" s="48">
        <f>Q$8*$N59*CMF</f>
        <v>619.51444404069764</v>
      </c>
      <c r="R59" s="19">
        <f t="shared" si="5"/>
        <v>0.51712390988372092</v>
      </c>
      <c r="S59" s="26"/>
      <c r="T59" s="48">
        <f t="shared" si="10"/>
        <v>41789.300281613374</v>
      </c>
      <c r="U59" s="48">
        <f t="shared" ref="U59:U72" si="23">U$8*$N59*CMF</f>
        <v>572.4561682412791</v>
      </c>
      <c r="V59" s="19">
        <f t="shared" si="6"/>
        <v>0.51712390988372092</v>
      </c>
      <c r="W59" s="26"/>
      <c r="X59" s="48">
        <f t="shared" si="11"/>
        <v>38601.231377180236</v>
      </c>
      <c r="Y59" s="48">
        <f t="shared" ref="Y59:Y72" si="24">Y$8*$N59*CMF</f>
        <v>665.53847202034888</v>
      </c>
      <c r="Z59" s="19">
        <f t="shared" si="7"/>
        <v>0.51712390988372092</v>
      </c>
      <c r="AA59" s="26"/>
      <c r="AB59" s="48">
        <f t="shared" si="3"/>
        <v>82249.074990915702</v>
      </c>
      <c r="AC59" s="49">
        <f>+AB59/AB$7</f>
        <v>613.79906709638578</v>
      </c>
      <c r="AD59" s="19">
        <f>+AC59/AC$8</f>
        <v>0.51710115172399818</v>
      </c>
      <c r="AE59" s="26"/>
      <c r="AF59" s="71"/>
      <c r="AG59" s="72"/>
      <c r="AI59" s="16"/>
      <c r="AJ59" s="17"/>
    </row>
    <row r="60" spans="1:40" s="15" customFormat="1" ht="12.75" thickBot="1">
      <c r="A60" s="24" t="s">
        <v>160</v>
      </c>
      <c r="B60" s="15" t="s">
        <v>28</v>
      </c>
      <c r="C60" s="68"/>
      <c r="D60" s="16">
        <f t="shared" si="22"/>
        <v>6.2081435709122335E-3</v>
      </c>
      <c r="E60" s="69" t="s">
        <v>195</v>
      </c>
      <c r="F60" s="69" t="s">
        <v>195</v>
      </c>
      <c r="G60" s="73"/>
      <c r="H60" s="69" t="s">
        <v>195</v>
      </c>
      <c r="I60" s="69" t="s">
        <v>195</v>
      </c>
      <c r="J60" s="74" t="s">
        <v>195</v>
      </c>
      <c r="K60" s="74" t="s">
        <v>195</v>
      </c>
      <c r="L60" s="26">
        <f t="shared" si="21"/>
        <v>4364.5</v>
      </c>
      <c r="M60" s="26">
        <f>1247/2</f>
        <v>623.5</v>
      </c>
      <c r="N60" s="19">
        <f t="shared" si="4"/>
        <v>0.453125</v>
      </c>
      <c r="O60" s="19"/>
      <c r="P60" s="48">
        <f t="shared" si="9"/>
        <v>1832.09765625</v>
      </c>
      <c r="Q60" s="48">
        <f>Q$8*$N60*CMF</f>
        <v>610.69921875</v>
      </c>
      <c r="R60" s="19">
        <f t="shared" si="5"/>
        <v>0.509765625</v>
      </c>
      <c r="S60" s="26"/>
      <c r="T60" s="48">
        <f t="shared" si="10"/>
        <v>41194.669921875</v>
      </c>
      <c r="U60" s="48">
        <f t="shared" si="23"/>
        <v>564.310546875</v>
      </c>
      <c r="V60" s="19">
        <f t="shared" si="6"/>
        <v>0.509765625</v>
      </c>
      <c r="W60" s="26"/>
      <c r="X60" s="48">
        <f t="shared" si="11"/>
        <v>38051.96484375</v>
      </c>
      <c r="Y60" s="48">
        <f t="shared" si="24"/>
        <v>656.068359375</v>
      </c>
      <c r="Z60" s="19">
        <f t="shared" si="7"/>
        <v>0.509765625</v>
      </c>
      <c r="AA60" s="26"/>
      <c r="AB60" s="48">
        <f t="shared" si="3"/>
        <v>81078.732421875</v>
      </c>
      <c r="AC60" s="49">
        <f>+AB60/AB$7</f>
        <v>605.06516732742534</v>
      </c>
      <c r="AD60" s="19">
        <f>+AC60/AC$8</f>
        <v>0.50974319067179896</v>
      </c>
      <c r="AE60" s="26"/>
      <c r="AF60" s="71"/>
      <c r="AG60" s="72"/>
      <c r="AI60" s="16"/>
      <c r="AJ60" s="26">
        <f>X7</f>
        <v>58</v>
      </c>
      <c r="AK60" s="15">
        <f>475*3</f>
        <v>1425</v>
      </c>
      <c r="AL60" s="15">
        <f>AK60*AJ60</f>
        <v>82650</v>
      </c>
      <c r="AN60" s="18">
        <f>AK60/AC$8</f>
        <v>1.2005054759898905</v>
      </c>
    </row>
    <row r="61" spans="1:40" s="15" customFormat="1">
      <c r="A61" s="24"/>
      <c r="B61" s="30" t="s">
        <v>42</v>
      </c>
      <c r="C61" s="68"/>
      <c r="D61" s="16">
        <f t="shared" si="22"/>
        <v>0</v>
      </c>
      <c r="E61" s="69"/>
      <c r="F61" s="69"/>
      <c r="G61" s="69"/>
      <c r="H61" s="69"/>
      <c r="I61" s="69"/>
      <c r="J61" s="69"/>
      <c r="K61" s="69"/>
      <c r="L61" s="26"/>
      <c r="M61" s="26"/>
      <c r="N61" s="19"/>
      <c r="O61" s="19"/>
      <c r="P61" s="48"/>
      <c r="Q61" s="48"/>
      <c r="R61" s="19"/>
      <c r="S61" s="26"/>
      <c r="T61" s="48"/>
      <c r="U61" s="48"/>
      <c r="V61" s="19"/>
      <c r="W61" s="26"/>
      <c r="X61" s="48"/>
      <c r="Y61" s="48"/>
      <c r="Z61" s="19"/>
      <c r="AA61" s="26"/>
      <c r="AB61" s="48"/>
      <c r="AC61" s="49" t="s">
        <v>72</v>
      </c>
      <c r="AD61" s="19"/>
      <c r="AE61" s="26"/>
      <c r="AF61" s="71"/>
      <c r="AG61" s="72"/>
      <c r="AI61" s="16"/>
      <c r="AJ61" s="26">
        <f>T7</f>
        <v>73</v>
      </c>
      <c r="AK61" s="15">
        <v>1200</v>
      </c>
      <c r="AL61" s="15">
        <f>AK61*AJ61</f>
        <v>87600</v>
      </c>
      <c r="AN61" s="18">
        <f>AK61/U$8</f>
        <v>1.084010840108401</v>
      </c>
    </row>
    <row r="62" spans="1:40" s="15" customFormat="1" ht="12.75" thickBot="1">
      <c r="A62" s="24" t="s">
        <v>174</v>
      </c>
      <c r="B62" s="15" t="s">
        <v>43</v>
      </c>
      <c r="C62" s="68"/>
      <c r="D62" s="16">
        <f t="shared" si="22"/>
        <v>1.1326003707959366E-2</v>
      </c>
      <c r="E62" s="69" t="s">
        <v>195</v>
      </c>
      <c r="F62" s="69" t="s">
        <v>195</v>
      </c>
      <c r="G62" s="69" t="s">
        <v>195</v>
      </c>
      <c r="H62" s="69" t="s">
        <v>195</v>
      </c>
      <c r="I62" s="69" t="s">
        <v>195</v>
      </c>
      <c r="J62" s="69" t="s">
        <v>195</v>
      </c>
      <c r="K62" s="69" t="s">
        <v>195</v>
      </c>
      <c r="L62" s="26">
        <f t="shared" si="21"/>
        <v>7962.5</v>
      </c>
      <c r="M62" s="26">
        <f>2275/2</f>
        <v>1137.5</v>
      </c>
      <c r="N62" s="19">
        <f t="shared" si="4"/>
        <v>0.82667151162790697</v>
      </c>
      <c r="O62" s="19"/>
      <c r="P62" s="48">
        <f t="shared" si="9"/>
        <v>3011.3015625000003</v>
      </c>
      <c r="Q62" s="48">
        <f>1.75*R$8*0.33*CMF</f>
        <v>1003.7671875000001</v>
      </c>
      <c r="R62" s="19">
        <f t="shared" si="5"/>
        <v>0.83786910475792997</v>
      </c>
      <c r="S62" s="26"/>
      <c r="T62" s="48">
        <f t="shared" si="10"/>
        <v>75154.670466933138</v>
      </c>
      <c r="U62" s="48">
        <f t="shared" si="23"/>
        <v>1029.5160337936047</v>
      </c>
      <c r="V62" s="19">
        <f t="shared" si="6"/>
        <v>0.93000545058139539</v>
      </c>
      <c r="W62" s="26"/>
      <c r="X62" s="48">
        <f t="shared" si="11"/>
        <v>69421.186864098825</v>
      </c>
      <c r="Y62" s="48">
        <f t="shared" si="24"/>
        <v>1196.9170148982557</v>
      </c>
      <c r="Z62" s="19">
        <f t="shared" si="7"/>
        <v>0.93000545058139528</v>
      </c>
      <c r="AA62" s="26"/>
      <c r="AB62" s="48">
        <f t="shared" si="3"/>
        <v>147587.15889353197</v>
      </c>
      <c r="AC62" s="49">
        <f>+AB62/AB$7</f>
        <v>1101.3967081606863</v>
      </c>
      <c r="AD62" s="19">
        <f>+AC62/AC$8</f>
        <v>0.92788265219939881</v>
      </c>
      <c r="AE62" s="26"/>
      <c r="AF62" s="71"/>
      <c r="AG62" s="72"/>
      <c r="AI62" s="16"/>
      <c r="AJ62" s="15">
        <f>P7</f>
        <v>3</v>
      </c>
      <c r="AK62" s="26">
        <v>1250</v>
      </c>
      <c r="AL62" s="15">
        <f>AK62*AJ62</f>
        <v>3750</v>
      </c>
      <c r="AM62" s="15">
        <f>SUM(AL60:AL62)</f>
        <v>174000</v>
      </c>
      <c r="AN62" s="18">
        <f>AK62/Q$8</f>
        <v>1.0434056761268782</v>
      </c>
    </row>
    <row r="63" spans="1:40" s="15" customFormat="1" ht="12.75" thickBot="1">
      <c r="A63" s="24" t="s">
        <v>175</v>
      </c>
      <c r="B63" s="15" t="s">
        <v>44</v>
      </c>
      <c r="C63" s="68"/>
      <c r="D63" s="16">
        <f t="shared" si="22"/>
        <v>9.0608029663674927E-3</v>
      </c>
      <c r="E63" s="69" t="s">
        <v>195</v>
      </c>
      <c r="F63" s="69" t="s">
        <v>195</v>
      </c>
      <c r="G63" s="73"/>
      <c r="H63" s="69" t="s">
        <v>195</v>
      </c>
      <c r="I63" s="69" t="s">
        <v>195</v>
      </c>
      <c r="J63" s="74" t="s">
        <v>195</v>
      </c>
      <c r="K63" s="74" t="s">
        <v>195</v>
      </c>
      <c r="L63" s="26">
        <f t="shared" si="21"/>
        <v>6370</v>
      </c>
      <c r="M63" s="26">
        <f>1820/2</f>
        <v>910</v>
      </c>
      <c r="N63" s="19">
        <f t="shared" si="4"/>
        <v>0.66133720930232553</v>
      </c>
      <c r="O63" s="19"/>
      <c r="P63" s="48">
        <f t="shared" si="9"/>
        <v>6113.8546875000002</v>
      </c>
      <c r="Q63" s="48">
        <f>1.75*R$8*0.67*CMF</f>
        <v>2037.9515625000001</v>
      </c>
      <c r="R63" s="19">
        <f t="shared" si="5"/>
        <v>1.7011281823873123</v>
      </c>
      <c r="S63" s="26"/>
      <c r="T63" s="48">
        <f t="shared" si="10"/>
        <v>60123.736373546511</v>
      </c>
      <c r="U63" s="48">
        <f t="shared" si="23"/>
        <v>823.61282703488371</v>
      </c>
      <c r="V63" s="19">
        <f t="shared" si="6"/>
        <v>0.74400436046511631</v>
      </c>
      <c r="W63" s="26"/>
      <c r="X63" s="48">
        <f t="shared" si="11"/>
        <v>55536.949491279061</v>
      </c>
      <c r="Y63" s="48">
        <f t="shared" si="24"/>
        <v>957.53361191860449</v>
      </c>
      <c r="Z63" s="19">
        <f t="shared" si="7"/>
        <v>0.7440043604651162</v>
      </c>
      <c r="AA63" s="26"/>
      <c r="AB63" s="48">
        <f t="shared" si="3"/>
        <v>121774.54055232558</v>
      </c>
      <c r="AC63" s="49">
        <f>+AB63/AB$7</f>
        <v>908.76522800242969</v>
      </c>
      <c r="AD63" s="19">
        <f>+AC63/AC$8</f>
        <v>0.76559833867096017</v>
      </c>
      <c r="AE63" s="26"/>
      <c r="AF63" s="71"/>
      <c r="AG63" s="72"/>
      <c r="AI63" s="16"/>
      <c r="AJ63" s="15">
        <f>2900000/28</f>
        <v>103571.42857142857</v>
      </c>
      <c r="AK63" s="18">
        <f>AJ63/1343</f>
        <v>77.119455377087533</v>
      </c>
      <c r="AL63" s="26"/>
    </row>
    <row r="64" spans="1:40" s="15" customFormat="1" ht="12.75" thickBot="1">
      <c r="A64" s="24" t="s">
        <v>175</v>
      </c>
      <c r="B64" s="15" t="s">
        <v>45</v>
      </c>
      <c r="C64" s="68"/>
      <c r="D64" s="16">
        <f t="shared" si="22"/>
        <v>2.2652007415918732E-3</v>
      </c>
      <c r="E64" s="69" t="s">
        <v>195</v>
      </c>
      <c r="F64" s="69" t="s">
        <v>195</v>
      </c>
      <c r="G64" s="73"/>
      <c r="H64" s="69" t="s">
        <v>195</v>
      </c>
      <c r="I64" s="69" t="s">
        <v>195</v>
      </c>
      <c r="J64" s="74" t="s">
        <v>195</v>
      </c>
      <c r="K64" s="74" t="s">
        <v>195</v>
      </c>
      <c r="L64" s="26">
        <f t="shared" si="21"/>
        <v>1592.5</v>
      </c>
      <c r="M64" s="26">
        <f>455/2</f>
        <v>227.5</v>
      </c>
      <c r="N64" s="19">
        <f t="shared" si="4"/>
        <v>0.16533430232558138</v>
      </c>
      <c r="O64" s="19"/>
      <c r="P64" s="48">
        <f t="shared" si="9"/>
        <v>668.48791787790697</v>
      </c>
      <c r="Q64" s="48">
        <f>Q$8*$N64*CMF</f>
        <v>222.8293059593023</v>
      </c>
      <c r="R64" s="19">
        <f t="shared" si="5"/>
        <v>0.18600109011627905</v>
      </c>
      <c r="S64" s="26"/>
      <c r="T64" s="48">
        <f t="shared" si="10"/>
        <v>15030.934093386628</v>
      </c>
      <c r="U64" s="48">
        <f t="shared" si="23"/>
        <v>205.90320675872093</v>
      </c>
      <c r="V64" s="19">
        <f t="shared" si="6"/>
        <v>0.18600109011627908</v>
      </c>
      <c r="W64" s="26"/>
      <c r="X64" s="48">
        <f t="shared" si="11"/>
        <v>13884.237372819765</v>
      </c>
      <c r="Y64" s="48">
        <f t="shared" si="24"/>
        <v>239.38340297965112</v>
      </c>
      <c r="Z64" s="19">
        <f t="shared" si="7"/>
        <v>0.18600109011627905</v>
      </c>
      <c r="AA64" s="26"/>
      <c r="AB64" s="48">
        <f t="shared" si="3"/>
        <v>29583.659384084302</v>
      </c>
      <c r="AC64" s="49">
        <f>+AB64/AB$7</f>
        <v>220.77357749316644</v>
      </c>
      <c r="AD64" s="19">
        <f>+AC64/AC$8</f>
        <v>0.18599290437503491</v>
      </c>
      <c r="AE64" s="26"/>
      <c r="AF64" s="71"/>
      <c r="AG64" s="72"/>
      <c r="AJ64" s="15">
        <f>2700000/28</f>
        <v>96428.571428571435</v>
      </c>
      <c r="AK64" s="18">
        <f>AJ64/1343</f>
        <v>71.800872247633237</v>
      </c>
    </row>
    <row r="65" spans="1:41" s="15" customFormat="1">
      <c r="A65" s="24"/>
      <c r="B65" s="30" t="s">
        <v>46</v>
      </c>
      <c r="C65" s="68"/>
      <c r="D65" s="16"/>
      <c r="E65" s="69"/>
      <c r="F65" s="69"/>
      <c r="G65" s="69"/>
      <c r="H65" s="69"/>
      <c r="I65" s="69"/>
      <c r="J65" s="69"/>
      <c r="K65" s="69"/>
      <c r="L65" s="26"/>
      <c r="M65" s="26"/>
      <c r="N65" s="19">
        <f t="shared" si="4"/>
        <v>0</v>
      </c>
      <c r="O65" s="19"/>
      <c r="P65" s="48"/>
      <c r="Q65" s="76"/>
      <c r="R65" s="19"/>
      <c r="S65" s="26"/>
      <c r="T65" s="48"/>
      <c r="U65" s="48"/>
      <c r="V65" s="19"/>
      <c r="W65" s="26"/>
      <c r="X65" s="48"/>
      <c r="Y65" s="48"/>
      <c r="Z65" s="19"/>
      <c r="AA65" s="26"/>
      <c r="AB65" s="48"/>
      <c r="AC65" s="49" t="s">
        <v>72</v>
      </c>
      <c r="AD65" s="19"/>
      <c r="AE65" s="26"/>
      <c r="AF65" s="71"/>
      <c r="AG65" s="72"/>
    </row>
    <row r="66" spans="1:41" s="15" customFormat="1" ht="12.75" thickBot="1">
      <c r="A66" s="24" t="s">
        <v>161</v>
      </c>
      <c r="B66" s="15" t="s">
        <v>47</v>
      </c>
      <c r="C66" s="68"/>
      <c r="D66" s="16">
        <f t="shared" ref="D66:D79" si="25">L66/$L$88</f>
        <v>9.4391661671608604E-3</v>
      </c>
      <c r="E66" s="69" t="s">
        <v>195</v>
      </c>
      <c r="F66" s="69" t="s">
        <v>195</v>
      </c>
      <c r="G66" s="69" t="s">
        <v>195</v>
      </c>
      <c r="H66" s="69" t="s">
        <v>195</v>
      </c>
      <c r="I66" s="69" t="s">
        <v>195</v>
      </c>
      <c r="J66" s="69" t="s">
        <v>195</v>
      </c>
      <c r="K66" s="69" t="s">
        <v>195</v>
      </c>
      <c r="L66" s="26">
        <f t="shared" si="21"/>
        <v>6636</v>
      </c>
      <c r="M66" s="26">
        <f>1896/2</f>
        <v>948</v>
      </c>
      <c r="N66" s="19">
        <f t="shared" si="4"/>
        <v>0.68895348837209303</v>
      </c>
      <c r="O66" s="19"/>
      <c r="P66" s="48">
        <f t="shared" si="9"/>
        <v>3712.5</v>
      </c>
      <c r="Q66" s="48">
        <f>1100*CMF</f>
        <v>1237.5</v>
      </c>
      <c r="R66" s="19">
        <f t="shared" si="5"/>
        <v>1.0329716193656093</v>
      </c>
      <c r="S66" s="26"/>
      <c r="T66" s="48">
        <f t="shared" si="10"/>
        <v>90337.5</v>
      </c>
      <c r="U66" s="48">
        <f>1100*CMF</f>
        <v>1237.5</v>
      </c>
      <c r="V66" s="19">
        <f t="shared" si="6"/>
        <v>1.1178861788617886</v>
      </c>
      <c r="W66" s="26"/>
      <c r="X66" s="48">
        <f t="shared" si="11"/>
        <v>71775</v>
      </c>
      <c r="Y66" s="48">
        <f>1100*CMF</f>
        <v>1237.5</v>
      </c>
      <c r="Z66" s="19">
        <f t="shared" si="7"/>
        <v>0.96153846153846156</v>
      </c>
      <c r="AA66" s="26"/>
      <c r="AB66" s="48">
        <f t="shared" si="3"/>
        <v>165825</v>
      </c>
      <c r="AC66" s="49">
        <f t="shared" ref="AC66:AC79" si="26">+AB66/AB$7</f>
        <v>1237.5</v>
      </c>
      <c r="AD66" s="19">
        <f t="shared" ref="AD66:AD77" si="27">+AC66/AC$8</f>
        <v>1.0425442291491154</v>
      </c>
      <c r="AE66" s="26"/>
      <c r="AF66" s="71"/>
      <c r="AG66" s="72"/>
      <c r="AJ66" s="87">
        <f>0.0725/12</f>
        <v>6.0416666666666665E-3</v>
      </c>
    </row>
    <row r="67" spans="1:41" s="15" customFormat="1" ht="12.75" thickBot="1">
      <c r="A67" s="24" t="s">
        <v>161</v>
      </c>
      <c r="B67" s="24" t="s">
        <v>66</v>
      </c>
      <c r="C67" s="68"/>
      <c r="D67" s="16">
        <f t="shared" si="25"/>
        <v>5.8845434649705368E-3</v>
      </c>
      <c r="E67" s="69" t="s">
        <v>195</v>
      </c>
      <c r="F67" s="69" t="s">
        <v>195</v>
      </c>
      <c r="G67" s="73"/>
      <c r="H67" s="69" t="s">
        <v>195</v>
      </c>
      <c r="I67" s="69" t="s">
        <v>195</v>
      </c>
      <c r="J67" s="73"/>
      <c r="K67" s="88" t="s">
        <v>200</v>
      </c>
      <c r="L67" s="26">
        <f t="shared" si="21"/>
        <v>4137</v>
      </c>
      <c r="M67" s="26">
        <f>1182/2</f>
        <v>591</v>
      </c>
      <c r="N67" s="19">
        <f t="shared" si="4"/>
        <v>0.42950581395348836</v>
      </c>
      <c r="O67" s="19"/>
      <c r="P67" s="48">
        <f t="shared" si="9"/>
        <v>2025</v>
      </c>
      <c r="Q67" s="48">
        <f>600*CMF</f>
        <v>675</v>
      </c>
      <c r="R67" s="19">
        <f t="shared" si="5"/>
        <v>0.56343906510851416</v>
      </c>
      <c r="S67" s="26"/>
      <c r="T67" s="48">
        <f t="shared" si="10"/>
        <v>49275</v>
      </c>
      <c r="U67" s="48">
        <f>600*CMF</f>
        <v>675</v>
      </c>
      <c r="V67" s="19">
        <f t="shared" si="6"/>
        <v>0.6097560975609756</v>
      </c>
      <c r="W67" s="26"/>
      <c r="X67" s="48">
        <f t="shared" si="11"/>
        <v>39150</v>
      </c>
      <c r="Y67" s="48">
        <f>600*CMF</f>
        <v>675</v>
      </c>
      <c r="Z67" s="19">
        <f t="shared" si="7"/>
        <v>0.52447552447552448</v>
      </c>
      <c r="AA67" s="26"/>
      <c r="AB67" s="48">
        <f t="shared" si="3"/>
        <v>90450</v>
      </c>
      <c r="AC67" s="49">
        <f t="shared" si="26"/>
        <v>675</v>
      </c>
      <c r="AD67" s="19">
        <f t="shared" si="27"/>
        <v>0.56866048862679019</v>
      </c>
      <c r="AE67" s="26"/>
      <c r="AF67" s="71"/>
      <c r="AG67" s="72"/>
      <c r="AJ67" s="15">
        <v>360</v>
      </c>
    </row>
    <row r="68" spans="1:41" s="15" customFormat="1" ht="12.75" thickBot="1">
      <c r="A68" s="24" t="s">
        <v>154</v>
      </c>
      <c r="B68" s="24" t="s">
        <v>231</v>
      </c>
      <c r="C68" s="68"/>
      <c r="D68" s="16">
        <f t="shared" si="25"/>
        <v>4.7594107889271011E-3</v>
      </c>
      <c r="E68" s="69" t="s">
        <v>195</v>
      </c>
      <c r="F68" s="69" t="s">
        <v>195</v>
      </c>
      <c r="G68" s="73"/>
      <c r="H68" s="69" t="s">
        <v>195</v>
      </c>
      <c r="I68" s="69" t="s">
        <v>195</v>
      </c>
      <c r="J68" s="73"/>
      <c r="K68" s="74" t="s">
        <v>195</v>
      </c>
      <c r="L68" s="26">
        <f t="shared" si="21"/>
        <v>3346</v>
      </c>
      <c r="M68" s="26">
        <f>956/2</f>
        <v>478</v>
      </c>
      <c r="N68" s="19">
        <f t="shared" si="4"/>
        <v>0.34738372093023256</v>
      </c>
      <c r="O68" s="19"/>
      <c r="P68" s="48">
        <f t="shared" si="9"/>
        <v>2079.5592296511632</v>
      </c>
      <c r="Q68" s="48">
        <f>(Q$8*$N68+200)*CMF</f>
        <v>693.18640988372101</v>
      </c>
      <c r="R68" s="19">
        <f t="shared" si="5"/>
        <v>0.57861970774934979</v>
      </c>
      <c r="S68" s="26"/>
      <c r="T68" s="48">
        <f t="shared" si="10"/>
        <v>48006.479106104649</v>
      </c>
      <c r="U68" s="48">
        <f>(U$8*$N68+200)*CMF</f>
        <v>657.62300145348831</v>
      </c>
      <c r="V68" s="19">
        <f t="shared" si="6"/>
        <v>0.59405871856683679</v>
      </c>
      <c r="W68" s="26"/>
      <c r="X68" s="48">
        <f t="shared" si="11"/>
        <v>42222.155886627908</v>
      </c>
      <c r="Y68" s="48">
        <f>(Y$8*$N68+200)*CMF</f>
        <v>727.96820494186045</v>
      </c>
      <c r="Z68" s="19">
        <f t="shared" si="7"/>
        <v>0.56563186087168649</v>
      </c>
      <c r="AA68" s="26"/>
      <c r="AB68" s="48">
        <f t="shared" si="3"/>
        <v>92308.19422238371</v>
      </c>
      <c r="AC68" s="49">
        <f t="shared" si="26"/>
        <v>688.86712106256505</v>
      </c>
      <c r="AD68" s="19">
        <f t="shared" si="27"/>
        <v>0.58034298320350886</v>
      </c>
      <c r="AE68" s="26"/>
      <c r="AF68" s="71"/>
      <c r="AG68" s="72"/>
      <c r="AI68" s="16"/>
      <c r="AJ68" s="26">
        <f>PMT(AJ66,AJ67,AJ48)</f>
        <v>-90267.080004000643</v>
      </c>
      <c r="AK68" s="26"/>
    </row>
    <row r="69" spans="1:41" s="15" customFormat="1" ht="12.75" thickBot="1">
      <c r="A69" s="24" t="s">
        <v>159</v>
      </c>
      <c r="B69" s="24" t="s">
        <v>49</v>
      </c>
      <c r="C69" s="68"/>
      <c r="D69" s="16">
        <f t="shared" si="25"/>
        <v>3.9728136083303622E-3</v>
      </c>
      <c r="E69" s="69" t="s">
        <v>195</v>
      </c>
      <c r="F69" s="69" t="s">
        <v>195</v>
      </c>
      <c r="G69" s="73"/>
      <c r="H69" s="69" t="s">
        <v>195</v>
      </c>
      <c r="I69" s="69" t="s">
        <v>195</v>
      </c>
      <c r="J69" s="74" t="s">
        <v>195</v>
      </c>
      <c r="K69" s="74" t="s">
        <v>195</v>
      </c>
      <c r="L69" s="26">
        <f t="shared" si="21"/>
        <v>2793</v>
      </c>
      <c r="M69" s="26">
        <f>798/2</f>
        <v>399</v>
      </c>
      <c r="N69" s="19">
        <f t="shared" si="4"/>
        <v>0.28997093023255816</v>
      </c>
      <c r="O69" s="19"/>
      <c r="P69" s="48">
        <f t="shared" si="9"/>
        <v>1172.4249636627906</v>
      </c>
      <c r="Q69" s="48">
        <f>Q$8*$N69*CMF</f>
        <v>390.80832122093022</v>
      </c>
      <c r="R69" s="19">
        <f t="shared" si="5"/>
        <v>0.3262172965116279</v>
      </c>
      <c r="S69" s="26"/>
      <c r="T69" s="48">
        <f t="shared" si="10"/>
        <v>26361.94594840116</v>
      </c>
      <c r="U69" s="48">
        <f t="shared" si="23"/>
        <v>361.12254723837208</v>
      </c>
      <c r="V69" s="19">
        <f t="shared" si="6"/>
        <v>0.3262172965116279</v>
      </c>
      <c r="W69" s="26"/>
      <c r="X69" s="48">
        <f t="shared" si="11"/>
        <v>24350.816315406981</v>
      </c>
      <c r="Y69" s="48">
        <f t="shared" si="24"/>
        <v>419.84166061046517</v>
      </c>
      <c r="Z69" s="19">
        <f t="shared" si="7"/>
        <v>0.32621729651162795</v>
      </c>
      <c r="AA69" s="26"/>
      <c r="AB69" s="48">
        <f t="shared" si="3"/>
        <v>51885.187227470931</v>
      </c>
      <c r="AC69" s="49">
        <f t="shared" si="26"/>
        <v>387.20288975724577</v>
      </c>
      <c r="AD69" s="19">
        <f t="shared" si="27"/>
        <v>0.3262029399808305</v>
      </c>
      <c r="AE69" s="26"/>
      <c r="AF69" s="71"/>
      <c r="AG69" s="72"/>
      <c r="AI69" s="16" t="s">
        <v>238</v>
      </c>
      <c r="AJ69" s="26">
        <f>+AM62</f>
        <v>174000</v>
      </c>
      <c r="AK69" s="26"/>
      <c r="AL69" s="26">
        <f>2700000*0.105</f>
        <v>283500</v>
      </c>
    </row>
    <row r="70" spans="1:41" s="15" customFormat="1" ht="12.75" thickBot="1">
      <c r="A70" s="24" t="s">
        <v>157</v>
      </c>
      <c r="B70" s="24" t="s">
        <v>50</v>
      </c>
      <c r="C70" s="68"/>
      <c r="D70" s="16">
        <f t="shared" si="25"/>
        <v>1.0385074169144281E-2</v>
      </c>
      <c r="E70" s="69" t="s">
        <v>195</v>
      </c>
      <c r="F70" s="69" t="s">
        <v>195</v>
      </c>
      <c r="G70" s="73"/>
      <c r="H70" s="69" t="s">
        <v>195</v>
      </c>
      <c r="I70" s="69" t="s">
        <v>195</v>
      </c>
      <c r="J70" s="74" t="s">
        <v>195</v>
      </c>
      <c r="K70" s="74" t="s">
        <v>195</v>
      </c>
      <c r="L70" s="26">
        <f t="shared" si="21"/>
        <v>7301</v>
      </c>
      <c r="M70" s="26">
        <f>2086/2</f>
        <v>1043</v>
      </c>
      <c r="N70" s="19">
        <f t="shared" si="4"/>
        <v>0.75799418604651159</v>
      </c>
      <c r="O70" s="19"/>
      <c r="P70" s="48">
        <f t="shared" si="9"/>
        <v>3037.5</v>
      </c>
      <c r="Q70" s="48">
        <f>(250+300+250+100)*CMF</f>
        <v>1012.5</v>
      </c>
      <c r="R70" s="19">
        <f t="shared" si="5"/>
        <v>0.84515859766277124</v>
      </c>
      <c r="S70" s="26"/>
      <c r="T70" s="48">
        <f t="shared" si="10"/>
        <v>73912.5</v>
      </c>
      <c r="U70" s="48">
        <f>(250+300+250+100)*CMF</f>
        <v>1012.5</v>
      </c>
      <c r="V70" s="19">
        <f t="shared" si="6"/>
        <v>0.91463414634146345</v>
      </c>
      <c r="W70" s="26"/>
      <c r="X70" s="48">
        <f t="shared" si="11"/>
        <v>58725</v>
      </c>
      <c r="Y70" s="48">
        <f>(250+300+250+100)*CMF</f>
        <v>1012.5</v>
      </c>
      <c r="Z70" s="19">
        <f t="shared" si="7"/>
        <v>0.78671328671328666</v>
      </c>
      <c r="AA70" s="26"/>
      <c r="AB70" s="48">
        <f t="shared" si="3"/>
        <v>135675</v>
      </c>
      <c r="AC70" s="49">
        <f t="shared" si="26"/>
        <v>1012.5</v>
      </c>
      <c r="AD70" s="19">
        <f t="shared" si="27"/>
        <v>0.85299073294018535</v>
      </c>
      <c r="AE70" s="26"/>
      <c r="AF70" s="71"/>
      <c r="AG70" s="72"/>
      <c r="AH70" s="11"/>
      <c r="AJ70" s="26">
        <f>0.9*AJ69</f>
        <v>156600</v>
      </c>
      <c r="AK70" s="26"/>
      <c r="AL70" s="26">
        <f>AL69/12</f>
        <v>23625</v>
      </c>
    </row>
    <row r="71" spans="1:41" s="15" customFormat="1" ht="12.75" thickBot="1">
      <c r="A71" s="24" t="s">
        <v>158</v>
      </c>
      <c r="B71" s="24" t="s">
        <v>64</v>
      </c>
      <c r="C71" s="68"/>
      <c r="D71" s="16">
        <f t="shared" si="25"/>
        <v>1.5931082138668121E-2</v>
      </c>
      <c r="E71" s="69" t="s">
        <v>195</v>
      </c>
      <c r="F71" s="69" t="s">
        <v>195</v>
      </c>
      <c r="G71" s="73"/>
      <c r="H71" s="69" t="s">
        <v>195</v>
      </c>
      <c r="I71" s="69" t="s">
        <v>195</v>
      </c>
      <c r="J71" s="73"/>
      <c r="K71" s="74" t="s">
        <v>195</v>
      </c>
      <c r="L71" s="26">
        <f t="shared" si="21"/>
        <v>11200</v>
      </c>
      <c r="M71" s="26">
        <f>3200/2</f>
        <v>1600</v>
      </c>
      <c r="N71" s="19">
        <f t="shared" si="4"/>
        <v>1.1627906976744187</v>
      </c>
      <c r="O71" s="19"/>
      <c r="P71" s="48">
        <f t="shared" si="9"/>
        <v>4932.7649999999994</v>
      </c>
      <c r="Q71" s="48">
        <f>1.22*Q$8*CMF</f>
        <v>1644.2549999999999</v>
      </c>
      <c r="R71" s="19">
        <f t="shared" si="5"/>
        <v>1.3724999999999998</v>
      </c>
      <c r="S71" s="26"/>
      <c r="T71" s="48">
        <f t="shared" si="10"/>
        <v>110913.0975</v>
      </c>
      <c r="U71" s="48">
        <f>1.22*U$8*CMF</f>
        <v>1519.3575000000001</v>
      </c>
      <c r="V71" s="19">
        <f t="shared" si="6"/>
        <v>1.3725000000000001</v>
      </c>
      <c r="W71" s="26"/>
      <c r="X71" s="48">
        <f t="shared" si="11"/>
        <v>102451.63499999999</v>
      </c>
      <c r="Y71" s="48">
        <f>1.22*Y$8*CMF</f>
        <v>1766.4074999999998</v>
      </c>
      <c r="Z71" s="19">
        <f t="shared" si="7"/>
        <v>1.3724999999999998</v>
      </c>
      <c r="AA71" s="26"/>
      <c r="AB71" s="48">
        <f t="shared" si="3"/>
        <v>218297.4975</v>
      </c>
      <c r="AC71" s="49">
        <f t="shared" si="26"/>
        <v>1629.0858022388059</v>
      </c>
      <c r="AD71" s="19">
        <f t="shared" si="27"/>
        <v>1.3724395975053125</v>
      </c>
      <c r="AE71" s="26"/>
      <c r="AF71" s="71"/>
      <c r="AG71" s="72"/>
      <c r="AI71" s="16"/>
      <c r="AJ71" s="89">
        <f>((110000/28/1343)*1187*134)/12</f>
        <v>38773.313122717438</v>
      </c>
      <c r="AK71" s="26"/>
      <c r="AL71" s="26"/>
    </row>
    <row r="72" spans="1:41" s="15" customFormat="1" ht="12.75" thickBot="1">
      <c r="A72" s="24" t="s">
        <v>160</v>
      </c>
      <c r="B72" s="24" t="s">
        <v>65</v>
      </c>
      <c r="C72" s="68"/>
      <c r="D72" s="16">
        <f t="shared" si="25"/>
        <v>1.5582589716884754E-3</v>
      </c>
      <c r="E72" s="69" t="s">
        <v>195</v>
      </c>
      <c r="F72" s="69" t="s">
        <v>195</v>
      </c>
      <c r="G72" s="88" t="s">
        <v>200</v>
      </c>
      <c r="H72" s="69" t="s">
        <v>195</v>
      </c>
      <c r="I72" s="69" t="s">
        <v>195</v>
      </c>
      <c r="J72" s="73"/>
      <c r="K72" s="88" t="s">
        <v>200</v>
      </c>
      <c r="L72" s="26">
        <f t="shared" si="21"/>
        <v>1095.5</v>
      </c>
      <c r="M72" s="26">
        <f>313/2</f>
        <v>156.5</v>
      </c>
      <c r="N72" s="19">
        <f t="shared" si="4"/>
        <v>0.11373546511627906</v>
      </c>
      <c r="O72" s="19"/>
      <c r="P72" s="48">
        <f t="shared" si="9"/>
        <v>459.86091933139534</v>
      </c>
      <c r="Q72" s="48">
        <f>Q$8*$N72*CMF</f>
        <v>153.28697311046511</v>
      </c>
      <c r="R72" s="19">
        <f t="shared" si="5"/>
        <v>0.12795239825581395</v>
      </c>
      <c r="S72" s="26"/>
      <c r="T72" s="48">
        <f t="shared" si="10"/>
        <v>10339.96125545058</v>
      </c>
      <c r="U72" s="48">
        <f t="shared" si="23"/>
        <v>141.64330486918604</v>
      </c>
      <c r="V72" s="19">
        <f t="shared" si="6"/>
        <v>0.12795239825581395</v>
      </c>
      <c r="W72" s="26"/>
      <c r="X72" s="48">
        <f t="shared" si="11"/>
        <v>9551.1347202034885</v>
      </c>
      <c r="Y72" s="48">
        <f t="shared" si="24"/>
        <v>164.67473655523256</v>
      </c>
      <c r="Z72" s="19">
        <f t="shared" si="7"/>
        <v>0.12795239825581395</v>
      </c>
      <c r="AA72" s="26"/>
      <c r="AB72" s="48">
        <f t="shared" si="3"/>
        <v>20350.956894985466</v>
      </c>
      <c r="AC72" s="49">
        <f t="shared" si="26"/>
        <v>151.87281264914526</v>
      </c>
      <c r="AD72" s="19">
        <f t="shared" si="27"/>
        <v>0.12794676718546358</v>
      </c>
      <c r="AE72" s="26"/>
      <c r="AF72" s="71"/>
      <c r="AG72" s="72"/>
      <c r="AI72" s="16"/>
      <c r="AJ72" s="26">
        <f>+AJ70-AJ71</f>
        <v>117826.68687728257</v>
      </c>
      <c r="AK72" s="26"/>
      <c r="AL72" s="26"/>
    </row>
    <row r="73" spans="1:41" s="15" customFormat="1">
      <c r="A73" s="24" t="s">
        <v>155</v>
      </c>
      <c r="B73" s="32" t="s">
        <v>51</v>
      </c>
      <c r="C73" s="68"/>
      <c r="D73" s="16">
        <f t="shared" si="25"/>
        <v>1.5707051296093101E-2</v>
      </c>
      <c r="E73" s="69"/>
      <c r="F73" s="69"/>
      <c r="G73" s="69"/>
      <c r="H73" s="69"/>
      <c r="I73" s="69"/>
      <c r="J73" s="69"/>
      <c r="K73" s="69"/>
      <c r="L73" s="26">
        <f t="shared" si="21"/>
        <v>11042.5</v>
      </c>
      <c r="M73" s="26">
        <f>3155/2</f>
        <v>1577.5</v>
      </c>
      <c r="N73" s="19">
        <f t="shared" si="4"/>
        <v>1.1464389534883721</v>
      </c>
      <c r="O73" s="19"/>
      <c r="P73" s="48">
        <f t="shared" si="9"/>
        <v>1139.0625</v>
      </c>
      <c r="Q73" s="48">
        <f>15*10*2.25*CMF</f>
        <v>379.6875</v>
      </c>
      <c r="R73" s="19">
        <f t="shared" si="5"/>
        <v>0.31693447412353926</v>
      </c>
      <c r="S73" s="26"/>
      <c r="T73" s="48">
        <f t="shared" si="10"/>
        <v>27717.1875</v>
      </c>
      <c r="U73" s="48">
        <f>15*10*2.25*CMF</f>
        <v>379.6875</v>
      </c>
      <c r="V73" s="19">
        <f t="shared" si="6"/>
        <v>0.34298780487804881</v>
      </c>
      <c r="W73" s="26"/>
      <c r="X73" s="48">
        <f t="shared" si="11"/>
        <v>22021.875</v>
      </c>
      <c r="Y73" s="48">
        <f>15*10*2.25*CMF</f>
        <v>379.6875</v>
      </c>
      <c r="Z73" s="19">
        <f t="shared" si="7"/>
        <v>0.2950174825174825</v>
      </c>
      <c r="AA73" s="26"/>
      <c r="AB73" s="48">
        <f t="shared" si="3"/>
        <v>50878.125</v>
      </c>
      <c r="AC73" s="49">
        <f t="shared" si="26"/>
        <v>379.6875</v>
      </c>
      <c r="AD73" s="19">
        <f t="shared" si="27"/>
        <v>0.31987152485256948</v>
      </c>
      <c r="AE73" s="26"/>
      <c r="AF73" s="71"/>
      <c r="AG73" s="72"/>
      <c r="AI73" s="16"/>
      <c r="AJ73" s="89">
        <f>+AJ72/-AJ68</f>
        <v>1.3053118243335275</v>
      </c>
      <c r="AK73" s="26"/>
      <c r="AL73" s="26"/>
    </row>
    <row r="74" spans="1:41" s="15" customFormat="1" ht="12.75" thickBot="1">
      <c r="A74" s="24" t="s">
        <v>155</v>
      </c>
      <c r="B74" s="24" t="s">
        <v>52</v>
      </c>
      <c r="C74" s="68"/>
      <c r="D74" s="16">
        <f t="shared" si="25"/>
        <v>0</v>
      </c>
      <c r="E74" s="69" t="s">
        <v>195</v>
      </c>
      <c r="F74" s="69" t="s">
        <v>195</v>
      </c>
      <c r="G74" s="69" t="s">
        <v>195</v>
      </c>
      <c r="H74" s="69" t="s">
        <v>195</v>
      </c>
      <c r="I74" s="69" t="s">
        <v>195</v>
      </c>
      <c r="J74" s="69" t="s">
        <v>195</v>
      </c>
      <c r="K74" s="69" t="s">
        <v>195</v>
      </c>
      <c r="L74" s="26">
        <f t="shared" si="21"/>
        <v>0</v>
      </c>
      <c r="M74" s="26"/>
      <c r="N74" s="19">
        <f t="shared" si="4"/>
        <v>0</v>
      </c>
      <c r="O74" s="19"/>
      <c r="P74" s="48">
        <f t="shared" si="9"/>
        <v>0</v>
      </c>
      <c r="Q74" s="48">
        <f>$M74*CMF</f>
        <v>0</v>
      </c>
      <c r="R74" s="19">
        <f t="shared" si="5"/>
        <v>0</v>
      </c>
      <c r="S74" s="26"/>
      <c r="T74" s="48">
        <f t="shared" si="10"/>
        <v>0</v>
      </c>
      <c r="U74" s="48">
        <f>$M74*CMF</f>
        <v>0</v>
      </c>
      <c r="V74" s="19">
        <f t="shared" si="6"/>
        <v>0</v>
      </c>
      <c r="W74" s="26"/>
      <c r="X74" s="48">
        <f t="shared" si="11"/>
        <v>0</v>
      </c>
      <c r="Y74" s="48">
        <f>$M74*CMF</f>
        <v>0</v>
      </c>
      <c r="Z74" s="19">
        <f t="shared" si="7"/>
        <v>0</v>
      </c>
      <c r="AA74" s="26"/>
      <c r="AB74" s="48">
        <f t="shared" si="3"/>
        <v>0</v>
      </c>
      <c r="AC74" s="49">
        <f t="shared" si="26"/>
        <v>0</v>
      </c>
      <c r="AD74" s="19">
        <f t="shared" si="27"/>
        <v>0</v>
      </c>
      <c r="AE74" s="26"/>
      <c r="AF74" s="71"/>
      <c r="AG74" s="72"/>
      <c r="AH74" s="11"/>
      <c r="AI74" s="16"/>
      <c r="AJ74" s="26"/>
      <c r="AK74" s="26"/>
      <c r="AL74" s="26"/>
    </row>
    <row r="75" spans="1:41" s="15" customFormat="1" ht="12.75" thickBot="1">
      <c r="A75" s="24" t="s">
        <v>155</v>
      </c>
      <c r="B75" s="24" t="s">
        <v>53</v>
      </c>
      <c r="C75" s="68"/>
      <c r="D75" s="16">
        <f t="shared" si="25"/>
        <v>0</v>
      </c>
      <c r="E75" s="69" t="s">
        <v>195</v>
      </c>
      <c r="F75" s="69" t="s">
        <v>195</v>
      </c>
      <c r="G75" s="73"/>
      <c r="H75" s="69" t="s">
        <v>195</v>
      </c>
      <c r="I75" s="69" t="s">
        <v>195</v>
      </c>
      <c r="J75" s="73"/>
      <c r="K75" s="88" t="s">
        <v>200</v>
      </c>
      <c r="L75" s="26">
        <f t="shared" si="21"/>
        <v>0</v>
      </c>
      <c r="M75" s="26"/>
      <c r="N75" s="19">
        <f t="shared" si="4"/>
        <v>0</v>
      </c>
      <c r="O75" s="19"/>
      <c r="P75" s="48">
        <f t="shared" si="9"/>
        <v>0</v>
      </c>
      <c r="Q75" s="48">
        <f>$M75*CMF</f>
        <v>0</v>
      </c>
      <c r="R75" s="19">
        <f t="shared" si="5"/>
        <v>0</v>
      </c>
      <c r="S75" s="26"/>
      <c r="T75" s="48">
        <f t="shared" si="10"/>
        <v>0</v>
      </c>
      <c r="U75" s="48">
        <f>$M75*CMF</f>
        <v>0</v>
      </c>
      <c r="V75" s="19">
        <f t="shared" si="6"/>
        <v>0</v>
      </c>
      <c r="W75" s="26"/>
      <c r="X75" s="48">
        <f t="shared" si="11"/>
        <v>0</v>
      </c>
      <c r="Y75" s="48">
        <f>$M75*CMF</f>
        <v>0</v>
      </c>
      <c r="Z75" s="19">
        <f t="shared" si="7"/>
        <v>0</v>
      </c>
      <c r="AA75" s="26"/>
      <c r="AB75" s="48">
        <f t="shared" si="3"/>
        <v>0</v>
      </c>
      <c r="AC75" s="49">
        <f t="shared" si="26"/>
        <v>0</v>
      </c>
      <c r="AD75" s="19">
        <f t="shared" si="27"/>
        <v>0</v>
      </c>
      <c r="AE75" s="26"/>
      <c r="AF75" s="71"/>
      <c r="AG75" s="72"/>
      <c r="AJ75" s="26">
        <f>+AJ69-AJ71+0.05*AJ69</f>
        <v>143926.68687728257</v>
      </c>
      <c r="AK75" s="26"/>
      <c r="AL75" s="15">
        <f>AO75*12</f>
        <v>16448764.21454658</v>
      </c>
      <c r="AO75" s="49">
        <f>AJ75/0.105</f>
        <v>1370730.3512122149</v>
      </c>
    </row>
    <row r="76" spans="1:41" s="15" customFormat="1" ht="12.75" thickBot="1">
      <c r="A76" s="24" t="s">
        <v>155</v>
      </c>
      <c r="B76" s="24" t="s">
        <v>54</v>
      </c>
      <c r="C76" s="68"/>
      <c r="D76" s="16">
        <f t="shared" si="25"/>
        <v>0</v>
      </c>
      <c r="E76" s="69" t="s">
        <v>195</v>
      </c>
      <c r="F76" s="69" t="s">
        <v>195</v>
      </c>
      <c r="G76" s="73"/>
      <c r="H76" s="69" t="s">
        <v>195</v>
      </c>
      <c r="I76" s="69" t="s">
        <v>195</v>
      </c>
      <c r="J76" s="73"/>
      <c r="K76" s="88" t="s">
        <v>200</v>
      </c>
      <c r="L76" s="26">
        <f t="shared" si="21"/>
        <v>0</v>
      </c>
      <c r="M76" s="26"/>
      <c r="N76" s="19">
        <f t="shared" si="4"/>
        <v>0</v>
      </c>
      <c r="O76" s="19"/>
      <c r="P76" s="48">
        <f t="shared" si="9"/>
        <v>0</v>
      </c>
      <c r="Q76" s="48">
        <f>$M76*CMF</f>
        <v>0</v>
      </c>
      <c r="R76" s="19">
        <f t="shared" si="5"/>
        <v>0</v>
      </c>
      <c r="S76" s="26"/>
      <c r="T76" s="48">
        <f t="shared" si="10"/>
        <v>0</v>
      </c>
      <c r="U76" s="48">
        <f>$M76*CMF</f>
        <v>0</v>
      </c>
      <c r="V76" s="19">
        <f t="shared" si="6"/>
        <v>0</v>
      </c>
      <c r="W76" s="26"/>
      <c r="X76" s="48">
        <f t="shared" si="11"/>
        <v>0</v>
      </c>
      <c r="Y76" s="48">
        <f>$M76*CMF</f>
        <v>0</v>
      </c>
      <c r="Z76" s="19">
        <f t="shared" si="7"/>
        <v>0</v>
      </c>
      <c r="AA76" s="26"/>
      <c r="AB76" s="48">
        <f t="shared" si="3"/>
        <v>0</v>
      </c>
      <c r="AC76" s="49">
        <f t="shared" si="26"/>
        <v>0</v>
      </c>
      <c r="AD76" s="19">
        <f t="shared" si="27"/>
        <v>0</v>
      </c>
      <c r="AE76" s="26"/>
      <c r="AF76" s="71"/>
      <c r="AG76" s="72"/>
      <c r="AI76" s="16"/>
      <c r="AJ76" s="26">
        <f>+AJ68</f>
        <v>-90267.080004000643</v>
      </c>
      <c r="AK76" s="26"/>
      <c r="AL76" s="26">
        <f>0.8*AL75</f>
        <v>13159011.371637264</v>
      </c>
    </row>
    <row r="77" spans="1:41" s="15" customFormat="1" ht="12.75" thickBot="1">
      <c r="A77" s="24" t="s">
        <v>156</v>
      </c>
      <c r="B77" s="32" t="s">
        <v>197</v>
      </c>
      <c r="C77" s="68"/>
      <c r="D77" s="16">
        <f t="shared" si="25"/>
        <v>7.9207349008190552E-3</v>
      </c>
      <c r="E77" s="69" t="s">
        <v>195</v>
      </c>
      <c r="F77" s="69" t="s">
        <v>195</v>
      </c>
      <c r="G77" s="69" t="s">
        <v>195</v>
      </c>
      <c r="H77" s="69" t="s">
        <v>195</v>
      </c>
      <c r="I77" s="69" t="s">
        <v>195</v>
      </c>
      <c r="J77" s="69" t="s">
        <v>195</v>
      </c>
      <c r="K77" s="69" t="s">
        <v>195</v>
      </c>
      <c r="L77" s="26">
        <f t="shared" ref="L77:L87" si="28">7*M77</f>
        <v>5568.5</v>
      </c>
      <c r="M77" s="26">
        <f>1591/2</f>
        <v>795.5</v>
      </c>
      <c r="N77" s="19">
        <f t="shared" si="4"/>
        <v>0.578125</v>
      </c>
      <c r="O77" s="19"/>
      <c r="P77" s="48">
        <f t="shared" si="9"/>
        <v>2430</v>
      </c>
      <c r="Q77" s="48">
        <f>(28+20)*15*CMF</f>
        <v>810</v>
      </c>
      <c r="R77" s="19">
        <f t="shared" si="5"/>
        <v>0.67612687813021699</v>
      </c>
      <c r="S77" s="26"/>
      <c r="T77" s="48">
        <f t="shared" si="10"/>
        <v>44138.081249999996</v>
      </c>
      <c r="U77" s="48">
        <f>(15.83+20)*15*CMF</f>
        <v>604.63124999999991</v>
      </c>
      <c r="V77" s="19">
        <f t="shared" si="6"/>
        <v>0.54618902439024386</v>
      </c>
      <c r="W77" s="26"/>
      <c r="X77" s="48">
        <f t="shared" si="11"/>
        <v>45022.5</v>
      </c>
      <c r="Y77" s="48">
        <f>(26+20)*15*CMF</f>
        <v>776.25</v>
      </c>
      <c r="Z77" s="19">
        <f t="shared" si="7"/>
        <v>0.60314685314685312</v>
      </c>
      <c r="AA77" s="26"/>
      <c r="AB77" s="48">
        <f t="shared" si="3"/>
        <v>91590.581249999988</v>
      </c>
      <c r="AC77" s="49">
        <f t="shared" si="26"/>
        <v>683.51180037313429</v>
      </c>
      <c r="AD77" s="19">
        <f t="shared" si="27"/>
        <v>0.57583133982572388</v>
      </c>
      <c r="AE77" s="26"/>
      <c r="AF77" s="71"/>
      <c r="AG77" s="72"/>
      <c r="AH77" s="11"/>
      <c r="AJ77" s="26">
        <f>+AJ76+AJ75</f>
        <v>53659.606873281926</v>
      </c>
      <c r="AK77" s="26"/>
      <c r="AL77" s="26"/>
    </row>
    <row r="78" spans="1:41" s="15" customFormat="1" ht="12.75" thickBot="1">
      <c r="A78" s="24" t="s">
        <v>156</v>
      </c>
      <c r="B78" s="32" t="s">
        <v>198</v>
      </c>
      <c r="C78" s="68"/>
      <c r="D78" s="16">
        <f t="shared" si="25"/>
        <v>2.7331762794152495E-3</v>
      </c>
      <c r="E78" s="69" t="s">
        <v>195</v>
      </c>
      <c r="F78" s="69" t="s">
        <v>195</v>
      </c>
      <c r="G78" s="73"/>
      <c r="H78" s="69" t="s">
        <v>195</v>
      </c>
      <c r="I78" s="69" t="s">
        <v>195</v>
      </c>
      <c r="J78" s="73"/>
      <c r="K78" s="73"/>
      <c r="L78" s="26">
        <f t="shared" si="28"/>
        <v>1921.5</v>
      </c>
      <c r="M78" s="26">
        <f>549/2</f>
        <v>274.5</v>
      </c>
      <c r="N78" s="19">
        <f t="shared" ref="N78:N88" si="29">M78/1376</f>
        <v>0.19949127906976744</v>
      </c>
      <c r="O78" s="19"/>
      <c r="P78" s="48">
        <f t="shared" si="9"/>
        <v>0</v>
      </c>
      <c r="Q78" s="15">
        <v>0</v>
      </c>
      <c r="R78" s="19">
        <f t="shared" ref="R78:R87" si="30">+Q78/Q$8</f>
        <v>0</v>
      </c>
      <c r="S78" s="26"/>
      <c r="T78" s="48">
        <f t="shared" si="10"/>
        <v>22543.3125</v>
      </c>
      <c r="U78" s="48">
        <f>$M78*CMF</f>
        <v>308.8125</v>
      </c>
      <c r="V78" s="19">
        <f t="shared" ref="V78:V87" si="31">+U78/U$8</f>
        <v>0.27896341463414637</v>
      </c>
      <c r="W78" s="26"/>
      <c r="X78" s="48">
        <f t="shared" si="11"/>
        <v>17911.125</v>
      </c>
      <c r="Y78" s="48">
        <f>$M78*CMF</f>
        <v>308.8125</v>
      </c>
      <c r="Z78" s="19">
        <f t="shared" ref="Z78:Z87" si="32">+Y78/Y$8</f>
        <v>0.23994755244755245</v>
      </c>
      <c r="AA78" s="26"/>
      <c r="AB78" s="48">
        <f t="shared" ref="AB78:AB87" si="33">+X78+T78+P78</f>
        <v>40454.4375</v>
      </c>
      <c r="AC78" s="49">
        <f t="shared" si="26"/>
        <v>301.89878731343282</v>
      </c>
      <c r="AD78" s="19">
        <f t="shared" ref="AD78:AD87" si="34">+AC78/AC$8</f>
        <v>0.25433764727332164</v>
      </c>
      <c r="AE78" s="26"/>
      <c r="AF78" s="71"/>
      <c r="AG78" s="72"/>
      <c r="AI78" s="16"/>
      <c r="AJ78" s="26">
        <f>AJ77*12</f>
        <v>643915.28247938305</v>
      </c>
      <c r="AK78" s="26"/>
      <c r="AL78" s="26"/>
    </row>
    <row r="79" spans="1:41" s="15" customFormat="1">
      <c r="A79" s="24" t="s">
        <v>156</v>
      </c>
      <c r="B79" s="15" t="s">
        <v>63</v>
      </c>
      <c r="C79" s="68"/>
      <c r="D79" s="16">
        <f t="shared" si="25"/>
        <v>0</v>
      </c>
      <c r="E79" s="69" t="s">
        <v>196</v>
      </c>
      <c r="F79" s="69"/>
      <c r="G79" s="69"/>
      <c r="H79" s="69"/>
      <c r="I79" s="69"/>
      <c r="J79" s="69"/>
      <c r="K79" s="69"/>
      <c r="L79" s="26">
        <f t="shared" si="28"/>
        <v>0</v>
      </c>
      <c r="M79" s="26">
        <f>0/2</f>
        <v>0</v>
      </c>
      <c r="N79" s="19">
        <f t="shared" si="29"/>
        <v>0</v>
      </c>
      <c r="O79" s="19"/>
      <c r="P79" s="48">
        <f t="shared" si="9"/>
        <v>0</v>
      </c>
      <c r="Q79" s="48"/>
      <c r="R79" s="19">
        <f t="shared" si="30"/>
        <v>0</v>
      </c>
      <c r="S79" s="26"/>
      <c r="T79" s="48">
        <f t="shared" si="10"/>
        <v>0</v>
      </c>
      <c r="U79" s="48"/>
      <c r="V79" s="19">
        <f t="shared" si="31"/>
        <v>0</v>
      </c>
      <c r="W79" s="26"/>
      <c r="X79" s="48">
        <f t="shared" si="11"/>
        <v>0</v>
      </c>
      <c r="Y79" s="48"/>
      <c r="Z79" s="19">
        <f t="shared" si="32"/>
        <v>0</v>
      </c>
      <c r="AA79" s="26"/>
      <c r="AB79" s="48">
        <f t="shared" si="33"/>
        <v>0</v>
      </c>
      <c r="AC79" s="49">
        <f t="shared" si="26"/>
        <v>0</v>
      </c>
      <c r="AD79" s="19">
        <f t="shared" si="34"/>
        <v>0</v>
      </c>
      <c r="AE79" s="26"/>
      <c r="AF79" s="71"/>
      <c r="AG79" s="72"/>
      <c r="AI79" s="16"/>
      <c r="AJ79" s="26">
        <f>AJ78/0.105</f>
        <v>6132526.4998036483</v>
      </c>
      <c r="AK79" s="25"/>
      <c r="AL79" s="26"/>
    </row>
    <row r="80" spans="1:41" s="15" customFormat="1" ht="12.75" thickBot="1">
      <c r="A80" s="24"/>
      <c r="B80" s="30" t="s">
        <v>55</v>
      </c>
      <c r="C80" s="68"/>
      <c r="D80" s="16"/>
      <c r="E80" s="69"/>
      <c r="F80" s="69"/>
      <c r="G80" s="69"/>
      <c r="H80" s="69"/>
      <c r="I80" s="69"/>
      <c r="J80" s="69"/>
      <c r="K80" s="69"/>
      <c r="L80" s="26"/>
      <c r="M80" s="26"/>
      <c r="N80" s="19">
        <f t="shared" si="29"/>
        <v>0</v>
      </c>
      <c r="O80" s="19"/>
      <c r="P80" s="48"/>
      <c r="Q80" s="48"/>
      <c r="R80" s="19"/>
      <c r="S80" s="26"/>
      <c r="T80" s="48"/>
      <c r="U80" s="48"/>
      <c r="V80" s="19"/>
      <c r="W80" s="26"/>
      <c r="X80" s="48"/>
      <c r="Y80" s="48"/>
      <c r="Z80" s="19"/>
      <c r="AA80" s="26"/>
      <c r="AB80" s="48"/>
      <c r="AC80" s="49" t="s">
        <v>72</v>
      </c>
      <c r="AD80" s="19"/>
      <c r="AE80" s="26"/>
      <c r="AF80" s="71"/>
      <c r="AG80" s="72"/>
      <c r="AI80" s="16"/>
      <c r="AJ80" s="26"/>
      <c r="AK80" s="26"/>
      <c r="AL80" s="26"/>
    </row>
    <row r="81" spans="1:38" s="15" customFormat="1" ht="12.75" thickBot="1">
      <c r="A81" s="24" t="s">
        <v>153</v>
      </c>
      <c r="B81" s="15" t="s">
        <v>56</v>
      </c>
      <c r="C81" s="68"/>
      <c r="D81" s="16">
        <f t="shared" ref="D81:D87" si="35">L81/$L$88</f>
        <v>4.7843031047687702E-3</v>
      </c>
      <c r="E81" s="69" t="s">
        <v>195</v>
      </c>
      <c r="F81" s="69" t="s">
        <v>195</v>
      </c>
      <c r="G81" s="73"/>
      <c r="H81" s="69" t="s">
        <v>195</v>
      </c>
      <c r="I81" s="69" t="s">
        <v>195</v>
      </c>
      <c r="J81" s="73"/>
      <c r="K81" s="74" t="s">
        <v>195</v>
      </c>
      <c r="L81" s="26">
        <f t="shared" si="28"/>
        <v>3363.5</v>
      </c>
      <c r="M81" s="26">
        <f>961/2</f>
        <v>480.5</v>
      </c>
      <c r="N81" s="19">
        <f t="shared" si="29"/>
        <v>0.34920058139534882</v>
      </c>
      <c r="O81" s="19"/>
      <c r="P81" s="48">
        <f t="shared" ref="P81:P87" si="36">Q81*P$7</f>
        <v>1621.6875</v>
      </c>
      <c r="Q81" s="48">
        <f>$M81*CMF</f>
        <v>540.5625</v>
      </c>
      <c r="R81" s="19">
        <f t="shared" si="30"/>
        <v>0.45122078464106846</v>
      </c>
      <c r="S81" s="26"/>
      <c r="T81" s="48">
        <f t="shared" ref="T81:T87" si="37">U81*T$7</f>
        <v>39461.0625</v>
      </c>
      <c r="U81" s="48">
        <f>$M81*CMF</f>
        <v>540.5625</v>
      </c>
      <c r="V81" s="19">
        <f t="shared" si="31"/>
        <v>0.48831300813008133</v>
      </c>
      <c r="W81" s="26"/>
      <c r="X81" s="48">
        <f t="shared" ref="X81:X87" si="38">Y81*X$7</f>
        <v>31352.625</v>
      </c>
      <c r="Y81" s="48">
        <f>$M81*CMF</f>
        <v>540.5625</v>
      </c>
      <c r="Z81" s="19">
        <f t="shared" si="32"/>
        <v>0.4200174825174825</v>
      </c>
      <c r="AA81" s="26"/>
      <c r="AB81" s="48">
        <f t="shared" si="33"/>
        <v>72435.375</v>
      </c>
      <c r="AC81" s="49">
        <f t="shared" ref="AC81:AC87" si="39">+AB81/AB$7</f>
        <v>540.5625</v>
      </c>
      <c r="AD81" s="19">
        <f t="shared" si="34"/>
        <v>0.45540227464195449</v>
      </c>
      <c r="AE81" s="26"/>
      <c r="AF81" s="71"/>
      <c r="AG81" s="72"/>
      <c r="AH81" s="11"/>
      <c r="AJ81" s="26">
        <v>7000</v>
      </c>
      <c r="AK81" s="26"/>
      <c r="AL81" s="26"/>
    </row>
    <row r="82" spans="1:38" s="15" customFormat="1" ht="12.75" thickBot="1">
      <c r="A82" s="24" t="s">
        <v>153</v>
      </c>
      <c r="B82" s="15" t="s">
        <v>57</v>
      </c>
      <c r="C82" s="68"/>
      <c r="D82" s="16">
        <f t="shared" si="35"/>
        <v>1.7424621089168256E-3</v>
      </c>
      <c r="E82" s="69" t="s">
        <v>195</v>
      </c>
      <c r="F82" s="69" t="s">
        <v>195</v>
      </c>
      <c r="G82" s="73"/>
      <c r="H82" s="69" t="s">
        <v>195</v>
      </c>
      <c r="I82" s="69" t="s">
        <v>195</v>
      </c>
      <c r="J82" s="73"/>
      <c r="K82" s="74" t="s">
        <v>195</v>
      </c>
      <c r="L82" s="26">
        <f t="shared" si="28"/>
        <v>1225</v>
      </c>
      <c r="M82" s="26">
        <f>350/2</f>
        <v>175</v>
      </c>
      <c r="N82" s="19">
        <f t="shared" si="29"/>
        <v>0.12718023255813954</v>
      </c>
      <c r="O82" s="19"/>
      <c r="P82" s="48">
        <f t="shared" si="36"/>
        <v>514.22147529069775</v>
      </c>
      <c r="Q82" s="48">
        <f>Q$8*$N82*CMF</f>
        <v>171.40715843023258</v>
      </c>
      <c r="R82" s="19">
        <f t="shared" si="30"/>
        <v>0.143077761627907</v>
      </c>
      <c r="S82" s="26"/>
      <c r="T82" s="48">
        <f t="shared" si="37"/>
        <v>11562.256994912792</v>
      </c>
      <c r="U82" s="48">
        <f>U$8*$N82*CMF</f>
        <v>158.38708212209303</v>
      </c>
      <c r="V82" s="19">
        <f t="shared" si="31"/>
        <v>0.14307776162790697</v>
      </c>
      <c r="W82" s="26"/>
      <c r="X82" s="48">
        <f t="shared" si="38"/>
        <v>10680.182594476744</v>
      </c>
      <c r="Y82" s="48">
        <f>Y$8*$N82*CMF</f>
        <v>184.14107921511629</v>
      </c>
      <c r="Z82" s="19">
        <f t="shared" si="32"/>
        <v>0.14307776162790697</v>
      </c>
      <c r="AA82" s="26"/>
      <c r="AB82" s="48">
        <f t="shared" si="33"/>
        <v>22756.661064680233</v>
      </c>
      <c r="AC82" s="49">
        <f t="shared" si="39"/>
        <v>169.82582884089726</v>
      </c>
      <c r="AD82" s="19">
        <f t="shared" si="34"/>
        <v>0.14307146490387301</v>
      </c>
      <c r="AE82" s="26"/>
      <c r="AF82" s="71"/>
      <c r="AG82" s="72"/>
      <c r="AI82" s="16"/>
      <c r="AJ82" s="26">
        <f>1250*14+1220*14</f>
        <v>34580</v>
      </c>
      <c r="AK82" s="26"/>
      <c r="AL82" s="26"/>
    </row>
    <row r="83" spans="1:38" s="15" customFormat="1" ht="12.75" thickBot="1">
      <c r="A83" s="24" t="s">
        <v>153</v>
      </c>
      <c r="B83" s="15" t="s">
        <v>58</v>
      </c>
      <c r="C83" s="68"/>
      <c r="D83" s="16">
        <f t="shared" si="35"/>
        <v>4.8838723681354458E-3</v>
      </c>
      <c r="E83" s="69" t="s">
        <v>195</v>
      </c>
      <c r="F83" s="69" t="s">
        <v>195</v>
      </c>
      <c r="G83" s="73"/>
      <c r="H83" s="69" t="s">
        <v>195</v>
      </c>
      <c r="I83" s="69" t="s">
        <v>195</v>
      </c>
      <c r="J83" s="73"/>
      <c r="K83" s="74" t="s">
        <v>195</v>
      </c>
      <c r="L83" s="26">
        <f t="shared" si="28"/>
        <v>3433.5</v>
      </c>
      <c r="M83" s="26">
        <f>981/2</f>
        <v>490.5</v>
      </c>
      <c r="N83" s="19">
        <f t="shared" si="29"/>
        <v>0.35646802325581395</v>
      </c>
      <c r="O83" s="19"/>
      <c r="P83" s="48">
        <f t="shared" si="36"/>
        <v>1655.4375</v>
      </c>
      <c r="Q83" s="48">
        <f>$M83*CMF</f>
        <v>551.8125</v>
      </c>
      <c r="R83" s="19">
        <f t="shared" si="30"/>
        <v>0.46061143572621033</v>
      </c>
      <c r="S83" s="26"/>
      <c r="T83" s="48">
        <f t="shared" si="37"/>
        <v>40282.3125</v>
      </c>
      <c r="U83" s="48">
        <f>$M83*CMF</f>
        <v>551.8125</v>
      </c>
      <c r="V83" s="19">
        <f t="shared" si="31"/>
        <v>0.49847560975609756</v>
      </c>
      <c r="W83" s="26"/>
      <c r="X83" s="48">
        <f t="shared" si="38"/>
        <v>32005.125</v>
      </c>
      <c r="Y83" s="48">
        <f>$M83*CMF</f>
        <v>551.8125</v>
      </c>
      <c r="Z83" s="19">
        <f t="shared" si="32"/>
        <v>0.42875874125874125</v>
      </c>
      <c r="AA83" s="26"/>
      <c r="AB83" s="48">
        <f t="shared" si="33"/>
        <v>73942.875</v>
      </c>
      <c r="AC83" s="49">
        <f t="shared" si="39"/>
        <v>551.8125</v>
      </c>
      <c r="AD83" s="19">
        <f t="shared" si="34"/>
        <v>0.46487994945240102</v>
      </c>
      <c r="AE83" s="26"/>
      <c r="AF83" s="71"/>
      <c r="AG83" s="72"/>
      <c r="AI83" s="16"/>
      <c r="AJ83" s="26">
        <f>28*3*475</f>
        <v>39900</v>
      </c>
      <c r="AK83" s="26"/>
      <c r="AL83" s="26"/>
    </row>
    <row r="84" spans="1:38" s="15" customFormat="1" ht="12.75" thickBot="1">
      <c r="A84" s="24" t="s">
        <v>153</v>
      </c>
      <c r="B84" s="15" t="s">
        <v>59</v>
      </c>
      <c r="C84" s="68"/>
      <c r="D84" s="16">
        <f t="shared" si="35"/>
        <v>4.3959829776387344E-3</v>
      </c>
      <c r="E84" s="69" t="s">
        <v>195</v>
      </c>
      <c r="F84" s="69" t="s">
        <v>195</v>
      </c>
      <c r="G84" s="73"/>
      <c r="H84" s="69" t="s">
        <v>195</v>
      </c>
      <c r="I84" s="69" t="s">
        <v>195</v>
      </c>
      <c r="J84" s="73"/>
      <c r="K84" s="74" t="s">
        <v>195</v>
      </c>
      <c r="L84" s="26">
        <f t="shared" si="28"/>
        <v>3090.5</v>
      </c>
      <c r="M84" s="26">
        <f>883/2</f>
        <v>441.5</v>
      </c>
      <c r="N84" s="19">
        <f t="shared" si="29"/>
        <v>0.32085755813953487</v>
      </c>
      <c r="O84" s="19"/>
      <c r="P84" s="48">
        <f t="shared" si="36"/>
        <v>1490.0625</v>
      </c>
      <c r="Q84" s="48">
        <f>$M84*CMF</f>
        <v>496.6875</v>
      </c>
      <c r="R84" s="19">
        <f t="shared" si="30"/>
        <v>0.41459724540901505</v>
      </c>
      <c r="S84" s="26"/>
      <c r="T84" s="48">
        <f t="shared" si="37"/>
        <v>36258.1875</v>
      </c>
      <c r="U84" s="48">
        <f>$M84*CMF</f>
        <v>496.6875</v>
      </c>
      <c r="V84" s="19">
        <f t="shared" si="31"/>
        <v>0.44867886178861788</v>
      </c>
      <c r="W84" s="26"/>
      <c r="X84" s="48">
        <f t="shared" si="38"/>
        <v>28807.875</v>
      </c>
      <c r="Y84" s="48">
        <f>$M84*CMF</f>
        <v>496.6875</v>
      </c>
      <c r="Z84" s="19">
        <f t="shared" si="32"/>
        <v>0.38592657342657344</v>
      </c>
      <c r="AA84" s="26"/>
      <c r="AB84" s="48">
        <f t="shared" si="33"/>
        <v>66556.125</v>
      </c>
      <c r="AC84" s="49">
        <f t="shared" si="39"/>
        <v>496.6875</v>
      </c>
      <c r="AD84" s="19">
        <f t="shared" si="34"/>
        <v>0.41843934288121315</v>
      </c>
      <c r="AE84" s="26"/>
      <c r="AF84" s="71"/>
      <c r="AH84" s="11"/>
      <c r="AJ84" s="26">
        <f>+AJ83-AJ82</f>
        <v>5320</v>
      </c>
      <c r="AK84" s="26"/>
      <c r="AL84" s="26"/>
    </row>
    <row r="85" spans="1:38" s="15" customFormat="1" ht="12.75" thickBot="1">
      <c r="A85" s="24" t="s">
        <v>153</v>
      </c>
      <c r="B85" s="15" t="s">
        <v>60</v>
      </c>
      <c r="C85" s="68"/>
      <c r="D85" s="16">
        <f t="shared" si="35"/>
        <v>4.9286785366504493E-4</v>
      </c>
      <c r="E85" s="69" t="s">
        <v>195</v>
      </c>
      <c r="F85" s="69" t="s">
        <v>195</v>
      </c>
      <c r="G85" s="73"/>
      <c r="H85" s="69" t="s">
        <v>195</v>
      </c>
      <c r="I85" s="69" t="s">
        <v>195</v>
      </c>
      <c r="J85" s="73"/>
      <c r="K85" s="74" t="s">
        <v>195</v>
      </c>
      <c r="L85" s="26">
        <f t="shared" si="28"/>
        <v>346.5</v>
      </c>
      <c r="M85" s="26">
        <f>99/2</f>
        <v>49.5</v>
      </c>
      <c r="N85" s="19">
        <f t="shared" si="29"/>
        <v>3.5973837209302327E-2</v>
      </c>
      <c r="O85" s="19"/>
      <c r="P85" s="48">
        <f t="shared" si="36"/>
        <v>167.0625</v>
      </c>
      <c r="Q85" s="48">
        <f>$M85*CMF</f>
        <v>55.6875</v>
      </c>
      <c r="R85" s="19">
        <f t="shared" si="30"/>
        <v>4.6483722871452422E-2</v>
      </c>
      <c r="S85" s="26"/>
      <c r="T85" s="48">
        <f t="shared" si="37"/>
        <v>4065.1875</v>
      </c>
      <c r="U85" s="48">
        <f>$M85*CMF</f>
        <v>55.6875</v>
      </c>
      <c r="V85" s="19">
        <f t="shared" si="31"/>
        <v>5.0304878048780491E-2</v>
      </c>
      <c r="W85" s="26"/>
      <c r="X85" s="48">
        <f t="shared" si="38"/>
        <v>3229.875</v>
      </c>
      <c r="Y85" s="48">
        <f>$M85*CMF</f>
        <v>55.6875</v>
      </c>
      <c r="Z85" s="19">
        <f t="shared" si="32"/>
        <v>4.3269230769230768E-2</v>
      </c>
      <c r="AA85" s="26"/>
      <c r="AB85" s="48">
        <f t="shared" si="33"/>
        <v>7462.125</v>
      </c>
      <c r="AC85" s="49">
        <f t="shared" si="39"/>
        <v>55.6875</v>
      </c>
      <c r="AD85" s="19">
        <f t="shared" si="34"/>
        <v>4.6914490311710196E-2</v>
      </c>
      <c r="AE85" s="26"/>
      <c r="AF85" s="71"/>
      <c r="AG85" s="26"/>
      <c r="AI85" s="16"/>
      <c r="AJ85" s="26">
        <f>+AJ84+AJ81</f>
        <v>12320</v>
      </c>
      <c r="AK85" s="26"/>
      <c r="AL85" s="26"/>
    </row>
    <row r="86" spans="1:38" s="15" customFormat="1" ht="12.75" thickBot="1">
      <c r="A86" s="24" t="s">
        <v>152</v>
      </c>
      <c r="B86" s="30" t="s">
        <v>61</v>
      </c>
      <c r="C86" s="68"/>
      <c r="D86" s="16">
        <f t="shared" si="35"/>
        <v>9.9569263366675754E-3</v>
      </c>
      <c r="E86" s="69" t="s">
        <v>195</v>
      </c>
      <c r="F86" s="69" t="s">
        <v>195</v>
      </c>
      <c r="G86" s="73"/>
      <c r="H86" s="69" t="s">
        <v>195</v>
      </c>
      <c r="I86" s="69" t="s">
        <v>195</v>
      </c>
      <c r="J86" s="73"/>
      <c r="K86" s="74" t="s">
        <v>195</v>
      </c>
      <c r="L86" s="26">
        <f t="shared" si="28"/>
        <v>7000</v>
      </c>
      <c r="M86" s="26">
        <f>2000/2</f>
        <v>1000</v>
      </c>
      <c r="N86" s="19">
        <f t="shared" si="29"/>
        <v>0.72674418604651159</v>
      </c>
      <c r="O86" s="19"/>
      <c r="P86" s="48">
        <f t="shared" si="36"/>
        <v>3375</v>
      </c>
      <c r="Q86" s="48">
        <f>$M86*CMF</f>
        <v>1125</v>
      </c>
      <c r="R86" s="19">
        <f t="shared" si="30"/>
        <v>0.93906510851419034</v>
      </c>
      <c r="S86" s="26"/>
      <c r="T86" s="48">
        <f t="shared" si="37"/>
        <v>82125</v>
      </c>
      <c r="U86" s="48">
        <f>$M86*CMF</f>
        <v>1125</v>
      </c>
      <c r="V86" s="19">
        <f t="shared" si="31"/>
        <v>1.0162601626016261</v>
      </c>
      <c r="W86" s="26"/>
      <c r="X86" s="48">
        <f t="shared" si="38"/>
        <v>65250</v>
      </c>
      <c r="Y86" s="48">
        <f>$M86*CMF</f>
        <v>1125</v>
      </c>
      <c r="Z86" s="19">
        <f t="shared" si="32"/>
        <v>0.87412587412587417</v>
      </c>
      <c r="AA86" s="26"/>
      <c r="AB86" s="48">
        <f t="shared" si="33"/>
        <v>150750</v>
      </c>
      <c r="AC86" s="49">
        <f t="shared" si="39"/>
        <v>1125</v>
      </c>
      <c r="AD86" s="19">
        <f t="shared" si="34"/>
        <v>0.94776748104465036</v>
      </c>
      <c r="AE86" s="26"/>
      <c r="AF86" s="71"/>
      <c r="AI86" s="16"/>
      <c r="AJ86" s="26">
        <f>AJ85*0.58</f>
        <v>7145.5999999999995</v>
      </c>
      <c r="AK86" s="26"/>
      <c r="AL86" s="26"/>
    </row>
    <row r="87" spans="1:38" s="15" customFormat="1" ht="12.75" thickBot="1">
      <c r="A87" s="24" t="s">
        <v>214</v>
      </c>
      <c r="B87" s="30" t="s">
        <v>62</v>
      </c>
      <c r="C87" s="68"/>
      <c r="D87" s="16">
        <f t="shared" si="35"/>
        <v>1.2799628805786167E-2</v>
      </c>
      <c r="E87" s="69" t="s">
        <v>195</v>
      </c>
      <c r="F87" s="69" t="s">
        <v>195</v>
      </c>
      <c r="G87" s="73"/>
      <c r="H87" s="69" t="s">
        <v>195</v>
      </c>
      <c r="I87" s="69" t="s">
        <v>195</v>
      </c>
      <c r="J87" s="73"/>
      <c r="K87" s="74" t="s">
        <v>195</v>
      </c>
      <c r="L87" s="26">
        <f t="shared" si="28"/>
        <v>8998.5</v>
      </c>
      <c r="M87" s="26">
        <f>2571/2</f>
        <v>1285.5</v>
      </c>
      <c r="N87" s="19">
        <f t="shared" si="29"/>
        <v>0.93422965116279066</v>
      </c>
      <c r="O87" s="19"/>
      <c r="P87" s="48">
        <f t="shared" si="36"/>
        <v>4089.6688432835822</v>
      </c>
      <c r="Q87" s="48">
        <f>(((1000+500+500+500)*4.33*15)*CMF)/SM134Units</f>
        <v>1363.2229477611941</v>
      </c>
      <c r="R87" s="19">
        <f t="shared" si="30"/>
        <v>1.1379156492163556</v>
      </c>
      <c r="S87" s="26"/>
      <c r="T87" s="48">
        <f t="shared" si="37"/>
        <v>99515.27518656716</v>
      </c>
      <c r="U87" s="48">
        <f>(((1000+500+500+500)*4.33*15)*CMF)/SM134Units</f>
        <v>1363.2229477611941</v>
      </c>
      <c r="V87" s="19">
        <f t="shared" si="31"/>
        <v>1.2314570440480523</v>
      </c>
      <c r="W87" s="26"/>
      <c r="X87" s="48">
        <f t="shared" si="38"/>
        <v>79066.93097014926</v>
      </c>
      <c r="Y87" s="48">
        <f>(((1000+500+500+500)*4.33*15)*CMF)/SM134Units</f>
        <v>1363.2229477611941</v>
      </c>
      <c r="Z87" s="19">
        <f t="shared" si="32"/>
        <v>1.0592252896357375</v>
      </c>
      <c r="AA87" s="26"/>
      <c r="AB87" s="48">
        <f t="shared" si="33"/>
        <v>182671.875</v>
      </c>
      <c r="AC87" s="49">
        <f t="shared" si="39"/>
        <v>1363.2229477611941</v>
      </c>
      <c r="AD87" s="19">
        <f t="shared" si="34"/>
        <v>1.1484607816016799</v>
      </c>
      <c r="AE87" s="26"/>
      <c r="AF87" s="71"/>
      <c r="AH87" s="26"/>
      <c r="AJ87" s="15">
        <f>0.5*AJ78/12</f>
        <v>26829.803436640959</v>
      </c>
      <c r="AL87" s="26"/>
    </row>
    <row r="88" spans="1:38" s="15" customFormat="1" ht="12.75" thickBot="1">
      <c r="A88" s="90"/>
      <c r="B88" s="33" t="s">
        <v>255</v>
      </c>
      <c r="C88" s="33"/>
      <c r="D88" s="91">
        <f>SUM(D9:D87)</f>
        <v>0.99999999999999978</v>
      </c>
      <c r="E88" s="92" t="s">
        <v>199</v>
      </c>
      <c r="F88" s="92" t="s">
        <v>199</v>
      </c>
      <c r="G88" s="92"/>
      <c r="H88" s="92" t="s">
        <v>199</v>
      </c>
      <c r="I88" s="92" t="s">
        <v>199</v>
      </c>
      <c r="J88" s="92"/>
      <c r="K88" s="92"/>
      <c r="L88" s="29">
        <f>+SUM(L9:L87)</f>
        <v>703028.20000000007</v>
      </c>
      <c r="M88" s="29">
        <f>+SUM(M9:M87)</f>
        <v>60898.049999999996</v>
      </c>
      <c r="N88" s="93">
        <f t="shared" si="29"/>
        <v>44.257303779069765</v>
      </c>
      <c r="O88" s="93"/>
      <c r="P88" s="28">
        <f>+SUM(P9:P87)</f>
        <v>206073.93793252515</v>
      </c>
      <c r="Q88" s="29">
        <f>+SUM(Q9:Q87)</f>
        <v>68691.31264417505</v>
      </c>
      <c r="R88" s="28">
        <f>+Q88/Q$8</f>
        <v>57.338324410830595</v>
      </c>
      <c r="S88" s="45"/>
      <c r="T88" s="29">
        <f>+SUM(T9:T87)</f>
        <v>4746348.8343498139</v>
      </c>
      <c r="U88" s="29">
        <f>+SUM(U9:U87)</f>
        <v>65018.477182874165</v>
      </c>
      <c r="V88" s="28">
        <f>+U88/U$8</f>
        <v>58.733945061313612</v>
      </c>
      <c r="W88" s="46"/>
      <c r="X88" s="29">
        <f>+SUM(X9:X87)</f>
        <v>4171776.2391222743</v>
      </c>
      <c r="Y88" s="29">
        <f>+SUM(Y9:Y87)</f>
        <v>71927.176536590952</v>
      </c>
      <c r="Z88" s="28">
        <f>+Y88/Y$8</f>
        <v>55.887472056403226</v>
      </c>
      <c r="AA88" s="46"/>
      <c r="AB88" s="53">
        <f>+SUM(AB9:AB87)</f>
        <v>9124199.0114046168</v>
      </c>
      <c r="AC88" s="29">
        <f>+SUM(AC9:AC87)</f>
        <v>68091.037398541914</v>
      </c>
      <c r="AD88" s="28">
        <f>+AC88/AC$8</f>
        <v>57.363974219496136</v>
      </c>
      <c r="AE88" s="94"/>
      <c r="AF88" s="95"/>
      <c r="AJ88" s="15">
        <f>+AJ87+AJ86</f>
        <v>33975.403436640961</v>
      </c>
    </row>
    <row r="89" spans="1:38" s="15" customFormat="1" ht="12.75" thickTop="1">
      <c r="A89" s="24"/>
      <c r="L89" s="17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71"/>
    </row>
    <row r="90" spans="1:38" s="97" customFormat="1">
      <c r="A90" s="2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96" t="s">
        <v>254</v>
      </c>
      <c r="M90" s="96" t="s">
        <v>253</v>
      </c>
    </row>
    <row r="91" spans="1:38" s="15" customFormat="1">
      <c r="A91" s="98"/>
      <c r="B91" s="30" t="s">
        <v>239</v>
      </c>
      <c r="L91" s="15">
        <f>10.3*43560*2.5</f>
        <v>1121670.0000000002</v>
      </c>
      <c r="M91" s="15">
        <f>L91/10.3</f>
        <v>108900.00000000001</v>
      </c>
      <c r="P91" s="47">
        <f t="shared" ref="P91:P108" si="40">Q91*P$7</f>
        <v>25112.01492537314</v>
      </c>
      <c r="Q91" s="47">
        <f>+$L91/SM134Units</f>
        <v>8370.6716417910466</v>
      </c>
      <c r="R91" s="18">
        <f t="shared" ref="R91:R119" si="41">+Q91/Q$8</f>
        <v>6.9872050432312571</v>
      </c>
      <c r="T91" s="47">
        <f t="shared" ref="T91:T101" si="42">U91*T$7</f>
        <v>611059.02985074639</v>
      </c>
      <c r="U91" s="47">
        <f>+$L91/SM134Units</f>
        <v>8370.6716417910466</v>
      </c>
      <c r="V91" s="18">
        <f t="shared" ref="V91:V102" si="43">+U91/U$8</f>
        <v>7.5615823322412341</v>
      </c>
      <c r="X91" s="47">
        <f t="shared" ref="X91:X101" si="44">Y91*X$7</f>
        <v>485498.95522388071</v>
      </c>
      <c r="Y91" s="47">
        <f>+$L91/SM134Units</f>
        <v>8370.6716417910466</v>
      </c>
      <c r="Z91" s="18">
        <f t="shared" ref="Z91:Z102" si="45">+Y91/Y$8</f>
        <v>6.5040183696900131</v>
      </c>
      <c r="AB91" s="47">
        <f>+X91+T91+P91</f>
        <v>1121670.0000000005</v>
      </c>
      <c r="AC91" s="47">
        <f t="shared" ref="AC91:AC102" si="46">+AB91/AB$7</f>
        <v>8370.6716417910484</v>
      </c>
      <c r="AD91" s="18">
        <f t="shared" ref="AD91:AD102" si="47">+AC91/AC$8</f>
        <v>7.0519558903041686</v>
      </c>
    </row>
    <row r="92" spans="1:38" s="15" customFormat="1">
      <c r="A92" s="24"/>
      <c r="B92" s="34" t="s">
        <v>240</v>
      </c>
      <c r="P92" s="48"/>
      <c r="R92" s="19"/>
    </row>
    <row r="93" spans="1:38" s="15" customFormat="1">
      <c r="A93" s="24"/>
      <c r="B93" s="15" t="s">
        <v>250</v>
      </c>
      <c r="L93" s="15">
        <f>+L147*CMF</f>
        <v>294300</v>
      </c>
      <c r="M93" s="15">
        <f t="shared" ref="M93:M102" si="48">L93/10.3</f>
        <v>28572.815533980582</v>
      </c>
      <c r="P93" s="48">
        <f t="shared" si="40"/>
        <v>6588.805970149253</v>
      </c>
      <c r="Q93" s="15">
        <f>+$L93/SM134Units</f>
        <v>2196.2686567164178</v>
      </c>
      <c r="R93" s="18">
        <f t="shared" si="41"/>
        <v>1.8332793461739714</v>
      </c>
      <c r="T93" s="47">
        <f t="shared" si="42"/>
        <v>160327.61194029849</v>
      </c>
      <c r="U93" s="15">
        <f>+$L93/SM134Units</f>
        <v>2196.2686567164178</v>
      </c>
      <c r="V93" s="18">
        <f t="shared" si="43"/>
        <v>1.983982526392428</v>
      </c>
      <c r="X93" s="47">
        <f t="shared" si="44"/>
        <v>127383.58208955223</v>
      </c>
      <c r="Y93" s="15">
        <f>+$L93/SM134Units</f>
        <v>2196.2686567164178</v>
      </c>
      <c r="Z93" s="18">
        <f t="shared" si="45"/>
        <v>1.7065024527711095</v>
      </c>
      <c r="AB93" s="47">
        <f t="shared" ref="AB93:AB101" si="49">+X93+T93+P93</f>
        <v>294299.99999999994</v>
      </c>
      <c r="AC93" s="47">
        <f t="shared" si="46"/>
        <v>2196.2686567164174</v>
      </c>
      <c r="AD93" s="18">
        <f t="shared" si="47"/>
        <v>1.8502684555319437</v>
      </c>
    </row>
    <row r="94" spans="1:38" s="15" customFormat="1">
      <c r="A94" s="24"/>
      <c r="B94" s="15" t="s">
        <v>251</v>
      </c>
      <c r="L94" s="15">
        <f>+L148*8*CMF</f>
        <v>41202</v>
      </c>
      <c r="M94" s="15">
        <f t="shared" si="48"/>
        <v>4000.1941747572814</v>
      </c>
      <c r="P94" s="48">
        <f t="shared" si="40"/>
        <v>922.43283582089555</v>
      </c>
      <c r="Q94" s="15">
        <f t="shared" ref="Q94:Q108" si="50">+$L94/SM134Units</f>
        <v>307.47761194029852</v>
      </c>
      <c r="R94" s="19">
        <f t="shared" si="41"/>
        <v>0.25665910846435602</v>
      </c>
      <c r="T94" s="48">
        <f t="shared" si="42"/>
        <v>22445.86567164179</v>
      </c>
      <c r="U94" s="15">
        <f t="shared" ref="U94:U108" si="51">+$L94/SM134Units</f>
        <v>307.47761194029852</v>
      </c>
      <c r="V94" s="19">
        <f t="shared" si="43"/>
        <v>0.27775755369493993</v>
      </c>
      <c r="X94" s="48">
        <f t="shared" si="44"/>
        <v>17833.701492537315</v>
      </c>
      <c r="Y94" s="15">
        <f t="shared" ref="Y94:Y108" si="52">+$L94/SM134Units</f>
        <v>307.47761194029852</v>
      </c>
      <c r="Z94" s="19">
        <f t="shared" si="45"/>
        <v>0.23891034338795533</v>
      </c>
      <c r="AB94" s="26">
        <f t="shared" si="49"/>
        <v>41202</v>
      </c>
      <c r="AC94" s="49">
        <f t="shared" si="46"/>
        <v>307.47761194029852</v>
      </c>
      <c r="AD94" s="19">
        <f t="shared" si="47"/>
        <v>0.25903758377447222</v>
      </c>
    </row>
    <row r="95" spans="1:38" s="15" customFormat="1">
      <c r="A95" s="24"/>
      <c r="B95" s="15" t="s">
        <v>252</v>
      </c>
      <c r="L95" s="15">
        <f>L146*0.5*CMF</f>
        <v>73575</v>
      </c>
      <c r="M95" s="15">
        <f t="shared" si="48"/>
        <v>7143.2038834951454</v>
      </c>
      <c r="P95" s="48">
        <f t="shared" si="40"/>
        <v>1647.2014925373132</v>
      </c>
      <c r="Q95" s="15">
        <f t="shared" si="50"/>
        <v>549.06716417910445</v>
      </c>
      <c r="R95" s="19">
        <f t="shared" si="41"/>
        <v>0.45831983654349284</v>
      </c>
      <c r="T95" s="48">
        <f t="shared" si="42"/>
        <v>40081.902985074623</v>
      </c>
      <c r="U95" s="15">
        <f t="shared" si="51"/>
        <v>549.06716417910445</v>
      </c>
      <c r="V95" s="19">
        <f t="shared" si="43"/>
        <v>0.495995631598107</v>
      </c>
      <c r="X95" s="48">
        <f t="shared" si="44"/>
        <v>31845.895522388058</v>
      </c>
      <c r="Y95" s="15">
        <f t="shared" si="52"/>
        <v>549.06716417910445</v>
      </c>
      <c r="Z95" s="19">
        <f t="shared" si="45"/>
        <v>0.42662561319277736</v>
      </c>
      <c r="AB95" s="26">
        <f t="shared" si="49"/>
        <v>73574.999999999985</v>
      </c>
      <c r="AC95" s="49">
        <f t="shared" si="46"/>
        <v>549.06716417910434</v>
      </c>
      <c r="AD95" s="19">
        <f t="shared" si="47"/>
        <v>0.46256711388298594</v>
      </c>
    </row>
    <row r="96" spans="1:38" s="15" customFormat="1">
      <c r="A96" s="24"/>
      <c r="B96" s="15" t="s">
        <v>241</v>
      </c>
      <c r="L96" s="15">
        <f>545*4*35*CMF</f>
        <v>85837.5</v>
      </c>
      <c r="M96" s="15">
        <f t="shared" si="48"/>
        <v>8333.7378640776697</v>
      </c>
      <c r="P96" s="48">
        <f t="shared" si="40"/>
        <v>1921.7350746268658</v>
      </c>
      <c r="Q96" s="15">
        <f t="shared" si="50"/>
        <v>640.57835820895525</v>
      </c>
      <c r="R96" s="19">
        <f t="shared" si="41"/>
        <v>0.53470647596740839</v>
      </c>
      <c r="T96" s="48">
        <f t="shared" si="42"/>
        <v>46762.220149253735</v>
      </c>
      <c r="U96" s="15">
        <f t="shared" si="51"/>
        <v>640.57835820895525</v>
      </c>
      <c r="V96" s="19">
        <f t="shared" si="43"/>
        <v>0.57866157019779152</v>
      </c>
      <c r="X96" s="48">
        <f t="shared" si="44"/>
        <v>37153.544776119408</v>
      </c>
      <c r="Y96" s="15">
        <f t="shared" si="52"/>
        <v>640.57835820895525</v>
      </c>
      <c r="Z96" s="19">
        <f t="shared" si="45"/>
        <v>0.49772988205824031</v>
      </c>
      <c r="AB96" s="26">
        <f t="shared" si="49"/>
        <v>85837.5</v>
      </c>
      <c r="AC96" s="49">
        <f t="shared" si="46"/>
        <v>640.57835820895525</v>
      </c>
      <c r="AD96" s="19">
        <f t="shared" si="47"/>
        <v>0.53966163286348379</v>
      </c>
    </row>
    <row r="97" spans="1:30" s="15" customFormat="1">
      <c r="A97" s="24"/>
      <c r="B97" s="15" t="s">
        <v>242</v>
      </c>
      <c r="L97" s="15">
        <f>N140*1.5*CMF</f>
        <v>237908.27980621456</v>
      </c>
      <c r="M97" s="15">
        <f t="shared" si="48"/>
        <v>23097.891243321799</v>
      </c>
      <c r="P97" s="48">
        <f t="shared" si="40"/>
        <v>5326.3047717809231</v>
      </c>
      <c r="Q97" s="15">
        <f t="shared" si="50"/>
        <v>1775.4349239269743</v>
      </c>
      <c r="R97" s="19">
        <f t="shared" si="41"/>
        <v>1.4819991017754377</v>
      </c>
      <c r="T97" s="48">
        <f t="shared" si="42"/>
        <v>129606.74944666913</v>
      </c>
      <c r="U97" s="15">
        <f t="shared" si="51"/>
        <v>1775.4349239269743</v>
      </c>
      <c r="V97" s="19">
        <f t="shared" si="43"/>
        <v>1.6038255862032289</v>
      </c>
      <c r="X97" s="48">
        <f t="shared" si="44"/>
        <v>102975.22558776451</v>
      </c>
      <c r="Y97" s="15">
        <f t="shared" si="52"/>
        <v>1775.4349239269743</v>
      </c>
      <c r="Z97" s="19">
        <f t="shared" si="45"/>
        <v>1.3795143154055745</v>
      </c>
      <c r="AB97" s="26">
        <f t="shared" si="49"/>
        <v>237908.27980621456</v>
      </c>
      <c r="AC97" s="49">
        <f t="shared" si="46"/>
        <v>1775.4349239269743</v>
      </c>
      <c r="AD97" s="19">
        <f t="shared" si="47"/>
        <v>1.4957328760968613</v>
      </c>
    </row>
    <row r="98" spans="1:30" s="15" customFormat="1">
      <c r="A98" s="24"/>
      <c r="B98" s="15" t="s">
        <v>243</v>
      </c>
      <c r="L98" s="15">
        <f>+L157*CMF</f>
        <v>11250</v>
      </c>
      <c r="M98" s="15">
        <f t="shared" si="48"/>
        <v>1092.2330097087379</v>
      </c>
      <c r="P98" s="48">
        <f t="shared" si="40"/>
        <v>251.86567164179104</v>
      </c>
      <c r="Q98" s="15">
        <f t="shared" si="50"/>
        <v>83.955223880597018</v>
      </c>
      <c r="R98" s="19">
        <f t="shared" si="41"/>
        <v>7.0079485710014211E-2</v>
      </c>
      <c r="T98" s="48">
        <f t="shared" si="42"/>
        <v>6128.7313432835826</v>
      </c>
      <c r="U98" s="15">
        <f t="shared" si="51"/>
        <v>83.955223880597018</v>
      </c>
      <c r="V98" s="19">
        <f t="shared" si="43"/>
        <v>7.5840310641912392E-2</v>
      </c>
      <c r="X98" s="48">
        <f t="shared" si="44"/>
        <v>4869.4029850746274</v>
      </c>
      <c r="Y98" s="15">
        <f t="shared" si="52"/>
        <v>83.955223880597018</v>
      </c>
      <c r="Z98" s="19">
        <f t="shared" si="45"/>
        <v>6.5233274188498072E-2</v>
      </c>
      <c r="AB98" s="26">
        <f t="shared" si="49"/>
        <v>11250.000000000002</v>
      </c>
      <c r="AC98" s="49">
        <f t="shared" si="46"/>
        <v>83.955223880597032</v>
      </c>
      <c r="AD98" s="19">
        <f t="shared" si="47"/>
        <v>7.0728916495869446E-2</v>
      </c>
    </row>
    <row r="99" spans="1:30" s="15" customFormat="1">
      <c r="A99" s="24"/>
      <c r="B99" s="15" t="s">
        <v>244</v>
      </c>
      <c r="L99" s="15">
        <f>+L160*CMF</f>
        <v>35437.5</v>
      </c>
      <c r="M99" s="15">
        <f t="shared" si="48"/>
        <v>3440.5339805825242</v>
      </c>
      <c r="P99" s="48">
        <f t="shared" si="40"/>
        <v>793.37686567164178</v>
      </c>
      <c r="Q99" s="15">
        <f t="shared" si="50"/>
        <v>264.45895522388059</v>
      </c>
      <c r="R99" s="19">
        <f t="shared" si="41"/>
        <v>0.22075037998654473</v>
      </c>
      <c r="T99" s="48">
        <f t="shared" si="42"/>
        <v>19305.503731343284</v>
      </c>
      <c r="U99" s="15">
        <f t="shared" si="51"/>
        <v>264.45895522388059</v>
      </c>
      <c r="V99" s="19">
        <f t="shared" si="43"/>
        <v>0.23889697852202402</v>
      </c>
      <c r="X99" s="48">
        <f t="shared" si="44"/>
        <v>15338.619402985074</v>
      </c>
      <c r="Y99" s="15">
        <f t="shared" si="52"/>
        <v>264.45895522388059</v>
      </c>
      <c r="Z99" s="19">
        <f t="shared" si="45"/>
        <v>0.20548481369376892</v>
      </c>
      <c r="AB99" s="26">
        <f t="shared" si="49"/>
        <v>35437.5</v>
      </c>
      <c r="AC99" s="49">
        <f t="shared" si="46"/>
        <v>264.45895522388059</v>
      </c>
      <c r="AD99" s="19">
        <f t="shared" si="47"/>
        <v>0.22279608696198872</v>
      </c>
    </row>
    <row r="100" spans="1:30" s="15" customFormat="1">
      <c r="A100" s="24"/>
      <c r="B100" s="15" t="s">
        <v>229</v>
      </c>
      <c r="L100" s="15">
        <f>+L156*CMF</f>
        <v>28125</v>
      </c>
      <c r="M100" s="15">
        <f t="shared" si="48"/>
        <v>2730.5825242718442</v>
      </c>
      <c r="P100" s="48">
        <f t="shared" si="40"/>
        <v>629.66417910447763</v>
      </c>
      <c r="Q100" s="15">
        <f t="shared" si="50"/>
        <v>209.88805970149255</v>
      </c>
      <c r="R100" s="19">
        <f t="shared" si="41"/>
        <v>0.17519871427503553</v>
      </c>
      <c r="T100" s="48">
        <f t="shared" si="42"/>
        <v>15321.828358208957</v>
      </c>
      <c r="U100" s="15">
        <f t="shared" si="51"/>
        <v>209.88805970149255</v>
      </c>
      <c r="V100" s="19">
        <f t="shared" si="43"/>
        <v>0.18960077660478097</v>
      </c>
      <c r="X100" s="48">
        <f t="shared" si="44"/>
        <v>12173.507462686568</v>
      </c>
      <c r="Y100" s="15">
        <f t="shared" si="52"/>
        <v>209.88805970149255</v>
      </c>
      <c r="Z100" s="19">
        <f t="shared" si="45"/>
        <v>0.16308318547124517</v>
      </c>
      <c r="AB100" s="26">
        <f t="shared" si="49"/>
        <v>28125.000000000004</v>
      </c>
      <c r="AC100" s="49">
        <f t="shared" si="46"/>
        <v>209.88805970149255</v>
      </c>
      <c r="AD100" s="19">
        <f t="shared" si="47"/>
        <v>0.17682229123967358</v>
      </c>
    </row>
    <row r="101" spans="1:30" s="15" customFormat="1">
      <c r="A101" s="24"/>
      <c r="B101" s="15" t="s">
        <v>233</v>
      </c>
      <c r="L101" s="15">
        <f>+L159*CMF</f>
        <v>16875</v>
      </c>
      <c r="M101" s="15">
        <f t="shared" si="48"/>
        <v>1638.3495145631066</v>
      </c>
      <c r="P101" s="48">
        <f t="shared" si="40"/>
        <v>377.79850746268653</v>
      </c>
      <c r="Q101" s="15">
        <f t="shared" si="50"/>
        <v>125.93283582089552</v>
      </c>
      <c r="R101" s="19">
        <f t="shared" si="41"/>
        <v>0.1051192285650213</v>
      </c>
      <c r="T101" s="48">
        <f t="shared" si="42"/>
        <v>9193.0970149253735</v>
      </c>
      <c r="U101" s="15">
        <f t="shared" si="51"/>
        <v>125.93283582089552</v>
      </c>
      <c r="V101" s="19">
        <f t="shared" si="43"/>
        <v>0.11376046596286858</v>
      </c>
      <c r="X101" s="48">
        <f t="shared" si="44"/>
        <v>7304.1044776119397</v>
      </c>
      <c r="Y101" s="15">
        <f t="shared" si="52"/>
        <v>125.93283582089552</v>
      </c>
      <c r="Z101" s="19">
        <f t="shared" si="45"/>
        <v>9.7849911282747101E-2</v>
      </c>
      <c r="AB101" s="26">
        <f t="shared" si="49"/>
        <v>16875</v>
      </c>
      <c r="AC101" s="49">
        <f t="shared" si="46"/>
        <v>125.93283582089552</v>
      </c>
      <c r="AD101" s="19">
        <f t="shared" si="47"/>
        <v>0.10609337474380415</v>
      </c>
    </row>
    <row r="102" spans="1:30" s="15" customFormat="1">
      <c r="A102" s="24"/>
      <c r="B102" s="15" t="s">
        <v>257</v>
      </c>
      <c r="L102" s="15">
        <f>15000*CMF</f>
        <v>16875</v>
      </c>
      <c r="M102" s="15">
        <f t="shared" si="48"/>
        <v>1638.3495145631066</v>
      </c>
      <c r="P102" s="48">
        <f>Q102*P$7</f>
        <v>377.79850746268653</v>
      </c>
      <c r="Q102" s="15">
        <f t="shared" si="50"/>
        <v>125.93283582089552</v>
      </c>
      <c r="R102" s="19">
        <f t="shared" si="41"/>
        <v>0.1051192285650213</v>
      </c>
      <c r="T102" s="48">
        <f>U102*T$7</f>
        <v>9193.0970149253735</v>
      </c>
      <c r="U102" s="15">
        <f t="shared" si="51"/>
        <v>125.93283582089552</v>
      </c>
      <c r="V102" s="19">
        <f t="shared" si="43"/>
        <v>0.11376046596286858</v>
      </c>
      <c r="X102" s="48">
        <f>Y102*X$7</f>
        <v>7304.1044776119397</v>
      </c>
      <c r="Y102" s="15">
        <f t="shared" si="52"/>
        <v>125.93283582089552</v>
      </c>
      <c r="Z102" s="19">
        <f t="shared" si="45"/>
        <v>9.7849911282747101E-2</v>
      </c>
      <c r="AB102" s="26">
        <f>+X102+T102+P102</f>
        <v>16875</v>
      </c>
      <c r="AC102" s="49">
        <f t="shared" si="46"/>
        <v>125.93283582089552</v>
      </c>
      <c r="AD102" s="19">
        <f t="shared" si="47"/>
        <v>0.10609337474380415</v>
      </c>
    </row>
    <row r="103" spans="1:30" s="15" customFormat="1">
      <c r="A103" s="24"/>
      <c r="B103" s="35" t="s">
        <v>264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>
        <f>SUM(L93:L101)</f>
        <v>824510.27980621462</v>
      </c>
      <c r="M103" s="35">
        <f>SUM(M93:M101)</f>
        <v>80049.54172875869</v>
      </c>
      <c r="P103" s="50">
        <f>SUM(P93:P102)</f>
        <v>18836.983876258531</v>
      </c>
      <c r="Q103" s="50">
        <f>SUM(Q93:Q102)</f>
        <v>6278.994625419512</v>
      </c>
      <c r="R103" s="51">
        <f>SUM(R93:R102)</f>
        <v>5.2412309060263045</v>
      </c>
      <c r="T103" s="50">
        <f>SUM(T93:T102)</f>
        <v>458366.60765562434</v>
      </c>
      <c r="U103" s="50">
        <f>SUM(U93:U102)</f>
        <v>6278.994625419512</v>
      </c>
      <c r="V103" s="51">
        <f>SUM(V93:V102)</f>
        <v>5.6720818657809495</v>
      </c>
      <c r="X103" s="50">
        <f>SUM(X93:X102)</f>
        <v>364181.68827433168</v>
      </c>
      <c r="Y103" s="50">
        <f>SUM(Y93:Y102)</f>
        <v>6278.994625419512</v>
      </c>
      <c r="Z103" s="51">
        <f>SUM(Z93:Z102)</f>
        <v>4.8787837027346619</v>
      </c>
      <c r="AB103" s="50">
        <f>SUM(AB93:AB102)</f>
        <v>841385.2798062145</v>
      </c>
      <c r="AC103" s="50">
        <f>SUM(AC93:AC102)</f>
        <v>6278.9946254195111</v>
      </c>
      <c r="AD103" s="51">
        <f>SUM(AD93:AD102)</f>
        <v>5.2898017063348872</v>
      </c>
    </row>
    <row r="104" spans="1:30" s="15" customFormat="1">
      <c r="A104" s="24"/>
      <c r="P104" s="48"/>
      <c r="R104" s="19"/>
      <c r="U104" s="15">
        <f t="shared" si="51"/>
        <v>0</v>
      </c>
      <c r="Y104" s="15">
        <f t="shared" si="52"/>
        <v>0</v>
      </c>
    </row>
    <row r="105" spans="1:30" s="15" customFormat="1">
      <c r="A105" s="24"/>
      <c r="B105" s="34" t="s">
        <v>248</v>
      </c>
      <c r="P105" s="48"/>
      <c r="R105" s="19"/>
      <c r="U105" s="15">
        <f t="shared" si="51"/>
        <v>0</v>
      </c>
      <c r="Y105" s="15">
        <f t="shared" si="52"/>
        <v>0</v>
      </c>
    </row>
    <row r="106" spans="1:30" s="15" customFormat="1">
      <c r="A106" s="24"/>
      <c r="B106" s="15" t="s">
        <v>245</v>
      </c>
      <c r="L106" s="15">
        <f>75000*CMF</f>
        <v>84375</v>
      </c>
      <c r="M106" s="15">
        <f>L106/10.3</f>
        <v>8191.7475728155332</v>
      </c>
      <c r="P106" s="47">
        <f t="shared" si="40"/>
        <v>1888.9925373134329</v>
      </c>
      <c r="Q106" s="47">
        <f t="shared" si="50"/>
        <v>629.66417910447763</v>
      </c>
      <c r="R106" s="18">
        <f t="shared" si="41"/>
        <v>0.52559614282510658</v>
      </c>
      <c r="T106" s="47">
        <f>U106*T$7</f>
        <v>45965.485074626864</v>
      </c>
      <c r="U106" s="47">
        <f t="shared" si="51"/>
        <v>629.66417910447763</v>
      </c>
      <c r="V106" s="18">
        <f>+U106/U$8</f>
        <v>0.56880232981434298</v>
      </c>
      <c r="X106" s="47">
        <f>Y106*X$7</f>
        <v>36520.522388059704</v>
      </c>
      <c r="Y106" s="47">
        <f t="shared" si="52"/>
        <v>629.66417910447763</v>
      </c>
      <c r="Z106" s="18">
        <f>+Y106/Y$8</f>
        <v>0.48924955641373552</v>
      </c>
      <c r="AB106" s="26">
        <f>+X106+T106+P106</f>
        <v>84375</v>
      </c>
      <c r="AC106" s="49">
        <f>+AB106/AB$7</f>
        <v>629.66417910447763</v>
      </c>
      <c r="AD106" s="19">
        <f>+AC106/AC$8</f>
        <v>0.53046687371902079</v>
      </c>
    </row>
    <row r="107" spans="1:30" s="15" customFormat="1">
      <c r="A107" s="24"/>
      <c r="B107" s="15" t="s">
        <v>247</v>
      </c>
      <c r="L107" s="15">
        <f>4000*CMF</f>
        <v>4500</v>
      </c>
      <c r="M107" s="15">
        <f>L107/10.3</f>
        <v>436.89320388349512</v>
      </c>
      <c r="P107" s="48">
        <f t="shared" si="40"/>
        <v>100.74626865671641</v>
      </c>
      <c r="Q107" s="15">
        <f t="shared" si="50"/>
        <v>33.582089552238806</v>
      </c>
      <c r="R107" s="19">
        <f t="shared" si="41"/>
        <v>2.8031794284005682E-2</v>
      </c>
      <c r="T107" s="48">
        <f>U107*T$7</f>
        <v>2451.4925373134329</v>
      </c>
      <c r="U107" s="15">
        <f t="shared" si="51"/>
        <v>33.582089552238806</v>
      </c>
      <c r="V107" s="19">
        <f>+U107/U$8</f>
        <v>3.0336124256764956E-2</v>
      </c>
      <c r="X107" s="48">
        <f>Y107*X$7</f>
        <v>1947.7611940298507</v>
      </c>
      <c r="Y107" s="15">
        <f t="shared" si="52"/>
        <v>33.582089552238806</v>
      </c>
      <c r="Z107" s="19">
        <f>+Y107/Y$8</f>
        <v>2.6093309675399228E-2</v>
      </c>
      <c r="AB107" s="26">
        <f>+X107+T107+P107</f>
        <v>4500</v>
      </c>
      <c r="AC107" s="49">
        <f>+AB107/AB$7</f>
        <v>33.582089552238806</v>
      </c>
      <c r="AD107" s="19">
        <f>+AC107/AC$8</f>
        <v>2.8291566598347771E-2</v>
      </c>
    </row>
    <row r="108" spans="1:30" s="15" customFormat="1">
      <c r="A108" s="24"/>
      <c r="B108" s="15" t="s">
        <v>246</v>
      </c>
      <c r="L108" s="15">
        <f>4000*CMF</f>
        <v>4500</v>
      </c>
      <c r="M108" s="15">
        <f>L108/10.3</f>
        <v>436.89320388349512</v>
      </c>
      <c r="P108" s="48">
        <f t="shared" si="40"/>
        <v>100.74626865671641</v>
      </c>
      <c r="Q108" s="15">
        <f t="shared" si="50"/>
        <v>33.582089552238806</v>
      </c>
      <c r="R108" s="19">
        <f t="shared" si="41"/>
        <v>2.8031794284005682E-2</v>
      </c>
      <c r="T108" s="48">
        <f>U108*T$7</f>
        <v>2451.4925373134329</v>
      </c>
      <c r="U108" s="15">
        <f t="shared" si="51"/>
        <v>33.582089552238806</v>
      </c>
      <c r="V108" s="19">
        <f>+U108/U$8</f>
        <v>3.0336124256764956E-2</v>
      </c>
      <c r="X108" s="48">
        <f>Y108*X$7</f>
        <v>1947.7611940298507</v>
      </c>
      <c r="Y108" s="15">
        <f t="shared" si="52"/>
        <v>33.582089552238806</v>
      </c>
      <c r="Z108" s="19">
        <f>+Y108/Y$8</f>
        <v>2.6093309675399228E-2</v>
      </c>
      <c r="AB108" s="26">
        <f>+X108+T108+P108</f>
        <v>4500</v>
      </c>
      <c r="AC108" s="49">
        <f>+AB108/AB$7</f>
        <v>33.582089552238806</v>
      </c>
      <c r="AD108" s="19">
        <f>+AC108/AC$8</f>
        <v>2.8291566598347771E-2</v>
      </c>
    </row>
    <row r="109" spans="1:30" s="15" customFormat="1">
      <c r="A109" s="24"/>
      <c r="B109" s="35" t="s">
        <v>249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>
        <f>SUM(L106:L108)</f>
        <v>93375</v>
      </c>
      <c r="M109" s="35">
        <f>SUM(M106:M108)</f>
        <v>9065.5339805825242</v>
      </c>
      <c r="P109" s="50">
        <f>SUM(P106:P108)</f>
        <v>2090.4850746268658</v>
      </c>
      <c r="Q109" s="50">
        <f>SUM(Q106:Q108)</f>
        <v>696.82835820895525</v>
      </c>
      <c r="R109" s="51">
        <f>SUM(R106:R108)</f>
        <v>0.581659731393118</v>
      </c>
      <c r="T109" s="50">
        <f>SUM(T106:T108)</f>
        <v>50868.470149253728</v>
      </c>
      <c r="U109" s="50">
        <f>SUM(U106:U108)</f>
        <v>696.82835820895525</v>
      </c>
      <c r="V109" s="51">
        <f>SUM(V106:V108)</f>
        <v>0.62947457832787279</v>
      </c>
      <c r="X109" s="50">
        <f>SUM(X106:X108)</f>
        <v>40416.044776119408</v>
      </c>
      <c r="Y109" s="50">
        <f>SUM(Y106:Y108)</f>
        <v>696.82835820895525</v>
      </c>
      <c r="Z109" s="51">
        <f>SUM(Z106:Z108)</f>
        <v>0.54143617576453396</v>
      </c>
      <c r="AB109" s="50">
        <f>SUM(AB106:AB108)</f>
        <v>93375</v>
      </c>
      <c r="AC109" s="50">
        <f>SUM(AC106:AC108)</f>
        <v>696.82835820895525</v>
      </c>
      <c r="AD109" s="51">
        <f>SUM(AD106:AD108)</f>
        <v>0.58705000691571629</v>
      </c>
    </row>
    <row r="110" spans="1:30" s="15" customFormat="1">
      <c r="A110" s="24"/>
      <c r="B110" s="54" t="s">
        <v>265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>
        <f>+L109+L103</f>
        <v>917885.27980621462</v>
      </c>
      <c r="M110" s="35">
        <f>+M109+M103</f>
        <v>89115.07570934121</v>
      </c>
      <c r="P110" s="50">
        <f>+P109+P103</f>
        <v>20927.468950885399</v>
      </c>
      <c r="Q110" s="50">
        <f>+Q109+Q103</f>
        <v>6975.8229836284672</v>
      </c>
      <c r="R110" s="51">
        <f>+R109+R103</f>
        <v>5.8228906374194223</v>
      </c>
      <c r="T110" s="50">
        <f>+T109+T103</f>
        <v>509235.07780487806</v>
      </c>
      <c r="U110" s="50">
        <f>+U109+U103</f>
        <v>6975.8229836284672</v>
      </c>
      <c r="V110" s="51">
        <f>+V109+V103</f>
        <v>6.3015564441088223</v>
      </c>
      <c r="X110" s="50">
        <f>+X109+X103</f>
        <v>404597.73305045109</v>
      </c>
      <c r="Y110" s="50">
        <f>+Y109+Y103</f>
        <v>6975.8229836284672</v>
      </c>
      <c r="Z110" s="51">
        <f>+Z109+Z103</f>
        <v>5.4202198784991955</v>
      </c>
      <c r="AB110" s="50">
        <f>+AB109+AB103</f>
        <v>934760.2798062145</v>
      </c>
      <c r="AC110" s="50">
        <f>+AC109+AC103</f>
        <v>6975.8229836284663</v>
      </c>
      <c r="AD110" s="51">
        <f>+AD109+AD103</f>
        <v>5.8768517132506037</v>
      </c>
    </row>
    <row r="111" spans="1:30" s="15" customFormat="1">
      <c r="A111" s="24"/>
      <c r="B111" s="54" t="s">
        <v>256</v>
      </c>
      <c r="C111" s="54"/>
      <c r="D111" s="99"/>
      <c r="E111" s="100"/>
      <c r="F111" s="100"/>
      <c r="G111" s="100"/>
      <c r="H111" s="100"/>
      <c r="I111" s="100"/>
      <c r="J111" s="100"/>
      <c r="K111" s="100"/>
      <c r="L111" s="55">
        <f>+L110+L91</f>
        <v>2039555.2798062149</v>
      </c>
      <c r="M111" s="55">
        <f>+M110+M91</f>
        <v>198015.07570934121</v>
      </c>
      <c r="N111" s="101"/>
      <c r="O111" s="101"/>
      <c r="P111" s="55">
        <f>+P110+P91</f>
        <v>46039.483876258542</v>
      </c>
      <c r="Q111" s="55">
        <f>+Q110+Q91</f>
        <v>15346.494625419513</v>
      </c>
      <c r="R111" s="56">
        <f>+R110+R91</f>
        <v>12.810095680650679</v>
      </c>
      <c r="S111" s="57"/>
      <c r="T111" s="55">
        <f>+T110+T91</f>
        <v>1120294.1076556244</v>
      </c>
      <c r="U111" s="55">
        <f>+U110+U91</f>
        <v>15346.494625419513</v>
      </c>
      <c r="V111" s="56">
        <f>+V110+V91</f>
        <v>13.863138776350056</v>
      </c>
      <c r="W111" s="57"/>
      <c r="X111" s="55">
        <f>+X110+X91</f>
        <v>890096.68827433186</v>
      </c>
      <c r="Y111" s="55">
        <f>+Y110+Y91</f>
        <v>15346.494625419513</v>
      </c>
      <c r="Z111" s="56">
        <f>+Z110+Z91</f>
        <v>11.924238248189209</v>
      </c>
      <c r="AA111" s="57"/>
      <c r="AB111" s="58">
        <f>+AB110+AB91</f>
        <v>2056430.2798062149</v>
      </c>
      <c r="AC111" s="55">
        <f>+AC110+AC91</f>
        <v>15346.494625419515</v>
      </c>
      <c r="AD111" s="56">
        <f>+AD110+AD91</f>
        <v>12.928807603554773</v>
      </c>
    </row>
    <row r="112" spans="1:30" s="15" customFormat="1">
      <c r="A112" s="24"/>
      <c r="B112" s="31" t="s">
        <v>218</v>
      </c>
      <c r="L112" s="15">
        <f>0.15*(L110+L88)</f>
        <v>243137.02197093217</v>
      </c>
      <c r="P112" s="15">
        <f>0.15*(P110+P88)</f>
        <v>34050.211032511579</v>
      </c>
      <c r="Q112" s="15">
        <f>0.15*(Q110+Q88)</f>
        <v>11350.070344170528</v>
      </c>
      <c r="R112" s="25">
        <f>0.15*(R110+R88)</f>
        <v>9.4741822572375014</v>
      </c>
      <c r="T112" s="15">
        <f>0.15*(T110+T88)</f>
        <v>788337.58682320383</v>
      </c>
      <c r="U112" s="15">
        <f>0.15*(U110+U88)</f>
        <v>10799.145024975396</v>
      </c>
      <c r="V112" s="15">
        <f>0.15*(V110+V88)</f>
        <v>9.7553252258133636</v>
      </c>
      <c r="X112" s="15">
        <f>0.15*(X110+X88)</f>
        <v>686456.09582590871</v>
      </c>
      <c r="Y112" s="15">
        <f>0.15*(Y110+Y88)</f>
        <v>11835.449928032913</v>
      </c>
      <c r="Z112" s="15">
        <f>0.15*(Z110+Z88)</f>
        <v>9.1961537902353623</v>
      </c>
      <c r="AB112" s="15">
        <f>0.15*(AB110+AB88)</f>
        <v>1508843.8936816247</v>
      </c>
      <c r="AC112" s="15">
        <f>0.15*(AC110+AC88)</f>
        <v>11260.029057325557</v>
      </c>
      <c r="AD112" s="15">
        <f>0.15*(AD110+AD88)</f>
        <v>9.4861238899120099</v>
      </c>
    </row>
    <row r="113" spans="1:30" s="15" customFormat="1">
      <c r="A113" s="24"/>
      <c r="B113" s="54" t="s">
        <v>266</v>
      </c>
      <c r="C113" s="54"/>
      <c r="D113" s="99"/>
      <c r="E113" s="100"/>
      <c r="F113" s="100"/>
      <c r="G113" s="100"/>
      <c r="H113" s="100"/>
      <c r="I113" s="100"/>
      <c r="J113" s="100"/>
      <c r="K113" s="100"/>
      <c r="L113" s="55">
        <f>+L112+L111+L88</f>
        <v>2985720.5017771474</v>
      </c>
      <c r="M113" s="55"/>
      <c r="N113" s="101"/>
      <c r="O113" s="101"/>
      <c r="P113" s="55">
        <f>+P112+P111+P88</f>
        <v>286163.63284129527</v>
      </c>
      <c r="Q113" s="55">
        <f>+Q112+Q111+Q88</f>
        <v>95387.8776137651</v>
      </c>
      <c r="R113" s="56">
        <f>+R112+R111+R88</f>
        <v>79.622602348718772</v>
      </c>
      <c r="S113" s="57"/>
      <c r="T113" s="55">
        <f>+T112+T111+T88</f>
        <v>6654980.5288286423</v>
      </c>
      <c r="U113" s="55">
        <f>+U112+U111+U88</f>
        <v>91164.116833269072</v>
      </c>
      <c r="V113" s="56">
        <f>+V112+V111+V88</f>
        <v>82.35240906347704</v>
      </c>
      <c r="W113" s="57"/>
      <c r="X113" s="55">
        <f>+X112+X111+X88</f>
        <v>5748329.0232225154</v>
      </c>
      <c r="Y113" s="55">
        <f>+Y112+Y111+Y88</f>
        <v>99109.12109004338</v>
      </c>
      <c r="Z113" s="56">
        <f>+Z112+Z111+Z88</f>
        <v>77.007864094827795</v>
      </c>
      <c r="AA113" s="57"/>
      <c r="AB113" s="58">
        <f>+AB112+AB111+AB88</f>
        <v>12689473.184892457</v>
      </c>
      <c r="AC113" s="55">
        <f>+AC112+AC111+AC88</f>
        <v>94697.561081286985</v>
      </c>
      <c r="AD113" s="56">
        <f>+AD112+AD111+AD88</f>
        <v>79.77890571296291</v>
      </c>
    </row>
    <row r="114" spans="1:30" s="15" customFormat="1">
      <c r="A114" s="24"/>
      <c r="B114" s="31"/>
      <c r="R114" s="19"/>
    </row>
    <row r="115" spans="1:30" s="15" customFormat="1">
      <c r="A115" s="24"/>
      <c r="B115" s="34" t="s">
        <v>258</v>
      </c>
    </row>
    <row r="116" spans="1:30" s="15" customFormat="1">
      <c r="A116" s="24"/>
      <c r="B116" s="15" t="s">
        <v>70</v>
      </c>
      <c r="L116" s="15">
        <v>4000</v>
      </c>
      <c r="P116" s="47">
        <f>Q116*P$7</f>
        <v>89.552238805970148</v>
      </c>
      <c r="Q116" s="47">
        <f>+$L116/SM134Units</f>
        <v>29.850746268656717</v>
      </c>
      <c r="R116" s="18">
        <f t="shared" si="41"/>
        <v>2.4917150474671718E-2</v>
      </c>
      <c r="T116" s="47">
        <f>U116*T$7</f>
        <v>2179.1044776119402</v>
      </c>
      <c r="U116" s="47">
        <f>+$L116/SM134Units</f>
        <v>29.850746268656717</v>
      </c>
      <c r="V116" s="18">
        <f>+U116/U$8</f>
        <v>2.6965443783791072E-2</v>
      </c>
      <c r="X116" s="47">
        <f>Y116*X$7</f>
        <v>1731.3432835820895</v>
      </c>
      <c r="Y116" s="47">
        <f>+$L116/SM134Units</f>
        <v>29.850746268656717</v>
      </c>
      <c r="Z116" s="18">
        <f>+Y116/Y$8</f>
        <v>2.3194053044799313E-2</v>
      </c>
      <c r="AB116" s="26">
        <f>+X116+T116+P116</f>
        <v>4000</v>
      </c>
      <c r="AC116" s="49">
        <f>+AB116/AB$7</f>
        <v>29.850746268656717</v>
      </c>
      <c r="AD116" s="19">
        <f>+AC116/AC$8</f>
        <v>2.5148059198531355E-2</v>
      </c>
    </row>
    <row r="117" spans="1:30" s="15" customFormat="1">
      <c r="A117" s="24"/>
      <c r="B117" s="15" t="s">
        <v>259</v>
      </c>
      <c r="L117" s="15">
        <f>0.0075*0.75*13000000</f>
        <v>73125</v>
      </c>
      <c r="P117" s="48">
        <f>Q117*P$7</f>
        <v>1637.1268656716418</v>
      </c>
      <c r="Q117" s="15">
        <f>+$L117/SM134Units</f>
        <v>545.70895522388059</v>
      </c>
      <c r="R117" s="19">
        <f t="shared" si="41"/>
        <v>0.45551665711509232</v>
      </c>
      <c r="T117" s="48">
        <f>U117*T$7</f>
        <v>39836.753731343284</v>
      </c>
      <c r="U117" s="15">
        <f>+$L117/SM134Units</f>
        <v>545.70895522388059</v>
      </c>
      <c r="V117" s="19">
        <f>+U117/U$8</f>
        <v>0.49296201917243054</v>
      </c>
      <c r="X117" s="48">
        <f>Y117*X$7</f>
        <v>31651.119402985074</v>
      </c>
      <c r="Y117" s="15">
        <f>+$L117/SM134Units</f>
        <v>545.70895522388059</v>
      </c>
      <c r="Z117" s="19">
        <f>+Y117/Y$8</f>
        <v>0.42401628222523746</v>
      </c>
      <c r="AB117" s="26">
        <f>+X117+T117+P117</f>
        <v>73125</v>
      </c>
      <c r="AC117" s="49">
        <f>+AB117/AB$7</f>
        <v>545.70895522388059</v>
      </c>
      <c r="AD117" s="19">
        <f>+AC117/AC$8</f>
        <v>0.45973795722315131</v>
      </c>
    </row>
    <row r="118" spans="1:30" s="15" customFormat="1">
      <c r="A118" s="24"/>
      <c r="B118" s="15" t="s">
        <v>263</v>
      </c>
      <c r="L118" s="15">
        <f>0.0025*0.75*13000000</f>
        <v>24375</v>
      </c>
      <c r="P118" s="48">
        <f>Q118*P$7</f>
        <v>545.70895522388059</v>
      </c>
      <c r="Q118" s="15">
        <f>+$L118/SM134Units</f>
        <v>181.90298507462686</v>
      </c>
      <c r="R118" s="19">
        <f t="shared" si="41"/>
        <v>0.15183888570503076</v>
      </c>
      <c r="T118" s="48">
        <f>U118*T$7</f>
        <v>13278.917910447761</v>
      </c>
      <c r="U118" s="15">
        <f>+$L118/SM134Units</f>
        <v>181.90298507462686</v>
      </c>
      <c r="V118" s="19">
        <f>+U118/U$8</f>
        <v>0.16432067305747683</v>
      </c>
      <c r="X118" s="48">
        <f>Y118*X$7</f>
        <v>10550.373134328358</v>
      </c>
      <c r="Y118" s="15">
        <f>+$L118/SM134Units</f>
        <v>181.90298507462686</v>
      </c>
      <c r="Z118" s="19">
        <f>+Y118/Y$8</f>
        <v>0.14133876074174581</v>
      </c>
      <c r="AB118" s="26">
        <f>+X118+T118+P118</f>
        <v>24374.999999999996</v>
      </c>
      <c r="AC118" s="49">
        <f>+AB118/AB$7</f>
        <v>181.90298507462683</v>
      </c>
      <c r="AD118" s="19">
        <f>+AC118/AC$8</f>
        <v>0.15324598574105039</v>
      </c>
    </row>
    <row r="119" spans="1:30" s="15" customFormat="1">
      <c r="A119" s="24"/>
      <c r="B119" s="15" t="s">
        <v>260</v>
      </c>
      <c r="L119" s="15">
        <f>13000000*0.75*0.75*0.105*0.5</f>
        <v>383906.25</v>
      </c>
      <c r="P119" s="48">
        <f>Q119*P$7</f>
        <v>8594.9160447761187</v>
      </c>
      <c r="Q119" s="15">
        <f>+$L119/SM134Units</f>
        <v>2864.9720149253731</v>
      </c>
      <c r="R119" s="19">
        <f t="shared" si="41"/>
        <v>2.3914624498542345</v>
      </c>
      <c r="T119" s="48">
        <f>U119*T$7</f>
        <v>209142.95708955222</v>
      </c>
      <c r="U119" s="15">
        <f>+$L119/SM134Units</f>
        <v>2864.9720149253731</v>
      </c>
      <c r="V119" s="19">
        <f>+U119/U$8</f>
        <v>2.5880506006552602</v>
      </c>
      <c r="X119" s="48">
        <f>Y119*X$7</f>
        <v>166168.37686567163</v>
      </c>
      <c r="Y119" s="15">
        <f>+$L119/SM134Units</f>
        <v>2864.9720149253731</v>
      </c>
      <c r="Z119" s="19">
        <f>+Y119/Y$8</f>
        <v>2.2260854816824964</v>
      </c>
      <c r="AB119" s="26">
        <f>+X119+T119+P119</f>
        <v>383906.24999999994</v>
      </c>
      <c r="AC119" s="49">
        <f>+AB119/AB$7</f>
        <v>2864.9720149253726</v>
      </c>
      <c r="AD119" s="19">
        <f>+AC119/AC$8</f>
        <v>2.4136242754215438</v>
      </c>
    </row>
    <row r="120" spans="1:30" s="15" customFormat="1">
      <c r="A120" s="24"/>
      <c r="B120" s="37" t="s">
        <v>261</v>
      </c>
      <c r="L120" s="37">
        <f>SUM(L116:L119)</f>
        <v>485406.25</v>
      </c>
      <c r="M120" s="37"/>
      <c r="P120" s="102">
        <f>SUM(P116:P119)</f>
        <v>10867.304104477611</v>
      </c>
      <c r="Q120" s="102">
        <f>SUM(Q116:Q119)</f>
        <v>3622.434701492537</v>
      </c>
      <c r="R120" s="52">
        <f>SUM(R116:R119)</f>
        <v>3.0237351431490294</v>
      </c>
      <c r="T120" s="102">
        <f>SUM(T116:T119)</f>
        <v>264437.73320895521</v>
      </c>
      <c r="U120" s="102">
        <f>SUM(U116:U119)</f>
        <v>3622.434701492537</v>
      </c>
      <c r="V120" s="52">
        <f>SUM(V116:V119)</f>
        <v>3.2722987366689589</v>
      </c>
      <c r="X120" s="102">
        <f>SUM(X116:X119)</f>
        <v>210101.21268656716</v>
      </c>
      <c r="Y120" s="102">
        <f>SUM(Y116:Y119)</f>
        <v>3622.434701492537</v>
      </c>
      <c r="Z120" s="52">
        <f>SUM(Z116:Z119)</f>
        <v>2.8146345776942789</v>
      </c>
      <c r="AB120" s="102">
        <f>SUM(AB116:AB119)</f>
        <v>485406.24999999994</v>
      </c>
      <c r="AC120" s="102">
        <f>SUM(AC116:AC119)</f>
        <v>3622.434701492537</v>
      </c>
      <c r="AD120" s="52">
        <f>SUM(AD116:AD119)</f>
        <v>3.0517562775842766</v>
      </c>
    </row>
    <row r="121" spans="1:30" s="15" customFormat="1">
      <c r="A121" s="24"/>
      <c r="B121" s="35"/>
      <c r="L121" s="35"/>
      <c r="M121" s="35"/>
      <c r="P121" s="50"/>
      <c r="Q121" s="50"/>
      <c r="R121" s="103"/>
      <c r="T121" s="50"/>
      <c r="U121" s="50"/>
      <c r="V121" s="103"/>
      <c r="X121" s="50"/>
      <c r="Y121" s="50"/>
      <c r="Z121" s="103"/>
      <c r="AB121" s="50"/>
      <c r="AC121" s="50"/>
      <c r="AD121" s="103"/>
    </row>
    <row r="122" spans="1:30" s="15" customFormat="1" ht="12.75" thickBot="1">
      <c r="A122" s="24"/>
      <c r="B122" s="21" t="s">
        <v>262</v>
      </c>
      <c r="L122" s="21">
        <f>+L120+L113+L88</f>
        <v>4174154.9517771476</v>
      </c>
      <c r="M122" s="21"/>
      <c r="P122" s="10">
        <f>+P120+P113</f>
        <v>297030.9369457729</v>
      </c>
      <c r="Q122" s="10">
        <f>+Q120+Q113</f>
        <v>99010.312315257645</v>
      </c>
      <c r="R122" s="8">
        <f>+R120+R113</f>
        <v>82.646337491867797</v>
      </c>
      <c r="T122" s="10">
        <f>+T120+T113</f>
        <v>6919418.2620375976</v>
      </c>
      <c r="U122" s="10">
        <f>+U120+U113</f>
        <v>94786.551534761616</v>
      </c>
      <c r="V122" s="8">
        <f>+V120+V113</f>
        <v>85.624707800145998</v>
      </c>
      <c r="X122" s="10">
        <f>+X120+X113</f>
        <v>5958430.2359090829</v>
      </c>
      <c r="Y122" s="10">
        <f>+Y120+Y113</f>
        <v>102731.55579153591</v>
      </c>
      <c r="Z122" s="8">
        <f>+Z120+Z113</f>
        <v>79.822498672522073</v>
      </c>
      <c r="AB122" s="10">
        <f>+AB120+AB113</f>
        <v>13174879.434892457</v>
      </c>
      <c r="AC122" s="10">
        <f>+AC120+AC113</f>
        <v>98319.99578277953</v>
      </c>
      <c r="AD122" s="8">
        <f>+AD120+AD113</f>
        <v>82.830661990547185</v>
      </c>
    </row>
    <row r="123" spans="1:30" s="15" customFormat="1" ht="12.75" thickTop="1">
      <c r="A123" s="24"/>
    </row>
    <row r="124" spans="1:30">
      <c r="A124" s="24"/>
      <c r="B124" s="15" t="s">
        <v>267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39">
        <v>0.75</v>
      </c>
      <c r="M124" s="44" t="s">
        <v>268</v>
      </c>
      <c r="P124" s="44">
        <f>0.75*P122</f>
        <v>222773.20270932966</v>
      </c>
      <c r="Q124" s="44">
        <f>0.75*Q122</f>
        <v>74257.734236443241</v>
      </c>
      <c r="R124" s="44">
        <f>0.75*R122</f>
        <v>61.984753118900848</v>
      </c>
      <c r="T124" s="44">
        <f>0.75*T122</f>
        <v>5189563.6965281982</v>
      </c>
      <c r="U124" s="44">
        <f>0.75*U122</f>
        <v>71089.913651071212</v>
      </c>
      <c r="V124" s="44">
        <f>0.75*V122</f>
        <v>64.218530850109502</v>
      </c>
      <c r="X124" s="44">
        <f>0.75*X122</f>
        <v>4468822.6769318124</v>
      </c>
      <c r="Y124" s="44">
        <f>0.75*Y122</f>
        <v>77048.666843651939</v>
      </c>
      <c r="Z124" s="44">
        <f>0.75*Z122</f>
        <v>59.866874004391555</v>
      </c>
      <c r="AB124" s="44">
        <f>0.75*AB122</f>
        <v>9881159.5761693418</v>
      </c>
      <c r="AC124" s="44">
        <f>0.75*AC122</f>
        <v>73739.996837084647</v>
      </c>
      <c r="AD124" s="44">
        <f>0.75*AD122</f>
        <v>62.122996492910389</v>
      </c>
    </row>
    <row r="125" spans="1:30">
      <c r="B125" s="104" t="s">
        <v>269</v>
      </c>
    </row>
    <row r="126" spans="1:30">
      <c r="B126" s="15" t="s">
        <v>254</v>
      </c>
      <c r="P126" s="44">
        <f>+P122-P124</f>
        <v>74257.734236443241</v>
      </c>
      <c r="T126" s="44">
        <f>+T122-T124</f>
        <v>1729854.5655093994</v>
      </c>
      <c r="X126" s="44">
        <f>+X122-X124</f>
        <v>1489607.5589772705</v>
      </c>
      <c r="AB126" s="44">
        <f>+AB122-AB124</f>
        <v>3293719.8587231152</v>
      </c>
    </row>
    <row r="127" spans="1:30">
      <c r="B127" s="15" t="s">
        <v>270</v>
      </c>
      <c r="P127" s="44">
        <f>-P112</f>
        <v>-34050.211032511579</v>
      </c>
      <c r="T127" s="44">
        <f>-T112</f>
        <v>-788337.58682320383</v>
      </c>
      <c r="X127" s="44">
        <f>-X112</f>
        <v>-686456.09582590871</v>
      </c>
      <c r="AB127" s="44">
        <f>-AB112</f>
        <v>-1508843.8936816247</v>
      </c>
    </row>
    <row r="128" spans="1:30">
      <c r="B128" s="15" t="s">
        <v>271</v>
      </c>
      <c r="P128" s="44">
        <f>+P127+P126</f>
        <v>40207.523203931662</v>
      </c>
      <c r="T128" s="44">
        <f>+T127+T126</f>
        <v>941516.97868619557</v>
      </c>
      <c r="X128" s="44">
        <f>+X127+X126</f>
        <v>803151.46315136179</v>
      </c>
      <c r="AB128" s="44">
        <f>+AB127+AB126</f>
        <v>1784875.9650414905</v>
      </c>
    </row>
    <row r="134" spans="12:24">
      <c r="L134" s="44">
        <f>10.3*43560</f>
        <v>448668.00000000006</v>
      </c>
      <c r="P134" s="44">
        <f>P$7*28</f>
        <v>84</v>
      </c>
      <c r="T134" s="44">
        <f>T7*15.83</f>
        <v>1155.5899999999999</v>
      </c>
      <c r="X134" s="44">
        <f>X7*26</f>
        <v>1508</v>
      </c>
    </row>
    <row r="135" spans="12:24">
      <c r="L135" s="44">
        <f>SQRT(L134)</f>
        <v>669.82684329608651</v>
      </c>
      <c r="M135" s="44">
        <f>L135*25</f>
        <v>16745.671082402161</v>
      </c>
      <c r="N135" s="44">
        <f>M135*4</f>
        <v>66982.684329608644</v>
      </c>
      <c r="P135" s="44">
        <f>P$7*20</f>
        <v>60</v>
      </c>
      <c r="T135" s="44">
        <f>T$7*20</f>
        <v>1460</v>
      </c>
      <c r="X135" s="44">
        <f>X$7*20</f>
        <v>1160</v>
      </c>
    </row>
    <row r="136" spans="12:24">
      <c r="L136" s="44">
        <f>L135*4-120</f>
        <v>2559.307373184346</v>
      </c>
      <c r="N136" s="44">
        <f>300*300</f>
        <v>90000</v>
      </c>
      <c r="P136" s="44">
        <f>+P135+P134</f>
        <v>144</v>
      </c>
      <c r="T136" s="44">
        <f>+T135+T134</f>
        <v>2615.59</v>
      </c>
      <c r="X136" s="44">
        <f>+X135+X134</f>
        <v>2668</v>
      </c>
    </row>
    <row r="137" spans="12:24">
      <c r="L137" s="44">
        <f>30*L136</f>
        <v>76779.221195530379</v>
      </c>
      <c r="N137" s="44">
        <f>+N136+N135</f>
        <v>156982.68432960863</v>
      </c>
    </row>
    <row r="138" spans="12:24">
      <c r="N138" s="44">
        <f>-2.5*60*80</f>
        <v>-12000</v>
      </c>
    </row>
    <row r="139" spans="12:24">
      <c r="N139" s="44">
        <f>-4000</f>
        <v>-4000</v>
      </c>
    </row>
    <row r="140" spans="12:24">
      <c r="N140" s="44">
        <f>SUM(N137:N139)</f>
        <v>140982.68432960863</v>
      </c>
    </row>
    <row r="141" spans="12:24">
      <c r="N141" s="44">
        <f>N140/134</f>
        <v>1052.1095845493182</v>
      </c>
    </row>
    <row r="142" spans="12:24">
      <c r="N142" s="44">
        <f>6500*12</f>
        <v>78000</v>
      </c>
    </row>
    <row r="143" spans="12:24">
      <c r="L143" s="44">
        <f>670-(37.5*2+25*2)</f>
        <v>545</v>
      </c>
    </row>
    <row r="144" spans="12:24">
      <c r="L144" s="44">
        <v>60</v>
      </c>
    </row>
    <row r="145" spans="2:14">
      <c r="L145" s="44">
        <v>4</v>
      </c>
    </row>
    <row r="146" spans="2:14">
      <c r="L146" s="44">
        <f>L145*L144*L143</f>
        <v>130800</v>
      </c>
    </row>
    <row r="147" spans="2:14">
      <c r="L147" s="44">
        <f>2*L146</f>
        <v>261600</v>
      </c>
    </row>
    <row r="148" spans="2:14">
      <c r="L148" s="44">
        <f>L143*L145*2.1</f>
        <v>4578</v>
      </c>
    </row>
    <row r="149" spans="2:14">
      <c r="L149" s="44">
        <f>10*L148</f>
        <v>45780</v>
      </c>
    </row>
    <row r="150" spans="2:14">
      <c r="L150" s="44">
        <f>+L149+L147</f>
        <v>307380</v>
      </c>
      <c r="M150" s="44">
        <f>75000*10.3</f>
        <v>772500</v>
      </c>
      <c r="N150" s="39">
        <f>+L150/M150</f>
        <v>0.39790291262135924</v>
      </c>
    </row>
    <row r="151" spans="2:14">
      <c r="L151" s="44">
        <f>+N140*1.5</f>
        <v>211474.02649441294</v>
      </c>
    </row>
    <row r="152" spans="2:14">
      <c r="B152" s="44" t="s">
        <v>225</v>
      </c>
      <c r="L152" s="44">
        <f>545*4*35</f>
        <v>76300</v>
      </c>
      <c r="M152" s="44">
        <v>16</v>
      </c>
    </row>
    <row r="153" spans="2:14">
      <c r="B153" s="44" t="s">
        <v>226</v>
      </c>
    </row>
    <row r="154" spans="2:14">
      <c r="B154" s="44" t="s">
        <v>227</v>
      </c>
    </row>
    <row r="155" spans="2:14">
      <c r="B155" s="44" t="s">
        <v>228</v>
      </c>
    </row>
    <row r="156" spans="2:14">
      <c r="B156" s="44" t="s">
        <v>229</v>
      </c>
      <c r="L156" s="44">
        <v>25000</v>
      </c>
    </row>
    <row r="157" spans="2:14">
      <c r="B157" s="44" t="s">
        <v>230</v>
      </c>
      <c r="L157" s="44">
        <f>10000</f>
        <v>10000</v>
      </c>
    </row>
    <row r="158" spans="2:14">
      <c r="B158" s="44" t="s">
        <v>232</v>
      </c>
      <c r="L158" s="44">
        <v>15000</v>
      </c>
    </row>
    <row r="159" spans="2:14">
      <c r="B159" s="44" t="s">
        <v>233</v>
      </c>
      <c r="L159" s="44">
        <v>15000</v>
      </c>
    </row>
    <row r="160" spans="2:14">
      <c r="B160" s="44" t="s">
        <v>234</v>
      </c>
      <c r="L160" s="44">
        <f>900*35</f>
        <v>31500</v>
      </c>
      <c r="M160" s="44">
        <f>SUM(L150:L160)</f>
        <v>691654.02649441292</v>
      </c>
      <c r="N160" s="44">
        <f>M160/10.3</f>
        <v>67150.876358680864</v>
      </c>
    </row>
    <row r="161" spans="2:14">
      <c r="B161" s="44" t="s">
        <v>235</v>
      </c>
      <c r="L161" s="44">
        <v>75000</v>
      </c>
    </row>
    <row r="162" spans="2:14">
      <c r="B162" s="44" t="s">
        <v>236</v>
      </c>
      <c r="L162" s="44">
        <v>4000</v>
      </c>
    </row>
    <row r="163" spans="2:14">
      <c r="B163" s="44" t="s">
        <v>237</v>
      </c>
      <c r="L163" s="44">
        <v>4000</v>
      </c>
      <c r="M163" s="44">
        <f>SUM(L150:L163)</f>
        <v>774654.02649441292</v>
      </c>
      <c r="N163" s="44">
        <f>M163/10.3</f>
        <v>75209.128785865323</v>
      </c>
    </row>
  </sheetData>
  <mergeCells count="4">
    <mergeCell ref="P5:R5"/>
    <mergeCell ref="T5:V5"/>
    <mergeCell ref="X5:Z5"/>
    <mergeCell ref="AB5:AD5"/>
  </mergeCells>
  <phoneticPr fontId="0" type="noConversion"/>
  <printOptions horizontalCentered="1" gridLines="1"/>
  <pageMargins left="0.5" right="0.5" top="1.81" bottom="0.8" header="0.5" footer="0.5"/>
  <pageSetup scale="89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67"/>
  <sheetViews>
    <sheetView tabSelected="1" topLeftCell="A7" workbookViewId="0">
      <pane xSplit="5145" ySplit="1485" topLeftCell="T106" activePane="bottomRight"/>
      <selection activeCell="L81" sqref="L81"/>
      <selection pane="topRight" activeCell="AD9" sqref="AD9"/>
      <selection pane="bottomLeft" activeCell="B14" sqref="B14:B38"/>
      <selection pane="bottomRight" activeCell="AG124" sqref="AG124"/>
    </sheetView>
  </sheetViews>
  <sheetFormatPr defaultColWidth="7.5" defaultRowHeight="12"/>
  <cols>
    <col min="1" max="1" width="8.5" style="59" customWidth="1"/>
    <col min="2" max="2" width="22.83203125" style="27" customWidth="1"/>
    <col min="3" max="3" width="5.83203125" style="27" hidden="1" customWidth="1"/>
    <col min="4" max="4" width="5.5" style="27" hidden="1" customWidth="1"/>
    <col min="5" max="11" width="7.5" style="27" hidden="1" customWidth="1"/>
    <col min="12" max="12" width="11.5" style="27" customWidth="1"/>
    <col min="13" max="13" width="11" style="27" customWidth="1"/>
    <col min="14" max="15" width="9.83203125" style="27" customWidth="1"/>
    <col min="16" max="16" width="1" style="27" customWidth="1"/>
    <col min="17" max="17" width="12" style="27" customWidth="1"/>
    <col min="18" max="18" width="11" style="27" customWidth="1"/>
    <col min="19" max="19" width="12.5" style="27" customWidth="1"/>
    <col min="20" max="20" width="1" style="27" customWidth="1"/>
    <col min="21" max="21" width="13.5" style="27" customWidth="1"/>
    <col min="22" max="23" width="11.5" style="27" customWidth="1"/>
    <col min="24" max="24" width="1" style="27" customWidth="1"/>
    <col min="25" max="27" width="11.5" style="27" customWidth="1"/>
    <col min="28" max="28" width="1" style="27" customWidth="1"/>
    <col min="29" max="31" width="10.6640625" style="27" customWidth="1"/>
    <col min="32" max="32" width="0.83203125" style="27" customWidth="1"/>
    <col min="33" max="33" width="12" style="27" customWidth="1"/>
    <col min="34" max="35" width="8.5" style="27" customWidth="1"/>
    <col min="36" max="36" width="1" style="27" customWidth="1"/>
    <col min="37" max="37" width="11.5" style="27" customWidth="1"/>
    <col min="38" max="38" width="3.5" style="27" customWidth="1"/>
    <col min="39" max="39" width="24" style="27" customWidth="1"/>
    <col min="40" max="40" width="7.6640625" style="27" customWidth="1"/>
    <col min="41" max="41" width="13.6640625" style="27" customWidth="1"/>
    <col min="42" max="43" width="9.5" style="27" customWidth="1"/>
    <col min="44" max="44" width="7.5" style="27" customWidth="1"/>
    <col min="45" max="45" width="11.5" style="27" customWidth="1"/>
    <col min="46" max="46" width="19" style="27" customWidth="1"/>
    <col min="47" max="47" width="16.33203125" style="27" customWidth="1"/>
    <col min="48" max="48" width="20" style="27" customWidth="1"/>
    <col min="49" max="16384" width="7.5" style="27"/>
  </cols>
  <sheetData>
    <row r="1" spans="1:43">
      <c r="B1" s="27" t="s">
        <v>221</v>
      </c>
      <c r="L1" s="39">
        <v>1.125</v>
      </c>
      <c r="AD1" s="139">
        <f>75/295</f>
        <v>0.25423728813559321</v>
      </c>
    </row>
    <row r="2" spans="1:43">
      <c r="B2" s="27" t="s">
        <v>1</v>
      </c>
      <c r="L2" s="110">
        <v>14</v>
      </c>
      <c r="Q2" s="27" t="s">
        <v>203</v>
      </c>
      <c r="R2" s="27">
        <v>134</v>
      </c>
      <c r="AD2" s="27">
        <f>475*3</f>
        <v>1425</v>
      </c>
    </row>
    <row r="3" spans="1:43" ht="12.75" thickBot="1">
      <c r="A3" s="59" t="s">
        <v>176</v>
      </c>
      <c r="B3" s="27" t="s">
        <v>182</v>
      </c>
      <c r="L3" s="27" t="s">
        <v>178</v>
      </c>
      <c r="AD3" s="27">
        <f>75*12</f>
        <v>900</v>
      </c>
    </row>
    <row r="4" spans="1:43" ht="12.75" thickBot="1">
      <c r="B4" s="61" t="s">
        <v>222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2"/>
      <c r="O4" s="155"/>
    </row>
    <row r="5" spans="1:43">
      <c r="E5" s="113" t="s">
        <v>183</v>
      </c>
      <c r="F5" s="113" t="s">
        <v>188</v>
      </c>
      <c r="G5" s="113" t="s">
        <v>69</v>
      </c>
      <c r="H5" s="113" t="s">
        <v>184</v>
      </c>
      <c r="I5" s="113" t="s">
        <v>185</v>
      </c>
      <c r="J5" s="113" t="s">
        <v>186</v>
      </c>
      <c r="K5" s="113" t="s">
        <v>187</v>
      </c>
      <c r="Q5" s="204" t="s">
        <v>205</v>
      </c>
      <c r="R5" s="204"/>
      <c r="S5" s="204"/>
      <c r="U5" s="204" t="s">
        <v>223</v>
      </c>
      <c r="V5" s="204"/>
      <c r="W5" s="204"/>
      <c r="X5" s="36"/>
      <c r="Y5" s="204" t="s">
        <v>327</v>
      </c>
      <c r="Z5" s="204"/>
      <c r="AA5" s="204"/>
      <c r="AB5" s="36"/>
      <c r="AC5" s="204" t="s">
        <v>326</v>
      </c>
      <c r="AD5" s="204"/>
      <c r="AE5" s="204"/>
      <c r="AF5" s="36"/>
      <c r="AG5" s="204" t="s">
        <v>2</v>
      </c>
      <c r="AH5" s="204"/>
      <c r="AI5" s="204"/>
      <c r="AJ5" s="36"/>
      <c r="AK5" s="36"/>
    </row>
    <row r="6" spans="1:43" ht="22.9" customHeight="1">
      <c r="B6" s="30" t="s">
        <v>76</v>
      </c>
      <c r="C6" s="65" t="s">
        <v>67</v>
      </c>
      <c r="D6" s="66" t="s">
        <v>177</v>
      </c>
      <c r="E6" s="113" t="s">
        <v>181</v>
      </c>
      <c r="F6" s="113" t="s">
        <v>189</v>
      </c>
      <c r="G6" s="113" t="s">
        <v>190</v>
      </c>
      <c r="H6" s="113" t="s">
        <v>191</v>
      </c>
      <c r="I6" s="113" t="s">
        <v>192</v>
      </c>
      <c r="J6" s="113" t="s">
        <v>193</v>
      </c>
      <c r="K6" s="113" t="s">
        <v>194</v>
      </c>
      <c r="L6" s="12" t="s">
        <v>75</v>
      </c>
      <c r="M6" s="12" t="s">
        <v>74</v>
      </c>
      <c r="N6" s="12" t="s">
        <v>330</v>
      </c>
      <c r="O6" s="12" t="s">
        <v>331</v>
      </c>
      <c r="P6" s="12"/>
      <c r="Q6" s="12" t="s">
        <v>75</v>
      </c>
      <c r="R6" s="12" t="s">
        <v>74</v>
      </c>
      <c r="S6" s="12" t="s">
        <v>0</v>
      </c>
      <c r="U6" s="12" t="s">
        <v>75</v>
      </c>
      <c r="V6" s="12" t="s">
        <v>74</v>
      </c>
      <c r="W6" s="12" t="s">
        <v>0</v>
      </c>
      <c r="X6" s="12"/>
      <c r="Y6" s="12" t="s">
        <v>75</v>
      </c>
      <c r="Z6" s="12" t="s">
        <v>74</v>
      </c>
      <c r="AA6" s="12" t="s">
        <v>0</v>
      </c>
      <c r="AB6" s="12"/>
      <c r="AC6" s="12" t="s">
        <v>75</v>
      </c>
      <c r="AD6" s="12" t="s">
        <v>74</v>
      </c>
      <c r="AE6" s="12" t="s">
        <v>0</v>
      </c>
      <c r="AF6" s="12"/>
      <c r="AG6" s="12" t="s">
        <v>75</v>
      </c>
      <c r="AH6" s="12" t="s">
        <v>74</v>
      </c>
      <c r="AI6" s="12" t="s">
        <v>0</v>
      </c>
      <c r="AJ6" s="12"/>
      <c r="AK6" s="67"/>
      <c r="AM6" s="11" t="s">
        <v>76</v>
      </c>
      <c r="AN6" s="12" t="s">
        <v>179</v>
      </c>
      <c r="AO6" s="12" t="s">
        <v>180</v>
      </c>
      <c r="AP6" s="12" t="s">
        <v>74</v>
      </c>
      <c r="AQ6" s="12" t="s">
        <v>212</v>
      </c>
    </row>
    <row r="7" spans="1:43" ht="22.9" customHeight="1">
      <c r="B7" s="30" t="s">
        <v>202</v>
      </c>
      <c r="C7" s="65"/>
      <c r="D7" s="66"/>
      <c r="E7" s="113"/>
      <c r="F7" s="113"/>
      <c r="G7" s="113"/>
      <c r="H7" s="113"/>
      <c r="I7" s="113"/>
      <c r="J7" s="113"/>
      <c r="K7" s="113"/>
      <c r="L7" s="114">
        <f>TRUnits</f>
        <v>14</v>
      </c>
      <c r="M7" s="12"/>
      <c r="N7" s="12"/>
      <c r="O7" s="12"/>
      <c r="P7" s="12"/>
      <c r="Q7" s="114">
        <v>0</v>
      </c>
      <c r="R7" s="12"/>
      <c r="S7" s="12"/>
      <c r="U7" s="114">
        <f>ROUND(0.35*SM134Units,0)</f>
        <v>47</v>
      </c>
      <c r="V7" s="12"/>
      <c r="W7" s="12"/>
      <c r="X7" s="12"/>
      <c r="Y7" s="114">
        <f>134-U7-Q7-AC7</f>
        <v>53</v>
      </c>
      <c r="Z7" s="12"/>
      <c r="AA7" s="12"/>
      <c r="AB7" s="12"/>
      <c r="AC7" s="114">
        <f>ROUND(134*0.25,0)</f>
        <v>34</v>
      </c>
      <c r="AD7" s="12"/>
      <c r="AE7" s="12"/>
      <c r="AF7" s="12"/>
      <c r="AG7" s="114">
        <f>ROUND(Y7+U7+Q7+AC7,0)</f>
        <v>134</v>
      </c>
      <c r="AH7" s="12"/>
      <c r="AI7" s="12"/>
      <c r="AJ7" s="12"/>
      <c r="AK7" s="67"/>
      <c r="AM7" s="11"/>
      <c r="AN7" s="12"/>
      <c r="AO7" s="12"/>
      <c r="AP7" s="114">
        <f>+AG7</f>
        <v>134</v>
      </c>
      <c r="AQ7" s="115">
        <f>AG7*AH8</f>
        <v>159996</v>
      </c>
    </row>
    <row r="8" spans="1:43" ht="22.9" customHeight="1">
      <c r="B8" s="30" t="s">
        <v>204</v>
      </c>
      <c r="C8" s="65"/>
      <c r="D8" s="66"/>
      <c r="E8" s="113"/>
      <c r="F8" s="113"/>
      <c r="G8" s="113"/>
      <c r="H8" s="113"/>
      <c r="I8" s="113"/>
      <c r="J8" s="113"/>
      <c r="K8" s="113"/>
      <c r="L8" s="114"/>
      <c r="M8" s="12"/>
      <c r="N8" s="114">
        <v>1376</v>
      </c>
      <c r="O8" s="114">
        <f>+N8+360</f>
        <v>1736</v>
      </c>
      <c r="P8" s="12"/>
      <c r="Q8" s="114"/>
      <c r="R8" s="114">
        <v>1198</v>
      </c>
      <c r="S8" s="114">
        <f>+R8</f>
        <v>1198</v>
      </c>
      <c r="U8" s="114"/>
      <c r="V8" s="114">
        <v>900</v>
      </c>
      <c r="W8" s="114">
        <f>V8+295</f>
        <v>1195</v>
      </c>
      <c r="X8" s="12"/>
      <c r="Y8" s="114"/>
      <c r="Z8" s="114">
        <v>1287</v>
      </c>
      <c r="AA8" s="114">
        <f>Z8+295</f>
        <v>1582</v>
      </c>
      <c r="AB8" s="12"/>
      <c r="AC8" s="114"/>
      <c r="AD8" s="114">
        <f>Z8+167</f>
        <v>1454</v>
      </c>
      <c r="AE8" s="114">
        <f>AD8+295</f>
        <v>1749</v>
      </c>
      <c r="AF8" s="114"/>
      <c r="AG8" s="12"/>
      <c r="AH8" s="114">
        <f>ROUND(($AD8*$AC7+Z8*$Y7+V8*$U7+R8*$Q7)/$AG$7,0)</f>
        <v>1194</v>
      </c>
      <c r="AI8" s="114">
        <f>ROUND((AE8*AC$7+AA8*$Y7+W8*$U7+S8*$Q7)/$AG$7,0)</f>
        <v>1489</v>
      </c>
      <c r="AJ8" s="12"/>
      <c r="AK8" s="67"/>
      <c r="AM8" s="11"/>
      <c r="AN8" s="12"/>
      <c r="AO8" s="12"/>
      <c r="AP8" s="12"/>
      <c r="AQ8" s="12"/>
    </row>
    <row r="9" spans="1:43">
      <c r="A9" s="59" t="s">
        <v>150</v>
      </c>
      <c r="B9" s="27" t="s">
        <v>3</v>
      </c>
      <c r="C9" s="116"/>
      <c r="D9" s="117">
        <f>L9/$L$88</f>
        <v>2.3716402841308496E-2</v>
      </c>
      <c r="E9" s="118" t="s">
        <v>195</v>
      </c>
      <c r="F9" s="118" t="s">
        <v>195</v>
      </c>
      <c r="G9" s="118" t="s">
        <v>195</v>
      </c>
      <c r="H9" s="118" t="s">
        <v>195</v>
      </c>
      <c r="I9" s="118" t="s">
        <v>195</v>
      </c>
      <c r="J9" s="118" t="s">
        <v>195</v>
      </c>
      <c r="K9" s="118" t="s">
        <v>195</v>
      </c>
      <c r="L9" s="119">
        <f>M9*TRUnits</f>
        <v>16673.3</v>
      </c>
      <c r="M9" s="119">
        <f>2381.9/2</f>
        <v>1190.95</v>
      </c>
      <c r="N9" s="120">
        <f>$M9/N$8</f>
        <v>0.86551598837209309</v>
      </c>
      <c r="O9" s="120">
        <f>$M9/O$8</f>
        <v>0.68603110599078343</v>
      </c>
      <c r="P9" s="120"/>
      <c r="Q9" s="121">
        <f>R9*Q$7</f>
        <v>0</v>
      </c>
      <c r="R9" s="121">
        <f>R$8*$N9*CMF</f>
        <v>1166.4991733284885</v>
      </c>
      <c r="S9" s="38">
        <f>+R9/R$8</f>
        <v>0.9737054869186047</v>
      </c>
      <c r="T9" s="119"/>
      <c r="U9" s="121">
        <f>V9*U$7</f>
        <v>41187.742096656977</v>
      </c>
      <c r="V9" s="121">
        <f>V$8*$N9*CMF</f>
        <v>876.33493822674427</v>
      </c>
      <c r="W9" s="38">
        <f>+V9/V$8</f>
        <v>0.9737054869186047</v>
      </c>
      <c r="X9" s="119"/>
      <c r="Y9" s="121">
        <f>Z9*Y$7</f>
        <v>66417.424968204956</v>
      </c>
      <c r="Z9" s="121">
        <f>Z$8*$N9*CMF</f>
        <v>1253.1589616642443</v>
      </c>
      <c r="AA9" s="38">
        <f>+Z9/Z$8</f>
        <v>0.9737054869186047</v>
      </c>
      <c r="AB9" s="119"/>
      <c r="AC9" s="121">
        <f>AD9*AC$7</f>
        <v>48136.104451308143</v>
      </c>
      <c r="AD9" s="121">
        <f>AD$8*$N9*CMF</f>
        <v>1415.7677779796513</v>
      </c>
      <c r="AE9" s="38">
        <f>+AD9/AD$8</f>
        <v>0.97370548691860481</v>
      </c>
      <c r="AF9" s="38"/>
      <c r="AG9" s="121">
        <f>+Y9+U9+Q9+AC9</f>
        <v>155741.27151617006</v>
      </c>
      <c r="AH9" s="121">
        <f>AG9/AG$7</f>
        <v>1162.2482948967915</v>
      </c>
      <c r="AI9" s="38">
        <f>+AH9/AH$8</f>
        <v>0.97340728215811689</v>
      </c>
      <c r="AJ9" s="119"/>
      <c r="AK9" s="122"/>
      <c r="AL9" s="123" t="s">
        <v>77</v>
      </c>
      <c r="AM9" s="27" t="s">
        <v>81</v>
      </c>
      <c r="AN9" s="117">
        <f t="shared" ref="AN9:AN23" si="0">AO9/$AO$48</f>
        <v>1.160233016744219E-2</v>
      </c>
      <c r="AO9" s="124">
        <f>+AG9</f>
        <v>155741.27151617006</v>
      </c>
      <c r="AP9" s="124">
        <f t="shared" ref="AP9:AP48" si="1">+AO9/AP$7</f>
        <v>1162.2482948967915</v>
      </c>
      <c r="AQ9" s="38">
        <f t="shared" ref="AQ9:AQ48" si="2">+AO9/AQ$7</f>
        <v>0.97340728215811689</v>
      </c>
    </row>
    <row r="10" spans="1:43">
      <c r="A10" s="59" t="s">
        <v>207</v>
      </c>
      <c r="B10" s="27" t="s">
        <v>340</v>
      </c>
      <c r="C10" s="116"/>
      <c r="D10" s="117"/>
      <c r="E10" s="118"/>
      <c r="F10" s="118"/>
      <c r="G10" s="118"/>
      <c r="H10" s="118"/>
      <c r="I10" s="118"/>
      <c r="J10" s="118"/>
      <c r="K10" s="118"/>
      <c r="L10" s="119">
        <v>0</v>
      </c>
      <c r="M10" s="119">
        <v>0</v>
      </c>
      <c r="N10" s="120">
        <f t="shared" ref="N10:O25" si="3">$M10/N$8</f>
        <v>0</v>
      </c>
      <c r="O10" s="120">
        <f t="shared" si="3"/>
        <v>0</v>
      </c>
      <c r="P10" s="120"/>
      <c r="Q10" s="125">
        <f>R10*Q$7</f>
        <v>0</v>
      </c>
      <c r="R10" s="125">
        <f>(((68000+9450+54000+8000+2000)/134)+0.15*S$8)*CMF</f>
        <v>1389.7091417910447</v>
      </c>
      <c r="S10" s="120">
        <f>+R10/R$8</f>
        <v>1.1600243253681508</v>
      </c>
      <c r="T10" s="119"/>
      <c r="U10" s="125">
        <f>V10*U$7</f>
        <v>65292.535914179105</v>
      </c>
      <c r="V10" s="125">
        <f>(((68000+9450+54000+8000+2000)/134)+0.15*W$8)*CMF</f>
        <v>1389.2028917910447</v>
      </c>
      <c r="W10" s="120">
        <f>+V10/V$8</f>
        <v>1.5435587686567165</v>
      </c>
      <c r="X10" s="119"/>
      <c r="Y10" s="125">
        <f>Z10*Y$7</f>
        <v>77088.984514925367</v>
      </c>
      <c r="Z10" s="125">
        <f>(((68000+9450+54000+8000+2000)/134)+0.15*AA$8)*CMF</f>
        <v>1454.5091417910446</v>
      </c>
      <c r="AA10" s="120">
        <f>+Z10/Z$8</f>
        <v>1.1301547333263751</v>
      </c>
      <c r="AB10" s="119"/>
      <c r="AC10" s="125">
        <f>AD10*AC$7</f>
        <v>50411.473320895515</v>
      </c>
      <c r="AD10" s="125">
        <f>(((68000+9450+54000+8000+2000)/134)+0.15*AE$8)*CMF</f>
        <v>1482.6903917910445</v>
      </c>
      <c r="AE10" s="120">
        <f>+AD10/AD$8</f>
        <v>1.0197320438727955</v>
      </c>
      <c r="AF10" s="120"/>
      <c r="AG10" s="125">
        <f>+Y10+U10+Q10+AC10</f>
        <v>192792.99374999999</v>
      </c>
      <c r="AH10" s="110">
        <f>+AG10/AG$7</f>
        <v>1438.7536847014926</v>
      </c>
      <c r="AI10" s="120">
        <f>+AH10/AH$8</f>
        <v>1.2049863355958899</v>
      </c>
      <c r="AJ10" s="119"/>
      <c r="AK10" s="122"/>
      <c r="AL10" s="123" t="s">
        <v>78</v>
      </c>
      <c r="AM10" s="27" t="s">
        <v>213</v>
      </c>
      <c r="AN10" s="117">
        <f t="shared" si="0"/>
        <v>1.4362589605703037E-2</v>
      </c>
      <c r="AO10" s="124">
        <f>+AG10</f>
        <v>192792.99374999999</v>
      </c>
      <c r="AP10" s="124">
        <f t="shared" si="1"/>
        <v>1438.7536847014926</v>
      </c>
      <c r="AQ10" s="120">
        <f t="shared" si="2"/>
        <v>1.2049863355958899</v>
      </c>
    </row>
    <row r="11" spans="1:43">
      <c r="A11" s="59" t="s">
        <v>152</v>
      </c>
      <c r="B11" s="27" t="s">
        <v>147</v>
      </c>
      <c r="C11" s="116"/>
      <c r="D11" s="117">
        <f>L11/$L$88</f>
        <v>2.6186716265435722E-3</v>
      </c>
      <c r="E11" s="118" t="s">
        <v>195</v>
      </c>
      <c r="F11" s="118" t="s">
        <v>195</v>
      </c>
      <c r="G11" s="118" t="s">
        <v>195</v>
      </c>
      <c r="H11" s="118" t="s">
        <v>195</v>
      </c>
      <c r="I11" s="118" t="s">
        <v>195</v>
      </c>
      <c r="J11" s="118" t="s">
        <v>195</v>
      </c>
      <c r="K11" s="118" t="s">
        <v>195</v>
      </c>
      <c r="L11" s="119">
        <f>M11*TRUnits</f>
        <v>1841</v>
      </c>
      <c r="M11" s="119">
        <f>263/2</f>
        <v>131.5</v>
      </c>
      <c r="N11" s="120">
        <f t="shared" si="3"/>
        <v>9.5566860465116282E-2</v>
      </c>
      <c r="O11" s="120">
        <f t="shared" si="3"/>
        <v>7.5748847926267279E-2</v>
      </c>
      <c r="P11" s="120"/>
      <c r="Q11" s="125">
        <f>R11*Q$7</f>
        <v>0</v>
      </c>
      <c r="R11" s="125">
        <f>0.42/100*60*R8</f>
        <v>301.89600000000002</v>
      </c>
      <c r="S11" s="120">
        <f>+R11/R$8</f>
        <v>0.252</v>
      </c>
      <c r="T11" s="119"/>
      <c r="U11" s="125">
        <f>V11*U$7</f>
        <v>10659.6</v>
      </c>
      <c r="V11" s="125">
        <f>0.42/100*60*V8</f>
        <v>226.8</v>
      </c>
      <c r="W11" s="120">
        <f>+V11/V$8</f>
        <v>0.252</v>
      </c>
      <c r="X11" s="119"/>
      <c r="Y11" s="125">
        <f>Z11*Y$7</f>
        <v>17189.172000000002</v>
      </c>
      <c r="Z11" s="125">
        <f>0.42/100*60*Z8</f>
        <v>324.32400000000001</v>
      </c>
      <c r="AA11" s="120">
        <f>+Z11/Z$8</f>
        <v>0.252</v>
      </c>
      <c r="AB11" s="119"/>
      <c r="AC11" s="125">
        <f>AD11*AC$7</f>
        <v>12457.872000000001</v>
      </c>
      <c r="AD11" s="125">
        <f>0.42/100*60*AD8</f>
        <v>366.40800000000002</v>
      </c>
      <c r="AE11" s="120">
        <f>+AD11/AD$8</f>
        <v>0.252</v>
      </c>
      <c r="AF11" s="120"/>
      <c r="AG11" s="125">
        <f t="shared" ref="AG11:AG74" si="4">+Y11+U11+Q11+AC11</f>
        <v>40306.644000000008</v>
      </c>
      <c r="AH11" s="110">
        <f>+AG11/AG$7</f>
        <v>300.79585074626874</v>
      </c>
      <c r="AI11" s="120">
        <f>+AH11/AH$8</f>
        <v>0.25192282307057684</v>
      </c>
      <c r="AJ11" s="119"/>
      <c r="AK11" s="122"/>
      <c r="AL11" s="123" t="s">
        <v>79</v>
      </c>
      <c r="AM11" s="27" t="s">
        <v>82</v>
      </c>
      <c r="AN11" s="117">
        <f t="shared" si="0"/>
        <v>0</v>
      </c>
      <c r="AO11" s="124">
        <v>0</v>
      </c>
      <c r="AP11" s="124">
        <f t="shared" si="1"/>
        <v>0</v>
      </c>
      <c r="AQ11" s="120">
        <f t="shared" si="2"/>
        <v>0</v>
      </c>
    </row>
    <row r="12" spans="1:43">
      <c r="A12" s="59" t="s">
        <v>151</v>
      </c>
      <c r="B12" s="27" t="s">
        <v>148</v>
      </c>
      <c r="C12" s="116"/>
      <c r="D12" s="117">
        <f>L12/$L$88</f>
        <v>1.7424621089168256E-3</v>
      </c>
      <c r="E12" s="118"/>
      <c r="F12" s="118"/>
      <c r="G12" s="118"/>
      <c r="H12" s="118"/>
      <c r="I12" s="118"/>
      <c r="J12" s="118"/>
      <c r="K12" s="118"/>
      <c r="L12" s="119">
        <f>M12*TRUnits</f>
        <v>1225</v>
      </c>
      <c r="M12" s="119">
        <f>175/2</f>
        <v>87.5</v>
      </c>
      <c r="N12" s="120">
        <f t="shared" si="3"/>
        <v>6.3590116279069769E-2</v>
      </c>
      <c r="O12" s="120">
        <f t="shared" si="3"/>
        <v>5.040322580645161E-2</v>
      </c>
      <c r="P12" s="120"/>
      <c r="Q12" s="125">
        <f>R12*Q$7</f>
        <v>0</v>
      </c>
      <c r="R12" s="125"/>
      <c r="S12" s="120">
        <f>+R12/R$8</f>
        <v>0</v>
      </c>
      <c r="T12" s="119"/>
      <c r="U12" s="125">
        <f>V12*U$7</f>
        <v>0</v>
      </c>
      <c r="V12" s="125">
        <v>0</v>
      </c>
      <c r="W12" s="120">
        <f>+V12/V$8</f>
        <v>0</v>
      </c>
      <c r="X12" s="119"/>
      <c r="Y12" s="125">
        <f>Z12*Y$7</f>
        <v>0</v>
      </c>
      <c r="Z12" s="125">
        <v>0</v>
      </c>
      <c r="AA12" s="120">
        <f>+Z12/Z$8</f>
        <v>0</v>
      </c>
      <c r="AB12" s="119"/>
      <c r="AC12" s="125">
        <f>AD12*AC$7</f>
        <v>0</v>
      </c>
      <c r="AD12" s="125">
        <v>0</v>
      </c>
      <c r="AE12" s="120">
        <f>+AD12/AD$8</f>
        <v>0</v>
      </c>
      <c r="AF12" s="120"/>
      <c r="AG12" s="125">
        <f t="shared" si="4"/>
        <v>0</v>
      </c>
      <c r="AH12" s="110">
        <f>+AG12/AG$7</f>
        <v>0</v>
      </c>
      <c r="AI12" s="120">
        <f>+AH12/AH$8</f>
        <v>0</v>
      </c>
      <c r="AJ12" s="119"/>
      <c r="AK12" s="122"/>
      <c r="AL12" s="123" t="s">
        <v>80</v>
      </c>
      <c r="AM12" s="27" t="s">
        <v>83</v>
      </c>
      <c r="AN12" s="117">
        <f t="shared" si="0"/>
        <v>1.4617288927623795E-2</v>
      </c>
      <c r="AO12" s="124">
        <f>AG12+AG13</f>
        <v>196211.8928571429</v>
      </c>
      <c r="AP12" s="124">
        <f t="shared" si="1"/>
        <v>1464.2678571428576</v>
      </c>
      <c r="AQ12" s="120">
        <f t="shared" si="2"/>
        <v>1.2263549892318739</v>
      </c>
    </row>
    <row r="13" spans="1:43">
      <c r="A13" s="59" t="s">
        <v>151</v>
      </c>
      <c r="B13" s="27" t="s">
        <v>149</v>
      </c>
      <c r="C13" s="116"/>
      <c r="D13" s="117">
        <f>L13/$L$88</f>
        <v>2.5919301672393792E-2</v>
      </c>
      <c r="E13" s="118" t="s">
        <v>195</v>
      </c>
      <c r="F13" s="118" t="s">
        <v>195</v>
      </c>
      <c r="G13" s="118" t="s">
        <v>195</v>
      </c>
      <c r="H13" s="118" t="s">
        <v>195</v>
      </c>
      <c r="I13" s="118" t="s">
        <v>195</v>
      </c>
      <c r="J13" s="118" t="s">
        <v>195</v>
      </c>
      <c r="K13" s="118" t="s">
        <v>195</v>
      </c>
      <c r="L13" s="119">
        <f>M13*TRUnits</f>
        <v>18222</v>
      </c>
      <c r="M13" s="119">
        <f>(6797+11425)/14</f>
        <v>1301.5714285714287</v>
      </c>
      <c r="N13" s="120">
        <f t="shared" si="3"/>
        <v>0.94590946843853829</v>
      </c>
      <c r="O13" s="120">
        <f t="shared" si="3"/>
        <v>0.74975312705727459</v>
      </c>
      <c r="P13" s="120"/>
      <c r="Q13" s="125">
        <f>R13*Q$7</f>
        <v>0</v>
      </c>
      <c r="R13" s="125">
        <f>+$M13*CMF</f>
        <v>1464.2678571428573</v>
      </c>
      <c r="S13" s="120">
        <f>+R13/R$8</f>
        <v>1.2222603148103985</v>
      </c>
      <c r="T13" s="119"/>
      <c r="U13" s="125">
        <f>V13*U$7</f>
        <v>68820.58928571429</v>
      </c>
      <c r="V13" s="125">
        <f>+$M13*CMF</f>
        <v>1464.2678571428573</v>
      </c>
      <c r="W13" s="120">
        <f>+V13/V$8</f>
        <v>1.6269642857142859</v>
      </c>
      <c r="X13" s="119"/>
      <c r="Y13" s="125">
        <f>Z13*Y$7</f>
        <v>77606.196428571435</v>
      </c>
      <c r="Z13" s="125">
        <f>+$M13*CMF</f>
        <v>1464.2678571428573</v>
      </c>
      <c r="AA13" s="120">
        <f>+Z13/Z$8</f>
        <v>1.1377372627372628</v>
      </c>
      <c r="AB13" s="119"/>
      <c r="AC13" s="125">
        <f>AD13*AC$7</f>
        <v>49785.107142857152</v>
      </c>
      <c r="AD13" s="125">
        <f>+$M13*CMF</f>
        <v>1464.2678571428573</v>
      </c>
      <c r="AE13" s="120">
        <f>+AD13/AD$8</f>
        <v>1.0070617999606997</v>
      </c>
      <c r="AF13" s="120"/>
      <c r="AG13" s="125">
        <f t="shared" si="4"/>
        <v>196211.8928571429</v>
      </c>
      <c r="AH13" s="110">
        <f>+AG13/AG$7</f>
        <v>1464.2678571428576</v>
      </c>
      <c r="AI13" s="120">
        <f>+AH13/AH$8</f>
        <v>1.2263549892318739</v>
      </c>
      <c r="AJ13" s="119"/>
      <c r="AK13" s="122"/>
      <c r="AL13" s="123" t="s">
        <v>92</v>
      </c>
      <c r="AM13" s="27" t="s">
        <v>84</v>
      </c>
      <c r="AN13" s="117">
        <f t="shared" si="0"/>
        <v>9.5739953545818213E-2</v>
      </c>
      <c r="AO13" s="124">
        <f>+AG15</f>
        <v>1285143.75</v>
      </c>
      <c r="AP13" s="124">
        <f t="shared" si="1"/>
        <v>9590.625</v>
      </c>
      <c r="AQ13" s="120">
        <f t="shared" si="2"/>
        <v>8.0323492462311563</v>
      </c>
    </row>
    <row r="14" spans="1:43">
      <c r="B14" s="32" t="s">
        <v>6</v>
      </c>
      <c r="C14" s="116"/>
      <c r="E14" s="118"/>
      <c r="F14" s="118"/>
      <c r="G14" s="118"/>
      <c r="H14" s="118"/>
      <c r="I14" s="118"/>
      <c r="J14" s="118"/>
      <c r="K14" s="118"/>
      <c r="L14" s="119"/>
      <c r="M14" s="119"/>
      <c r="N14" s="120"/>
      <c r="O14" s="120"/>
      <c r="P14" s="120"/>
      <c r="Q14" s="125"/>
      <c r="R14" s="125"/>
      <c r="S14" s="120"/>
      <c r="T14" s="119"/>
      <c r="U14" s="125"/>
      <c r="V14" s="125"/>
      <c r="W14" s="120"/>
      <c r="X14" s="119"/>
      <c r="Y14" s="125"/>
      <c r="Z14" s="125"/>
      <c r="AA14" s="120"/>
      <c r="AB14" s="119"/>
      <c r="AC14" s="125"/>
      <c r="AD14" s="125"/>
      <c r="AE14" s="120"/>
      <c r="AF14" s="120"/>
      <c r="AG14" s="125"/>
      <c r="AH14" s="110"/>
      <c r="AI14" s="120"/>
      <c r="AJ14" s="119"/>
      <c r="AK14" s="122"/>
      <c r="AL14" s="123" t="s">
        <v>93</v>
      </c>
      <c r="AM14" s="27" t="s">
        <v>85</v>
      </c>
      <c r="AN14" s="117">
        <f t="shared" si="0"/>
        <v>4.9713789070373111E-2</v>
      </c>
      <c r="AO14" s="124">
        <f>+AG19+AG20</f>
        <v>667321.875</v>
      </c>
      <c r="AP14" s="124">
        <f t="shared" si="1"/>
        <v>4980.0139925373132</v>
      </c>
      <c r="AQ14" s="120">
        <f t="shared" si="2"/>
        <v>4.1708659903997596</v>
      </c>
    </row>
    <row r="15" spans="1:43">
      <c r="A15" s="59" t="s">
        <v>162</v>
      </c>
      <c r="B15" s="59" t="s">
        <v>7</v>
      </c>
      <c r="C15" s="116"/>
      <c r="D15" s="117">
        <f>L15/$L$88</f>
        <v>2.887508637633597E-3</v>
      </c>
      <c r="E15" s="118" t="s">
        <v>195</v>
      </c>
      <c r="F15" s="118" t="s">
        <v>195</v>
      </c>
      <c r="G15" s="118" t="s">
        <v>195</v>
      </c>
      <c r="H15" s="118" t="s">
        <v>195</v>
      </c>
      <c r="I15" s="118" t="s">
        <v>195</v>
      </c>
      <c r="J15" s="118" t="s">
        <v>195</v>
      </c>
      <c r="K15" s="118" t="s">
        <v>195</v>
      </c>
      <c r="L15" s="119">
        <f t="shared" ref="L15:L21" si="5">M15*TRUnits</f>
        <v>2030</v>
      </c>
      <c r="M15" s="119">
        <f>290/2</f>
        <v>145</v>
      </c>
      <c r="N15" s="120">
        <f t="shared" si="3"/>
        <v>0.10537790697674419</v>
      </c>
      <c r="O15" s="120">
        <f t="shared" si="3"/>
        <v>8.3525345622119815E-2</v>
      </c>
      <c r="P15" s="120"/>
      <c r="Q15" s="125">
        <f>R15*Q$7</f>
        <v>0</v>
      </c>
      <c r="R15" s="125">
        <f>5.5*S8*CMF</f>
        <v>7412.625</v>
      </c>
      <c r="S15" s="120">
        <f>+R15/R$8</f>
        <v>6.1875</v>
      </c>
      <c r="T15" s="119"/>
      <c r="U15" s="125">
        <f>V15*U$7</f>
        <v>450759.375</v>
      </c>
      <c r="V15" s="125">
        <f>5.5*1550*CMF</f>
        <v>9590.625</v>
      </c>
      <c r="W15" s="120">
        <f>+V15/V$8</f>
        <v>10.65625</v>
      </c>
      <c r="X15" s="119"/>
      <c r="Y15" s="125">
        <f>Z15*Y$7</f>
        <v>508303.125</v>
      </c>
      <c r="Z15" s="125">
        <f>5.5*1550*CMF</f>
        <v>9590.625</v>
      </c>
      <c r="AA15" s="120">
        <f>+Z15/Z$8</f>
        <v>7.4519230769230766</v>
      </c>
      <c r="AB15" s="119"/>
      <c r="AC15" s="125">
        <f>AD15*AC$7</f>
        <v>326081.25</v>
      </c>
      <c r="AD15" s="125">
        <f>5.5*1550*CMF</f>
        <v>9590.625</v>
      </c>
      <c r="AE15" s="120">
        <f>+AD15/AD$8</f>
        <v>6.5960281980742774</v>
      </c>
      <c r="AF15" s="120"/>
      <c r="AG15" s="125">
        <f t="shared" si="4"/>
        <v>1285143.75</v>
      </c>
      <c r="AH15" s="110">
        <f>+AG15/AG$7</f>
        <v>9590.625</v>
      </c>
      <c r="AI15" s="120">
        <f>+AH15/AH$8</f>
        <v>8.0323492462311563</v>
      </c>
      <c r="AJ15" s="119"/>
      <c r="AK15" s="122"/>
      <c r="AL15" s="123" t="s">
        <v>94</v>
      </c>
      <c r="AM15" s="27" t="s">
        <v>90</v>
      </c>
      <c r="AN15" s="117">
        <f t="shared" si="0"/>
        <v>0.1613149093602475</v>
      </c>
      <c r="AO15" s="124">
        <f>SUM(AG23:AG25)+SUM(AG28:AG32)+AG35</f>
        <v>2165374.4321791944</v>
      </c>
      <c r="AP15" s="124">
        <f t="shared" si="1"/>
        <v>16159.510687904436</v>
      </c>
      <c r="AQ15" s="120">
        <f t="shared" si="2"/>
        <v>13.533928549333698</v>
      </c>
    </row>
    <row r="16" spans="1:43">
      <c r="A16" s="59" t="s">
        <v>162</v>
      </c>
      <c r="B16" s="59" t="s">
        <v>8</v>
      </c>
      <c r="C16" s="116"/>
      <c r="D16" s="117">
        <f>L16/$L$88</f>
        <v>2.5937793107019033E-2</v>
      </c>
      <c r="E16" s="118" t="s">
        <v>195</v>
      </c>
      <c r="F16" s="118" t="s">
        <v>195</v>
      </c>
      <c r="G16" s="118" t="s">
        <v>195</v>
      </c>
      <c r="H16" s="118" t="s">
        <v>195</v>
      </c>
      <c r="I16" s="118" t="s">
        <v>195</v>
      </c>
      <c r="J16" s="118" t="s">
        <v>195</v>
      </c>
      <c r="K16" s="118" t="s">
        <v>195</v>
      </c>
      <c r="L16" s="119">
        <f t="shared" si="5"/>
        <v>18235</v>
      </c>
      <c r="M16" s="119">
        <f>2605/2</f>
        <v>1302.5</v>
      </c>
      <c r="N16" s="120">
        <f t="shared" si="3"/>
        <v>0.94658430232558144</v>
      </c>
      <c r="O16" s="120">
        <f t="shared" si="3"/>
        <v>0.75028801843317972</v>
      </c>
      <c r="P16" s="120"/>
      <c r="Q16" s="125"/>
      <c r="R16" s="125"/>
      <c r="S16" s="120">
        <f>+R16/R$8</f>
        <v>0</v>
      </c>
      <c r="T16" s="119"/>
      <c r="U16" s="125"/>
      <c r="V16" s="125"/>
      <c r="W16" s="120">
        <f>+V16/V$8</f>
        <v>0</v>
      </c>
      <c r="X16" s="119"/>
      <c r="Y16" s="125"/>
      <c r="Z16" s="125"/>
      <c r="AA16" s="120">
        <f>+Z16/Z$8</f>
        <v>0</v>
      </c>
      <c r="AB16" s="119"/>
      <c r="AC16" s="125"/>
      <c r="AD16" s="125"/>
      <c r="AE16" s="120">
        <f>+AD16/AD$8</f>
        <v>0</v>
      </c>
      <c r="AF16" s="120"/>
      <c r="AG16" s="125">
        <f t="shared" si="4"/>
        <v>0</v>
      </c>
      <c r="AH16" s="110">
        <f>+AG16/AG$7</f>
        <v>0</v>
      </c>
      <c r="AI16" s="120">
        <f>+AH16/AH$8</f>
        <v>0</v>
      </c>
      <c r="AJ16" s="119"/>
      <c r="AK16" s="122"/>
      <c r="AL16" s="123" t="s">
        <v>95</v>
      </c>
      <c r="AM16" s="27" t="s">
        <v>89</v>
      </c>
      <c r="AN16" s="117">
        <f t="shared" si="0"/>
        <v>8.9274640810497671E-3</v>
      </c>
      <c r="AO16" s="124">
        <f>AG40+AG41</f>
        <v>119835.80774999998</v>
      </c>
      <c r="AP16" s="124">
        <f t="shared" si="1"/>
        <v>894.29707276119382</v>
      </c>
      <c r="AQ16" s="120">
        <f t="shared" si="2"/>
        <v>0.74899252325058108</v>
      </c>
    </row>
    <row r="17" spans="1:43">
      <c r="A17" s="59" t="s">
        <v>162</v>
      </c>
      <c r="B17" s="59" t="s">
        <v>9</v>
      </c>
      <c r="C17" s="116"/>
      <c r="D17" s="117">
        <f>L17/$L$88</f>
        <v>7.4955741462433501E-2</v>
      </c>
      <c r="E17" s="118" t="s">
        <v>195</v>
      </c>
      <c r="F17" s="118" t="s">
        <v>195</v>
      </c>
      <c r="G17" s="118" t="s">
        <v>195</v>
      </c>
      <c r="H17" s="118" t="s">
        <v>195</v>
      </c>
      <c r="I17" s="118" t="s">
        <v>195</v>
      </c>
      <c r="J17" s="118" t="s">
        <v>195</v>
      </c>
      <c r="K17" s="118" t="s">
        <v>195</v>
      </c>
      <c r="L17" s="119">
        <f t="shared" si="5"/>
        <v>52696</v>
      </c>
      <c r="M17" s="119">
        <f>7528/2</f>
        <v>3764</v>
      </c>
      <c r="N17" s="120">
        <f t="shared" si="3"/>
        <v>2.73546511627907</v>
      </c>
      <c r="O17" s="120">
        <f t="shared" si="3"/>
        <v>2.1682027649769586</v>
      </c>
      <c r="P17" s="120"/>
      <c r="Q17" s="125"/>
      <c r="R17" s="125"/>
      <c r="S17" s="120">
        <f>+R17/R$8</f>
        <v>0</v>
      </c>
      <c r="T17" s="119"/>
      <c r="U17" s="125"/>
      <c r="V17" s="125"/>
      <c r="W17" s="120">
        <f>+V17/V$8</f>
        <v>0</v>
      </c>
      <c r="X17" s="119"/>
      <c r="Y17" s="125"/>
      <c r="Z17" s="125"/>
      <c r="AA17" s="120">
        <f>+Z17/Z$8</f>
        <v>0</v>
      </c>
      <c r="AB17" s="119"/>
      <c r="AC17" s="125"/>
      <c r="AD17" s="125"/>
      <c r="AE17" s="120">
        <f>+AD17/AD$8</f>
        <v>0</v>
      </c>
      <c r="AF17" s="120"/>
      <c r="AG17" s="125">
        <f t="shared" si="4"/>
        <v>0</v>
      </c>
      <c r="AH17" s="110">
        <f>+AG17/AG$7</f>
        <v>0</v>
      </c>
      <c r="AI17" s="120">
        <f>+AH17/AH$8</f>
        <v>0</v>
      </c>
      <c r="AJ17" s="119"/>
      <c r="AK17" s="122"/>
      <c r="AL17" s="123" t="s">
        <v>96</v>
      </c>
      <c r="AM17" s="27" t="s">
        <v>91</v>
      </c>
      <c r="AN17" s="117">
        <f t="shared" si="0"/>
        <v>1.6532309747805868E-2</v>
      </c>
      <c r="AO17" s="124">
        <f>AG26+AG33</f>
        <v>221917.74445857562</v>
      </c>
      <c r="AP17" s="124">
        <f t="shared" si="1"/>
        <v>1656.1025705863851</v>
      </c>
      <c r="AQ17" s="120">
        <f t="shared" si="2"/>
        <v>1.3870205783805571</v>
      </c>
    </row>
    <row r="18" spans="1:43">
      <c r="B18" s="32" t="s">
        <v>10</v>
      </c>
      <c r="C18" s="116"/>
      <c r="E18" s="118"/>
      <c r="F18" s="118"/>
      <c r="G18" s="118"/>
      <c r="H18" s="118"/>
      <c r="I18" s="118"/>
      <c r="J18" s="118"/>
      <c r="K18" s="118"/>
      <c r="L18" s="119">
        <f t="shared" si="5"/>
        <v>0</v>
      </c>
      <c r="M18" s="119"/>
      <c r="N18" s="120">
        <f>M18/1376</f>
        <v>0</v>
      </c>
      <c r="O18" s="120"/>
      <c r="P18" s="120"/>
      <c r="Q18" s="125"/>
      <c r="R18" s="125"/>
      <c r="S18" s="120"/>
      <c r="T18" s="119"/>
      <c r="U18" s="125"/>
      <c r="V18" s="125"/>
      <c r="W18" s="120"/>
      <c r="X18" s="119"/>
      <c r="Y18" s="125"/>
      <c r="Z18" s="125"/>
      <c r="AA18" s="120"/>
      <c r="AB18" s="119"/>
      <c r="AC18" s="125"/>
      <c r="AD18" s="125"/>
      <c r="AE18" s="120"/>
      <c r="AF18" s="120"/>
      <c r="AG18" s="125"/>
      <c r="AH18" s="110"/>
      <c r="AI18" s="120"/>
      <c r="AJ18" s="119"/>
      <c r="AK18" s="122"/>
      <c r="AL18" s="123" t="s">
        <v>97</v>
      </c>
      <c r="AM18" s="27" t="s">
        <v>86</v>
      </c>
      <c r="AN18" s="117">
        <f t="shared" si="0"/>
        <v>7.0123534058551323E-3</v>
      </c>
      <c r="AO18" s="124">
        <f>+AG34</f>
        <v>94128.75</v>
      </c>
      <c r="AP18" s="124">
        <f t="shared" si="1"/>
        <v>702.45335820895525</v>
      </c>
      <c r="AQ18" s="120">
        <f t="shared" si="2"/>
        <v>0.5883193954848871</v>
      </c>
    </row>
    <row r="19" spans="1:43">
      <c r="A19" s="59" t="s">
        <v>163</v>
      </c>
      <c r="B19" s="59" t="s">
        <v>11</v>
      </c>
      <c r="C19" s="116">
        <v>0.33300000000000002</v>
      </c>
      <c r="D19" s="117">
        <f>L19/$L$88</f>
        <v>4.5433454874214144E-2</v>
      </c>
      <c r="E19" s="118" t="s">
        <v>195</v>
      </c>
      <c r="F19" s="118" t="s">
        <v>195</v>
      </c>
      <c r="G19" s="118" t="s">
        <v>195</v>
      </c>
      <c r="H19" s="118" t="s">
        <v>195</v>
      </c>
      <c r="I19" s="118" t="s">
        <v>195</v>
      </c>
      <c r="J19" s="118" t="s">
        <v>195</v>
      </c>
      <c r="K19" s="118" t="s">
        <v>195</v>
      </c>
      <c r="L19" s="119">
        <f t="shared" si="5"/>
        <v>31941</v>
      </c>
      <c r="M19" s="119">
        <f>4563/2</f>
        <v>2281.5</v>
      </c>
      <c r="N19" s="120">
        <f t="shared" si="3"/>
        <v>1.6580668604651163</v>
      </c>
      <c r="O19" s="120">
        <f t="shared" si="3"/>
        <v>1.3142281105990783</v>
      </c>
      <c r="P19" s="120"/>
      <c r="Q19" s="125">
        <f>R19*Q$7</f>
        <v>0</v>
      </c>
      <c r="R19" s="125">
        <f>(13500+300-1500)/2*0.33*CMF</f>
        <v>2283.1875</v>
      </c>
      <c r="S19" s="120">
        <f>+R19/R$8</f>
        <v>1.9058326377295491</v>
      </c>
      <c r="T19" s="119"/>
      <c r="U19" s="125">
        <f>V19*U$7</f>
        <v>110799.5625</v>
      </c>
      <c r="V19" s="125">
        <f>(13500+300-1100)/2*0.33*CMF</f>
        <v>2357.4375</v>
      </c>
      <c r="W19" s="120">
        <f>+V19/V$8</f>
        <v>2.6193749999999998</v>
      </c>
      <c r="X19" s="119"/>
      <c r="Y19" s="125">
        <f>Z19*Y$7</f>
        <v>135766.125</v>
      </c>
      <c r="Z19" s="125">
        <f>(13500+300)/2*0.33*CMF</f>
        <v>2561.625</v>
      </c>
      <c r="AA19" s="120">
        <f>+Z19/Z$8</f>
        <v>1.9903846153846154</v>
      </c>
      <c r="AB19" s="119"/>
      <c r="AC19" s="125">
        <f>AD19*AC$7</f>
        <v>87095.25</v>
      </c>
      <c r="AD19" s="125">
        <f>(13500+300)/2*0.33*CMF</f>
        <v>2561.625</v>
      </c>
      <c r="AE19" s="120">
        <f>+AD19/AD$8</f>
        <v>1.7617778541953233</v>
      </c>
      <c r="AF19" s="120"/>
      <c r="AG19" s="125">
        <f t="shared" si="4"/>
        <v>333660.9375</v>
      </c>
      <c r="AH19" s="110">
        <f>+AG19/AG$7</f>
        <v>2490.0069962686566</v>
      </c>
      <c r="AI19" s="120">
        <f>+AH19/AH$8</f>
        <v>2.0854329951998798</v>
      </c>
      <c r="AJ19" s="119"/>
      <c r="AK19" s="122"/>
      <c r="AL19" s="123" t="s">
        <v>98</v>
      </c>
      <c r="AM19" s="27" t="s">
        <v>87</v>
      </c>
      <c r="AN19" s="117">
        <f t="shared" si="0"/>
        <v>1.1033944369836794E-2</v>
      </c>
      <c r="AO19" s="124">
        <f>+AG62</f>
        <v>148111.67250000002</v>
      </c>
      <c r="AP19" s="124">
        <f t="shared" si="1"/>
        <v>1105.3109888059703</v>
      </c>
      <c r="AQ19" s="120">
        <f t="shared" si="2"/>
        <v>0.92572109615240394</v>
      </c>
    </row>
    <row r="20" spans="1:43" ht="12.75" thickBot="1">
      <c r="A20" s="59" t="s">
        <v>164</v>
      </c>
      <c r="B20" s="59" t="s">
        <v>12</v>
      </c>
      <c r="C20" s="116">
        <v>0.33300000000000002</v>
      </c>
      <c r="D20" s="117">
        <f>L20/$L$88</f>
        <v>4.5433454874214144E-2</v>
      </c>
      <c r="E20" s="118" t="s">
        <v>195</v>
      </c>
      <c r="F20" s="118" t="s">
        <v>195</v>
      </c>
      <c r="G20" s="118" t="s">
        <v>195</v>
      </c>
      <c r="H20" s="118" t="s">
        <v>195</v>
      </c>
      <c r="I20" s="118" t="s">
        <v>195</v>
      </c>
      <c r="J20" s="118" t="s">
        <v>195</v>
      </c>
      <c r="K20" s="118" t="s">
        <v>195</v>
      </c>
      <c r="L20" s="119">
        <f t="shared" si="5"/>
        <v>31941</v>
      </c>
      <c r="M20" s="119">
        <f>4563/2</f>
        <v>2281.5</v>
      </c>
      <c r="N20" s="120">
        <f t="shared" si="3"/>
        <v>1.6580668604651163</v>
      </c>
      <c r="O20" s="120">
        <f t="shared" si="3"/>
        <v>1.3142281105990783</v>
      </c>
      <c r="P20" s="120"/>
      <c r="Q20" s="125">
        <f>R20*Q$7</f>
        <v>0</v>
      </c>
      <c r="R20" s="125">
        <f>(13500+300-1500)/2*0.33*CMF</f>
        <v>2283.1875</v>
      </c>
      <c r="S20" s="120">
        <f>+R20/R$8</f>
        <v>1.9058326377295491</v>
      </c>
      <c r="T20" s="119"/>
      <c r="U20" s="125">
        <f>V20*U$7</f>
        <v>110799.5625</v>
      </c>
      <c r="V20" s="125">
        <f>(13500+300-1100)/2*0.33*CMF</f>
        <v>2357.4375</v>
      </c>
      <c r="W20" s="120">
        <f>+V20/V$8</f>
        <v>2.6193749999999998</v>
      </c>
      <c r="X20" s="119"/>
      <c r="Y20" s="125">
        <f>Z20*Y$7</f>
        <v>135766.125</v>
      </c>
      <c r="Z20" s="125">
        <f>(13500+300)/2*0.33*CMF</f>
        <v>2561.625</v>
      </c>
      <c r="AA20" s="120">
        <f>+Z20/Z$8</f>
        <v>1.9903846153846154</v>
      </c>
      <c r="AB20" s="119"/>
      <c r="AC20" s="125">
        <f>AD20*AC$7</f>
        <v>87095.25</v>
      </c>
      <c r="AD20" s="125">
        <f>(13500+300)/2*0.33*CMF</f>
        <v>2561.625</v>
      </c>
      <c r="AE20" s="120">
        <f>+AD20/AD$8</f>
        <v>1.7617778541953233</v>
      </c>
      <c r="AF20" s="120"/>
      <c r="AG20" s="125">
        <f t="shared" si="4"/>
        <v>333660.9375</v>
      </c>
      <c r="AH20" s="110">
        <f>+AG20/AG$7</f>
        <v>2490.0069962686566</v>
      </c>
      <c r="AI20" s="120">
        <f>+AH20/AH$8</f>
        <v>2.0854329951998798</v>
      </c>
      <c r="AJ20" s="119"/>
      <c r="AK20" s="122"/>
      <c r="AL20" s="123" t="s">
        <v>99</v>
      </c>
      <c r="AM20" s="126" t="s">
        <v>88</v>
      </c>
      <c r="AN20" s="117">
        <f t="shared" si="0"/>
        <v>1.8934984293499112E-2</v>
      </c>
      <c r="AO20" s="124">
        <f>AG43+AG44</f>
        <v>254169.50624999998</v>
      </c>
      <c r="AP20" s="124">
        <f t="shared" si="1"/>
        <v>1896.7873600746268</v>
      </c>
      <c r="AQ20" s="120">
        <f t="shared" si="2"/>
        <v>1.588599129040726</v>
      </c>
    </row>
    <row r="21" spans="1:43" ht="12.75" thickBot="1">
      <c r="A21" s="59" t="s">
        <v>164</v>
      </c>
      <c r="B21" s="59" t="s">
        <v>13</v>
      </c>
      <c r="C21" s="116">
        <v>0.33300000000000002</v>
      </c>
      <c r="D21" s="117">
        <f>L21/$L$88</f>
        <v>4.5433454874214144E-2</v>
      </c>
      <c r="E21" s="118" t="s">
        <v>195</v>
      </c>
      <c r="F21" s="118" t="s">
        <v>195</v>
      </c>
      <c r="G21" s="127"/>
      <c r="H21" s="118" t="s">
        <v>195</v>
      </c>
      <c r="I21" s="118" t="s">
        <v>195</v>
      </c>
      <c r="J21" s="127"/>
      <c r="K21" s="74" t="s">
        <v>195</v>
      </c>
      <c r="L21" s="119">
        <f t="shared" si="5"/>
        <v>31941</v>
      </c>
      <c r="M21" s="119">
        <f>4563/2</f>
        <v>2281.5</v>
      </c>
      <c r="N21" s="120">
        <f t="shared" si="3"/>
        <v>1.6580668604651163</v>
      </c>
      <c r="O21" s="120">
        <f t="shared" si="3"/>
        <v>1.3142281105990783</v>
      </c>
      <c r="P21" s="120"/>
      <c r="Q21" s="125">
        <f>R21*Q$7</f>
        <v>0</v>
      </c>
      <c r="R21" s="125">
        <f>(13500+300-1500)/2*0.33*CMF</f>
        <v>2283.1875</v>
      </c>
      <c r="S21" s="120">
        <f>+R21/R$8</f>
        <v>1.9058326377295491</v>
      </c>
      <c r="T21" s="119"/>
      <c r="U21" s="125">
        <f>V21*U$7</f>
        <v>110799.5625</v>
      </c>
      <c r="V21" s="125">
        <f>(13500+300-1100)/2*0.33*CMF</f>
        <v>2357.4375</v>
      </c>
      <c r="W21" s="120">
        <f>+V21/V$8</f>
        <v>2.6193749999999998</v>
      </c>
      <c r="X21" s="119"/>
      <c r="Y21" s="125">
        <f>Z21*Y$7</f>
        <v>135766.125</v>
      </c>
      <c r="Z21" s="125">
        <f>(13500+300)/2*0.33*CMF</f>
        <v>2561.625</v>
      </c>
      <c r="AA21" s="120">
        <f>+Z21/Z$8</f>
        <v>1.9903846153846154</v>
      </c>
      <c r="AB21" s="119"/>
      <c r="AC21" s="125">
        <f>AD21*AC$7</f>
        <v>87095.25</v>
      </c>
      <c r="AD21" s="125">
        <f>(13500+300)/2*0.33*CMF</f>
        <v>2561.625</v>
      </c>
      <c r="AE21" s="120">
        <f>+AD21/AD$8</f>
        <v>1.7617778541953233</v>
      </c>
      <c r="AF21" s="120"/>
      <c r="AG21" s="125">
        <f t="shared" si="4"/>
        <v>333660.9375</v>
      </c>
      <c r="AH21" s="110">
        <f>+AG21/AG$7</f>
        <v>2490.0069962686566</v>
      </c>
      <c r="AI21" s="120">
        <f>+AH21/AH$8</f>
        <v>2.0854329951998798</v>
      </c>
      <c r="AJ21" s="119"/>
      <c r="AK21" s="122"/>
      <c r="AL21" s="123" t="s">
        <v>100</v>
      </c>
      <c r="AM21" s="27" t="s">
        <v>128</v>
      </c>
      <c r="AN21" s="117">
        <f t="shared" si="0"/>
        <v>1.5683969422031596E-2</v>
      </c>
      <c r="AO21" s="124">
        <f>AG50</f>
        <v>210530.23875000002</v>
      </c>
      <c r="AP21" s="124">
        <f t="shared" si="1"/>
        <v>1571.1211847014927</v>
      </c>
      <c r="AQ21" s="120">
        <f t="shared" si="2"/>
        <v>1.3158468883597092</v>
      </c>
    </row>
    <row r="22" spans="1:43">
      <c r="B22" s="32" t="s">
        <v>14</v>
      </c>
      <c r="C22" s="116"/>
      <c r="E22" s="118"/>
      <c r="F22" s="118"/>
      <c r="G22" s="118"/>
      <c r="H22" s="118"/>
      <c r="I22" s="118"/>
      <c r="J22" s="118"/>
      <c r="K22" s="118"/>
      <c r="L22" s="119"/>
      <c r="M22" s="119"/>
      <c r="N22" s="120">
        <f>M22/1376</f>
        <v>0</v>
      </c>
      <c r="O22" s="120"/>
      <c r="P22" s="120"/>
      <c r="Q22" s="125"/>
      <c r="R22" s="125"/>
      <c r="S22" s="120"/>
      <c r="T22" s="119"/>
      <c r="U22" s="125"/>
      <c r="V22" s="125"/>
      <c r="W22" s="120"/>
      <c r="X22" s="119"/>
      <c r="Y22" s="125"/>
      <c r="Z22" s="125"/>
      <c r="AA22" s="120"/>
      <c r="AB22" s="119"/>
      <c r="AC22" s="125"/>
      <c r="AD22" s="125"/>
      <c r="AE22" s="120"/>
      <c r="AF22" s="120"/>
      <c r="AG22" s="125"/>
      <c r="AH22" s="110"/>
      <c r="AI22" s="120"/>
      <c r="AJ22" s="119"/>
      <c r="AK22" s="122"/>
      <c r="AL22" s="123" t="s">
        <v>101</v>
      </c>
      <c r="AM22" s="27" t="s">
        <v>129</v>
      </c>
      <c r="AN22" s="117">
        <f t="shared" si="0"/>
        <v>1.5683969422031596E-2</v>
      </c>
      <c r="AO22" s="124">
        <f>AG51</f>
        <v>210530.23875000002</v>
      </c>
      <c r="AP22" s="124">
        <f t="shared" si="1"/>
        <v>1571.1211847014927</v>
      </c>
      <c r="AQ22" s="120">
        <f t="shared" si="2"/>
        <v>1.3158468883597092</v>
      </c>
    </row>
    <row r="23" spans="1:43">
      <c r="A23" s="59" t="s">
        <v>165</v>
      </c>
      <c r="B23" s="59" t="s">
        <v>15</v>
      </c>
      <c r="C23" s="116">
        <v>0.15</v>
      </c>
      <c r="D23" s="117">
        <f>L23/$L$88</f>
        <v>1.4487327819851322E-2</v>
      </c>
      <c r="E23" s="118" t="s">
        <v>195</v>
      </c>
      <c r="F23" s="118" t="s">
        <v>195</v>
      </c>
      <c r="G23" s="118" t="s">
        <v>195</v>
      </c>
      <c r="H23" s="118" t="s">
        <v>195</v>
      </c>
      <c r="I23" s="118" t="s">
        <v>195</v>
      </c>
      <c r="J23" s="118" t="s">
        <v>195</v>
      </c>
      <c r="K23" s="118" t="s">
        <v>195</v>
      </c>
      <c r="L23" s="119">
        <f>M23*TRUnits</f>
        <v>10185</v>
      </c>
      <c r="M23" s="119">
        <f>1455/2</f>
        <v>727.5</v>
      </c>
      <c r="N23" s="120">
        <f t="shared" si="3"/>
        <v>0.52870639534883723</v>
      </c>
      <c r="O23" s="120">
        <f t="shared" si="3"/>
        <v>0.41906682027649772</v>
      </c>
      <c r="P23" s="120"/>
      <c r="Q23" s="125">
        <f>R23*Q$7</f>
        <v>0</v>
      </c>
      <c r="R23" s="125">
        <f>R$8*$N23*CMF</f>
        <v>712.56404433139528</v>
      </c>
      <c r="S23" s="120">
        <f>+R23/R$8</f>
        <v>0.59479469476744184</v>
      </c>
      <c r="T23" s="119"/>
      <c r="U23" s="125">
        <f>V23*U$7</f>
        <v>25159.81558866279</v>
      </c>
      <c r="V23" s="125">
        <f>V$8*$N23*CMF</f>
        <v>535.31522529069764</v>
      </c>
      <c r="W23" s="120">
        <f>+V23/V$8</f>
        <v>0.59479469476744184</v>
      </c>
      <c r="X23" s="119"/>
      <c r="Y23" s="125">
        <f>Z23*Y$7</f>
        <v>40571.540924781977</v>
      </c>
      <c r="Z23" s="125">
        <f>Z$8*$N23*CMF</f>
        <v>765.50077216569764</v>
      </c>
      <c r="AA23" s="120">
        <f>+Z23/Z$8</f>
        <v>0.59479469476744184</v>
      </c>
      <c r="AB23" s="119"/>
      <c r="AC23" s="125">
        <f>AD23*AC$7</f>
        <v>29404.270530523256</v>
      </c>
      <c r="AD23" s="125">
        <f>AD$8*$N23*CMF</f>
        <v>864.83148619186045</v>
      </c>
      <c r="AE23" s="120">
        <f>+AD23/AD$8</f>
        <v>0.59479469476744184</v>
      </c>
      <c r="AF23" s="120"/>
      <c r="AG23" s="125">
        <f t="shared" si="4"/>
        <v>95135.627043968023</v>
      </c>
      <c r="AH23" s="110">
        <f>+AG23/AG$7</f>
        <v>709.96736599976134</v>
      </c>
      <c r="AI23" s="120">
        <f>+AH23/AH$8</f>
        <v>0.59461253433815853</v>
      </c>
      <c r="AJ23" s="119"/>
      <c r="AK23" s="122"/>
      <c r="AL23" s="123" t="s">
        <v>102</v>
      </c>
      <c r="AM23" s="27" t="s">
        <v>130</v>
      </c>
      <c r="AN23" s="117">
        <f t="shared" si="0"/>
        <v>1.1394336759595605E-2</v>
      </c>
      <c r="AO23" s="128">
        <f>AG52</f>
        <v>152949.31875000001</v>
      </c>
      <c r="AP23" s="124">
        <f t="shared" si="1"/>
        <v>1141.4128264925373</v>
      </c>
      <c r="AQ23" s="120">
        <f t="shared" si="2"/>
        <v>0.95595714111602792</v>
      </c>
    </row>
    <row r="24" spans="1:43">
      <c r="A24" s="59" t="s">
        <v>165</v>
      </c>
      <c r="B24" s="59" t="s">
        <v>16</v>
      </c>
      <c r="C24" s="116">
        <v>0.25</v>
      </c>
      <c r="D24" s="117">
        <f>L24/$L$88</f>
        <v>2.4145546366418868E-2</v>
      </c>
      <c r="E24" s="118" t="s">
        <v>195</v>
      </c>
      <c r="F24" s="118" t="s">
        <v>195</v>
      </c>
      <c r="G24" s="118" t="s">
        <v>195</v>
      </c>
      <c r="H24" s="118" t="s">
        <v>195</v>
      </c>
      <c r="I24" s="118" t="s">
        <v>195</v>
      </c>
      <c r="J24" s="118" t="s">
        <v>195</v>
      </c>
      <c r="K24" s="118" t="s">
        <v>195</v>
      </c>
      <c r="L24" s="119">
        <f>M24*TRUnits</f>
        <v>16975</v>
      </c>
      <c r="M24" s="119">
        <f>2425/2</f>
        <v>1212.5</v>
      </c>
      <c r="N24" s="120">
        <f t="shared" si="3"/>
        <v>0.88117732558139539</v>
      </c>
      <c r="O24" s="120">
        <f t="shared" si="3"/>
        <v>0.69844470046082952</v>
      </c>
      <c r="P24" s="120"/>
      <c r="Q24" s="125">
        <f>R24*Q$7</f>
        <v>0</v>
      </c>
      <c r="R24" s="125">
        <v>0</v>
      </c>
      <c r="S24" s="120">
        <f>+R24/R$8</f>
        <v>0</v>
      </c>
      <c r="T24" s="119"/>
      <c r="U24" s="125">
        <f>V24*U$7</f>
        <v>41933.025981104649</v>
      </c>
      <c r="V24" s="125">
        <f>V$8*$N24*CMF</f>
        <v>892.19204215116281</v>
      </c>
      <c r="W24" s="120">
        <f>+V24/V$8</f>
        <v>0.99132449127906974</v>
      </c>
      <c r="X24" s="119"/>
      <c r="Y24" s="125">
        <f>Z24*Y$7</f>
        <v>67619.234874636633</v>
      </c>
      <c r="Z24" s="125">
        <f>Z$8*$N24*CMF</f>
        <v>1275.8346202761629</v>
      </c>
      <c r="AA24" s="120">
        <f>+Z24/Z$8</f>
        <v>0.99132449127906985</v>
      </c>
      <c r="AB24" s="119"/>
      <c r="AC24" s="125">
        <f>AD24*AC$7</f>
        <v>49007.117550872099</v>
      </c>
      <c r="AD24" s="125">
        <f>AD$8*$N24*CMF</f>
        <v>1441.3858103197676</v>
      </c>
      <c r="AE24" s="120">
        <f>+AD24/AD$8</f>
        <v>0.99132449127906985</v>
      </c>
      <c r="AF24" s="120"/>
      <c r="AG24" s="125">
        <f t="shared" si="4"/>
        <v>158559.37840661337</v>
      </c>
      <c r="AH24" s="110">
        <f>+AG24/AG$7</f>
        <v>1183.2789433329356</v>
      </c>
      <c r="AI24" s="120">
        <f>+AH24/AH$8</f>
        <v>0.99102089056359766</v>
      </c>
      <c r="AJ24" s="119"/>
      <c r="AK24" s="122"/>
      <c r="AL24" s="123" t="s">
        <v>103</v>
      </c>
      <c r="AM24" s="27" t="s">
        <v>131</v>
      </c>
      <c r="AN24" s="27" t="s">
        <v>142</v>
      </c>
      <c r="AO24" s="124"/>
      <c r="AP24" s="124">
        <f t="shared" si="1"/>
        <v>0</v>
      </c>
      <c r="AQ24" s="120">
        <f t="shared" si="2"/>
        <v>0</v>
      </c>
    </row>
    <row r="25" spans="1:43">
      <c r="A25" s="59" t="s">
        <v>165</v>
      </c>
      <c r="B25" s="59" t="s">
        <v>17</v>
      </c>
      <c r="C25" s="116">
        <v>0.25</v>
      </c>
      <c r="D25" s="117">
        <f>L25/$L$88</f>
        <v>2.4145546366418868E-2</v>
      </c>
      <c r="E25" s="118" t="s">
        <v>195</v>
      </c>
      <c r="F25" s="118" t="s">
        <v>195</v>
      </c>
      <c r="G25" s="118" t="s">
        <v>195</v>
      </c>
      <c r="H25" s="118" t="s">
        <v>195</v>
      </c>
      <c r="I25" s="118" t="s">
        <v>195</v>
      </c>
      <c r="J25" s="118" t="s">
        <v>195</v>
      </c>
      <c r="K25" s="118" t="s">
        <v>195</v>
      </c>
      <c r="L25" s="119">
        <f>M25*TRUnits</f>
        <v>16975</v>
      </c>
      <c r="M25" s="119">
        <f>2425/2</f>
        <v>1212.5</v>
      </c>
      <c r="N25" s="120">
        <f t="shared" si="3"/>
        <v>0.88117732558139539</v>
      </c>
      <c r="O25" s="120">
        <f t="shared" si="3"/>
        <v>0.69844470046082952</v>
      </c>
      <c r="P25" s="120"/>
      <c r="Q25" s="125">
        <f>R25*Q$7</f>
        <v>0</v>
      </c>
      <c r="R25" s="125">
        <f>R$8*$N25*CMF</f>
        <v>1187.6067405523256</v>
      </c>
      <c r="S25" s="120">
        <f>+R25/R$8</f>
        <v>0.99132449127906985</v>
      </c>
      <c r="T25" s="119"/>
      <c r="U25" s="125">
        <f>V25*U$7</f>
        <v>41933.025981104649</v>
      </c>
      <c r="V25" s="125">
        <f>V$8*$N25*CMF</f>
        <v>892.19204215116281</v>
      </c>
      <c r="W25" s="120">
        <f>+V25/V$8</f>
        <v>0.99132449127906974</v>
      </c>
      <c r="X25" s="119"/>
      <c r="Y25" s="125">
        <f>Z25*Y$7</f>
        <v>67619.234874636633</v>
      </c>
      <c r="Z25" s="125">
        <f>Z$8*$N25*CMF</f>
        <v>1275.8346202761629</v>
      </c>
      <c r="AA25" s="120">
        <f>+Z25/Z$8</f>
        <v>0.99132449127906985</v>
      </c>
      <c r="AB25" s="119"/>
      <c r="AC25" s="125">
        <f>AD25*AC$7</f>
        <v>49007.117550872099</v>
      </c>
      <c r="AD25" s="125">
        <f>AD$8*$N25*CMF</f>
        <v>1441.3858103197676</v>
      </c>
      <c r="AE25" s="120">
        <f>+AD25/AD$8</f>
        <v>0.99132449127906985</v>
      </c>
      <c r="AF25" s="120"/>
      <c r="AG25" s="125">
        <f t="shared" si="4"/>
        <v>158559.37840661337</v>
      </c>
      <c r="AH25" s="110">
        <f>+AG25/AG$7</f>
        <v>1183.2789433329356</v>
      </c>
      <c r="AI25" s="120">
        <f>+AH25/AH$8</f>
        <v>0.99102089056359766</v>
      </c>
      <c r="AJ25" s="119"/>
      <c r="AK25" s="122"/>
      <c r="AL25" s="123" t="s">
        <v>104</v>
      </c>
      <c r="AM25" s="27" t="s">
        <v>132</v>
      </c>
      <c r="AN25" s="117">
        <f t="shared" ref="AN25:AN47" si="6">AO25/$AO$48</f>
        <v>2.4856894535186556E-2</v>
      </c>
      <c r="AO25" s="124">
        <f>+AG21</f>
        <v>333660.9375</v>
      </c>
      <c r="AP25" s="124">
        <f t="shared" si="1"/>
        <v>2490.0069962686566</v>
      </c>
      <c r="AQ25" s="120">
        <f t="shared" si="2"/>
        <v>2.0854329951998798</v>
      </c>
    </row>
    <row r="26" spans="1:43">
      <c r="A26" s="59" t="s">
        <v>166</v>
      </c>
      <c r="B26" s="59" t="s">
        <v>18</v>
      </c>
      <c r="C26" s="116">
        <v>0.35</v>
      </c>
      <c r="D26" s="117">
        <f>L26/$L$88</f>
        <v>3.379380798664975E-2</v>
      </c>
      <c r="E26" s="118" t="s">
        <v>195</v>
      </c>
      <c r="F26" s="118" t="s">
        <v>195</v>
      </c>
      <c r="G26" s="118" t="s">
        <v>195</v>
      </c>
      <c r="H26" s="118" t="s">
        <v>195</v>
      </c>
      <c r="I26" s="118" t="s">
        <v>195</v>
      </c>
      <c r="J26" s="118" t="s">
        <v>195</v>
      </c>
      <c r="K26" s="118" t="s">
        <v>195</v>
      </c>
      <c r="L26" s="119">
        <f>M26*TRUnits</f>
        <v>23758</v>
      </c>
      <c r="M26" s="119">
        <f>3394/2</f>
        <v>1697</v>
      </c>
      <c r="N26" s="120">
        <f t="shared" ref="N26:O43" si="7">$M26/N$8</f>
        <v>1.2332848837209303</v>
      </c>
      <c r="O26" s="120">
        <f t="shared" si="7"/>
        <v>0.97753456221198154</v>
      </c>
      <c r="P26" s="120"/>
      <c r="Q26" s="125">
        <f>R26*Q$7</f>
        <v>0</v>
      </c>
      <c r="R26" s="125">
        <f>R$8*$N26*CMF</f>
        <v>1662.1597020348836</v>
      </c>
      <c r="S26" s="120">
        <f>+R26/R$8</f>
        <v>1.3874454941860463</v>
      </c>
      <c r="T26" s="119"/>
      <c r="U26" s="125">
        <f>V26*U$7</f>
        <v>58688.944404069778</v>
      </c>
      <c r="V26" s="125">
        <f>V$8*$N26*CMF</f>
        <v>1248.700944767442</v>
      </c>
      <c r="W26" s="120">
        <f>+V26/V$8</f>
        <v>1.3874454941860468</v>
      </c>
      <c r="X26" s="119"/>
      <c r="Y26" s="125">
        <f>Z26*Y$7</f>
        <v>94639.044603924427</v>
      </c>
      <c r="Z26" s="125">
        <f>Z$8*$N26*CMF</f>
        <v>1785.642351017442</v>
      </c>
      <c r="AA26" s="120">
        <f>+Z26/Z$8</f>
        <v>1.3874454941860466</v>
      </c>
      <c r="AB26" s="119"/>
      <c r="AC26" s="125">
        <f>AD26*AC$7</f>
        <v>68589.755450581404</v>
      </c>
      <c r="AD26" s="125">
        <f>AD$8*$N26*CMF</f>
        <v>2017.3457485465117</v>
      </c>
      <c r="AE26" s="120">
        <f>+AD26/AD$8</f>
        <v>1.3874454941860466</v>
      </c>
      <c r="AF26" s="120"/>
      <c r="AG26" s="125">
        <f t="shared" si="4"/>
        <v>221917.74445857562</v>
      </c>
      <c r="AH26" s="110">
        <f>+AG26/AG$7</f>
        <v>1656.1025705863851</v>
      </c>
      <c r="AI26" s="120">
        <f>+AH26/AH$8</f>
        <v>1.3870205783805571</v>
      </c>
      <c r="AJ26" s="119"/>
      <c r="AK26" s="122"/>
      <c r="AL26" s="123" t="s">
        <v>105</v>
      </c>
      <c r="AM26" s="27" t="s">
        <v>141</v>
      </c>
      <c r="AN26" s="117">
        <f t="shared" si="6"/>
        <v>0</v>
      </c>
      <c r="AO26" s="27">
        <f>+AG37+AG38</f>
        <v>0</v>
      </c>
      <c r="AP26" s="124">
        <f t="shared" si="1"/>
        <v>0</v>
      </c>
      <c r="AQ26" s="120">
        <f t="shared" si="2"/>
        <v>0</v>
      </c>
    </row>
    <row r="27" spans="1:43">
      <c r="B27" s="32" t="s">
        <v>19</v>
      </c>
      <c r="C27" s="116"/>
      <c r="E27" s="129"/>
      <c r="F27" s="129"/>
      <c r="G27" s="129"/>
      <c r="H27" s="129"/>
      <c r="I27" s="129"/>
      <c r="J27" s="129"/>
      <c r="K27" s="129"/>
      <c r="L27" s="119"/>
      <c r="M27" s="119"/>
      <c r="N27" s="120"/>
      <c r="O27" s="120"/>
      <c r="P27" s="120"/>
      <c r="Q27" s="125"/>
      <c r="R27" s="130"/>
      <c r="S27" s="120"/>
      <c r="T27" s="119"/>
      <c r="U27" s="125"/>
      <c r="V27" s="125"/>
      <c r="W27" s="120"/>
      <c r="X27" s="119"/>
      <c r="Y27" s="125"/>
      <c r="Z27" s="125"/>
      <c r="AA27" s="120"/>
      <c r="AB27" s="119"/>
      <c r="AC27" s="125"/>
      <c r="AD27" s="125"/>
      <c r="AE27" s="120"/>
      <c r="AF27" s="120"/>
      <c r="AG27" s="125"/>
      <c r="AH27" s="110"/>
      <c r="AI27" s="120"/>
      <c r="AJ27" s="119"/>
      <c r="AK27" s="122"/>
      <c r="AL27" s="123" t="s">
        <v>106</v>
      </c>
      <c r="AM27" s="27" t="s">
        <v>133</v>
      </c>
      <c r="AN27" s="117">
        <f t="shared" si="6"/>
        <v>0</v>
      </c>
      <c r="AO27" s="124">
        <v>0</v>
      </c>
      <c r="AP27" s="124">
        <f t="shared" si="1"/>
        <v>0</v>
      </c>
      <c r="AQ27" s="120">
        <f t="shared" si="2"/>
        <v>0</v>
      </c>
    </row>
    <row r="28" spans="1:43">
      <c r="A28" s="59" t="s">
        <v>165</v>
      </c>
      <c r="B28" s="59" t="s">
        <v>68</v>
      </c>
      <c r="C28" s="116"/>
      <c r="D28" s="117">
        <f t="shared" ref="D28:D35" si="8">L28/$L$88</f>
        <v>6.4909202788735923E-2</v>
      </c>
      <c r="E28" s="118" t="s">
        <v>195</v>
      </c>
      <c r="F28" s="118" t="s">
        <v>195</v>
      </c>
      <c r="G28" s="118" t="s">
        <v>195</v>
      </c>
      <c r="H28" s="118" t="s">
        <v>195</v>
      </c>
      <c r="I28" s="118" t="s">
        <v>195</v>
      </c>
      <c r="J28" s="118" t="s">
        <v>195</v>
      </c>
      <c r="K28" s="118" t="s">
        <v>195</v>
      </c>
      <c r="L28" s="119">
        <f t="shared" ref="L28:L35" si="9">M28*TRUnits</f>
        <v>45633</v>
      </c>
      <c r="M28" s="131">
        <f>(2975+(24808/7))/2</f>
        <v>3259.5</v>
      </c>
      <c r="N28" s="120">
        <f t="shared" si="7"/>
        <v>2.3688226744186047</v>
      </c>
      <c r="O28" s="120">
        <f t="shared" si="7"/>
        <v>1.8775921658986174</v>
      </c>
      <c r="P28" s="120"/>
      <c r="Q28" s="125">
        <f t="shared" ref="Q28:Q35" si="10">R28*Q$7</f>
        <v>0</v>
      </c>
      <c r="R28" s="125">
        <f t="shared" ref="R28:R33" si="11">R$8*$N28*CMF</f>
        <v>3192.5807594476746</v>
      </c>
      <c r="S28" s="120">
        <f t="shared" ref="S28:S35" si="12">+R28/R$8</f>
        <v>2.6649255087209305</v>
      </c>
      <c r="T28" s="119"/>
      <c r="U28" s="125">
        <f t="shared" ref="U28:U35" si="13">V28*U$7</f>
        <v>112726.34901889536</v>
      </c>
      <c r="V28" s="125">
        <f t="shared" ref="V28:V33" si="14">V$8*$N28*CMF</f>
        <v>2398.4329578488373</v>
      </c>
      <c r="W28" s="120">
        <f t="shared" ref="W28:W35" si="15">+V28/V$8</f>
        <v>2.6649255087209305</v>
      </c>
      <c r="X28" s="119"/>
      <c r="Y28" s="125">
        <f t="shared" ref="Y28:Y35" si="16">Z28*Y$7</f>
        <v>181777.23387536337</v>
      </c>
      <c r="Z28" s="125">
        <f t="shared" ref="Z28:Z33" si="17">Z$8*$N28*CMF</f>
        <v>3429.7591297238373</v>
      </c>
      <c r="AA28" s="120">
        <f t="shared" ref="AA28:AA35" si="18">+Z28/Z$8</f>
        <v>2.6649255087209305</v>
      </c>
      <c r="AB28" s="119"/>
      <c r="AC28" s="125">
        <f t="shared" ref="AC28:AC35" si="19">AD28*AC$7</f>
        <v>131743.25744912791</v>
      </c>
      <c r="AD28" s="125">
        <f t="shared" ref="AD28:AD33" si="20">AD$8*$N28*CMF</f>
        <v>3874.8016896802328</v>
      </c>
      <c r="AE28" s="120">
        <f t="shared" ref="AE28:AE35" si="21">+AD28/AD$8</f>
        <v>2.6649255087209305</v>
      </c>
      <c r="AF28" s="120"/>
      <c r="AG28" s="125">
        <f t="shared" si="4"/>
        <v>426246.84034338663</v>
      </c>
      <c r="AH28" s="110">
        <f t="shared" ref="AH28:AH35" si="22">+AG28/AG$7</f>
        <v>3180.946569726766</v>
      </c>
      <c r="AI28" s="120">
        <f t="shared" ref="AI28:AI35" si="23">+AH28/AH$8</f>
        <v>2.6641093548800385</v>
      </c>
      <c r="AJ28" s="119"/>
      <c r="AK28" s="122"/>
      <c r="AL28" s="123" t="s">
        <v>107</v>
      </c>
      <c r="AM28" s="27" t="s">
        <v>134</v>
      </c>
      <c r="AN28" s="117">
        <f t="shared" si="6"/>
        <v>4.0313853787154387E-2</v>
      </c>
      <c r="AO28" s="124">
        <f>+AG54+AG55</f>
        <v>541143.95625000005</v>
      </c>
      <c r="AP28" s="124">
        <f t="shared" si="1"/>
        <v>4038.3877332089555</v>
      </c>
      <c r="AQ28" s="120">
        <f t="shared" si="2"/>
        <v>3.3822342824195606</v>
      </c>
    </row>
    <row r="29" spans="1:43">
      <c r="A29" s="59" t="s">
        <v>165</v>
      </c>
      <c r="B29" s="59" t="s">
        <v>201</v>
      </c>
      <c r="C29" s="116"/>
      <c r="D29" s="117">
        <f t="shared" si="8"/>
        <v>5.8226682798783881E-2</v>
      </c>
      <c r="E29" s="118" t="s">
        <v>195</v>
      </c>
      <c r="F29" s="118" t="s">
        <v>195</v>
      </c>
      <c r="G29" s="118" t="s">
        <v>195</v>
      </c>
      <c r="H29" s="118" t="s">
        <v>195</v>
      </c>
      <c r="I29" s="118" t="s">
        <v>195</v>
      </c>
      <c r="J29" s="118" t="s">
        <v>195</v>
      </c>
      <c r="K29" s="118" t="s">
        <v>195</v>
      </c>
      <c r="L29" s="119">
        <f t="shared" si="9"/>
        <v>40935</v>
      </c>
      <c r="M29" s="131">
        <f>(2465+(23680/7))/2</f>
        <v>2923.9285714285716</v>
      </c>
      <c r="N29" s="120">
        <f t="shared" si="7"/>
        <v>2.1249480897009967</v>
      </c>
      <c r="O29" s="120">
        <f t="shared" si="7"/>
        <v>1.6842906517445688</v>
      </c>
      <c r="P29" s="120"/>
      <c r="Q29" s="125">
        <f t="shared" si="10"/>
        <v>0</v>
      </c>
      <c r="R29" s="125">
        <f t="shared" si="11"/>
        <v>2863.8987878945181</v>
      </c>
      <c r="S29" s="120">
        <f t="shared" si="12"/>
        <v>2.3905666009136213</v>
      </c>
      <c r="T29" s="119"/>
      <c r="U29" s="125">
        <f t="shared" si="13"/>
        <v>101120.96721864618</v>
      </c>
      <c r="V29" s="125">
        <f t="shared" si="14"/>
        <v>2151.5099408222591</v>
      </c>
      <c r="W29" s="120">
        <f t="shared" si="15"/>
        <v>2.3905666009136213</v>
      </c>
      <c r="X29" s="119"/>
      <c r="Y29" s="125">
        <f t="shared" si="16"/>
        <v>163062.93841491902</v>
      </c>
      <c r="Z29" s="125">
        <f t="shared" si="17"/>
        <v>3076.6592153758306</v>
      </c>
      <c r="AA29" s="120">
        <f t="shared" si="18"/>
        <v>2.3905666009136213</v>
      </c>
      <c r="AB29" s="119"/>
      <c r="AC29" s="125">
        <f t="shared" si="19"/>
        <v>118180.05048276577</v>
      </c>
      <c r="AD29" s="125">
        <f t="shared" si="20"/>
        <v>3475.8838377284051</v>
      </c>
      <c r="AE29" s="120">
        <f t="shared" si="21"/>
        <v>2.3905666009136213</v>
      </c>
      <c r="AF29" s="120"/>
      <c r="AG29" s="125">
        <f t="shared" si="4"/>
        <v>382363.95611633098</v>
      </c>
      <c r="AH29" s="110">
        <f t="shared" si="22"/>
        <v>2853.4623590770971</v>
      </c>
      <c r="AI29" s="120">
        <f t="shared" si="23"/>
        <v>2.3898344715888586</v>
      </c>
      <c r="AJ29" s="119"/>
      <c r="AK29" s="122"/>
      <c r="AL29" s="123" t="s">
        <v>108</v>
      </c>
      <c r="AM29" s="27" t="s">
        <v>146</v>
      </c>
      <c r="AN29" s="117">
        <f t="shared" si="6"/>
        <v>2.4742212236423651E-2</v>
      </c>
      <c r="AO29" s="124">
        <f>+AG56+SUM(AG58:AG60)+AG72</f>
        <v>332121.52543604653</v>
      </c>
      <c r="AP29" s="124">
        <f t="shared" si="1"/>
        <v>2478.5188465376609</v>
      </c>
      <c r="AQ29" s="120">
        <f t="shared" si="2"/>
        <v>2.0758114292610226</v>
      </c>
    </row>
    <row r="30" spans="1:43">
      <c r="A30" s="59" t="s">
        <v>165</v>
      </c>
      <c r="B30" s="59" t="s">
        <v>20</v>
      </c>
      <c r="C30" s="116"/>
      <c r="D30" s="117">
        <f t="shared" si="8"/>
        <v>0.13193923088718204</v>
      </c>
      <c r="E30" s="118" t="s">
        <v>195</v>
      </c>
      <c r="F30" s="118" t="s">
        <v>195</v>
      </c>
      <c r="G30" s="118" t="s">
        <v>195</v>
      </c>
      <c r="H30" s="118" t="s">
        <v>195</v>
      </c>
      <c r="I30" s="118" t="s">
        <v>195</v>
      </c>
      <c r="J30" s="118" t="s">
        <v>195</v>
      </c>
      <c r="K30" s="118" t="s">
        <v>195</v>
      </c>
      <c r="L30" s="119">
        <f t="shared" si="9"/>
        <v>92757</v>
      </c>
      <c r="M30" s="131">
        <f>13251/2</f>
        <v>6625.5</v>
      </c>
      <c r="N30" s="120">
        <f t="shared" si="7"/>
        <v>4.8150436046511631</v>
      </c>
      <c r="O30" s="120">
        <f t="shared" si="7"/>
        <v>3.816532258064516</v>
      </c>
      <c r="P30" s="120"/>
      <c r="Q30" s="125">
        <f t="shared" si="10"/>
        <v>0</v>
      </c>
      <c r="R30" s="125">
        <f t="shared" si="11"/>
        <v>6489.4750181686049</v>
      </c>
      <c r="S30" s="120">
        <f t="shared" si="12"/>
        <v>5.4169240552325588</v>
      </c>
      <c r="T30" s="119"/>
      <c r="U30" s="125">
        <f t="shared" si="13"/>
        <v>229135.88753633722</v>
      </c>
      <c r="V30" s="125">
        <f t="shared" si="14"/>
        <v>4875.2316497093025</v>
      </c>
      <c r="W30" s="120">
        <f t="shared" si="15"/>
        <v>5.4169240552325579</v>
      </c>
      <c r="X30" s="119"/>
      <c r="Y30" s="125">
        <f t="shared" si="16"/>
        <v>369493.80673146801</v>
      </c>
      <c r="Z30" s="125">
        <f t="shared" si="17"/>
        <v>6971.5812590843025</v>
      </c>
      <c r="AA30" s="120">
        <f t="shared" si="18"/>
        <v>5.4169240552325579</v>
      </c>
      <c r="AB30" s="119"/>
      <c r="AC30" s="125">
        <f t="shared" si="19"/>
        <v>267791.05759447679</v>
      </c>
      <c r="AD30" s="125">
        <f t="shared" si="20"/>
        <v>7876.2075763081402</v>
      </c>
      <c r="AE30" s="120">
        <f t="shared" si="21"/>
        <v>5.4169240552325588</v>
      </c>
      <c r="AF30" s="120"/>
      <c r="AG30" s="125">
        <f t="shared" si="4"/>
        <v>866420.75186228193</v>
      </c>
      <c r="AH30" s="110">
        <f t="shared" si="22"/>
        <v>6465.8265064349398</v>
      </c>
      <c r="AI30" s="120">
        <f t="shared" si="23"/>
        <v>5.4152650807662814</v>
      </c>
      <c r="AJ30" s="119"/>
      <c r="AK30" s="122"/>
      <c r="AL30" s="123" t="s">
        <v>109</v>
      </c>
      <c r="AM30" s="27" t="s">
        <v>135</v>
      </c>
      <c r="AN30" s="117">
        <f t="shared" si="6"/>
        <v>1.9091838243740875E-2</v>
      </c>
      <c r="AO30" s="124">
        <f>AG66+AG67</f>
        <v>256275</v>
      </c>
      <c r="AP30" s="124">
        <f t="shared" si="1"/>
        <v>1912.5</v>
      </c>
      <c r="AQ30" s="120">
        <f t="shared" si="2"/>
        <v>1.6017587939698492</v>
      </c>
    </row>
    <row r="31" spans="1:43">
      <c r="A31" s="59" t="s">
        <v>165</v>
      </c>
      <c r="B31" s="59" t="s">
        <v>21</v>
      </c>
      <c r="C31" s="116"/>
      <c r="D31" s="117">
        <f t="shared" si="8"/>
        <v>0</v>
      </c>
      <c r="E31" s="118" t="s">
        <v>195</v>
      </c>
      <c r="F31" s="118" t="s">
        <v>195</v>
      </c>
      <c r="G31" s="118" t="s">
        <v>195</v>
      </c>
      <c r="H31" s="118" t="s">
        <v>195</v>
      </c>
      <c r="I31" s="118" t="s">
        <v>195</v>
      </c>
      <c r="J31" s="118" t="s">
        <v>195</v>
      </c>
      <c r="K31" s="118" t="s">
        <v>195</v>
      </c>
      <c r="L31" s="119">
        <f t="shared" si="9"/>
        <v>0</v>
      </c>
      <c r="M31" s="119"/>
      <c r="N31" s="120">
        <f t="shared" si="7"/>
        <v>0</v>
      </c>
      <c r="O31" s="120">
        <f t="shared" si="7"/>
        <v>0</v>
      </c>
      <c r="P31" s="120"/>
      <c r="Q31" s="125">
        <f t="shared" si="10"/>
        <v>0</v>
      </c>
      <c r="R31" s="125">
        <f t="shared" si="11"/>
        <v>0</v>
      </c>
      <c r="S31" s="120">
        <f t="shared" si="12"/>
        <v>0</v>
      </c>
      <c r="T31" s="119"/>
      <c r="U31" s="125">
        <f t="shared" si="13"/>
        <v>0</v>
      </c>
      <c r="V31" s="125">
        <f t="shared" si="14"/>
        <v>0</v>
      </c>
      <c r="W31" s="120">
        <f t="shared" si="15"/>
        <v>0</v>
      </c>
      <c r="X31" s="119"/>
      <c r="Y31" s="125">
        <f t="shared" si="16"/>
        <v>0</v>
      </c>
      <c r="Z31" s="125">
        <f t="shared" si="17"/>
        <v>0</v>
      </c>
      <c r="AA31" s="120">
        <f t="shared" si="18"/>
        <v>0</v>
      </c>
      <c r="AB31" s="119"/>
      <c r="AC31" s="125">
        <f t="shared" si="19"/>
        <v>0</v>
      </c>
      <c r="AD31" s="125">
        <f t="shared" si="20"/>
        <v>0</v>
      </c>
      <c r="AE31" s="120">
        <f t="shared" si="21"/>
        <v>0</v>
      </c>
      <c r="AF31" s="120"/>
      <c r="AG31" s="125">
        <f t="shared" si="4"/>
        <v>0</v>
      </c>
      <c r="AH31" s="110">
        <f t="shared" si="22"/>
        <v>0</v>
      </c>
      <c r="AI31" s="120">
        <f t="shared" si="23"/>
        <v>0</v>
      </c>
      <c r="AJ31" s="119"/>
      <c r="AK31" s="122"/>
      <c r="AL31" s="123" t="s">
        <v>110</v>
      </c>
      <c r="AM31" s="27" t="s">
        <v>136</v>
      </c>
      <c r="AN31" s="117">
        <f t="shared" si="6"/>
        <v>0</v>
      </c>
      <c r="AO31" s="124">
        <v>0</v>
      </c>
      <c r="AP31" s="124">
        <f t="shared" si="1"/>
        <v>0</v>
      </c>
      <c r="AQ31" s="120">
        <f t="shared" si="2"/>
        <v>0</v>
      </c>
    </row>
    <row r="32" spans="1:43">
      <c r="A32" s="59" t="s">
        <v>165</v>
      </c>
      <c r="B32" s="59" t="s">
        <v>22</v>
      </c>
      <c r="C32" s="116"/>
      <c r="D32" s="117">
        <f t="shared" si="8"/>
        <v>0</v>
      </c>
      <c r="E32" s="118" t="s">
        <v>195</v>
      </c>
      <c r="F32" s="118" t="s">
        <v>195</v>
      </c>
      <c r="G32" s="118" t="s">
        <v>195</v>
      </c>
      <c r="H32" s="118" t="s">
        <v>195</v>
      </c>
      <c r="I32" s="118" t="s">
        <v>195</v>
      </c>
      <c r="J32" s="118" t="s">
        <v>195</v>
      </c>
      <c r="K32" s="118" t="s">
        <v>195</v>
      </c>
      <c r="L32" s="119">
        <f t="shared" si="9"/>
        <v>0</v>
      </c>
      <c r="M32" s="119"/>
      <c r="N32" s="120">
        <f t="shared" si="7"/>
        <v>0</v>
      </c>
      <c r="O32" s="120">
        <f t="shared" si="7"/>
        <v>0</v>
      </c>
      <c r="P32" s="120"/>
      <c r="Q32" s="125">
        <f t="shared" si="10"/>
        <v>0</v>
      </c>
      <c r="R32" s="125">
        <f t="shared" si="11"/>
        <v>0</v>
      </c>
      <c r="S32" s="120">
        <f t="shared" si="12"/>
        <v>0</v>
      </c>
      <c r="T32" s="119"/>
      <c r="U32" s="125">
        <f t="shared" si="13"/>
        <v>0</v>
      </c>
      <c r="V32" s="125">
        <f t="shared" si="14"/>
        <v>0</v>
      </c>
      <c r="W32" s="120">
        <f t="shared" si="15"/>
        <v>0</v>
      </c>
      <c r="X32" s="119"/>
      <c r="Y32" s="125">
        <f t="shared" si="16"/>
        <v>0</v>
      </c>
      <c r="Z32" s="125">
        <f t="shared" si="17"/>
        <v>0</v>
      </c>
      <c r="AA32" s="120">
        <f t="shared" si="18"/>
        <v>0</v>
      </c>
      <c r="AB32" s="119"/>
      <c r="AC32" s="125">
        <f t="shared" si="19"/>
        <v>0</v>
      </c>
      <c r="AD32" s="125">
        <f t="shared" si="20"/>
        <v>0</v>
      </c>
      <c r="AE32" s="120">
        <f t="shared" si="21"/>
        <v>0</v>
      </c>
      <c r="AF32" s="120"/>
      <c r="AG32" s="125">
        <f t="shared" si="4"/>
        <v>0</v>
      </c>
      <c r="AH32" s="110">
        <f t="shared" si="22"/>
        <v>0</v>
      </c>
      <c r="AI32" s="120">
        <f t="shared" si="23"/>
        <v>0</v>
      </c>
      <c r="AJ32" s="119"/>
      <c r="AK32" s="122"/>
      <c r="AL32" s="123" t="s">
        <v>111</v>
      </c>
      <c r="AM32" s="27" t="s">
        <v>137</v>
      </c>
      <c r="AN32" s="117">
        <f t="shared" si="6"/>
        <v>2.4618573888639951E-2</v>
      </c>
      <c r="AO32" s="124">
        <f>AG63+AG64</f>
        <v>330461.89386082848</v>
      </c>
      <c r="AP32" s="124">
        <f t="shared" si="1"/>
        <v>2466.1335362748396</v>
      </c>
      <c r="AQ32" s="120">
        <f t="shared" si="2"/>
        <v>2.065438472591993</v>
      </c>
    </row>
    <row r="33" spans="1:43">
      <c r="A33" s="59" t="s">
        <v>166</v>
      </c>
      <c r="B33" s="59" t="s">
        <v>23</v>
      </c>
      <c r="C33" s="116"/>
      <c r="D33" s="117">
        <f t="shared" si="8"/>
        <v>0</v>
      </c>
      <c r="E33" s="118" t="s">
        <v>195</v>
      </c>
      <c r="F33" s="118" t="s">
        <v>195</v>
      </c>
      <c r="G33" s="118" t="s">
        <v>195</v>
      </c>
      <c r="H33" s="118" t="s">
        <v>195</v>
      </c>
      <c r="I33" s="118" t="s">
        <v>195</v>
      </c>
      <c r="J33" s="118" t="s">
        <v>195</v>
      </c>
      <c r="K33" s="118" t="s">
        <v>195</v>
      </c>
      <c r="L33" s="119">
        <f t="shared" si="9"/>
        <v>0</v>
      </c>
      <c r="N33" s="120">
        <f t="shared" si="7"/>
        <v>0</v>
      </c>
      <c r="O33" s="120">
        <f t="shared" si="7"/>
        <v>0</v>
      </c>
      <c r="P33" s="120"/>
      <c r="Q33" s="125">
        <f t="shared" si="10"/>
        <v>0</v>
      </c>
      <c r="R33" s="125">
        <f t="shared" si="11"/>
        <v>0</v>
      </c>
      <c r="S33" s="120">
        <f t="shared" si="12"/>
        <v>0</v>
      </c>
      <c r="U33" s="125">
        <f t="shared" si="13"/>
        <v>0</v>
      </c>
      <c r="V33" s="125">
        <f t="shared" si="14"/>
        <v>0</v>
      </c>
      <c r="W33" s="120">
        <f t="shared" si="15"/>
        <v>0</v>
      </c>
      <c r="X33" s="119"/>
      <c r="Y33" s="125">
        <f t="shared" si="16"/>
        <v>0</v>
      </c>
      <c r="Z33" s="125">
        <f t="shared" si="17"/>
        <v>0</v>
      </c>
      <c r="AA33" s="120">
        <f t="shared" si="18"/>
        <v>0</v>
      </c>
      <c r="AB33" s="119"/>
      <c r="AC33" s="125">
        <f t="shared" si="19"/>
        <v>0</v>
      </c>
      <c r="AD33" s="125">
        <f t="shared" si="20"/>
        <v>0</v>
      </c>
      <c r="AE33" s="120">
        <f t="shared" si="21"/>
        <v>0</v>
      </c>
      <c r="AF33" s="120"/>
      <c r="AG33" s="125">
        <f t="shared" si="4"/>
        <v>0</v>
      </c>
      <c r="AH33" s="110">
        <f t="shared" si="22"/>
        <v>0</v>
      </c>
      <c r="AI33" s="120">
        <f t="shared" si="23"/>
        <v>0</v>
      </c>
      <c r="AJ33" s="119"/>
      <c r="AK33" s="122"/>
      <c r="AL33" s="123" t="s">
        <v>112</v>
      </c>
      <c r="AM33" s="27" t="s">
        <v>138</v>
      </c>
      <c r="AN33" s="117">
        <f t="shared" si="6"/>
        <v>0</v>
      </c>
      <c r="AO33" s="124">
        <v>0</v>
      </c>
      <c r="AP33" s="124">
        <f t="shared" si="1"/>
        <v>0</v>
      </c>
      <c r="AQ33" s="120">
        <f t="shared" si="2"/>
        <v>0</v>
      </c>
    </row>
    <row r="34" spans="1:43">
      <c r="A34" s="59" t="s">
        <v>167</v>
      </c>
      <c r="B34" s="59" t="s">
        <v>24</v>
      </c>
      <c r="C34" s="116"/>
      <c r="D34" s="117">
        <f t="shared" si="8"/>
        <v>8.9014921449808125E-3</v>
      </c>
      <c r="E34" s="118" t="s">
        <v>195</v>
      </c>
      <c r="F34" s="118" t="s">
        <v>195</v>
      </c>
      <c r="G34" s="118" t="s">
        <v>195</v>
      </c>
      <c r="H34" s="118" t="s">
        <v>195</v>
      </c>
      <c r="I34" s="118" t="s">
        <v>195</v>
      </c>
      <c r="J34" s="118" t="s">
        <v>195</v>
      </c>
      <c r="K34" s="118" t="s">
        <v>195</v>
      </c>
      <c r="L34" s="119">
        <f t="shared" si="9"/>
        <v>6258</v>
      </c>
      <c r="M34" s="119">
        <f>894/2</f>
        <v>447</v>
      </c>
      <c r="N34" s="120">
        <f t="shared" si="7"/>
        <v>0.32485465116279072</v>
      </c>
      <c r="O34" s="120">
        <f t="shared" si="7"/>
        <v>0.25748847926267282</v>
      </c>
      <c r="P34" s="120"/>
      <c r="Q34" s="125">
        <f t="shared" si="10"/>
        <v>0</v>
      </c>
      <c r="R34" s="125">
        <f>(120+80+70+40)*CMF</f>
        <v>348.75</v>
      </c>
      <c r="S34" s="120">
        <f t="shared" si="12"/>
        <v>0.291110183639399</v>
      </c>
      <c r="T34" s="119"/>
      <c r="U34" s="125">
        <f t="shared" si="13"/>
        <v>28552.5</v>
      </c>
      <c r="V34" s="125">
        <f>(120+3*70+2*65+2*40)*CMF</f>
        <v>607.5</v>
      </c>
      <c r="W34" s="120">
        <f t="shared" si="15"/>
        <v>0.67500000000000004</v>
      </c>
      <c r="X34" s="119"/>
      <c r="Y34" s="125">
        <f t="shared" si="16"/>
        <v>39948.75</v>
      </c>
      <c r="Z34" s="125">
        <f>(120+4*80+70+4*40)*CMF</f>
        <v>753.75</v>
      </c>
      <c r="AA34" s="120">
        <f t="shared" si="18"/>
        <v>0.58566433566433562</v>
      </c>
      <c r="AB34" s="119"/>
      <c r="AC34" s="125">
        <f t="shared" si="19"/>
        <v>25627.5</v>
      </c>
      <c r="AD34" s="125">
        <f>(120+4*80+70+4*40)*CMF</f>
        <v>753.75</v>
      </c>
      <c r="AE34" s="120">
        <f t="shared" si="21"/>
        <v>0.51839752407152684</v>
      </c>
      <c r="AF34" s="120"/>
      <c r="AG34" s="125">
        <f t="shared" si="4"/>
        <v>94128.75</v>
      </c>
      <c r="AH34" s="110">
        <f t="shared" si="22"/>
        <v>702.45335820895525</v>
      </c>
      <c r="AI34" s="120">
        <f t="shared" si="23"/>
        <v>0.5883193954848871</v>
      </c>
      <c r="AJ34" s="119"/>
      <c r="AK34" s="122"/>
      <c r="AL34" s="123" t="s">
        <v>113</v>
      </c>
      <c r="AM34" s="27" t="s">
        <v>50</v>
      </c>
      <c r="AN34" s="117">
        <f t="shared" si="6"/>
        <v>1.010744377609811E-2</v>
      </c>
      <c r="AO34" s="124">
        <f>+AG70</f>
        <v>135675</v>
      </c>
      <c r="AP34" s="124">
        <f t="shared" si="1"/>
        <v>1012.5</v>
      </c>
      <c r="AQ34" s="120">
        <f t="shared" si="2"/>
        <v>0.84798994974874375</v>
      </c>
    </row>
    <row r="35" spans="1:43">
      <c r="A35" s="59" t="s">
        <v>165</v>
      </c>
      <c r="B35" s="59" t="s">
        <v>25</v>
      </c>
      <c r="C35" s="116"/>
      <c r="D35" s="117">
        <f t="shared" si="8"/>
        <v>5.9741558020005451E-3</v>
      </c>
      <c r="E35" s="118" t="s">
        <v>195</v>
      </c>
      <c r="F35" s="118" t="s">
        <v>195</v>
      </c>
      <c r="G35" s="118" t="s">
        <v>195</v>
      </c>
      <c r="H35" s="118" t="s">
        <v>195</v>
      </c>
      <c r="I35" s="118" t="s">
        <v>195</v>
      </c>
      <c r="J35" s="118" t="s">
        <v>195</v>
      </c>
      <c r="K35" s="118" t="s">
        <v>195</v>
      </c>
      <c r="L35" s="119">
        <f t="shared" si="9"/>
        <v>4200</v>
      </c>
      <c r="M35" s="132">
        <f>600/2</f>
        <v>300</v>
      </c>
      <c r="N35" s="120">
        <f t="shared" si="7"/>
        <v>0.21802325581395349</v>
      </c>
      <c r="O35" s="120">
        <f t="shared" si="7"/>
        <v>0.1728110599078341</v>
      </c>
      <c r="P35" s="120"/>
      <c r="Q35" s="125">
        <f t="shared" si="10"/>
        <v>0</v>
      </c>
      <c r="R35" s="133">
        <f>((75+46+13)*2+180+70)*CMF</f>
        <v>582.75</v>
      </c>
      <c r="S35" s="120">
        <f t="shared" si="12"/>
        <v>0.48643572621035058</v>
      </c>
      <c r="T35" s="119"/>
      <c r="U35" s="125">
        <f t="shared" si="13"/>
        <v>27389.25</v>
      </c>
      <c r="V35" s="133">
        <f>((75+46+13)*2+180+70)*CMF</f>
        <v>582.75</v>
      </c>
      <c r="W35" s="120">
        <f t="shared" si="15"/>
        <v>0.64749999999999996</v>
      </c>
      <c r="X35" s="119"/>
      <c r="Y35" s="125">
        <f t="shared" si="16"/>
        <v>30885.75</v>
      </c>
      <c r="Z35" s="133">
        <f>((75+46+13)*2+180+70)*CMF</f>
        <v>582.75</v>
      </c>
      <c r="AA35" s="120">
        <f t="shared" si="18"/>
        <v>0.45279720279720281</v>
      </c>
      <c r="AB35" s="119"/>
      <c r="AC35" s="125">
        <f t="shared" si="19"/>
        <v>19813.5</v>
      </c>
      <c r="AD35" s="133">
        <f>((75+46+13)*2+180+70)*CMF</f>
        <v>582.75</v>
      </c>
      <c r="AE35" s="120">
        <f t="shared" si="21"/>
        <v>0.40079092159559837</v>
      </c>
      <c r="AF35" s="120"/>
      <c r="AG35" s="125">
        <f t="shared" si="4"/>
        <v>78088.5</v>
      </c>
      <c r="AH35" s="110">
        <f t="shared" si="22"/>
        <v>582.75</v>
      </c>
      <c r="AI35" s="120">
        <f t="shared" si="23"/>
        <v>0.48806532663316582</v>
      </c>
      <c r="AJ35" s="119"/>
      <c r="AK35" s="122"/>
      <c r="AL35" s="123" t="s">
        <v>114</v>
      </c>
      <c r="AM35" s="27" t="s">
        <v>139</v>
      </c>
      <c r="AN35" s="117">
        <f t="shared" si="6"/>
        <v>1.6354224525537215E-2</v>
      </c>
      <c r="AO35" s="124">
        <f>+AG71</f>
        <v>219527.25749999995</v>
      </c>
      <c r="AP35" s="124">
        <f t="shared" si="1"/>
        <v>1638.2631156716413</v>
      </c>
      <c r="AQ35" s="120">
        <f t="shared" si="2"/>
        <v>1.3720796613665338</v>
      </c>
    </row>
    <row r="36" spans="1:43">
      <c r="B36" s="32" t="s">
        <v>219</v>
      </c>
      <c r="C36" s="116"/>
      <c r="D36" s="117"/>
      <c r="E36" s="118"/>
      <c r="F36" s="118"/>
      <c r="G36" s="118"/>
      <c r="H36" s="118"/>
      <c r="I36" s="118"/>
      <c r="J36" s="118"/>
      <c r="K36" s="118"/>
      <c r="L36" s="119"/>
      <c r="M36" s="119"/>
      <c r="N36" s="120"/>
      <c r="O36" s="120"/>
      <c r="P36" s="120"/>
      <c r="Q36" s="125"/>
      <c r="R36" s="130"/>
      <c r="S36" s="120"/>
      <c r="T36" s="119"/>
      <c r="U36" s="125"/>
      <c r="V36" s="125"/>
      <c r="W36" s="120"/>
      <c r="X36" s="119"/>
      <c r="Y36" s="125"/>
      <c r="Z36" s="125"/>
      <c r="AA36" s="120"/>
      <c r="AB36" s="119"/>
      <c r="AC36" s="125"/>
      <c r="AD36" s="125"/>
      <c r="AE36" s="120"/>
      <c r="AF36" s="120"/>
      <c r="AG36" s="125"/>
      <c r="AH36" s="110"/>
      <c r="AI36" s="120"/>
      <c r="AJ36" s="119"/>
      <c r="AK36" s="122"/>
      <c r="AL36" s="123" t="s">
        <v>115</v>
      </c>
      <c r="AM36" s="27" t="s">
        <v>140</v>
      </c>
      <c r="AN36" s="117">
        <f t="shared" si="6"/>
        <v>1.6171910041756978E-3</v>
      </c>
      <c r="AO36" s="124">
        <f>SUM(AG73:AG76)</f>
        <v>21708</v>
      </c>
      <c r="AP36" s="124">
        <f t="shared" si="1"/>
        <v>162</v>
      </c>
      <c r="AQ36" s="120">
        <f t="shared" si="2"/>
        <v>0.135678391959799</v>
      </c>
    </row>
    <row r="37" spans="1:43">
      <c r="A37" s="59" t="s">
        <v>220</v>
      </c>
      <c r="B37" s="59" t="s">
        <v>27</v>
      </c>
      <c r="C37" s="116"/>
      <c r="D37" s="117"/>
      <c r="E37" s="118"/>
      <c r="F37" s="118"/>
      <c r="G37" s="118"/>
      <c r="H37" s="118"/>
      <c r="I37" s="118"/>
      <c r="J37" s="118"/>
      <c r="K37" s="118"/>
      <c r="L37" s="119">
        <v>0</v>
      </c>
      <c r="M37" s="119">
        <v>0</v>
      </c>
      <c r="N37" s="120">
        <f t="shared" si="7"/>
        <v>0</v>
      </c>
      <c r="O37" s="120">
        <f t="shared" si="7"/>
        <v>0</v>
      </c>
      <c r="P37" s="120"/>
      <c r="Q37" s="125">
        <f>R37*Q$7</f>
        <v>0</v>
      </c>
      <c r="R37" s="125">
        <v>0</v>
      </c>
      <c r="S37" s="120">
        <f>+R37/R$8</f>
        <v>0</v>
      </c>
      <c r="T37" s="119"/>
      <c r="U37" s="125">
        <f>V37*U$7</f>
        <v>0</v>
      </c>
      <c r="V37" s="125">
        <v>0</v>
      </c>
      <c r="W37" s="120">
        <f>+V37/V$8</f>
        <v>0</v>
      </c>
      <c r="X37" s="119"/>
      <c r="Y37" s="125">
        <f>Z37*Y$7</f>
        <v>0</v>
      </c>
      <c r="Z37" s="125">
        <v>0</v>
      </c>
      <c r="AA37" s="120">
        <f>+Z37/Z$8</f>
        <v>0</v>
      </c>
      <c r="AB37" s="119"/>
      <c r="AC37" s="125">
        <f>AD37*AC$7</f>
        <v>0</v>
      </c>
      <c r="AD37" s="125">
        <v>0</v>
      </c>
      <c r="AE37" s="120">
        <f>+AD37/AD$8</f>
        <v>0</v>
      </c>
      <c r="AF37" s="120"/>
      <c r="AG37" s="125">
        <f t="shared" si="4"/>
        <v>0</v>
      </c>
      <c r="AH37" s="110">
        <f>+AG37/AG$7</f>
        <v>0</v>
      </c>
      <c r="AI37" s="120">
        <f>+AH37/AH$8</f>
        <v>0</v>
      </c>
      <c r="AJ37" s="119"/>
      <c r="AK37" s="122"/>
      <c r="AL37" s="123" t="s">
        <v>116</v>
      </c>
      <c r="AM37" s="27" t="s">
        <v>48</v>
      </c>
      <c r="AN37" s="117">
        <f t="shared" si="6"/>
        <v>6.9028128534759266E-3</v>
      </c>
      <c r="AO37" s="124">
        <f>+AG68</f>
        <v>92658.357013081404</v>
      </c>
      <c r="AP37" s="124">
        <f t="shared" si="1"/>
        <v>691.48027621702545</v>
      </c>
      <c r="AQ37" s="120">
        <f t="shared" si="2"/>
        <v>0.57912920956199787</v>
      </c>
    </row>
    <row r="38" spans="1:43">
      <c r="A38" s="59" t="s">
        <v>220</v>
      </c>
      <c r="B38" s="59" t="s">
        <v>28</v>
      </c>
      <c r="C38" s="116"/>
      <c r="D38" s="117"/>
      <c r="E38" s="118"/>
      <c r="F38" s="118"/>
      <c r="G38" s="118"/>
      <c r="H38" s="118"/>
      <c r="I38" s="118"/>
      <c r="J38" s="118"/>
      <c r="K38" s="118"/>
      <c r="L38" s="119">
        <v>0</v>
      </c>
      <c r="M38" s="119">
        <v>0</v>
      </c>
      <c r="N38" s="120">
        <f t="shared" si="7"/>
        <v>0</v>
      </c>
      <c r="O38" s="120">
        <f t="shared" si="7"/>
        <v>0</v>
      </c>
      <c r="P38" s="120"/>
      <c r="Q38" s="125">
        <f>R38*Q$7</f>
        <v>0</v>
      </c>
      <c r="R38" s="125">
        <v>0</v>
      </c>
      <c r="S38" s="120">
        <f>+R38/R$8</f>
        <v>0</v>
      </c>
      <c r="T38" s="119"/>
      <c r="U38" s="125">
        <f>V38*U$7</f>
        <v>0</v>
      </c>
      <c r="V38" s="125">
        <v>0</v>
      </c>
      <c r="W38" s="120">
        <f>+V38/V$8</f>
        <v>0</v>
      </c>
      <c r="X38" s="119"/>
      <c r="Y38" s="125">
        <f>Z38*Y$7</f>
        <v>0</v>
      </c>
      <c r="Z38" s="125">
        <v>0</v>
      </c>
      <c r="AA38" s="120">
        <f>+Z38/Z$8</f>
        <v>0</v>
      </c>
      <c r="AB38" s="119"/>
      <c r="AC38" s="125">
        <f>AD38*AC$7</f>
        <v>0</v>
      </c>
      <c r="AD38" s="125">
        <v>0</v>
      </c>
      <c r="AE38" s="120">
        <f>+AD38/AD$8</f>
        <v>0</v>
      </c>
      <c r="AF38" s="120"/>
      <c r="AG38" s="125">
        <f t="shared" si="4"/>
        <v>0</v>
      </c>
      <c r="AH38" s="110">
        <f>+AG38/AG$7</f>
        <v>0</v>
      </c>
      <c r="AI38" s="120">
        <f>+AH38/AH$8</f>
        <v>0</v>
      </c>
      <c r="AJ38" s="119"/>
      <c r="AK38" s="122"/>
      <c r="AL38" s="123" t="s">
        <v>117</v>
      </c>
      <c r="AM38" s="27" t="s">
        <v>145</v>
      </c>
      <c r="AN38" s="117">
        <f t="shared" si="6"/>
        <v>7.1481376101158725E-3</v>
      </c>
      <c r="AO38" s="124">
        <f>SUM(AG77:AG79)</f>
        <v>95951.418749999997</v>
      </c>
      <c r="AP38" s="124">
        <f t="shared" si="1"/>
        <v>716.05536380597016</v>
      </c>
      <c r="AQ38" s="120">
        <f t="shared" si="2"/>
        <v>0.59971135997149927</v>
      </c>
    </row>
    <row r="39" spans="1:43">
      <c r="B39" s="30" t="s">
        <v>26</v>
      </c>
      <c r="C39" s="116"/>
      <c r="D39" s="117"/>
      <c r="E39" s="118"/>
      <c r="F39" s="118"/>
      <c r="G39" s="118"/>
      <c r="H39" s="118"/>
      <c r="I39" s="118"/>
      <c r="J39" s="118"/>
      <c r="K39" s="118"/>
      <c r="L39" s="119"/>
      <c r="M39" s="119"/>
      <c r="N39" s="120"/>
      <c r="O39" s="120"/>
      <c r="P39" s="120"/>
      <c r="Q39" s="125"/>
      <c r="R39" s="125"/>
      <c r="S39" s="120"/>
      <c r="T39" s="119"/>
      <c r="U39" s="125"/>
      <c r="V39" s="125"/>
      <c r="W39" s="120"/>
      <c r="X39" s="119"/>
      <c r="Y39" s="125"/>
      <c r="Z39" s="125"/>
      <c r="AA39" s="120"/>
      <c r="AB39" s="119"/>
      <c r="AC39" s="125"/>
      <c r="AD39" s="125"/>
      <c r="AE39" s="120"/>
      <c r="AF39" s="120"/>
      <c r="AG39" s="125"/>
      <c r="AH39" s="110"/>
      <c r="AI39" s="120"/>
      <c r="AJ39" s="119"/>
      <c r="AK39" s="122"/>
      <c r="AL39" s="123" t="s">
        <v>118</v>
      </c>
      <c r="AM39" s="27" t="s">
        <v>143</v>
      </c>
      <c r="AN39" s="117">
        <f t="shared" si="6"/>
        <v>1.634242496492995E-2</v>
      </c>
      <c r="AO39" s="128">
        <f>SUM(AG81:AG85)</f>
        <v>219368.86874999999</v>
      </c>
      <c r="AP39" s="124">
        <f t="shared" si="1"/>
        <v>1637.0811100746268</v>
      </c>
      <c r="AQ39" s="120">
        <f t="shared" si="2"/>
        <v>1.3710897069301733</v>
      </c>
    </row>
    <row r="40" spans="1:43" ht="14.45" customHeight="1">
      <c r="A40" s="59" t="s">
        <v>168</v>
      </c>
      <c r="B40" s="27" t="s">
        <v>27</v>
      </c>
      <c r="C40" s="116"/>
      <c r="D40" s="117">
        <f>L40/$L$88</f>
        <v>7.4676947525006811E-3</v>
      </c>
      <c r="E40" s="118" t="s">
        <v>195</v>
      </c>
      <c r="F40" s="118" t="s">
        <v>195</v>
      </c>
      <c r="G40" s="118" t="s">
        <v>195</v>
      </c>
      <c r="H40" s="118" t="s">
        <v>195</v>
      </c>
      <c r="I40" s="118" t="s">
        <v>195</v>
      </c>
      <c r="J40" s="118" t="s">
        <v>195</v>
      </c>
      <c r="K40" s="118" t="s">
        <v>195</v>
      </c>
      <c r="L40" s="119">
        <f>M40*TRUnits</f>
        <v>5250</v>
      </c>
      <c r="M40" s="119">
        <f>750/2</f>
        <v>375</v>
      </c>
      <c r="N40" s="120">
        <f t="shared" si="7"/>
        <v>0.27252906976744184</v>
      </c>
      <c r="O40" s="120">
        <f t="shared" si="7"/>
        <v>0.21601382488479262</v>
      </c>
      <c r="P40" s="120"/>
      <c r="Q40" s="125">
        <f>R40*Q$7</f>
        <v>0</v>
      </c>
      <c r="R40" s="125">
        <f>((S$8*1.2)/100*23.5)*CMF</f>
        <v>380.06550000000004</v>
      </c>
      <c r="S40" s="120">
        <f>+R40/R$8</f>
        <v>0.31725000000000003</v>
      </c>
      <c r="T40" s="119"/>
      <c r="U40" s="125">
        <f>V40*U$7</f>
        <v>17818.346249999999</v>
      </c>
      <c r="V40" s="125">
        <f>((W$8*1.2)/100*23.5)*CMF</f>
        <v>379.11374999999998</v>
      </c>
      <c r="W40" s="120">
        <f>+V40/V$8</f>
        <v>0.42123749999999999</v>
      </c>
      <c r="X40" s="119"/>
      <c r="Y40" s="125">
        <f>Z40*Y$7</f>
        <v>26600.143499999998</v>
      </c>
      <c r="Z40" s="125">
        <f>((AA$8*1.2)/100*23.5)*CMF</f>
        <v>501.88949999999994</v>
      </c>
      <c r="AA40" s="120">
        <f>+Z40/Z$8</f>
        <v>0.38996853146853144</v>
      </c>
      <c r="AB40" s="119"/>
      <c r="AC40" s="125">
        <f>AD40*AC$7</f>
        <v>18865.588499999998</v>
      </c>
      <c r="AD40" s="125">
        <f>((AE$8*1.2)/100*23.5)*CMF</f>
        <v>554.87024999999994</v>
      </c>
      <c r="AE40" s="120">
        <f>+AD40/AD$8</f>
        <v>0.38161640302613475</v>
      </c>
      <c r="AF40" s="120"/>
      <c r="AG40" s="125">
        <f t="shared" si="4"/>
        <v>63284.078249999991</v>
      </c>
      <c r="AH40" s="110">
        <f>+AG40/AG$7</f>
        <v>472.26924067164174</v>
      </c>
      <c r="AI40" s="120">
        <f>+AH40/AH$8</f>
        <v>0.39553537744693612</v>
      </c>
      <c r="AJ40" s="119"/>
      <c r="AK40" s="122"/>
      <c r="AL40" s="123" t="s">
        <v>119</v>
      </c>
      <c r="AM40" s="27" t="s">
        <v>127</v>
      </c>
      <c r="AN40" s="117">
        <f t="shared" si="6"/>
        <v>0</v>
      </c>
      <c r="AO40" s="128"/>
      <c r="AP40" s="124">
        <f t="shared" si="1"/>
        <v>0</v>
      </c>
      <c r="AQ40" s="120">
        <f t="shared" si="2"/>
        <v>0</v>
      </c>
    </row>
    <row r="41" spans="1:43">
      <c r="A41" s="59" t="s">
        <v>168</v>
      </c>
      <c r="B41" s="27" t="s">
        <v>28</v>
      </c>
      <c r="C41" s="116"/>
      <c r="D41" s="117">
        <f>L41/$L$88</f>
        <v>7.069417699033978E-3</v>
      </c>
      <c r="E41" s="118" t="s">
        <v>195</v>
      </c>
      <c r="F41" s="118" t="s">
        <v>195</v>
      </c>
      <c r="G41" s="118" t="s">
        <v>195</v>
      </c>
      <c r="H41" s="118" t="s">
        <v>195</v>
      </c>
      <c r="I41" s="118" t="s">
        <v>195</v>
      </c>
      <c r="J41" s="118" t="s">
        <v>195</v>
      </c>
      <c r="K41" s="118" t="s">
        <v>195</v>
      </c>
      <c r="L41" s="119">
        <f>M41*TRUnits</f>
        <v>4970</v>
      </c>
      <c r="M41" s="119">
        <f>710/2</f>
        <v>355</v>
      </c>
      <c r="N41" s="120">
        <f t="shared" si="7"/>
        <v>0.25799418604651164</v>
      </c>
      <c r="O41" s="120">
        <f t="shared" si="7"/>
        <v>0.20449308755760368</v>
      </c>
      <c r="P41" s="120"/>
      <c r="Q41" s="125">
        <f>R41*Q$7</f>
        <v>0</v>
      </c>
      <c r="R41" s="125">
        <f>((S$8*1.2)/100*21)*CMF</f>
        <v>339.63300000000004</v>
      </c>
      <c r="S41" s="120">
        <f>+R41/R$8</f>
        <v>0.28350000000000003</v>
      </c>
      <c r="T41" s="119"/>
      <c r="U41" s="125">
        <f>V41*U$7</f>
        <v>15922.777499999998</v>
      </c>
      <c r="V41" s="125">
        <f>((W$8*1.2)/100*21)*CMF</f>
        <v>338.78249999999997</v>
      </c>
      <c r="W41" s="120">
        <f>+V41/V$8</f>
        <v>0.37642499999999995</v>
      </c>
      <c r="X41" s="119"/>
      <c r="Y41" s="125">
        <f>Z41*Y$7</f>
        <v>23770.340999999997</v>
      </c>
      <c r="Z41" s="125">
        <f>((AA$8*1.2)/100*21)*CMF</f>
        <v>448.49699999999996</v>
      </c>
      <c r="AA41" s="120">
        <f>+Z41/Z$8</f>
        <v>0.34848251748251746</v>
      </c>
      <c r="AB41" s="119"/>
      <c r="AC41" s="125">
        <f>AD41*AC$7</f>
        <v>16858.610999999997</v>
      </c>
      <c r="AD41" s="125">
        <f>((AE$8*1.2)/100*21)*CMF</f>
        <v>495.84149999999994</v>
      </c>
      <c r="AE41" s="120">
        <f>+AD41/AD$8</f>
        <v>0.34101891334250339</v>
      </c>
      <c r="AF41" s="120"/>
      <c r="AG41" s="125">
        <f t="shared" si="4"/>
        <v>56551.729499999994</v>
      </c>
      <c r="AH41" s="110">
        <f>+AG41/AG$7</f>
        <v>422.02783208955219</v>
      </c>
      <c r="AI41" s="120">
        <f>+AH41/AH$8</f>
        <v>0.35345714580364507</v>
      </c>
      <c r="AJ41" s="119"/>
      <c r="AK41" s="122"/>
      <c r="AL41" s="123" t="s">
        <v>120</v>
      </c>
      <c r="AM41" s="27" t="s">
        <v>126</v>
      </c>
      <c r="AN41" s="117">
        <f t="shared" si="6"/>
        <v>2.8003076102469805E-2</v>
      </c>
      <c r="AO41" s="128">
        <f>(SUM(AO9:AO40)+SUM(AO42:AO45))*1.0125*0.7*0.095/12*6</f>
        <v>375892.99870132777</v>
      </c>
      <c r="AP41" s="124">
        <f t="shared" si="1"/>
        <v>2805.171632099461</v>
      </c>
      <c r="AQ41" s="120">
        <f t="shared" si="2"/>
        <v>2.3493899766327142</v>
      </c>
    </row>
    <row r="42" spans="1:43">
      <c r="B42" s="30" t="s">
        <v>29</v>
      </c>
      <c r="C42" s="116"/>
      <c r="E42" s="118"/>
      <c r="F42" s="118"/>
      <c r="G42" s="118"/>
      <c r="H42" s="118"/>
      <c r="I42" s="118"/>
      <c r="J42" s="118"/>
      <c r="K42" s="118"/>
      <c r="L42" s="119"/>
      <c r="M42" s="119"/>
      <c r="N42" s="120"/>
      <c r="O42" s="120"/>
      <c r="P42" s="120"/>
      <c r="Q42" s="125"/>
      <c r="R42" s="125"/>
      <c r="S42" s="120"/>
      <c r="T42" s="119"/>
      <c r="U42" s="125"/>
      <c r="V42" s="125"/>
      <c r="W42" s="120"/>
      <c r="X42" s="119"/>
      <c r="Y42" s="125"/>
      <c r="Z42" s="125"/>
      <c r="AA42" s="120"/>
      <c r="AB42" s="119"/>
      <c r="AC42" s="125"/>
      <c r="AD42" s="125"/>
      <c r="AE42" s="120"/>
      <c r="AF42" s="120"/>
      <c r="AG42" s="125"/>
      <c r="AH42" s="110" t="s">
        <v>72</v>
      </c>
      <c r="AI42" s="120"/>
      <c r="AJ42" s="119"/>
      <c r="AK42" s="122"/>
      <c r="AL42" s="123" t="s">
        <v>121</v>
      </c>
      <c r="AM42" s="27" t="s">
        <v>125</v>
      </c>
      <c r="AN42" s="117">
        <f t="shared" si="6"/>
        <v>0.14111086624191457</v>
      </c>
      <c r="AO42" s="128">
        <f>(2.5*43560+75000)*10.3</f>
        <v>1894170.0000000002</v>
      </c>
      <c r="AP42" s="124">
        <f t="shared" si="1"/>
        <v>14135.597014925375</v>
      </c>
      <c r="AQ42" s="120">
        <f t="shared" si="2"/>
        <v>11.838858471461789</v>
      </c>
    </row>
    <row r="43" spans="1:43">
      <c r="A43" s="59" t="s">
        <v>169</v>
      </c>
      <c r="B43" s="27" t="s">
        <v>30</v>
      </c>
      <c r="C43" s="116">
        <v>0.1</v>
      </c>
      <c r="D43" s="117">
        <f>L43/$L$88</f>
        <v>2.9870779010002725E-3</v>
      </c>
      <c r="E43" s="118" t="s">
        <v>195</v>
      </c>
      <c r="F43" s="118" t="s">
        <v>195</v>
      </c>
      <c r="G43" s="118" t="s">
        <v>195</v>
      </c>
      <c r="H43" s="118" t="s">
        <v>195</v>
      </c>
      <c r="I43" s="118" t="s">
        <v>195</v>
      </c>
      <c r="J43" s="118" t="s">
        <v>195</v>
      </c>
      <c r="K43" s="118" t="s">
        <v>195</v>
      </c>
      <c r="L43" s="119">
        <f>M43*TRUnits</f>
        <v>2100</v>
      </c>
      <c r="M43" s="119">
        <f>300/2</f>
        <v>150</v>
      </c>
      <c r="N43" s="120">
        <f t="shared" si="7"/>
        <v>0.10901162790697674</v>
      </c>
      <c r="O43" s="120">
        <f t="shared" si="7"/>
        <v>8.6405529953917051E-2</v>
      </c>
      <c r="P43" s="120"/>
      <c r="Q43" s="125">
        <f>R43*Q$7</f>
        <v>0</v>
      </c>
      <c r="R43" s="125">
        <f>10000/SM134Units*CMF</f>
        <v>83.955223880597018</v>
      </c>
      <c r="S43" s="120">
        <f>+R43/R$8</f>
        <v>7.0079485710014211E-2</v>
      </c>
      <c r="T43" s="119"/>
      <c r="U43" s="125">
        <f>V43*U$7</f>
        <v>3945.8955223880598</v>
      </c>
      <c r="V43" s="125">
        <f>10000/SM134Units*CMF</f>
        <v>83.955223880597018</v>
      </c>
      <c r="W43" s="120">
        <f>+V43/V$8</f>
        <v>9.3283582089552244E-2</v>
      </c>
      <c r="X43" s="119"/>
      <c r="Y43" s="125">
        <f>Z43*Y$7</f>
        <v>4449.626865671642</v>
      </c>
      <c r="Z43" s="125">
        <f>10000/SM134Units*CMF</f>
        <v>83.955223880597018</v>
      </c>
      <c r="AA43" s="120">
        <f>+Z43/Z$8</f>
        <v>6.5233274188498072E-2</v>
      </c>
      <c r="AB43" s="119"/>
      <c r="AC43" s="125">
        <f>AD43*AC$7</f>
        <v>2854.4776119402986</v>
      </c>
      <c r="AD43" s="125">
        <f>10000/SM134Units*CMF</f>
        <v>83.955223880597018</v>
      </c>
      <c r="AE43" s="120">
        <f>+AD43/AD$8</f>
        <v>5.7740869243876905E-2</v>
      </c>
      <c r="AF43" s="120"/>
      <c r="AG43" s="125">
        <f t="shared" si="4"/>
        <v>11250</v>
      </c>
      <c r="AH43" s="110">
        <f>+AG43/AG$7</f>
        <v>83.955223880597018</v>
      </c>
      <c r="AI43" s="120">
        <f>+AH43/AH$8</f>
        <v>7.0314257856446419E-2</v>
      </c>
      <c r="AJ43" s="119"/>
      <c r="AK43" s="122"/>
      <c r="AL43" s="123" t="s">
        <v>122</v>
      </c>
      <c r="AM43" s="27" t="s">
        <v>124</v>
      </c>
      <c r="AN43" s="117">
        <f t="shared" si="6"/>
        <v>1.4233235948258651E-2</v>
      </c>
      <c r="AO43" s="128">
        <f>AG11+AG86</f>
        <v>191056.644</v>
      </c>
      <c r="AP43" s="124">
        <f t="shared" si="1"/>
        <v>1425.7958507462686</v>
      </c>
      <c r="AQ43" s="120">
        <f t="shared" si="2"/>
        <v>1.1941338783469586</v>
      </c>
    </row>
    <row r="44" spans="1:43" ht="12.75" thickBot="1">
      <c r="A44" s="59" t="s">
        <v>169</v>
      </c>
      <c r="B44" s="27" t="s">
        <v>11</v>
      </c>
      <c r="C44" s="116">
        <v>0.5</v>
      </c>
      <c r="D44" s="117">
        <f>L44/$L$88</f>
        <v>3.0975997833372827E-2</v>
      </c>
      <c r="E44" s="118" t="s">
        <v>195</v>
      </c>
      <c r="F44" s="118" t="s">
        <v>195</v>
      </c>
      <c r="G44" s="118" t="s">
        <v>195</v>
      </c>
      <c r="H44" s="118" t="s">
        <v>195</v>
      </c>
      <c r="I44" s="118" t="s">
        <v>195</v>
      </c>
      <c r="J44" s="118" t="s">
        <v>195</v>
      </c>
      <c r="K44" s="118" t="s">
        <v>195</v>
      </c>
      <c r="L44" s="119">
        <f>M44*TRUnits</f>
        <v>21777</v>
      </c>
      <c r="M44" s="119">
        <f>3111/2</f>
        <v>1555.5</v>
      </c>
      <c r="N44" s="120">
        <f>$M44/N$8</f>
        <v>1.1304505813953489</v>
      </c>
      <c r="O44" s="120">
        <f>$M44/O$8</f>
        <v>0.89602534562211977</v>
      </c>
      <c r="P44" s="120"/>
      <c r="Q44" s="125">
        <f>R44*Q$7</f>
        <v>0</v>
      </c>
      <c r="R44" s="125">
        <f>2.25*CMF*60%*R$8</f>
        <v>1819.4625000000001</v>
      </c>
      <c r="S44" s="120">
        <f>+R44/R$8</f>
        <v>1.51875</v>
      </c>
      <c r="T44" s="119"/>
      <c r="U44" s="125">
        <f>V44*U$7</f>
        <v>64243.125</v>
      </c>
      <c r="V44" s="125">
        <f>2.25*CMF*60%*V$8</f>
        <v>1366.875</v>
      </c>
      <c r="W44" s="120">
        <f>+V44/V$8</f>
        <v>1.51875</v>
      </c>
      <c r="X44" s="119"/>
      <c r="Y44" s="125">
        <f>Z44*Y$7</f>
        <v>103595.45625</v>
      </c>
      <c r="Z44" s="125">
        <f>2.25*CMF*60%*Z$8</f>
        <v>1954.6312500000001</v>
      </c>
      <c r="AA44" s="120">
        <f>+Z44/Z$8</f>
        <v>1.51875</v>
      </c>
      <c r="AB44" s="119"/>
      <c r="AC44" s="125">
        <f>AD44*AC$7</f>
        <v>75080.925000000003</v>
      </c>
      <c r="AD44" s="125">
        <f>2.25*CMF*60%*AD$8</f>
        <v>2208.2625000000003</v>
      </c>
      <c r="AE44" s="120">
        <f>+AD44/AD$8</f>
        <v>1.5187500000000003</v>
      </c>
      <c r="AF44" s="120"/>
      <c r="AG44" s="125">
        <f t="shared" si="4"/>
        <v>242919.50624999998</v>
      </c>
      <c r="AH44" s="110">
        <f>+AG44/AG$7</f>
        <v>1812.8321361940298</v>
      </c>
      <c r="AI44" s="120">
        <f>+AH44/AH$8</f>
        <v>1.5182848711842796</v>
      </c>
      <c r="AJ44" s="119"/>
      <c r="AK44" s="122"/>
      <c r="AL44" s="123" t="s">
        <v>123</v>
      </c>
      <c r="AM44" s="27" t="s">
        <v>144</v>
      </c>
      <c r="AN44" s="117">
        <f t="shared" si="6"/>
        <v>1.8197780397144824E-2</v>
      </c>
      <c r="AO44" s="128">
        <f>AG45+AG47+AG48+AG69</f>
        <v>244273.81542514535</v>
      </c>
      <c r="AP44" s="124">
        <f t="shared" si="1"/>
        <v>1822.9389210831744</v>
      </c>
      <c r="AQ44" s="120">
        <f t="shared" si="2"/>
        <v>1.526749515145037</v>
      </c>
    </row>
    <row r="45" spans="1:43" ht="12.75" thickBot="1">
      <c r="A45" s="59" t="s">
        <v>159</v>
      </c>
      <c r="B45" s="134" t="s">
        <v>31</v>
      </c>
      <c r="C45" s="116">
        <v>0.4</v>
      </c>
      <c r="D45" s="117">
        <f>L45/$L$88</f>
        <v>2.4782789651965596E-2</v>
      </c>
      <c r="E45" s="118" t="s">
        <v>195</v>
      </c>
      <c r="F45" s="118" t="s">
        <v>195</v>
      </c>
      <c r="G45" s="127"/>
      <c r="H45" s="118" t="s">
        <v>195</v>
      </c>
      <c r="I45" s="118" t="s">
        <v>195</v>
      </c>
      <c r="J45" s="127"/>
      <c r="K45" s="74" t="s">
        <v>195</v>
      </c>
      <c r="L45" s="119">
        <f>M45*TRUnits</f>
        <v>17423</v>
      </c>
      <c r="M45" s="119">
        <f>2489/2</f>
        <v>1244.5</v>
      </c>
      <c r="N45" s="120">
        <f>$M45/N$8</f>
        <v>0.90443313953488369</v>
      </c>
      <c r="O45" s="120">
        <f>$M45/O$8</f>
        <v>0.71687788018433185</v>
      </c>
      <c r="P45" s="120"/>
      <c r="Q45" s="125">
        <f>R45*Q$7</f>
        <v>0</v>
      </c>
      <c r="R45" s="125">
        <f>2.25*CMF*40%*R$8</f>
        <v>1212.9749999999999</v>
      </c>
      <c r="S45" s="120">
        <f>+R45/R$8</f>
        <v>1.0125</v>
      </c>
      <c r="T45" s="119"/>
      <c r="U45" s="125">
        <f>V45*U$7</f>
        <v>42828.75</v>
      </c>
      <c r="V45" s="125">
        <f>2.25*CMF*40%*V$8</f>
        <v>911.25</v>
      </c>
      <c r="W45" s="120">
        <f>+V45/V$8</f>
        <v>1.0125</v>
      </c>
      <c r="X45" s="119"/>
      <c r="Y45" s="125">
        <f>Z45*Y$7</f>
        <v>69063.637499999997</v>
      </c>
      <c r="Z45" s="125">
        <f>2.25*CMF*40%*Z$8</f>
        <v>1303.0874999999999</v>
      </c>
      <c r="AA45" s="120">
        <f>+Z45/Z$8</f>
        <v>1.0125</v>
      </c>
      <c r="AB45" s="119"/>
      <c r="AC45" s="125">
        <f>AD45*AC$7</f>
        <v>50053.95</v>
      </c>
      <c r="AD45" s="125">
        <f>2.25*CMF*40%*AD$8</f>
        <v>1472.175</v>
      </c>
      <c r="AE45" s="120">
        <f>+AD45/AD$8</f>
        <v>1.0125</v>
      </c>
      <c r="AF45" s="120"/>
      <c r="AG45" s="125">
        <f t="shared" si="4"/>
        <v>161946.33749999999</v>
      </c>
      <c r="AH45" s="110">
        <f>+AG45/AG$7</f>
        <v>1208.5547574626864</v>
      </c>
      <c r="AI45" s="120">
        <f>+AH45/AH$8</f>
        <v>1.012189914122853</v>
      </c>
      <c r="AJ45" s="119"/>
      <c r="AK45" s="122"/>
      <c r="AL45" s="123" t="s">
        <v>211</v>
      </c>
      <c r="AM45" s="27" t="s">
        <v>71</v>
      </c>
      <c r="AN45" s="117">
        <f t="shared" si="6"/>
        <v>1.3608591900032593E-2</v>
      </c>
      <c r="AO45" s="59">
        <f>+AG87</f>
        <v>182671.875</v>
      </c>
      <c r="AP45" s="124">
        <f t="shared" si="1"/>
        <v>1363.2229477611941</v>
      </c>
      <c r="AQ45" s="120">
        <f t="shared" si="2"/>
        <v>1.1417277619440487</v>
      </c>
    </row>
    <row r="46" spans="1:43">
      <c r="B46" s="30" t="s">
        <v>32</v>
      </c>
      <c r="C46" s="116"/>
      <c r="E46" s="118"/>
      <c r="F46" s="118"/>
      <c r="G46" s="118"/>
      <c r="H46" s="118"/>
      <c r="I46" s="118"/>
      <c r="J46" s="118"/>
      <c r="K46" s="118"/>
      <c r="L46" s="119"/>
      <c r="N46" s="120"/>
      <c r="O46" s="120"/>
      <c r="P46" s="120"/>
      <c r="Q46" s="125"/>
      <c r="R46" s="39"/>
      <c r="S46" s="120"/>
      <c r="T46" s="119"/>
      <c r="U46" s="125"/>
      <c r="V46" s="125"/>
      <c r="W46" s="120"/>
      <c r="X46" s="119"/>
      <c r="Y46" s="125"/>
      <c r="Z46" s="125"/>
      <c r="AA46" s="120"/>
      <c r="AB46" s="119"/>
      <c r="AC46" s="125"/>
      <c r="AD46" s="125"/>
      <c r="AE46" s="120"/>
      <c r="AF46" s="120"/>
      <c r="AG46" s="125"/>
      <c r="AH46" s="110" t="s">
        <v>72</v>
      </c>
      <c r="AI46" s="120"/>
      <c r="AJ46" s="119"/>
      <c r="AK46" s="122"/>
      <c r="AL46" s="123" t="s">
        <v>122</v>
      </c>
      <c r="AM46" s="27" t="s">
        <v>217</v>
      </c>
      <c r="AN46" s="117">
        <f t="shared" si="6"/>
        <v>3.1820207502881746E-2</v>
      </c>
      <c r="AO46" s="59">
        <f>(SUM(AO$43:AO45)+SUM(AO$9:AO$40))*0.1-500000</f>
        <v>427131.4041996185</v>
      </c>
      <c r="AP46" s="124">
        <f t="shared" si="1"/>
        <v>3187.5477925344662</v>
      </c>
      <c r="AQ46" s="120">
        <f t="shared" si="2"/>
        <v>2.6696380171980456</v>
      </c>
    </row>
    <row r="47" spans="1:43">
      <c r="A47" s="59" t="s">
        <v>159</v>
      </c>
      <c r="B47" s="27" t="s">
        <v>11</v>
      </c>
      <c r="C47" s="116">
        <v>0.75</v>
      </c>
      <c r="D47" s="117">
        <f>L47/$L$88</f>
        <v>0</v>
      </c>
      <c r="E47" s="118" t="s">
        <v>195</v>
      </c>
      <c r="F47" s="118" t="s">
        <v>195</v>
      </c>
      <c r="G47" s="118" t="s">
        <v>195</v>
      </c>
      <c r="H47" s="118" t="s">
        <v>195</v>
      </c>
      <c r="I47" s="118" t="s">
        <v>195</v>
      </c>
      <c r="J47" s="118" t="s">
        <v>195</v>
      </c>
      <c r="K47" s="118" t="s">
        <v>195</v>
      </c>
      <c r="L47" s="119">
        <f t="shared" ref="L47:L52" si="24">M47*TRUnits</f>
        <v>0</v>
      </c>
      <c r="M47" s="119">
        <v>0</v>
      </c>
      <c r="N47" s="120">
        <f t="shared" ref="N47:O62" si="25">$M47/N$8</f>
        <v>0</v>
      </c>
      <c r="O47" s="120">
        <f t="shared" si="25"/>
        <v>0</v>
      </c>
      <c r="P47" s="120"/>
      <c r="Q47" s="125">
        <f>R47*Q$7</f>
        <v>0</v>
      </c>
      <c r="R47" s="125">
        <f>0*CMF</f>
        <v>0</v>
      </c>
      <c r="S47" s="120">
        <f>+R47/R$8</f>
        <v>0</v>
      </c>
      <c r="T47" s="119"/>
      <c r="U47" s="125">
        <f>V47*U$7</f>
        <v>0</v>
      </c>
      <c r="V47" s="125">
        <f>0*CMF</f>
        <v>0</v>
      </c>
      <c r="W47" s="120">
        <f>+V47/V$8</f>
        <v>0</v>
      </c>
      <c r="X47" s="119"/>
      <c r="Y47" s="125">
        <f>Z47*Y$7</f>
        <v>0</v>
      </c>
      <c r="Z47" s="125">
        <f>0*CMF</f>
        <v>0</v>
      </c>
      <c r="AA47" s="120">
        <f>+Z47/Z$8</f>
        <v>0</v>
      </c>
      <c r="AB47" s="119"/>
      <c r="AC47" s="125">
        <f>AD47*AC$7</f>
        <v>0</v>
      </c>
      <c r="AD47" s="125">
        <f>0*CMF</f>
        <v>0</v>
      </c>
      <c r="AE47" s="120">
        <f>+AD47/AD$8</f>
        <v>0</v>
      </c>
      <c r="AF47" s="120"/>
      <c r="AG47" s="125">
        <f t="shared" si="4"/>
        <v>0</v>
      </c>
      <c r="AH47" s="110">
        <f>+AG47/AG$7</f>
        <v>0</v>
      </c>
      <c r="AI47" s="120">
        <f>+AH47/AH$8</f>
        <v>0</v>
      </c>
      <c r="AJ47" s="119"/>
      <c r="AK47" s="122"/>
      <c r="AL47" s="123" t="s">
        <v>123</v>
      </c>
      <c r="AM47" s="27" t="s">
        <v>216</v>
      </c>
      <c r="AN47" s="117">
        <f t="shared" si="6"/>
        <v>0.1083764423029064</v>
      </c>
      <c r="AO47" s="59">
        <f>(SUM(AO$43:AO46)+SUM(AO$9:AO$40))*0.15</f>
        <v>1454766.8169293704</v>
      </c>
      <c r="AP47" s="124">
        <f t="shared" si="1"/>
        <v>10856.468783055003</v>
      </c>
      <c r="AQ47" s="120">
        <f t="shared" si="2"/>
        <v>9.092519918806536</v>
      </c>
    </row>
    <row r="48" spans="1:43" ht="12.75" thickBot="1">
      <c r="A48" s="59" t="s">
        <v>159</v>
      </c>
      <c r="B48" s="27" t="s">
        <v>31</v>
      </c>
      <c r="C48" s="116">
        <v>0.25</v>
      </c>
      <c r="D48" s="117">
        <f>L48/$L$88</f>
        <v>3.9827705346670303E-3</v>
      </c>
      <c r="E48" s="118" t="s">
        <v>195</v>
      </c>
      <c r="F48" s="118" t="s">
        <v>195</v>
      </c>
      <c r="G48" s="118" t="s">
        <v>195</v>
      </c>
      <c r="H48" s="118" t="s">
        <v>195</v>
      </c>
      <c r="I48" s="118" t="s">
        <v>195</v>
      </c>
      <c r="J48" s="118" t="s">
        <v>195</v>
      </c>
      <c r="K48" s="118" t="s">
        <v>195</v>
      </c>
      <c r="L48" s="119">
        <f t="shared" si="24"/>
        <v>2800</v>
      </c>
      <c r="M48" s="119">
        <f>400/2</f>
        <v>200</v>
      </c>
      <c r="N48" s="120">
        <f t="shared" si="25"/>
        <v>0.14534883720930233</v>
      </c>
      <c r="O48" s="120">
        <f t="shared" si="25"/>
        <v>0.1152073732718894</v>
      </c>
      <c r="P48" s="120"/>
      <c r="Q48" s="125">
        <f>R48*Q$7</f>
        <v>0</v>
      </c>
      <c r="R48" s="125">
        <f>$M48*CMF</f>
        <v>225</v>
      </c>
      <c r="S48" s="120">
        <f>+R48/R$8</f>
        <v>0.18781302170283806</v>
      </c>
      <c r="T48" s="119"/>
      <c r="U48" s="125">
        <f>V48*U$7</f>
        <v>10575</v>
      </c>
      <c r="V48" s="125">
        <f>$M48*CMF</f>
        <v>225</v>
      </c>
      <c r="W48" s="120">
        <f>+V48/V$8</f>
        <v>0.25</v>
      </c>
      <c r="X48" s="119"/>
      <c r="Y48" s="125">
        <f>Z48*Y$7</f>
        <v>11925</v>
      </c>
      <c r="Z48" s="125">
        <f>$M48*CMF</f>
        <v>225</v>
      </c>
      <c r="AA48" s="120">
        <f>+Z48/Z$8</f>
        <v>0.17482517482517482</v>
      </c>
      <c r="AB48" s="119"/>
      <c r="AC48" s="125">
        <f>AD48*AC$7</f>
        <v>7650</v>
      </c>
      <c r="AD48" s="125">
        <f>$M48*CMF</f>
        <v>225</v>
      </c>
      <c r="AE48" s="120">
        <f>+AD48/AD$8</f>
        <v>0.15474552957359008</v>
      </c>
      <c r="AF48" s="120"/>
      <c r="AG48" s="125">
        <f t="shared" si="4"/>
        <v>30150</v>
      </c>
      <c r="AH48" s="110">
        <f>+AG48/AG$7</f>
        <v>225</v>
      </c>
      <c r="AI48" s="120">
        <f>+AH48/AH$8</f>
        <v>0.18844221105527639</v>
      </c>
      <c r="AJ48" s="119"/>
      <c r="AK48" s="122"/>
      <c r="AL48" s="123"/>
      <c r="AM48" s="21" t="s">
        <v>75</v>
      </c>
      <c r="AN48" s="22">
        <f>SUM(AN9:AN47)</f>
        <v>1.0000000000000002</v>
      </c>
      <c r="AO48" s="10">
        <f>SUM(AO9:AO47)</f>
        <v>13423275.2618265</v>
      </c>
      <c r="AP48" s="10">
        <f t="shared" si="1"/>
        <v>100173.69598377985</v>
      </c>
      <c r="AQ48" s="8">
        <f t="shared" si="2"/>
        <v>83.897567825611262</v>
      </c>
    </row>
    <row r="49" spans="1:45" ht="12.75" thickTop="1">
      <c r="B49" s="30" t="s">
        <v>33</v>
      </c>
      <c r="C49" s="116"/>
      <c r="D49" s="117"/>
      <c r="E49" s="118"/>
      <c r="F49" s="118"/>
      <c r="G49" s="118"/>
      <c r="H49" s="118"/>
      <c r="I49" s="118"/>
      <c r="J49" s="118"/>
      <c r="K49" s="118"/>
      <c r="L49" s="119">
        <f t="shared" si="24"/>
        <v>0</v>
      </c>
      <c r="M49" s="119"/>
      <c r="N49" s="120"/>
      <c r="O49" s="120"/>
      <c r="P49" s="120"/>
      <c r="Q49" s="130"/>
      <c r="R49" s="130"/>
      <c r="S49" s="120"/>
      <c r="T49" s="119"/>
      <c r="U49" s="125"/>
      <c r="V49" s="125"/>
      <c r="W49" s="120"/>
      <c r="X49" s="119"/>
      <c r="Y49" s="125"/>
      <c r="Z49" s="125"/>
      <c r="AA49" s="120"/>
      <c r="AB49" s="119"/>
      <c r="AC49" s="125"/>
      <c r="AD49" s="125"/>
      <c r="AE49" s="120"/>
      <c r="AF49" s="120"/>
      <c r="AG49" s="125"/>
      <c r="AH49" s="110" t="s">
        <v>72</v>
      </c>
      <c r="AI49" s="120"/>
      <c r="AJ49" s="119"/>
      <c r="AK49" s="122"/>
      <c r="AL49" s="123"/>
      <c r="AM49" s="34" t="s">
        <v>208</v>
      </c>
    </row>
    <row r="50" spans="1:45" ht="12.75" thickBot="1">
      <c r="A50" s="59" t="s">
        <v>170</v>
      </c>
      <c r="B50" s="27" t="s">
        <v>11</v>
      </c>
      <c r="C50" s="116">
        <v>0.6</v>
      </c>
      <c r="D50" s="117">
        <f>L50/$L$88</f>
        <v>2.389662320800218E-2</v>
      </c>
      <c r="E50" s="118" t="s">
        <v>195</v>
      </c>
      <c r="F50" s="118" t="s">
        <v>195</v>
      </c>
      <c r="G50" s="118" t="s">
        <v>195</v>
      </c>
      <c r="H50" s="118" t="s">
        <v>195</v>
      </c>
      <c r="I50" s="118" t="s">
        <v>195</v>
      </c>
      <c r="J50" s="118" t="s">
        <v>195</v>
      </c>
      <c r="K50" s="118" t="s">
        <v>195</v>
      </c>
      <c r="L50" s="119">
        <f t="shared" si="24"/>
        <v>16800</v>
      </c>
      <c r="M50" s="119">
        <f>2400/2</f>
        <v>1200</v>
      </c>
      <c r="N50" s="120">
        <f t="shared" si="25"/>
        <v>0.87209302325581395</v>
      </c>
      <c r="O50" s="120">
        <f t="shared" si="25"/>
        <v>0.69124423963133641</v>
      </c>
      <c r="P50" s="120"/>
      <c r="Q50" s="125">
        <f>R50*Q$7</f>
        <v>0</v>
      </c>
      <c r="R50" s="125">
        <f>1.17*R$8*CMF</f>
        <v>1576.8674999999998</v>
      </c>
      <c r="S50" s="120">
        <f>+R50/R$8</f>
        <v>1.3162499999999999</v>
      </c>
      <c r="T50" s="119"/>
      <c r="U50" s="125">
        <f>V50*U$7</f>
        <v>55677.375</v>
      </c>
      <c r="V50" s="125">
        <f>1.17*V$8*CMF</f>
        <v>1184.625</v>
      </c>
      <c r="W50" s="120">
        <f>+V50/V$8</f>
        <v>1.3162499999999999</v>
      </c>
      <c r="X50" s="119"/>
      <c r="Y50" s="125">
        <f>Z50*Y$7</f>
        <v>89782.728750000009</v>
      </c>
      <c r="Z50" s="125">
        <f>1.17*Z$8*CMF</f>
        <v>1694.0137500000001</v>
      </c>
      <c r="AA50" s="120">
        <f>+Z50/Z$8</f>
        <v>1.3162500000000001</v>
      </c>
      <c r="AB50" s="119"/>
      <c r="AC50" s="125">
        <f>AD50*AC$7</f>
        <v>65070.134999999995</v>
      </c>
      <c r="AD50" s="125">
        <f>1.17*AD$8*CMF</f>
        <v>1913.8274999999999</v>
      </c>
      <c r="AE50" s="120">
        <f>+AD50/AD$8</f>
        <v>1.3162499999999999</v>
      </c>
      <c r="AF50" s="120"/>
      <c r="AG50" s="125">
        <f t="shared" si="4"/>
        <v>210530.23875000002</v>
      </c>
      <c r="AH50" s="110">
        <f>+AG50/AG$7</f>
        <v>1571.1211847014927</v>
      </c>
      <c r="AI50" s="120">
        <f>+AH50/AH$8</f>
        <v>1.3158468883597092</v>
      </c>
      <c r="AJ50" s="119"/>
      <c r="AK50" s="122"/>
      <c r="AL50" s="123"/>
      <c r="AM50" s="27" t="s">
        <v>209</v>
      </c>
      <c r="AN50" s="117">
        <f>AO50/$AO$48</f>
        <v>-0.14111086624191457</v>
      </c>
      <c r="AO50" s="27">
        <f>-AO42</f>
        <v>-1894170.0000000002</v>
      </c>
      <c r="AP50" s="119">
        <f t="shared" ref="AP50:AQ53" si="26">AO50/AP$7</f>
        <v>-14135.597014925375</v>
      </c>
      <c r="AQ50" s="135">
        <f t="shared" si="26"/>
        <v>-8.834969008553574E-2</v>
      </c>
    </row>
    <row r="51" spans="1:45" ht="12.75" thickBot="1">
      <c r="A51" s="59" t="s">
        <v>171</v>
      </c>
      <c r="B51" s="27" t="s">
        <v>34</v>
      </c>
      <c r="C51" s="116">
        <v>0.4</v>
      </c>
      <c r="D51" s="117">
        <f>L51/$L$88</f>
        <v>1.5931082138668121E-2</v>
      </c>
      <c r="E51" s="118" t="s">
        <v>195</v>
      </c>
      <c r="F51" s="118" t="s">
        <v>195</v>
      </c>
      <c r="G51" s="127"/>
      <c r="H51" s="118" t="s">
        <v>195</v>
      </c>
      <c r="I51" s="118" t="s">
        <v>195</v>
      </c>
      <c r="J51" s="74" t="s">
        <v>195</v>
      </c>
      <c r="K51" s="118" t="s">
        <v>195</v>
      </c>
      <c r="L51" s="119">
        <f t="shared" si="24"/>
        <v>11200</v>
      </c>
      <c r="M51" s="119">
        <f>1600/2</f>
        <v>800</v>
      </c>
      <c r="N51" s="120">
        <f t="shared" si="25"/>
        <v>0.58139534883720934</v>
      </c>
      <c r="O51" s="120">
        <f t="shared" si="25"/>
        <v>0.46082949308755761</v>
      </c>
      <c r="P51" s="120"/>
      <c r="Q51" s="125">
        <f>R51*Q$7</f>
        <v>0</v>
      </c>
      <c r="R51" s="125">
        <f>1.17*R$8*CMF</f>
        <v>1576.8674999999998</v>
      </c>
      <c r="S51" s="120">
        <f>+R51/R$8</f>
        <v>1.3162499999999999</v>
      </c>
      <c r="T51" s="119"/>
      <c r="U51" s="125">
        <f>V51*U$7</f>
        <v>55677.375</v>
      </c>
      <c r="V51" s="125">
        <f>1.17*V$8*CMF</f>
        <v>1184.625</v>
      </c>
      <c r="W51" s="120">
        <f>+V51/V$8</f>
        <v>1.3162499999999999</v>
      </c>
      <c r="X51" s="119"/>
      <c r="Y51" s="125">
        <f>Z51*Y$7</f>
        <v>89782.728750000009</v>
      </c>
      <c r="Z51" s="125">
        <f>1.17*Z$8*CMF</f>
        <v>1694.0137500000001</v>
      </c>
      <c r="AA51" s="120">
        <f>+Z51/Z$8</f>
        <v>1.3162500000000001</v>
      </c>
      <c r="AB51" s="119"/>
      <c r="AC51" s="125">
        <f>AD51*AC$7</f>
        <v>65070.134999999995</v>
      </c>
      <c r="AD51" s="125">
        <f>1.17*AD$8*CMF</f>
        <v>1913.8274999999999</v>
      </c>
      <c r="AE51" s="120">
        <f>+AD51/AD$8</f>
        <v>1.3162499999999999</v>
      </c>
      <c r="AF51" s="120"/>
      <c r="AG51" s="125">
        <f t="shared" si="4"/>
        <v>210530.23875000002</v>
      </c>
      <c r="AH51" s="110">
        <f>+AG51/AG$7</f>
        <v>1571.1211847014927</v>
      </c>
      <c r="AI51" s="120">
        <f>+AH51/AH$8</f>
        <v>1.3158468883597092</v>
      </c>
      <c r="AJ51" s="119"/>
      <c r="AK51" s="122"/>
      <c r="AL51" s="123"/>
      <c r="AM51" s="27" t="s">
        <v>210</v>
      </c>
      <c r="AN51" s="117">
        <f>AO51/$AO$48</f>
        <v>-2.8003076102469805E-2</v>
      </c>
      <c r="AO51" s="27">
        <f>-AO41</f>
        <v>-375892.99870132777</v>
      </c>
      <c r="AP51" s="119">
        <f t="shared" si="26"/>
        <v>-2805.171632099461</v>
      </c>
      <c r="AQ51" s="135">
        <f t="shared" si="26"/>
        <v>-1.7532761019647122E-2</v>
      </c>
    </row>
    <row r="52" spans="1:45">
      <c r="A52" s="59" t="s">
        <v>172</v>
      </c>
      <c r="B52" s="30" t="s">
        <v>35</v>
      </c>
      <c r="C52" s="116"/>
      <c r="D52" s="117">
        <f>L52/$L$88</f>
        <v>9.5905114474782085E-3</v>
      </c>
      <c r="E52" s="118" t="s">
        <v>195</v>
      </c>
      <c r="F52" s="118" t="s">
        <v>195</v>
      </c>
      <c r="G52" s="118" t="s">
        <v>195</v>
      </c>
      <c r="H52" s="118" t="s">
        <v>195</v>
      </c>
      <c r="I52" s="118" t="s">
        <v>195</v>
      </c>
      <c r="J52" s="118" t="s">
        <v>195</v>
      </c>
      <c r="K52" s="118" t="s">
        <v>195</v>
      </c>
      <c r="L52" s="119">
        <f t="shared" si="24"/>
        <v>6742.4</v>
      </c>
      <c r="M52" s="119">
        <f>(1376*0.7)/2</f>
        <v>481.59999999999997</v>
      </c>
      <c r="N52" s="120">
        <f t="shared" si="25"/>
        <v>0.35</v>
      </c>
      <c r="O52" s="120">
        <f t="shared" si="25"/>
        <v>0.27741935483870966</v>
      </c>
      <c r="P52" s="120"/>
      <c r="Q52" s="125">
        <f>R52*Q$7</f>
        <v>0</v>
      </c>
      <c r="R52" s="125">
        <f>R$8*0.85*CMF</f>
        <v>1145.5874999999999</v>
      </c>
      <c r="S52" s="120">
        <f>+R52/R$8</f>
        <v>0.95624999999999993</v>
      </c>
      <c r="T52" s="119"/>
      <c r="U52" s="125">
        <f>V52*U$7</f>
        <v>40449.375</v>
      </c>
      <c r="V52" s="125">
        <f>V$8*0.85*CMF</f>
        <v>860.625</v>
      </c>
      <c r="W52" s="120">
        <f>+V52/V$8</f>
        <v>0.95625000000000004</v>
      </c>
      <c r="X52" s="119"/>
      <c r="Y52" s="125">
        <f>Z52*Y$7</f>
        <v>65226.76875000001</v>
      </c>
      <c r="Z52" s="125">
        <f>Z$8*0.85*CMF</f>
        <v>1230.6937500000001</v>
      </c>
      <c r="AA52" s="120">
        <f>+Z52/Z$8</f>
        <v>0.95625000000000016</v>
      </c>
      <c r="AB52" s="119"/>
      <c r="AC52" s="125">
        <f>AD52*AC$7</f>
        <v>47273.174999999996</v>
      </c>
      <c r="AD52" s="125">
        <f>AD$8*0.85*CMF</f>
        <v>1390.3874999999998</v>
      </c>
      <c r="AE52" s="120">
        <f>+AD52/AD$8</f>
        <v>0.95624999999999982</v>
      </c>
      <c r="AF52" s="120"/>
      <c r="AG52" s="125">
        <f t="shared" si="4"/>
        <v>152949.31875000001</v>
      </c>
      <c r="AH52" s="110">
        <f>+AG52/AG$7</f>
        <v>1141.4128264925373</v>
      </c>
      <c r="AI52" s="120">
        <f>+AH52/AH$8</f>
        <v>0.95595714111602792</v>
      </c>
      <c r="AJ52" s="119"/>
      <c r="AK52" s="122"/>
      <c r="AL52" s="123"/>
      <c r="AM52" s="27" t="s">
        <v>217</v>
      </c>
      <c r="AN52" s="117">
        <f>AO52/$AO$48</f>
        <v>-3.1820207502881746E-2</v>
      </c>
      <c r="AO52" s="27">
        <f>-AO46</f>
        <v>-427131.4041996185</v>
      </c>
      <c r="AP52" s="119">
        <f t="shared" si="26"/>
        <v>-3187.5477925344662</v>
      </c>
      <c r="AQ52" s="135">
        <f t="shared" si="26"/>
        <v>-1.9922671770134667E-2</v>
      </c>
    </row>
    <row r="53" spans="1:45">
      <c r="A53" s="59" t="s">
        <v>173</v>
      </c>
      <c r="B53" s="30" t="s">
        <v>36</v>
      </c>
      <c r="C53" s="116"/>
      <c r="E53" s="118"/>
      <c r="F53" s="118"/>
      <c r="G53" s="118"/>
      <c r="H53" s="118"/>
      <c r="I53" s="118"/>
      <c r="K53" s="118"/>
      <c r="L53" s="119"/>
      <c r="M53" s="119"/>
      <c r="N53" s="120"/>
      <c r="O53" s="120"/>
      <c r="P53" s="120"/>
      <c r="Q53" s="125"/>
      <c r="R53" s="130"/>
      <c r="S53" s="120"/>
      <c r="T53" s="119"/>
      <c r="U53" s="125"/>
      <c r="V53" s="125"/>
      <c r="W53" s="120"/>
      <c r="X53" s="119"/>
      <c r="Y53" s="125"/>
      <c r="Z53" s="125"/>
      <c r="AA53" s="120"/>
      <c r="AB53" s="119"/>
      <c r="AC53" s="125"/>
      <c r="AD53" s="125"/>
      <c r="AE53" s="120"/>
      <c r="AF53" s="120"/>
      <c r="AG53" s="125"/>
      <c r="AH53" s="110" t="s">
        <v>72</v>
      </c>
      <c r="AI53" s="120"/>
      <c r="AJ53" s="119"/>
      <c r="AK53" s="122"/>
      <c r="AL53" s="123"/>
      <c r="AM53" s="27" t="s">
        <v>218</v>
      </c>
      <c r="AN53" s="117">
        <f>AO53/$AO$48</f>
        <v>-0.1083764423029064</v>
      </c>
      <c r="AO53" s="27">
        <f>-AO47</f>
        <v>-1454766.8169293704</v>
      </c>
      <c r="AP53" s="119">
        <f t="shared" si="26"/>
        <v>-10856.468783055003</v>
      </c>
      <c r="AQ53" s="135">
        <f t="shared" si="26"/>
        <v>-6.7854626259750264E-2</v>
      </c>
    </row>
    <row r="54" spans="1:45" ht="12.75" thickBot="1">
      <c r="A54" s="59" t="s">
        <v>173</v>
      </c>
      <c r="B54" s="27" t="s">
        <v>37</v>
      </c>
      <c r="C54" s="116"/>
      <c r="D54" s="117">
        <f>L54/$L$88</f>
        <v>2.9069246439900987E-2</v>
      </c>
      <c r="E54" s="118" t="s">
        <v>195</v>
      </c>
      <c r="F54" s="118" t="s">
        <v>195</v>
      </c>
      <c r="G54" s="118" t="s">
        <v>195</v>
      </c>
      <c r="H54" s="118" t="s">
        <v>195</v>
      </c>
      <c r="I54" s="118" t="s">
        <v>195</v>
      </c>
      <c r="J54" s="118" t="s">
        <v>195</v>
      </c>
      <c r="K54" s="118" t="s">
        <v>195</v>
      </c>
      <c r="L54" s="119">
        <f>7*M54</f>
        <v>20436.5</v>
      </c>
      <c r="M54" s="119">
        <f>(2739+(21700/7))/2</f>
        <v>2919.5</v>
      </c>
      <c r="N54" s="120">
        <f t="shared" si="25"/>
        <v>2.1217296511627906</v>
      </c>
      <c r="O54" s="120">
        <f t="shared" si="25"/>
        <v>1.6817396313364055</v>
      </c>
      <c r="P54" s="120"/>
      <c r="Q54" s="125">
        <f>R54*Q$7</f>
        <v>0</v>
      </c>
      <c r="R54" s="125">
        <f>R$8*3*0.33*CMF</f>
        <v>1334.2725</v>
      </c>
      <c r="S54" s="120">
        <f>+R54/R$8</f>
        <v>1.11375</v>
      </c>
      <c r="T54" s="119"/>
      <c r="U54" s="125">
        <f>V54*U$7</f>
        <v>47111.625</v>
      </c>
      <c r="V54" s="125">
        <f>V$8*3*0.33*CMF</f>
        <v>1002.375</v>
      </c>
      <c r="W54" s="120">
        <f>+V54/V$8</f>
        <v>1.11375</v>
      </c>
      <c r="X54" s="119"/>
      <c r="Y54" s="125">
        <f>Z54*Y$7</f>
        <v>75970.001250000016</v>
      </c>
      <c r="Z54" s="125">
        <f>Z$8*3*0.33*CMF</f>
        <v>1433.3962500000002</v>
      </c>
      <c r="AA54" s="120">
        <f>+Z54/Z$8</f>
        <v>1.1137500000000002</v>
      </c>
      <c r="AB54" s="119"/>
      <c r="AC54" s="125">
        <f>AD54*AC$7</f>
        <v>55059.345000000001</v>
      </c>
      <c r="AD54" s="125">
        <f>AD$8*3*0.33*CMF</f>
        <v>1619.3924999999999</v>
      </c>
      <c r="AE54" s="120">
        <f>+AD54/AD$8</f>
        <v>1.11375</v>
      </c>
      <c r="AF54" s="120"/>
      <c r="AG54" s="125">
        <f t="shared" si="4"/>
        <v>178140.97125</v>
      </c>
      <c r="AH54" s="110">
        <f>+AG54/AG$7</f>
        <v>1329.4102332089553</v>
      </c>
      <c r="AI54" s="120">
        <f>+AH54/AH$8</f>
        <v>1.1134089055351384</v>
      </c>
      <c r="AJ54" s="119"/>
      <c r="AK54" s="122"/>
      <c r="AL54" s="123"/>
      <c r="AM54" s="21" t="s">
        <v>215</v>
      </c>
      <c r="AN54" s="22">
        <f>AO54/$AO$48</f>
        <v>0.69068940784982746</v>
      </c>
      <c r="AO54" s="10">
        <f>SUM(AO48:AO53)</f>
        <v>9271314.0419961829</v>
      </c>
      <c r="AP54" s="10">
        <f>+AO54/AP$7</f>
        <v>69188.910761165549</v>
      </c>
      <c r="AQ54" s="8">
        <f>+AO54/AQ$7</f>
        <v>57.947161441512179</v>
      </c>
    </row>
    <row r="55" spans="1:45" ht="13.5" thickTop="1" thickBot="1">
      <c r="A55" s="59" t="s">
        <v>173</v>
      </c>
      <c r="B55" s="27" t="s">
        <v>73</v>
      </c>
      <c r="C55" s="116"/>
      <c r="D55" s="117">
        <f>L55/$L$88</f>
        <v>2.0162775831751838E-2</v>
      </c>
      <c r="E55" s="118" t="s">
        <v>195</v>
      </c>
      <c r="F55" s="118" t="s">
        <v>195</v>
      </c>
      <c r="G55" s="74" t="s">
        <v>195</v>
      </c>
      <c r="H55" s="118" t="s">
        <v>195</v>
      </c>
      <c r="I55" s="118" t="s">
        <v>195</v>
      </c>
      <c r="J55" s="74" t="s">
        <v>195</v>
      </c>
      <c r="K55" s="74" t="s">
        <v>195</v>
      </c>
      <c r="L55" s="119">
        <f>7*M55</f>
        <v>14175</v>
      </c>
      <c r="M55" s="119">
        <f>4050/2</f>
        <v>2025</v>
      </c>
      <c r="N55" s="120">
        <f t="shared" si="25"/>
        <v>1.4716569767441861</v>
      </c>
      <c r="O55" s="120">
        <f t="shared" si="25"/>
        <v>1.1664746543778801</v>
      </c>
      <c r="P55" s="120"/>
      <c r="Q55" s="125">
        <f>R55*Q$7</f>
        <v>0</v>
      </c>
      <c r="R55" s="125">
        <f>$R$8*3*0.67*CMF</f>
        <v>2708.9775</v>
      </c>
      <c r="S55" s="120">
        <f>+R55/R$8</f>
        <v>2.26125</v>
      </c>
      <c r="T55" s="119"/>
      <c r="U55" s="125">
        <f>V55*U$7</f>
        <v>127321.9425</v>
      </c>
      <c r="V55" s="125">
        <f>$R$8*3*0.67*CMF</f>
        <v>2708.9775</v>
      </c>
      <c r="W55" s="120">
        <f>+V55/V$8</f>
        <v>3.0099749999999998</v>
      </c>
      <c r="X55" s="119"/>
      <c r="Y55" s="125">
        <f>Z55*Y$7</f>
        <v>143575.8075</v>
      </c>
      <c r="Z55" s="125">
        <f>$R$8*3*0.67*CMF</f>
        <v>2708.9775</v>
      </c>
      <c r="AA55" s="120">
        <f>+Z55/Z$8</f>
        <v>2.1048776223776224</v>
      </c>
      <c r="AB55" s="119"/>
      <c r="AC55" s="125">
        <f>AD55*AC$7</f>
        <v>92105.235000000001</v>
      </c>
      <c r="AD55" s="125">
        <f>$R$8*3*0.67*CMF</f>
        <v>2708.9775</v>
      </c>
      <c r="AE55" s="120">
        <f>+AD55/AD$8</f>
        <v>1.8631207015130673</v>
      </c>
      <c r="AF55" s="120"/>
      <c r="AG55" s="125">
        <f t="shared" si="4"/>
        <v>363002.98499999999</v>
      </c>
      <c r="AH55" s="110">
        <f>+AG55/AG$7</f>
        <v>2708.9775</v>
      </c>
      <c r="AI55" s="120">
        <f>+AH55/AH$8</f>
        <v>2.268825376884422</v>
      </c>
      <c r="AJ55" s="119"/>
      <c r="AK55" s="122"/>
      <c r="AL55" s="123"/>
    </row>
    <row r="56" spans="1:45" ht="12.75" thickBot="1">
      <c r="A56" s="59" t="s">
        <v>160</v>
      </c>
      <c r="B56" s="32" t="s">
        <v>38</v>
      </c>
      <c r="C56" s="116"/>
      <c r="D56" s="117">
        <f>L56/$L$88</f>
        <v>3.634278112883665E-3</v>
      </c>
      <c r="E56" s="118" t="s">
        <v>195</v>
      </c>
      <c r="F56" s="118" t="s">
        <v>195</v>
      </c>
      <c r="G56" s="127"/>
      <c r="H56" s="118" t="s">
        <v>195</v>
      </c>
      <c r="I56" s="118" t="s">
        <v>195</v>
      </c>
      <c r="J56" s="74" t="s">
        <v>195</v>
      </c>
      <c r="K56" s="74" t="s">
        <v>195</v>
      </c>
      <c r="L56" s="119">
        <f>7*M56</f>
        <v>2555</v>
      </c>
      <c r="M56" s="119">
        <f>730/2</f>
        <v>365</v>
      </c>
      <c r="N56" s="120">
        <f t="shared" si="25"/>
        <v>0.26526162790697677</v>
      </c>
      <c r="O56" s="120">
        <f t="shared" si="25"/>
        <v>0.21025345622119815</v>
      </c>
      <c r="P56" s="120"/>
      <c r="Q56" s="125">
        <f>R56*Q$7</f>
        <v>0</v>
      </c>
      <c r="R56" s="125">
        <v>0</v>
      </c>
      <c r="S56" s="120">
        <f>+R56/R$8</f>
        <v>0</v>
      </c>
      <c r="T56" s="119"/>
      <c r="U56" s="125">
        <f>V56*U$7</f>
        <v>0</v>
      </c>
      <c r="V56" s="125">
        <v>0</v>
      </c>
      <c r="W56" s="120">
        <f>+V56/V$8</f>
        <v>0</v>
      </c>
      <c r="X56" s="119"/>
      <c r="Y56" s="125">
        <f>Z56*Y$7</f>
        <v>0</v>
      </c>
      <c r="Z56" s="125">
        <v>0</v>
      </c>
      <c r="AA56" s="120">
        <f>+Z56/Z$8</f>
        <v>0</v>
      </c>
      <c r="AB56" s="119"/>
      <c r="AC56" s="125">
        <f>AD56*AC$7</f>
        <v>0</v>
      </c>
      <c r="AD56" s="125">
        <v>0</v>
      </c>
      <c r="AE56" s="120">
        <f>+AD56/AD$8</f>
        <v>0</v>
      </c>
      <c r="AF56" s="120"/>
      <c r="AG56" s="125">
        <f t="shared" si="4"/>
        <v>0</v>
      </c>
      <c r="AH56" s="110">
        <f>+AG56/AG$7</f>
        <v>0</v>
      </c>
      <c r="AI56" s="120">
        <f>+AH56/AH$8</f>
        <v>0</v>
      </c>
      <c r="AJ56" s="119"/>
      <c r="AK56" s="122"/>
      <c r="AL56" s="123"/>
      <c r="AO56" s="27">
        <f>0.75*AO48</f>
        <v>10067456.446369875</v>
      </c>
    </row>
    <row r="57" spans="1:45" ht="12.75" thickBot="1">
      <c r="A57" s="59" t="s">
        <v>160</v>
      </c>
      <c r="B57" s="30" t="s">
        <v>39</v>
      </c>
      <c r="C57" s="116"/>
      <c r="D57" s="117"/>
      <c r="E57" s="118"/>
      <c r="F57" s="118"/>
      <c r="G57" s="118"/>
      <c r="H57" s="118"/>
      <c r="I57" s="118"/>
      <c r="J57" s="118"/>
      <c r="K57" s="118"/>
      <c r="L57" s="119"/>
      <c r="M57" s="136"/>
      <c r="N57" s="120"/>
      <c r="O57" s="120"/>
      <c r="P57" s="120"/>
      <c r="Q57" s="125"/>
      <c r="R57" s="125"/>
      <c r="S57" s="120"/>
      <c r="T57" s="119"/>
      <c r="U57" s="125"/>
      <c r="V57" s="125"/>
      <c r="W57" s="120"/>
      <c r="X57" s="119"/>
      <c r="Y57" s="125"/>
      <c r="Z57" s="125"/>
      <c r="AA57" s="120"/>
      <c r="AB57" s="119"/>
      <c r="AC57" s="125"/>
      <c r="AD57" s="125"/>
      <c r="AE57" s="120"/>
      <c r="AF57" s="120"/>
      <c r="AG57" s="125"/>
      <c r="AH57" s="110" t="s">
        <v>72</v>
      </c>
      <c r="AI57" s="120"/>
      <c r="AJ57" s="119"/>
      <c r="AK57" s="122"/>
      <c r="AL57" s="123"/>
      <c r="AO57" s="27">
        <f>+AO48-AO56</f>
        <v>3355818.8154566251</v>
      </c>
    </row>
    <row r="58" spans="1:45" ht="12.75" thickBot="1">
      <c r="A58" s="59" t="s">
        <v>160</v>
      </c>
      <c r="B58" s="158" t="s">
        <v>40</v>
      </c>
      <c r="C58" s="116"/>
      <c r="D58" s="117">
        <f t="shared" ref="D58:D64" si="27">L58/$L$88</f>
        <v>7.3432331732923364E-3</v>
      </c>
      <c r="E58" s="118" t="s">
        <v>195</v>
      </c>
      <c r="F58" s="118" t="s">
        <v>195</v>
      </c>
      <c r="G58" s="127"/>
      <c r="H58" s="118" t="s">
        <v>195</v>
      </c>
      <c r="I58" s="118" t="s">
        <v>195</v>
      </c>
      <c r="J58" s="74" t="s">
        <v>195</v>
      </c>
      <c r="K58" s="74" t="s">
        <v>195</v>
      </c>
      <c r="L58" s="119">
        <f>7*M58</f>
        <v>5162.5</v>
      </c>
      <c r="M58" s="119">
        <f>1475/2</f>
        <v>737.5</v>
      </c>
      <c r="N58" s="120">
        <f t="shared" si="25"/>
        <v>0.53597383720930236</v>
      </c>
      <c r="O58" s="120">
        <f t="shared" si="25"/>
        <v>0.42482718894009219</v>
      </c>
      <c r="P58" s="120"/>
      <c r="Q58" s="125">
        <f>R58*Q$7</f>
        <v>0</v>
      </c>
      <c r="R58" s="125">
        <f>12*75*CMF</f>
        <v>1012.5</v>
      </c>
      <c r="S58" s="120">
        <f>+R58/R$8</f>
        <v>0.84515859766277124</v>
      </c>
      <c r="T58" s="119"/>
      <c r="U58" s="125">
        <f>V58*U$7</f>
        <v>47587.5</v>
      </c>
      <c r="V58" s="125">
        <f>12*75*CMF</f>
        <v>1012.5</v>
      </c>
      <c r="W58" s="120">
        <f>+V58/V$8</f>
        <v>1.125</v>
      </c>
      <c r="X58" s="119"/>
      <c r="Y58" s="125">
        <f>Z58*Y$7</f>
        <v>53662.5</v>
      </c>
      <c r="Z58" s="125">
        <f>12*75*CMF</f>
        <v>1012.5</v>
      </c>
      <c r="AA58" s="120">
        <f>+Z58/Z$8</f>
        <v>0.78671328671328666</v>
      </c>
      <c r="AB58" s="119"/>
      <c r="AC58" s="125">
        <f>AD58*AC$7</f>
        <v>43031.25</v>
      </c>
      <c r="AD58" s="125">
        <f>15*75*CMF</f>
        <v>1265.625</v>
      </c>
      <c r="AE58" s="120">
        <f>+AD58/AD$8</f>
        <v>0.87044360385144426</v>
      </c>
      <c r="AF58" s="120"/>
      <c r="AG58" s="125">
        <f t="shared" si="4"/>
        <v>144281.25</v>
      </c>
      <c r="AH58" s="110">
        <f>+AG58/AG$7</f>
        <v>1076.7257462686566</v>
      </c>
      <c r="AI58" s="120">
        <f>+AH58/AH$8</f>
        <v>0.90178035700892512</v>
      </c>
      <c r="AJ58" s="119"/>
      <c r="AK58" s="122"/>
      <c r="AL58" s="123"/>
      <c r="AN58" s="117"/>
      <c r="AO58" s="124">
        <f>AO57-AO47-AO46</f>
        <v>1473920.5943276361</v>
      </c>
    </row>
    <row r="59" spans="1:45" ht="12.75" thickBot="1">
      <c r="A59" s="59" t="s">
        <v>160</v>
      </c>
      <c r="B59" s="27" t="s">
        <v>41</v>
      </c>
      <c r="C59" s="116"/>
      <c r="D59" s="117">
        <f t="shared" si="27"/>
        <v>6.2977559079422409E-3</v>
      </c>
      <c r="E59" s="118" t="s">
        <v>195</v>
      </c>
      <c r="F59" s="118" t="s">
        <v>195</v>
      </c>
      <c r="G59" s="127"/>
      <c r="H59" s="118" t="s">
        <v>195</v>
      </c>
      <c r="I59" s="118" t="s">
        <v>195</v>
      </c>
      <c r="J59" s="74" t="s">
        <v>195</v>
      </c>
      <c r="K59" s="74" t="s">
        <v>195</v>
      </c>
      <c r="L59" s="119">
        <f>7*M59</f>
        <v>4427.5</v>
      </c>
      <c r="M59" s="119">
        <f>1265/2</f>
        <v>632.5</v>
      </c>
      <c r="N59" s="120">
        <f t="shared" si="25"/>
        <v>0.45966569767441862</v>
      </c>
      <c r="O59" s="120">
        <f t="shared" si="25"/>
        <v>0.36434331797235026</v>
      </c>
      <c r="P59" s="120"/>
      <c r="Q59" s="125">
        <f>R59*Q$7</f>
        <v>0</v>
      </c>
      <c r="R59" s="125">
        <f>R$8*$N59*CMF</f>
        <v>619.51444404069764</v>
      </c>
      <c r="S59" s="120">
        <f>+R59/R$8</f>
        <v>0.51712390988372092</v>
      </c>
      <c r="T59" s="119"/>
      <c r="U59" s="125">
        <f>V59*U$7</f>
        <v>21874.341388081393</v>
      </c>
      <c r="V59" s="125">
        <f>V$8*$N59*CMF</f>
        <v>465.41151889534882</v>
      </c>
      <c r="W59" s="120">
        <f>+V59/V$8</f>
        <v>0.51712390988372092</v>
      </c>
      <c r="X59" s="119"/>
      <c r="Y59" s="125">
        <f>Z59*Y$7</f>
        <v>35273.539017078489</v>
      </c>
      <c r="Z59" s="125">
        <f>Z$8*$N59*CMF</f>
        <v>665.53847202034888</v>
      </c>
      <c r="AA59" s="120">
        <f>+Z59/Z$8</f>
        <v>0.51712390988372092</v>
      </c>
      <c r="AB59" s="119"/>
      <c r="AC59" s="125">
        <f>AD59*AC$7</f>
        <v>25564.537609011633</v>
      </c>
      <c r="AD59" s="125">
        <f>AD$8*$N59*CMF</f>
        <v>751.89816497093034</v>
      </c>
      <c r="AE59" s="120">
        <f>+AD59/AD$8</f>
        <v>0.51712390988372103</v>
      </c>
      <c r="AF59" s="120"/>
      <c r="AG59" s="125">
        <f t="shared" si="4"/>
        <v>82712.418014171519</v>
      </c>
      <c r="AH59" s="110">
        <f>+AG59/AG$7</f>
        <v>617.25685085202622</v>
      </c>
      <c r="AI59" s="120">
        <f>+AH59/AH$8</f>
        <v>0.51696553672699008</v>
      </c>
      <c r="AJ59" s="119"/>
      <c r="AK59" s="122"/>
      <c r="AL59" s="123"/>
      <c r="AN59" s="117"/>
      <c r="AO59" s="124"/>
    </row>
    <row r="60" spans="1:45" ht="12.75" thickBot="1">
      <c r="A60" s="59" t="s">
        <v>160</v>
      </c>
      <c r="B60" s="27" t="s">
        <v>28</v>
      </c>
      <c r="C60" s="116"/>
      <c r="D60" s="117">
        <f t="shared" si="27"/>
        <v>6.2081435709122335E-3</v>
      </c>
      <c r="E60" s="118" t="s">
        <v>195</v>
      </c>
      <c r="F60" s="118" t="s">
        <v>195</v>
      </c>
      <c r="G60" s="127"/>
      <c r="H60" s="118" t="s">
        <v>195</v>
      </c>
      <c r="I60" s="118" t="s">
        <v>195</v>
      </c>
      <c r="J60" s="74" t="s">
        <v>195</v>
      </c>
      <c r="K60" s="74" t="s">
        <v>195</v>
      </c>
      <c r="L60" s="119">
        <f>7*M60</f>
        <v>4364.5</v>
      </c>
      <c r="M60" s="119">
        <f>1247/2</f>
        <v>623.5</v>
      </c>
      <c r="N60" s="120">
        <f t="shared" si="25"/>
        <v>0.453125</v>
      </c>
      <c r="O60" s="120">
        <f t="shared" si="25"/>
        <v>0.35915898617511521</v>
      </c>
      <c r="P60" s="120"/>
      <c r="Q60" s="125">
        <f>R60*Q$7</f>
        <v>0</v>
      </c>
      <c r="R60" s="125">
        <f>R$8*$N60*CMF</f>
        <v>610.69921875</v>
      </c>
      <c r="S60" s="120">
        <f>+R60/R$8</f>
        <v>0.509765625</v>
      </c>
      <c r="T60" s="119"/>
      <c r="U60" s="125">
        <f>V60*U$7</f>
        <v>21563.0859375</v>
      </c>
      <c r="V60" s="125">
        <f>V$8*$N60*CMF</f>
        <v>458.7890625</v>
      </c>
      <c r="W60" s="120">
        <f>+V60/V$8</f>
        <v>0.509765625</v>
      </c>
      <c r="X60" s="119"/>
      <c r="Y60" s="125">
        <f>Z60*Y$7</f>
        <v>34771.623046875</v>
      </c>
      <c r="Z60" s="125">
        <f>Z$8*$N60*CMF</f>
        <v>656.068359375</v>
      </c>
      <c r="AA60" s="120">
        <f>+Z60/Z$8</f>
        <v>0.509765625</v>
      </c>
      <c r="AB60" s="119"/>
      <c r="AC60" s="125">
        <f>AD60*AC$7</f>
        <v>25200.7734375</v>
      </c>
      <c r="AD60" s="125">
        <f>AD$8*$N60*CMF</f>
        <v>741.19921875</v>
      </c>
      <c r="AE60" s="120">
        <f>+AD60/AD$8</f>
        <v>0.509765625</v>
      </c>
      <c r="AF60" s="120"/>
      <c r="AG60" s="125">
        <f t="shared" si="4"/>
        <v>81535.482421875</v>
      </c>
      <c r="AH60" s="110">
        <f>+AG60/AG$7</f>
        <v>608.47374941697763</v>
      </c>
      <c r="AI60" s="120">
        <f>+AH60/AH$8</f>
        <v>0.50960950537435312</v>
      </c>
      <c r="AJ60" s="119"/>
      <c r="AK60" s="122"/>
      <c r="AL60" s="123"/>
      <c r="AN60" s="117"/>
      <c r="AO60" s="119">
        <f>Y7</f>
        <v>53</v>
      </c>
      <c r="AP60" s="27">
        <f>475*3</f>
        <v>1425</v>
      </c>
      <c r="AQ60" s="27">
        <f>AP60*AO60</f>
        <v>75525</v>
      </c>
      <c r="AS60" s="38">
        <f>AP60/AH$8</f>
        <v>1.193467336683417</v>
      </c>
    </row>
    <row r="61" spans="1:45">
      <c r="B61" s="30" t="s">
        <v>42</v>
      </c>
      <c r="C61" s="116"/>
      <c r="D61" s="117">
        <f t="shared" si="27"/>
        <v>0</v>
      </c>
      <c r="E61" s="118"/>
      <c r="F61" s="118"/>
      <c r="G61" s="118"/>
      <c r="H61" s="118"/>
      <c r="I61" s="118"/>
      <c r="J61" s="118"/>
      <c r="K61" s="118"/>
      <c r="L61" s="119"/>
      <c r="M61" s="119"/>
      <c r="N61" s="120"/>
      <c r="O61" s="120"/>
      <c r="P61" s="120"/>
      <c r="Q61" s="125"/>
      <c r="R61" s="125"/>
      <c r="S61" s="120"/>
      <c r="T61" s="119"/>
      <c r="U61" s="125"/>
      <c r="V61" s="125"/>
      <c r="W61" s="120"/>
      <c r="X61" s="119"/>
      <c r="Y61" s="125"/>
      <c r="Z61" s="125"/>
      <c r="AA61" s="120"/>
      <c r="AB61" s="119"/>
      <c r="AC61" s="125"/>
      <c r="AD61" s="125"/>
      <c r="AE61" s="120"/>
      <c r="AF61" s="120"/>
      <c r="AG61" s="125"/>
      <c r="AH61" s="110" t="s">
        <v>72</v>
      </c>
      <c r="AI61" s="120"/>
      <c r="AJ61" s="119"/>
      <c r="AK61" s="122"/>
      <c r="AL61" s="123"/>
      <c r="AN61" s="117"/>
      <c r="AO61" s="119">
        <f>U7</f>
        <v>47</v>
      </c>
      <c r="AP61" s="27">
        <v>1200</v>
      </c>
      <c r="AQ61" s="27">
        <f>AP61*AO61</f>
        <v>56400</v>
      </c>
      <c r="AS61" s="38">
        <f>AP61/V$8</f>
        <v>1.3333333333333333</v>
      </c>
    </row>
    <row r="62" spans="1:45" ht="12.75" thickBot="1">
      <c r="A62" s="59" t="s">
        <v>174</v>
      </c>
      <c r="B62" s="27" t="s">
        <v>43</v>
      </c>
      <c r="C62" s="116"/>
      <c r="D62" s="117">
        <f t="shared" si="27"/>
        <v>1.1326003707959366E-2</v>
      </c>
      <c r="E62" s="118" t="s">
        <v>195</v>
      </c>
      <c r="F62" s="118" t="s">
        <v>195</v>
      </c>
      <c r="G62" s="118" t="s">
        <v>195</v>
      </c>
      <c r="H62" s="118" t="s">
        <v>195</v>
      </c>
      <c r="I62" s="118" t="s">
        <v>195</v>
      </c>
      <c r="J62" s="118" t="s">
        <v>195</v>
      </c>
      <c r="K62" s="118" t="s">
        <v>195</v>
      </c>
      <c r="L62" s="119">
        <f>7*M62</f>
        <v>7962.5</v>
      </c>
      <c r="M62" s="119">
        <f>2275/2</f>
        <v>1137.5</v>
      </c>
      <c r="N62" s="120">
        <f t="shared" si="25"/>
        <v>0.82667151162790697</v>
      </c>
      <c r="O62" s="120">
        <f t="shared" si="25"/>
        <v>0.655241935483871</v>
      </c>
      <c r="P62" s="120"/>
      <c r="Q62" s="125">
        <f>R62*Q$7</f>
        <v>0</v>
      </c>
      <c r="R62" s="125">
        <f>2*S$8*0.33*CMF</f>
        <v>889.5150000000001</v>
      </c>
      <c r="S62" s="120">
        <f>+R62/R$8</f>
        <v>0.74250000000000005</v>
      </c>
      <c r="T62" s="119"/>
      <c r="U62" s="125">
        <f>V62*U$7</f>
        <v>41702.512500000004</v>
      </c>
      <c r="V62" s="125">
        <f>2*W$8*0.33*CMF</f>
        <v>887.28750000000002</v>
      </c>
      <c r="W62" s="120">
        <f>+V62/V$8</f>
        <v>0.98587500000000006</v>
      </c>
      <c r="X62" s="119"/>
      <c r="Y62" s="125">
        <f>Z62*Y$7</f>
        <v>62255.655000000013</v>
      </c>
      <c r="Z62" s="125">
        <f>2*AA$8*0.33*CMF</f>
        <v>1174.6350000000002</v>
      </c>
      <c r="AA62" s="120">
        <f>+Z62/Z$8</f>
        <v>0.91269230769230791</v>
      </c>
      <c r="AB62" s="119"/>
      <c r="AC62" s="125">
        <f>AD62*AC$7</f>
        <v>44153.505000000005</v>
      </c>
      <c r="AD62" s="125">
        <f>2*AE$8*0.33*CMF</f>
        <v>1298.6325000000002</v>
      </c>
      <c r="AE62" s="120">
        <f>+AD62/AD$8</f>
        <v>0.89314477303989004</v>
      </c>
      <c r="AF62" s="120"/>
      <c r="AG62" s="125">
        <f t="shared" si="4"/>
        <v>148111.67250000002</v>
      </c>
      <c r="AH62" s="110">
        <f>+AG62/AG$7</f>
        <v>1105.3109888059703</v>
      </c>
      <c r="AI62" s="120">
        <f>+AH62/AH$8</f>
        <v>0.92572109615240394</v>
      </c>
      <c r="AJ62" s="119"/>
      <c r="AK62" s="122"/>
      <c r="AL62" s="123"/>
      <c r="AN62" s="117"/>
      <c r="AO62" s="27">
        <f>Q7</f>
        <v>0</v>
      </c>
      <c r="AP62" s="119">
        <v>1250</v>
      </c>
      <c r="AQ62" s="27">
        <f>AP62*AO62</f>
        <v>0</v>
      </c>
      <c r="AR62" s="27">
        <f>SUM(AQ60:AQ62)</f>
        <v>131925</v>
      </c>
      <c r="AS62" s="38">
        <f>AP62/R$8</f>
        <v>1.0434056761268782</v>
      </c>
    </row>
    <row r="63" spans="1:45" ht="12.75" thickBot="1">
      <c r="A63" s="59" t="s">
        <v>175</v>
      </c>
      <c r="B63" s="27" t="s">
        <v>44</v>
      </c>
      <c r="C63" s="116"/>
      <c r="D63" s="117">
        <f t="shared" si="27"/>
        <v>9.0608029663674927E-3</v>
      </c>
      <c r="E63" s="118" t="s">
        <v>195</v>
      </c>
      <c r="F63" s="118" t="s">
        <v>195</v>
      </c>
      <c r="G63" s="127"/>
      <c r="H63" s="118" t="s">
        <v>195</v>
      </c>
      <c r="I63" s="118" t="s">
        <v>195</v>
      </c>
      <c r="J63" s="74" t="s">
        <v>195</v>
      </c>
      <c r="K63" s="74" t="s">
        <v>195</v>
      </c>
      <c r="L63" s="119">
        <f>7*M63</f>
        <v>6370</v>
      </c>
      <c r="M63" s="119">
        <f>1820/2</f>
        <v>910</v>
      </c>
      <c r="N63" s="120">
        <f>$M63/N$8</f>
        <v>0.66133720930232553</v>
      </c>
      <c r="O63" s="120">
        <f>$M63/O$8</f>
        <v>0.52419354838709675</v>
      </c>
      <c r="P63" s="120"/>
      <c r="Q63" s="125">
        <f>R63*Q$7</f>
        <v>0</v>
      </c>
      <c r="R63" s="125">
        <f>2*S$8*0.67*CMF</f>
        <v>1805.9850000000001</v>
      </c>
      <c r="S63" s="120">
        <f>+R63/R$8</f>
        <v>1.5075000000000001</v>
      </c>
      <c r="T63" s="119"/>
      <c r="U63" s="125">
        <f>V63*U$7</f>
        <v>84668.737500000003</v>
      </c>
      <c r="V63" s="125">
        <f>2*W$8*0.67*CMF</f>
        <v>1801.4625000000001</v>
      </c>
      <c r="W63" s="120">
        <f>+V63/V$8</f>
        <v>2.0016250000000002</v>
      </c>
      <c r="X63" s="119"/>
      <c r="Y63" s="125">
        <f>Z63*Y$7</f>
        <v>126397.84500000002</v>
      </c>
      <c r="Z63" s="125">
        <f>2*AA$8*0.67*CMF</f>
        <v>2384.8650000000002</v>
      </c>
      <c r="AA63" s="120">
        <f>+Z63/Z$8</f>
        <v>1.8530419580419581</v>
      </c>
      <c r="AB63" s="119"/>
      <c r="AC63" s="125">
        <f>AD63*AC$7</f>
        <v>89644.99500000001</v>
      </c>
      <c r="AD63" s="125">
        <f>2*AE$8*0.67*CMF</f>
        <v>2636.6175000000003</v>
      </c>
      <c r="AE63" s="120">
        <f>+AD63/AD$8</f>
        <v>1.813354539202201</v>
      </c>
      <c r="AF63" s="120"/>
      <c r="AG63" s="125">
        <f t="shared" si="4"/>
        <v>300711.57750000001</v>
      </c>
      <c r="AH63" s="110">
        <f>+AG63/AG$7</f>
        <v>2244.11625</v>
      </c>
      <c r="AI63" s="120">
        <f>+AH63/AH$8</f>
        <v>1.8794943467336684</v>
      </c>
      <c r="AJ63" s="119"/>
      <c r="AK63" s="122"/>
      <c r="AL63" s="123"/>
      <c r="AN63" s="117"/>
      <c r="AO63" s="27">
        <f>2900000/28</f>
        <v>103571.42857142857</v>
      </c>
      <c r="AP63" s="38">
        <f>AO63/1343</f>
        <v>77.119455377087533</v>
      </c>
      <c r="AQ63" s="119"/>
    </row>
    <row r="64" spans="1:45" ht="12.75" thickBot="1">
      <c r="A64" s="59" t="s">
        <v>175</v>
      </c>
      <c r="B64" s="27" t="s">
        <v>45</v>
      </c>
      <c r="C64" s="116"/>
      <c r="D64" s="117">
        <f t="shared" si="27"/>
        <v>2.2652007415918732E-3</v>
      </c>
      <c r="E64" s="118" t="s">
        <v>195</v>
      </c>
      <c r="F64" s="118" t="s">
        <v>195</v>
      </c>
      <c r="G64" s="127"/>
      <c r="H64" s="118" t="s">
        <v>195</v>
      </c>
      <c r="I64" s="118" t="s">
        <v>195</v>
      </c>
      <c r="J64" s="74" t="s">
        <v>195</v>
      </c>
      <c r="K64" s="74" t="s">
        <v>195</v>
      </c>
      <c r="L64" s="119">
        <f>7*M64</f>
        <v>1592.5</v>
      </c>
      <c r="M64" s="119">
        <f>455/2</f>
        <v>227.5</v>
      </c>
      <c r="N64" s="120">
        <f>$M64/N$8</f>
        <v>0.16533430232558138</v>
      </c>
      <c r="O64" s="120">
        <f>$M64/O$8</f>
        <v>0.13104838709677419</v>
      </c>
      <c r="P64" s="120"/>
      <c r="Q64" s="125">
        <f>R64*Q$7</f>
        <v>0</v>
      </c>
      <c r="R64" s="125">
        <f>R$8*$N64*CMF</f>
        <v>222.8293059593023</v>
      </c>
      <c r="S64" s="120">
        <f>+R64/R$8</f>
        <v>0.18600109011627905</v>
      </c>
      <c r="T64" s="119"/>
      <c r="U64" s="125">
        <f>V64*U$7</f>
        <v>7867.8461119186059</v>
      </c>
      <c r="V64" s="125">
        <f>V$8*$N64*CMF</f>
        <v>167.40098110465118</v>
      </c>
      <c r="W64" s="120">
        <f>+V64/V$8</f>
        <v>0.18600109011627908</v>
      </c>
      <c r="X64" s="119"/>
      <c r="Y64" s="125">
        <f>Z64*Y$7</f>
        <v>12687.32035792151</v>
      </c>
      <c r="Z64" s="125">
        <f>Z$8*$N64*CMF</f>
        <v>239.38340297965112</v>
      </c>
      <c r="AA64" s="120">
        <f>+Z64/Z$8</f>
        <v>0.18600109011627905</v>
      </c>
      <c r="AB64" s="119"/>
      <c r="AC64" s="125">
        <f>AD64*AC$7</f>
        <v>9195.1498909883721</v>
      </c>
      <c r="AD64" s="125">
        <f>AD$8*$N64*CMF</f>
        <v>270.44558502906978</v>
      </c>
      <c r="AE64" s="120">
        <f>+AD64/AD$8</f>
        <v>0.18600109011627908</v>
      </c>
      <c r="AF64" s="120"/>
      <c r="AG64" s="125">
        <f t="shared" si="4"/>
        <v>29750.316360828489</v>
      </c>
      <c r="AH64" s="110">
        <f>+AG64/AG$7</f>
        <v>222.01728627483948</v>
      </c>
      <c r="AI64" s="120">
        <f>+AH64/AH$8</f>
        <v>0.18594412585832451</v>
      </c>
      <c r="AJ64" s="119"/>
      <c r="AK64" s="122"/>
      <c r="AL64" s="123"/>
      <c r="AO64" s="27">
        <f>2700000/28</f>
        <v>96428.571428571435</v>
      </c>
      <c r="AP64" s="38">
        <f>AO64/1343</f>
        <v>71.800872247633237</v>
      </c>
    </row>
    <row r="65" spans="1:46">
      <c r="B65" s="30" t="s">
        <v>46</v>
      </c>
      <c r="C65" s="116"/>
      <c r="D65" s="117"/>
      <c r="E65" s="118"/>
      <c r="F65" s="118"/>
      <c r="G65" s="118"/>
      <c r="H65" s="118"/>
      <c r="I65" s="118"/>
      <c r="J65" s="118"/>
      <c r="K65" s="118"/>
      <c r="L65" s="119"/>
      <c r="M65" s="119"/>
      <c r="N65" s="120"/>
      <c r="O65" s="120"/>
      <c r="P65" s="120"/>
      <c r="Q65" s="125"/>
      <c r="R65" s="130"/>
      <c r="S65" s="120"/>
      <c r="T65" s="119"/>
      <c r="U65" s="125"/>
      <c r="V65" s="125"/>
      <c r="W65" s="120"/>
      <c r="X65" s="119"/>
      <c r="Y65" s="125"/>
      <c r="Z65" s="125"/>
      <c r="AA65" s="120"/>
      <c r="AB65" s="119"/>
      <c r="AC65" s="125"/>
      <c r="AD65" s="125"/>
      <c r="AE65" s="120"/>
      <c r="AF65" s="120"/>
      <c r="AG65" s="125"/>
      <c r="AH65" s="110" t="s">
        <v>72</v>
      </c>
      <c r="AI65" s="120"/>
      <c r="AJ65" s="119"/>
      <c r="AK65" s="122"/>
      <c r="AL65" s="123"/>
    </row>
    <row r="66" spans="1:46" ht="12.75" thickBot="1">
      <c r="A66" s="59" t="s">
        <v>161</v>
      </c>
      <c r="B66" s="27" t="s">
        <v>47</v>
      </c>
      <c r="C66" s="116"/>
      <c r="D66" s="117">
        <f t="shared" ref="D66:D79" si="28">L66/$L$88</f>
        <v>9.4391661671608604E-3</v>
      </c>
      <c r="E66" s="118" t="s">
        <v>195</v>
      </c>
      <c r="F66" s="118" t="s">
        <v>195</v>
      </c>
      <c r="G66" s="118" t="s">
        <v>195</v>
      </c>
      <c r="H66" s="118" t="s">
        <v>195</v>
      </c>
      <c r="I66" s="118" t="s">
        <v>195</v>
      </c>
      <c r="J66" s="118" t="s">
        <v>195</v>
      </c>
      <c r="K66" s="118" t="s">
        <v>195</v>
      </c>
      <c r="L66" s="119">
        <f t="shared" ref="L66:L79" si="29">7*M66</f>
        <v>6636</v>
      </c>
      <c r="M66" s="119">
        <f>1896/2</f>
        <v>948</v>
      </c>
      <c r="N66" s="120">
        <f t="shared" ref="N66:O81" si="30">$M66/N$8</f>
        <v>0.68895348837209303</v>
      </c>
      <c r="O66" s="120">
        <f t="shared" si="30"/>
        <v>0.54608294930875578</v>
      </c>
      <c r="P66" s="120"/>
      <c r="Q66" s="125">
        <f t="shared" ref="Q66:Q79" si="31">R66*Q$7</f>
        <v>0</v>
      </c>
      <c r="R66" s="125">
        <f>1100*CMF</f>
        <v>1237.5</v>
      </c>
      <c r="S66" s="120">
        <f t="shared" ref="S66:S79" si="32">+R66/R$8</f>
        <v>1.0329716193656093</v>
      </c>
      <c r="T66" s="119"/>
      <c r="U66" s="125">
        <f t="shared" ref="U66:U79" si="33">V66*U$7</f>
        <v>58162.5</v>
      </c>
      <c r="V66" s="125">
        <f>1100*CMF</f>
        <v>1237.5</v>
      </c>
      <c r="W66" s="120">
        <f t="shared" ref="W66:W79" si="34">+V66/V$8</f>
        <v>1.375</v>
      </c>
      <c r="X66" s="119"/>
      <c r="Y66" s="125">
        <f t="shared" ref="Y66:Y79" si="35">Z66*Y$7</f>
        <v>65587.5</v>
      </c>
      <c r="Z66" s="125">
        <f>1100*CMF</f>
        <v>1237.5</v>
      </c>
      <c r="AA66" s="120">
        <f t="shared" ref="AA66:AA79" si="36">+Z66/Z$8</f>
        <v>0.96153846153846156</v>
      </c>
      <c r="AB66" s="119"/>
      <c r="AC66" s="125">
        <f t="shared" ref="AC66:AC79" si="37">AD66*AC$7</f>
        <v>42075</v>
      </c>
      <c r="AD66" s="125">
        <f>1100*CMF</f>
        <v>1237.5</v>
      </c>
      <c r="AE66" s="120">
        <f t="shared" ref="AE66:AE79" si="38">+AD66/AD$8</f>
        <v>0.85110041265474556</v>
      </c>
      <c r="AF66" s="120"/>
      <c r="AG66" s="125">
        <f t="shared" si="4"/>
        <v>165825</v>
      </c>
      <c r="AH66" s="110">
        <f t="shared" ref="AH66:AH79" si="39">+AG66/AG$7</f>
        <v>1237.5</v>
      </c>
      <c r="AI66" s="120">
        <f t="shared" ref="AI66:AI79" si="40">+AH66/AH$8</f>
        <v>1.0364321608040201</v>
      </c>
      <c r="AJ66" s="119"/>
      <c r="AK66" s="122"/>
      <c r="AL66" s="123"/>
      <c r="AO66" s="137">
        <f>0.0725/12</f>
        <v>6.0416666666666665E-3</v>
      </c>
    </row>
    <row r="67" spans="1:46" ht="12.75" thickBot="1">
      <c r="A67" s="59" t="s">
        <v>161</v>
      </c>
      <c r="B67" s="59" t="s">
        <v>66</v>
      </c>
      <c r="C67" s="116"/>
      <c r="D67" s="117">
        <f t="shared" si="28"/>
        <v>5.8845434649705368E-3</v>
      </c>
      <c r="E67" s="118" t="s">
        <v>195</v>
      </c>
      <c r="F67" s="118" t="s">
        <v>195</v>
      </c>
      <c r="G67" s="127"/>
      <c r="H67" s="118" t="s">
        <v>195</v>
      </c>
      <c r="I67" s="118" t="s">
        <v>195</v>
      </c>
      <c r="J67" s="127"/>
      <c r="K67" s="138" t="s">
        <v>200</v>
      </c>
      <c r="L67" s="119">
        <f t="shared" si="29"/>
        <v>4137</v>
      </c>
      <c r="M67" s="119">
        <f>1182/2</f>
        <v>591</v>
      </c>
      <c r="N67" s="120">
        <f t="shared" si="30"/>
        <v>0.42950581395348836</v>
      </c>
      <c r="O67" s="120">
        <f t="shared" si="30"/>
        <v>0.34043778801843316</v>
      </c>
      <c r="P67" s="120"/>
      <c r="Q67" s="125">
        <f t="shared" si="31"/>
        <v>0</v>
      </c>
      <c r="R67" s="125">
        <f>600*CMF</f>
        <v>675</v>
      </c>
      <c r="S67" s="120">
        <f t="shared" si="32"/>
        <v>0.56343906510851416</v>
      </c>
      <c r="T67" s="119"/>
      <c r="U67" s="125">
        <f t="shared" si="33"/>
        <v>31725</v>
      </c>
      <c r="V67" s="125">
        <f>600*CMF</f>
        <v>675</v>
      </c>
      <c r="W67" s="120">
        <f t="shared" si="34"/>
        <v>0.75</v>
      </c>
      <c r="X67" s="119"/>
      <c r="Y67" s="125">
        <f t="shared" si="35"/>
        <v>35775</v>
      </c>
      <c r="Z67" s="125">
        <f>600*CMF</f>
        <v>675</v>
      </c>
      <c r="AA67" s="120">
        <f t="shared" si="36"/>
        <v>0.52447552447552448</v>
      </c>
      <c r="AB67" s="119"/>
      <c r="AC67" s="125">
        <f t="shared" si="37"/>
        <v>22950</v>
      </c>
      <c r="AD67" s="125">
        <f>600*CMF</f>
        <v>675</v>
      </c>
      <c r="AE67" s="120">
        <f t="shared" si="38"/>
        <v>0.46423658872077028</v>
      </c>
      <c r="AF67" s="120"/>
      <c r="AG67" s="125">
        <f t="shared" si="4"/>
        <v>90450</v>
      </c>
      <c r="AH67" s="110">
        <f t="shared" si="39"/>
        <v>675</v>
      </c>
      <c r="AI67" s="120">
        <f t="shared" si="40"/>
        <v>0.5653266331658291</v>
      </c>
      <c r="AJ67" s="119"/>
      <c r="AK67" s="122"/>
      <c r="AL67" s="123"/>
      <c r="AO67" s="27">
        <v>360</v>
      </c>
    </row>
    <row r="68" spans="1:46" ht="12.75" thickBot="1">
      <c r="A68" s="59" t="s">
        <v>154</v>
      </c>
      <c r="B68" s="59" t="s">
        <v>231</v>
      </c>
      <c r="C68" s="116"/>
      <c r="D68" s="117">
        <f t="shared" si="28"/>
        <v>4.7594107889271011E-3</v>
      </c>
      <c r="E68" s="118" t="s">
        <v>195</v>
      </c>
      <c r="F68" s="118" t="s">
        <v>195</v>
      </c>
      <c r="G68" s="127"/>
      <c r="H68" s="118" t="s">
        <v>195</v>
      </c>
      <c r="I68" s="118" t="s">
        <v>195</v>
      </c>
      <c r="J68" s="127"/>
      <c r="K68" s="74" t="s">
        <v>195</v>
      </c>
      <c r="L68" s="119">
        <f t="shared" si="29"/>
        <v>3346</v>
      </c>
      <c r="M68" s="119">
        <f>956/2</f>
        <v>478</v>
      </c>
      <c r="N68" s="120">
        <f t="shared" si="30"/>
        <v>0.34738372093023256</v>
      </c>
      <c r="O68" s="120">
        <f t="shared" si="30"/>
        <v>0.27534562211981567</v>
      </c>
      <c r="P68" s="120"/>
      <c r="Q68" s="125">
        <f t="shared" si="31"/>
        <v>0</v>
      </c>
      <c r="R68" s="125">
        <f>(R$8*$N68+200)*CMF</f>
        <v>693.18640988372101</v>
      </c>
      <c r="S68" s="120">
        <f t="shared" si="32"/>
        <v>0.57861970774934979</v>
      </c>
      <c r="T68" s="119"/>
      <c r="U68" s="125">
        <f t="shared" si="33"/>
        <v>27106.122819767443</v>
      </c>
      <c r="V68" s="125">
        <f>(V$8*$N68+200)*CMF</f>
        <v>576.72601744186045</v>
      </c>
      <c r="W68" s="120">
        <f t="shared" si="34"/>
        <v>0.64080668604651159</v>
      </c>
      <c r="X68" s="119"/>
      <c r="Y68" s="125">
        <f t="shared" si="35"/>
        <v>38582.314861918603</v>
      </c>
      <c r="Z68" s="125">
        <f>(Z$8*$N68+200)*CMF</f>
        <v>727.96820494186045</v>
      </c>
      <c r="AA68" s="120">
        <f t="shared" si="36"/>
        <v>0.56563186087168649</v>
      </c>
      <c r="AB68" s="119"/>
      <c r="AC68" s="125">
        <f t="shared" si="37"/>
        <v>26969.919331395351</v>
      </c>
      <c r="AD68" s="125">
        <f>(AD$8*$N68+200)*CMF</f>
        <v>793.23292151162798</v>
      </c>
      <c r="AE68" s="120">
        <f t="shared" si="38"/>
        <v>0.54555221562010181</v>
      </c>
      <c r="AF68" s="120"/>
      <c r="AG68" s="125">
        <f t="shared" si="4"/>
        <v>92658.357013081404</v>
      </c>
      <c r="AH68" s="110">
        <f t="shared" si="39"/>
        <v>691.48027621702545</v>
      </c>
      <c r="AI68" s="120">
        <f t="shared" si="40"/>
        <v>0.57912920956199787</v>
      </c>
      <c r="AJ68" s="119"/>
      <c r="AK68" s="122"/>
      <c r="AL68" s="123"/>
      <c r="AN68" s="117"/>
      <c r="AO68" s="119">
        <f>PMT(AO66,AO67,AO48)</f>
        <v>-91570.399842831044</v>
      </c>
      <c r="AP68" s="119"/>
    </row>
    <row r="69" spans="1:46" ht="12.75" thickBot="1">
      <c r="A69" s="59" t="s">
        <v>159</v>
      </c>
      <c r="B69" s="59" t="s">
        <v>49</v>
      </c>
      <c r="C69" s="116"/>
      <c r="D69" s="117">
        <f t="shared" si="28"/>
        <v>3.9728136083303622E-3</v>
      </c>
      <c r="E69" s="118" t="s">
        <v>195</v>
      </c>
      <c r="F69" s="118" t="s">
        <v>195</v>
      </c>
      <c r="G69" s="127"/>
      <c r="H69" s="118" t="s">
        <v>195</v>
      </c>
      <c r="I69" s="118" t="s">
        <v>195</v>
      </c>
      <c r="J69" s="74" t="s">
        <v>195</v>
      </c>
      <c r="K69" s="74" t="s">
        <v>195</v>
      </c>
      <c r="L69" s="119">
        <f t="shared" si="29"/>
        <v>2793</v>
      </c>
      <c r="M69" s="119">
        <f>798/2</f>
        <v>399</v>
      </c>
      <c r="N69" s="120">
        <f t="shared" si="30"/>
        <v>0.28997093023255816</v>
      </c>
      <c r="O69" s="120">
        <f t="shared" si="30"/>
        <v>0.22983870967741934</v>
      </c>
      <c r="P69" s="120"/>
      <c r="Q69" s="125">
        <f t="shared" si="31"/>
        <v>0</v>
      </c>
      <c r="R69" s="125">
        <f>R$8*$N69*CMF</f>
        <v>390.80832122093022</v>
      </c>
      <c r="S69" s="120">
        <f t="shared" si="32"/>
        <v>0.3262172965116279</v>
      </c>
      <c r="T69" s="119"/>
      <c r="U69" s="125">
        <f t="shared" si="33"/>
        <v>13798.991642441862</v>
      </c>
      <c r="V69" s="125">
        <f>V$8*$N69*CMF</f>
        <v>293.59556686046517</v>
      </c>
      <c r="W69" s="120">
        <f t="shared" si="34"/>
        <v>0.32621729651162795</v>
      </c>
      <c r="X69" s="119"/>
      <c r="Y69" s="125">
        <f t="shared" si="35"/>
        <v>22251.608012354653</v>
      </c>
      <c r="Z69" s="125">
        <f>Z$8*$N69*CMF</f>
        <v>419.84166061046517</v>
      </c>
      <c r="AA69" s="120">
        <f t="shared" si="36"/>
        <v>0.32621729651162795</v>
      </c>
      <c r="AB69" s="119"/>
      <c r="AC69" s="125">
        <f t="shared" si="37"/>
        <v>16126.878270348836</v>
      </c>
      <c r="AD69" s="125">
        <f>AD$8*$N69*CMF</f>
        <v>474.31994912790697</v>
      </c>
      <c r="AE69" s="120">
        <f t="shared" si="38"/>
        <v>0.3262172965116279</v>
      </c>
      <c r="AF69" s="120"/>
      <c r="AG69" s="125">
        <f t="shared" si="4"/>
        <v>52177.477925145358</v>
      </c>
      <c r="AH69" s="110">
        <f t="shared" si="39"/>
        <v>389.38416362048775</v>
      </c>
      <c r="AI69" s="120">
        <f t="shared" si="40"/>
        <v>0.32611738996690764</v>
      </c>
      <c r="AJ69" s="119"/>
      <c r="AK69" s="122"/>
      <c r="AL69" s="123"/>
      <c r="AN69" s="117" t="s">
        <v>238</v>
      </c>
      <c r="AO69" s="119">
        <f>+AR62</f>
        <v>131925</v>
      </c>
      <c r="AP69" s="119"/>
      <c r="AQ69" s="119">
        <f>2700000*0.105</f>
        <v>283500</v>
      </c>
    </row>
    <row r="70" spans="1:46" ht="12.75" thickBot="1">
      <c r="A70" s="59" t="s">
        <v>157</v>
      </c>
      <c r="B70" s="59" t="s">
        <v>50</v>
      </c>
      <c r="C70" s="116"/>
      <c r="D70" s="117">
        <f t="shared" si="28"/>
        <v>1.0385074169144281E-2</v>
      </c>
      <c r="E70" s="118" t="s">
        <v>195</v>
      </c>
      <c r="F70" s="118" t="s">
        <v>195</v>
      </c>
      <c r="G70" s="127"/>
      <c r="H70" s="118" t="s">
        <v>195</v>
      </c>
      <c r="I70" s="118" t="s">
        <v>195</v>
      </c>
      <c r="J70" s="74" t="s">
        <v>195</v>
      </c>
      <c r="K70" s="74" t="s">
        <v>195</v>
      </c>
      <c r="L70" s="119">
        <f t="shared" si="29"/>
        <v>7301</v>
      </c>
      <c r="M70" s="119">
        <f>2086/2</f>
        <v>1043</v>
      </c>
      <c r="N70" s="120">
        <f t="shared" si="30"/>
        <v>0.75799418604651159</v>
      </c>
      <c r="O70" s="120">
        <f t="shared" si="30"/>
        <v>0.60080645161290325</v>
      </c>
      <c r="P70" s="120"/>
      <c r="Q70" s="125">
        <f t="shared" si="31"/>
        <v>0</v>
      </c>
      <c r="R70" s="125">
        <f>(250+300+250+100)*CMF</f>
        <v>1012.5</v>
      </c>
      <c r="S70" s="120">
        <f t="shared" si="32"/>
        <v>0.84515859766277124</v>
      </c>
      <c r="T70" s="119"/>
      <c r="U70" s="125">
        <f t="shared" si="33"/>
        <v>47587.5</v>
      </c>
      <c r="V70" s="125">
        <f>(250+300+250+100)*CMF</f>
        <v>1012.5</v>
      </c>
      <c r="W70" s="120">
        <f t="shared" si="34"/>
        <v>1.125</v>
      </c>
      <c r="X70" s="119"/>
      <c r="Y70" s="125">
        <f t="shared" si="35"/>
        <v>53662.5</v>
      </c>
      <c r="Z70" s="125">
        <f>(250+300+250+100)*CMF</f>
        <v>1012.5</v>
      </c>
      <c r="AA70" s="120">
        <f t="shared" si="36"/>
        <v>0.78671328671328666</v>
      </c>
      <c r="AB70" s="119"/>
      <c r="AC70" s="125">
        <f t="shared" si="37"/>
        <v>34425</v>
      </c>
      <c r="AD70" s="125">
        <f>(250+300+250+100)*CMF</f>
        <v>1012.5</v>
      </c>
      <c r="AE70" s="120">
        <f t="shared" si="38"/>
        <v>0.69635488308115545</v>
      </c>
      <c r="AF70" s="120"/>
      <c r="AG70" s="125">
        <f t="shared" si="4"/>
        <v>135675</v>
      </c>
      <c r="AH70" s="110">
        <f t="shared" si="39"/>
        <v>1012.5</v>
      </c>
      <c r="AI70" s="120">
        <f t="shared" si="40"/>
        <v>0.84798994974874375</v>
      </c>
      <c r="AJ70" s="119"/>
      <c r="AK70" s="122"/>
      <c r="AL70" s="123"/>
      <c r="AM70" s="11"/>
      <c r="AO70" s="119">
        <f>0.9*AO69</f>
        <v>118732.5</v>
      </c>
      <c r="AP70" s="119"/>
      <c r="AQ70" s="119">
        <f>AQ69/12</f>
        <v>23625</v>
      </c>
    </row>
    <row r="71" spans="1:46" ht="12.75" thickBot="1">
      <c r="A71" s="59" t="s">
        <v>158</v>
      </c>
      <c r="B71" s="59" t="s">
        <v>64</v>
      </c>
      <c r="C71" s="116"/>
      <c r="D71" s="117">
        <f t="shared" si="28"/>
        <v>1.5931082138668121E-2</v>
      </c>
      <c r="E71" s="118" t="s">
        <v>195</v>
      </c>
      <c r="F71" s="118" t="s">
        <v>195</v>
      </c>
      <c r="G71" s="127"/>
      <c r="H71" s="118" t="s">
        <v>195</v>
      </c>
      <c r="I71" s="118" t="s">
        <v>195</v>
      </c>
      <c r="J71" s="127"/>
      <c r="K71" s="74" t="s">
        <v>195</v>
      </c>
      <c r="L71" s="119">
        <f t="shared" si="29"/>
        <v>11200</v>
      </c>
      <c r="M71" s="119">
        <f>3200/2</f>
        <v>1600</v>
      </c>
      <c r="N71" s="120">
        <f t="shared" si="30"/>
        <v>1.1627906976744187</v>
      </c>
      <c r="O71" s="120">
        <f t="shared" si="30"/>
        <v>0.92165898617511521</v>
      </c>
      <c r="P71" s="120"/>
      <c r="Q71" s="125">
        <f t="shared" si="31"/>
        <v>0</v>
      </c>
      <c r="R71" s="125">
        <f>1.22*R$8*CMF</f>
        <v>1644.2549999999999</v>
      </c>
      <c r="S71" s="120">
        <f t="shared" si="32"/>
        <v>1.3724999999999998</v>
      </c>
      <c r="T71" s="119"/>
      <c r="U71" s="125">
        <f t="shared" si="33"/>
        <v>58056.75</v>
      </c>
      <c r="V71" s="125">
        <f>1.22*V$8*CMF</f>
        <v>1235.25</v>
      </c>
      <c r="W71" s="120">
        <f t="shared" si="34"/>
        <v>1.3725000000000001</v>
      </c>
      <c r="X71" s="119"/>
      <c r="Y71" s="125">
        <f t="shared" si="35"/>
        <v>93619.597499999989</v>
      </c>
      <c r="Z71" s="125">
        <f>1.22*Z$8*CMF</f>
        <v>1766.4074999999998</v>
      </c>
      <c r="AA71" s="120">
        <f t="shared" si="36"/>
        <v>1.3724999999999998</v>
      </c>
      <c r="AB71" s="119"/>
      <c r="AC71" s="125">
        <f t="shared" si="37"/>
        <v>67850.909999999989</v>
      </c>
      <c r="AD71" s="125">
        <f>1.22*AD$8*CMF</f>
        <v>1995.6149999999998</v>
      </c>
      <c r="AE71" s="120">
        <f t="shared" si="38"/>
        <v>1.3724999999999998</v>
      </c>
      <c r="AF71" s="120"/>
      <c r="AG71" s="125">
        <f t="shared" si="4"/>
        <v>219527.25749999995</v>
      </c>
      <c r="AH71" s="110">
        <f t="shared" si="39"/>
        <v>1638.2631156716413</v>
      </c>
      <c r="AI71" s="120">
        <f t="shared" si="40"/>
        <v>1.3720796613665338</v>
      </c>
      <c r="AJ71" s="119"/>
      <c r="AK71" s="122"/>
      <c r="AL71" s="123"/>
      <c r="AN71" s="117"/>
      <c r="AO71" s="139">
        <f>((110000/28/1343)*1187*134)/12</f>
        <v>38773.313122717438</v>
      </c>
      <c r="AP71" s="119"/>
      <c r="AQ71" s="119"/>
    </row>
    <row r="72" spans="1:46" ht="12.75" thickBot="1">
      <c r="A72" s="59" t="s">
        <v>160</v>
      </c>
      <c r="B72" s="59" t="s">
        <v>65</v>
      </c>
      <c r="C72" s="116"/>
      <c r="D72" s="117">
        <f t="shared" si="28"/>
        <v>1.5582589716884754E-3</v>
      </c>
      <c r="E72" s="118" t="s">
        <v>195</v>
      </c>
      <c r="F72" s="118" t="s">
        <v>195</v>
      </c>
      <c r="G72" s="138" t="s">
        <v>200</v>
      </c>
      <c r="H72" s="118" t="s">
        <v>195</v>
      </c>
      <c r="I72" s="118" t="s">
        <v>195</v>
      </c>
      <c r="J72" s="127"/>
      <c r="K72" s="138" t="s">
        <v>200</v>
      </c>
      <c r="L72" s="119">
        <f t="shared" si="29"/>
        <v>1095.5</v>
      </c>
      <c r="M72" s="119">
        <f>313/2</f>
        <v>156.5</v>
      </c>
      <c r="N72" s="120">
        <f t="shared" si="30"/>
        <v>0.11373546511627906</v>
      </c>
      <c r="O72" s="120">
        <f t="shared" si="30"/>
        <v>9.0149769585253461E-2</v>
      </c>
      <c r="P72" s="120"/>
      <c r="Q72" s="125">
        <f t="shared" si="31"/>
        <v>0</v>
      </c>
      <c r="R72" s="125">
        <f>$M72*CMF</f>
        <v>176.0625</v>
      </c>
      <c r="S72" s="120">
        <f t="shared" si="32"/>
        <v>0.14696368948247079</v>
      </c>
      <c r="T72" s="119"/>
      <c r="U72" s="125">
        <f t="shared" si="33"/>
        <v>8274.9375</v>
      </c>
      <c r="V72" s="125">
        <f>$M72*CMF</f>
        <v>176.0625</v>
      </c>
      <c r="W72" s="120">
        <f t="shared" si="34"/>
        <v>0.19562499999999999</v>
      </c>
      <c r="X72" s="119"/>
      <c r="Y72" s="125">
        <f t="shared" si="35"/>
        <v>9331.3125</v>
      </c>
      <c r="Z72" s="125">
        <f>$M72*CMF</f>
        <v>176.0625</v>
      </c>
      <c r="AA72" s="120">
        <f t="shared" si="36"/>
        <v>0.1368006993006993</v>
      </c>
      <c r="AB72" s="119"/>
      <c r="AC72" s="125">
        <f t="shared" si="37"/>
        <v>5986.125</v>
      </c>
      <c r="AD72" s="125">
        <f>$M72*CMF</f>
        <v>176.0625</v>
      </c>
      <c r="AE72" s="120">
        <f t="shared" si="38"/>
        <v>0.12108837689133425</v>
      </c>
      <c r="AF72" s="120"/>
      <c r="AG72" s="125">
        <f t="shared" si="4"/>
        <v>23592.375</v>
      </c>
      <c r="AH72" s="110">
        <f t="shared" si="39"/>
        <v>176.0625</v>
      </c>
      <c r="AI72" s="120">
        <f t="shared" si="40"/>
        <v>0.14745603015075376</v>
      </c>
      <c r="AJ72" s="119"/>
      <c r="AK72" s="122"/>
      <c r="AL72" s="123"/>
      <c r="AN72" s="117"/>
      <c r="AO72" s="119">
        <f>+AO70-AO71</f>
        <v>79959.186877282569</v>
      </c>
      <c r="AP72" s="119"/>
      <c r="AQ72" s="119"/>
    </row>
    <row r="73" spans="1:46">
      <c r="A73" s="59" t="s">
        <v>155</v>
      </c>
      <c r="B73" s="32" t="s">
        <v>51</v>
      </c>
      <c r="C73" s="116"/>
      <c r="D73" s="117">
        <f t="shared" si="28"/>
        <v>1.5707051296093101E-2</v>
      </c>
      <c r="E73" s="118"/>
      <c r="F73" s="118"/>
      <c r="G73" s="118"/>
      <c r="H73" s="118"/>
      <c r="I73" s="118"/>
      <c r="J73" s="118"/>
      <c r="K73" s="118"/>
      <c r="L73" s="119">
        <f t="shared" si="29"/>
        <v>11042.5</v>
      </c>
      <c r="M73" s="119">
        <f>3155/2</f>
        <v>1577.5</v>
      </c>
      <c r="N73" s="120">
        <f t="shared" si="30"/>
        <v>1.1464389534883721</v>
      </c>
      <c r="O73" s="120">
        <f t="shared" si="30"/>
        <v>0.90869815668202769</v>
      </c>
      <c r="P73" s="120"/>
      <c r="Q73" s="125">
        <f t="shared" si="31"/>
        <v>0</v>
      </c>
      <c r="R73" s="125">
        <f>8*8*2.25*CMF</f>
        <v>162</v>
      </c>
      <c r="S73" s="120">
        <f t="shared" si="32"/>
        <v>0.13522537562604339</v>
      </c>
      <c r="T73" s="119"/>
      <c r="U73" s="125">
        <f t="shared" si="33"/>
        <v>7614</v>
      </c>
      <c r="V73" s="125">
        <f>8*8*2.25*CMF</f>
        <v>162</v>
      </c>
      <c r="W73" s="120">
        <f t="shared" si="34"/>
        <v>0.18</v>
      </c>
      <c r="X73" s="119"/>
      <c r="Y73" s="125">
        <f t="shared" si="35"/>
        <v>8586</v>
      </c>
      <c r="Z73" s="125">
        <f>8*8*2.25*CMF</f>
        <v>162</v>
      </c>
      <c r="AA73" s="120">
        <f t="shared" si="36"/>
        <v>0.12587412587412589</v>
      </c>
      <c r="AB73" s="119"/>
      <c r="AC73" s="125">
        <f t="shared" si="37"/>
        <v>5508</v>
      </c>
      <c r="AD73" s="125">
        <f>8*8*2.25*CMF</f>
        <v>162</v>
      </c>
      <c r="AE73" s="120">
        <f t="shared" si="38"/>
        <v>0.11141678129298486</v>
      </c>
      <c r="AF73" s="120"/>
      <c r="AG73" s="125">
        <f t="shared" si="4"/>
        <v>21708</v>
      </c>
      <c r="AH73" s="110">
        <f t="shared" si="39"/>
        <v>162</v>
      </c>
      <c r="AI73" s="120">
        <f t="shared" si="40"/>
        <v>0.135678391959799</v>
      </c>
      <c r="AJ73" s="119"/>
      <c r="AK73" s="122"/>
      <c r="AL73" s="123"/>
      <c r="AN73" s="117"/>
      <c r="AO73" s="139">
        <f>+AO72/-AO68</f>
        <v>0.87319905793272012</v>
      </c>
      <c r="AP73" s="119"/>
      <c r="AQ73" s="119"/>
    </row>
    <row r="74" spans="1:46" ht="12.75" thickBot="1">
      <c r="A74" s="59" t="s">
        <v>155</v>
      </c>
      <c r="B74" s="59" t="s">
        <v>52</v>
      </c>
      <c r="C74" s="116"/>
      <c r="D74" s="117">
        <f t="shared" si="28"/>
        <v>0</v>
      </c>
      <c r="E74" s="118" t="s">
        <v>195</v>
      </c>
      <c r="F74" s="118" t="s">
        <v>195</v>
      </c>
      <c r="G74" s="118" t="s">
        <v>195</v>
      </c>
      <c r="H74" s="118" t="s">
        <v>195</v>
      </c>
      <c r="I74" s="118" t="s">
        <v>195</v>
      </c>
      <c r="J74" s="118" t="s">
        <v>195</v>
      </c>
      <c r="K74" s="118" t="s">
        <v>195</v>
      </c>
      <c r="L74" s="119">
        <f t="shared" si="29"/>
        <v>0</v>
      </c>
      <c r="M74" s="119"/>
      <c r="N74" s="120">
        <f t="shared" si="30"/>
        <v>0</v>
      </c>
      <c r="O74" s="120">
        <f t="shared" si="30"/>
        <v>0</v>
      </c>
      <c r="P74" s="120"/>
      <c r="Q74" s="125">
        <f t="shared" si="31"/>
        <v>0</v>
      </c>
      <c r="R74" s="125">
        <f>$M74*CMF</f>
        <v>0</v>
      </c>
      <c r="S74" s="120">
        <f t="shared" si="32"/>
        <v>0</v>
      </c>
      <c r="T74" s="119"/>
      <c r="U74" s="125">
        <f t="shared" si="33"/>
        <v>0</v>
      </c>
      <c r="V74" s="125">
        <f>$M74*CMF</f>
        <v>0</v>
      </c>
      <c r="W74" s="120">
        <f t="shared" si="34"/>
        <v>0</v>
      </c>
      <c r="X74" s="119"/>
      <c r="Y74" s="125">
        <f t="shared" si="35"/>
        <v>0</v>
      </c>
      <c r="Z74" s="125">
        <f>$M74*CMF</f>
        <v>0</v>
      </c>
      <c r="AA74" s="120">
        <f t="shared" si="36"/>
        <v>0</v>
      </c>
      <c r="AB74" s="119"/>
      <c r="AC74" s="125">
        <f t="shared" si="37"/>
        <v>0</v>
      </c>
      <c r="AD74" s="125">
        <f>$M74*CMF</f>
        <v>0</v>
      </c>
      <c r="AE74" s="120">
        <f t="shared" si="38"/>
        <v>0</v>
      </c>
      <c r="AF74" s="120"/>
      <c r="AG74" s="125">
        <f t="shared" si="4"/>
        <v>0</v>
      </c>
      <c r="AH74" s="110">
        <f t="shared" si="39"/>
        <v>0</v>
      </c>
      <c r="AI74" s="120">
        <f t="shared" si="40"/>
        <v>0</v>
      </c>
      <c r="AJ74" s="119"/>
      <c r="AK74" s="122"/>
      <c r="AL74" s="123"/>
      <c r="AM74" s="11"/>
      <c r="AN74" s="117"/>
      <c r="AO74" s="119"/>
      <c r="AP74" s="119"/>
      <c r="AQ74" s="119"/>
    </row>
    <row r="75" spans="1:46" ht="12.75" thickBot="1">
      <c r="A75" s="59" t="s">
        <v>155</v>
      </c>
      <c r="B75" s="59" t="s">
        <v>53</v>
      </c>
      <c r="C75" s="116"/>
      <c r="D75" s="117">
        <f t="shared" si="28"/>
        <v>0</v>
      </c>
      <c r="E75" s="118" t="s">
        <v>195</v>
      </c>
      <c r="F75" s="118" t="s">
        <v>195</v>
      </c>
      <c r="G75" s="127"/>
      <c r="H75" s="118" t="s">
        <v>195</v>
      </c>
      <c r="I75" s="118" t="s">
        <v>195</v>
      </c>
      <c r="J75" s="127"/>
      <c r="K75" s="138" t="s">
        <v>200</v>
      </c>
      <c r="L75" s="119">
        <f t="shared" si="29"/>
        <v>0</v>
      </c>
      <c r="M75" s="119"/>
      <c r="N75" s="120">
        <f t="shared" si="30"/>
        <v>0</v>
      </c>
      <c r="O75" s="120">
        <f t="shared" si="30"/>
        <v>0</v>
      </c>
      <c r="P75" s="120"/>
      <c r="Q75" s="125">
        <f t="shared" si="31"/>
        <v>0</v>
      </c>
      <c r="R75" s="125">
        <f>$M75*CMF</f>
        <v>0</v>
      </c>
      <c r="S75" s="120">
        <f t="shared" si="32"/>
        <v>0</v>
      </c>
      <c r="T75" s="119"/>
      <c r="U75" s="125">
        <f t="shared" si="33"/>
        <v>0</v>
      </c>
      <c r="V75" s="125">
        <f>$M75*CMF</f>
        <v>0</v>
      </c>
      <c r="W75" s="120">
        <f t="shared" si="34"/>
        <v>0</v>
      </c>
      <c r="X75" s="119"/>
      <c r="Y75" s="125">
        <f t="shared" si="35"/>
        <v>0</v>
      </c>
      <c r="Z75" s="125">
        <f>$M75*CMF</f>
        <v>0</v>
      </c>
      <c r="AA75" s="120">
        <f t="shared" si="36"/>
        <v>0</v>
      </c>
      <c r="AB75" s="119"/>
      <c r="AC75" s="125">
        <f t="shared" si="37"/>
        <v>0</v>
      </c>
      <c r="AD75" s="125">
        <f>$M75*CMF</f>
        <v>0</v>
      </c>
      <c r="AE75" s="120">
        <f t="shared" si="38"/>
        <v>0</v>
      </c>
      <c r="AF75" s="120"/>
      <c r="AG75" s="125">
        <f>+Y75+U75+Q75+AC75</f>
        <v>0</v>
      </c>
      <c r="AH75" s="110">
        <f t="shared" si="39"/>
        <v>0</v>
      </c>
      <c r="AI75" s="120">
        <f t="shared" si="40"/>
        <v>0</v>
      </c>
      <c r="AJ75" s="119"/>
      <c r="AK75" s="122"/>
      <c r="AL75" s="123"/>
      <c r="AO75" s="119">
        <f>+AO69-AO71+0.05*AO69</f>
        <v>99747.936877282569</v>
      </c>
      <c r="AP75" s="119"/>
      <c r="AQ75" s="27">
        <f>AT75*12</f>
        <v>11399764.21454658</v>
      </c>
      <c r="AT75" s="110">
        <f>AO75/0.105</f>
        <v>949980.35121221503</v>
      </c>
    </row>
    <row r="76" spans="1:46" ht="12.75" thickBot="1">
      <c r="A76" s="59" t="s">
        <v>155</v>
      </c>
      <c r="B76" s="59" t="s">
        <v>54</v>
      </c>
      <c r="C76" s="116"/>
      <c r="D76" s="117">
        <f t="shared" si="28"/>
        <v>0</v>
      </c>
      <c r="E76" s="118" t="s">
        <v>195</v>
      </c>
      <c r="F76" s="118" t="s">
        <v>195</v>
      </c>
      <c r="G76" s="127"/>
      <c r="H76" s="118" t="s">
        <v>195</v>
      </c>
      <c r="I76" s="118" t="s">
        <v>195</v>
      </c>
      <c r="J76" s="127"/>
      <c r="K76" s="138" t="s">
        <v>200</v>
      </c>
      <c r="L76" s="119">
        <f t="shared" si="29"/>
        <v>0</v>
      </c>
      <c r="M76" s="119"/>
      <c r="N76" s="120">
        <f t="shared" si="30"/>
        <v>0</v>
      </c>
      <c r="O76" s="120">
        <f t="shared" si="30"/>
        <v>0</v>
      </c>
      <c r="P76" s="120"/>
      <c r="Q76" s="125">
        <f t="shared" si="31"/>
        <v>0</v>
      </c>
      <c r="R76" s="125">
        <f>$M76*CMF</f>
        <v>0</v>
      </c>
      <c r="S76" s="120">
        <f t="shared" si="32"/>
        <v>0</v>
      </c>
      <c r="T76" s="119"/>
      <c r="U76" s="125">
        <f t="shared" si="33"/>
        <v>0</v>
      </c>
      <c r="V76" s="125">
        <f>$M76*CMF</f>
        <v>0</v>
      </c>
      <c r="W76" s="120">
        <f t="shared" si="34"/>
        <v>0</v>
      </c>
      <c r="X76" s="119"/>
      <c r="Y76" s="125">
        <f t="shared" si="35"/>
        <v>0</v>
      </c>
      <c r="Z76" s="125">
        <f>$M76*CMF</f>
        <v>0</v>
      </c>
      <c r="AA76" s="120">
        <f t="shared" si="36"/>
        <v>0</v>
      </c>
      <c r="AB76" s="119"/>
      <c r="AC76" s="125">
        <f t="shared" si="37"/>
        <v>0</v>
      </c>
      <c r="AD76" s="125">
        <f>$M76*CMF</f>
        <v>0</v>
      </c>
      <c r="AE76" s="120">
        <f t="shared" si="38"/>
        <v>0</v>
      </c>
      <c r="AF76" s="120"/>
      <c r="AG76" s="125">
        <f>+Y76+U76+Q76+AC76</f>
        <v>0</v>
      </c>
      <c r="AH76" s="110">
        <f t="shared" si="39"/>
        <v>0</v>
      </c>
      <c r="AI76" s="120">
        <f t="shared" si="40"/>
        <v>0</v>
      </c>
      <c r="AJ76" s="119"/>
      <c r="AK76" s="122"/>
      <c r="AL76" s="123"/>
      <c r="AN76" s="117"/>
      <c r="AO76" s="119">
        <f>+AO68</f>
        <v>-91570.399842831044</v>
      </c>
      <c r="AP76" s="119"/>
      <c r="AQ76" s="119">
        <f>0.8*AQ75</f>
        <v>9119811.3716372643</v>
      </c>
    </row>
    <row r="77" spans="1:46" ht="12.75" thickBot="1">
      <c r="A77" s="59" t="s">
        <v>156</v>
      </c>
      <c r="B77" s="32" t="s">
        <v>197</v>
      </c>
      <c r="C77" s="116"/>
      <c r="D77" s="117">
        <f t="shared" si="28"/>
        <v>7.9207349008190552E-3</v>
      </c>
      <c r="E77" s="118" t="s">
        <v>195</v>
      </c>
      <c r="F77" s="118" t="s">
        <v>195</v>
      </c>
      <c r="G77" s="118" t="s">
        <v>195</v>
      </c>
      <c r="H77" s="118" t="s">
        <v>195</v>
      </c>
      <c r="I77" s="118" t="s">
        <v>195</v>
      </c>
      <c r="J77" s="118" t="s">
        <v>195</v>
      </c>
      <c r="K77" s="118" t="s">
        <v>195</v>
      </c>
      <c r="L77" s="119">
        <f t="shared" si="29"/>
        <v>5568.5</v>
      </c>
      <c r="M77" s="119">
        <f>1591/2</f>
        <v>795.5</v>
      </c>
      <c r="N77" s="120">
        <f t="shared" si="30"/>
        <v>0.578125</v>
      </c>
      <c r="O77" s="120">
        <f t="shared" si="30"/>
        <v>0.45823732718894011</v>
      </c>
      <c r="P77" s="120"/>
      <c r="Q77" s="125">
        <f t="shared" si="31"/>
        <v>0</v>
      </c>
      <c r="R77" s="125">
        <f>(28+20)*15*CMF</f>
        <v>810</v>
      </c>
      <c r="S77" s="120">
        <f t="shared" si="32"/>
        <v>0.67612687813021699</v>
      </c>
      <c r="T77" s="119"/>
      <c r="U77" s="125">
        <f t="shared" si="33"/>
        <v>28417.668749999997</v>
      </c>
      <c r="V77" s="125">
        <f>(15.83+20)*15*CMF</f>
        <v>604.63124999999991</v>
      </c>
      <c r="W77" s="120">
        <f t="shared" si="34"/>
        <v>0.67181249999999992</v>
      </c>
      <c r="X77" s="119"/>
      <c r="Y77" s="125">
        <f t="shared" si="35"/>
        <v>41141.25</v>
      </c>
      <c r="Z77" s="125">
        <f>(26+20)*15*CMF</f>
        <v>776.25</v>
      </c>
      <c r="AA77" s="120">
        <f t="shared" si="36"/>
        <v>0.60314685314685312</v>
      </c>
      <c r="AB77" s="119"/>
      <c r="AC77" s="125">
        <f t="shared" si="37"/>
        <v>26392.5</v>
      </c>
      <c r="AD77" s="125">
        <f>(26+20)*15*CMF</f>
        <v>776.25</v>
      </c>
      <c r="AE77" s="120">
        <f t="shared" si="38"/>
        <v>0.53387207702888584</v>
      </c>
      <c r="AF77" s="120"/>
      <c r="AG77" s="125">
        <f>+Y77+U77+Q77+AC77</f>
        <v>95951.418749999997</v>
      </c>
      <c r="AH77" s="110">
        <f t="shared" si="39"/>
        <v>716.05536380597016</v>
      </c>
      <c r="AI77" s="120">
        <f t="shared" si="40"/>
        <v>0.59971135997149927</v>
      </c>
      <c r="AJ77" s="119"/>
      <c r="AK77" s="122"/>
      <c r="AL77" s="123"/>
      <c r="AM77" s="11"/>
      <c r="AO77" s="119">
        <f>+AO76+AO75</f>
        <v>8177.537034451525</v>
      </c>
      <c r="AP77" s="119"/>
      <c r="AQ77" s="119"/>
    </row>
    <row r="78" spans="1:46" ht="12.75" thickBot="1">
      <c r="A78" s="59" t="s">
        <v>156</v>
      </c>
      <c r="B78" s="32" t="s">
        <v>198</v>
      </c>
      <c r="C78" s="116"/>
      <c r="D78" s="117">
        <f t="shared" si="28"/>
        <v>2.7331762794152495E-3</v>
      </c>
      <c r="E78" s="118" t="s">
        <v>195</v>
      </c>
      <c r="F78" s="118" t="s">
        <v>195</v>
      </c>
      <c r="G78" s="127"/>
      <c r="H78" s="118" t="s">
        <v>195</v>
      </c>
      <c r="I78" s="118" t="s">
        <v>195</v>
      </c>
      <c r="J78" s="127"/>
      <c r="K78" s="127"/>
      <c r="L78" s="119">
        <f t="shared" si="29"/>
        <v>1921.5</v>
      </c>
      <c r="M78" s="119">
        <f>549/2</f>
        <v>274.5</v>
      </c>
      <c r="N78" s="120">
        <f t="shared" si="30"/>
        <v>0.19949127906976744</v>
      </c>
      <c r="O78" s="120">
        <f t="shared" si="30"/>
        <v>0.15812211981566821</v>
      </c>
      <c r="P78" s="120"/>
      <c r="Q78" s="125">
        <f t="shared" si="31"/>
        <v>0</v>
      </c>
      <c r="R78" s="27">
        <v>0</v>
      </c>
      <c r="S78" s="120">
        <f t="shared" si="32"/>
        <v>0</v>
      </c>
      <c r="T78" s="119"/>
      <c r="U78" s="125">
        <f t="shared" si="33"/>
        <v>0</v>
      </c>
      <c r="V78" s="27">
        <v>0</v>
      </c>
      <c r="W78" s="120">
        <f t="shared" si="34"/>
        <v>0</v>
      </c>
      <c r="X78" s="119"/>
      <c r="Y78" s="125">
        <f t="shared" si="35"/>
        <v>0</v>
      </c>
      <c r="Z78" s="27">
        <v>0</v>
      </c>
      <c r="AA78" s="120">
        <f t="shared" si="36"/>
        <v>0</v>
      </c>
      <c r="AB78" s="119"/>
      <c r="AC78" s="125">
        <f t="shared" si="37"/>
        <v>0</v>
      </c>
      <c r="AD78" s="27">
        <v>0</v>
      </c>
      <c r="AE78" s="120">
        <f t="shared" si="38"/>
        <v>0</v>
      </c>
      <c r="AF78" s="120"/>
      <c r="AG78" s="125">
        <f>+Y78+U78+Q78+AC78</f>
        <v>0</v>
      </c>
      <c r="AH78" s="110">
        <f t="shared" si="39"/>
        <v>0</v>
      </c>
      <c r="AI78" s="120">
        <f t="shared" si="40"/>
        <v>0</v>
      </c>
      <c r="AJ78" s="119"/>
      <c r="AK78" s="122"/>
      <c r="AL78" s="123"/>
      <c r="AN78" s="117"/>
      <c r="AO78" s="119">
        <f>AO77*12</f>
        <v>98130.4444134183</v>
      </c>
      <c r="AP78" s="119"/>
      <c r="AQ78" s="119"/>
    </row>
    <row r="79" spans="1:46">
      <c r="A79" s="59" t="s">
        <v>156</v>
      </c>
      <c r="B79" s="27" t="s">
        <v>63</v>
      </c>
      <c r="C79" s="116"/>
      <c r="D79" s="117">
        <f t="shared" si="28"/>
        <v>0</v>
      </c>
      <c r="E79" s="118" t="s">
        <v>196</v>
      </c>
      <c r="F79" s="118"/>
      <c r="G79" s="118"/>
      <c r="H79" s="118"/>
      <c r="I79" s="118"/>
      <c r="J79" s="118"/>
      <c r="K79" s="118"/>
      <c r="L79" s="119">
        <f t="shared" si="29"/>
        <v>0</v>
      </c>
      <c r="M79" s="119">
        <f>0/2</f>
        <v>0</v>
      </c>
      <c r="N79" s="120">
        <f t="shared" si="30"/>
        <v>0</v>
      </c>
      <c r="O79" s="120">
        <f t="shared" si="30"/>
        <v>0</v>
      </c>
      <c r="P79" s="120"/>
      <c r="Q79" s="125">
        <f t="shared" si="31"/>
        <v>0</v>
      </c>
      <c r="R79" s="125"/>
      <c r="S79" s="120">
        <f t="shared" si="32"/>
        <v>0</v>
      </c>
      <c r="T79" s="119"/>
      <c r="U79" s="125">
        <f t="shared" si="33"/>
        <v>0</v>
      </c>
      <c r="V79" s="125"/>
      <c r="W79" s="120">
        <f t="shared" si="34"/>
        <v>0</v>
      </c>
      <c r="X79" s="119"/>
      <c r="Y79" s="125">
        <f t="shared" si="35"/>
        <v>0</v>
      </c>
      <c r="Z79" s="125"/>
      <c r="AA79" s="120">
        <f t="shared" si="36"/>
        <v>0</v>
      </c>
      <c r="AB79" s="119"/>
      <c r="AC79" s="125">
        <f t="shared" si="37"/>
        <v>0</v>
      </c>
      <c r="AD79" s="125"/>
      <c r="AE79" s="120">
        <f t="shared" si="38"/>
        <v>0</v>
      </c>
      <c r="AF79" s="120"/>
      <c r="AG79" s="125">
        <f>+Y79+U79+Q79+AC79</f>
        <v>0</v>
      </c>
      <c r="AH79" s="110">
        <f t="shared" si="39"/>
        <v>0</v>
      </c>
      <c r="AI79" s="120">
        <f t="shared" si="40"/>
        <v>0</v>
      </c>
      <c r="AJ79" s="119"/>
      <c r="AK79" s="122"/>
      <c r="AL79" s="123"/>
      <c r="AN79" s="117"/>
      <c r="AO79" s="119">
        <f>AO78/0.105</f>
        <v>934575.66108017426</v>
      </c>
      <c r="AP79" s="135"/>
      <c r="AQ79" s="119"/>
    </row>
    <row r="80" spans="1:46" ht="12.75" thickBot="1">
      <c r="B80" s="30" t="s">
        <v>55</v>
      </c>
      <c r="C80" s="116"/>
      <c r="D80" s="117"/>
      <c r="E80" s="118"/>
      <c r="F80" s="118"/>
      <c r="G80" s="118"/>
      <c r="H80" s="118"/>
      <c r="I80" s="118"/>
      <c r="J80" s="118"/>
      <c r="K80" s="118"/>
      <c r="L80" s="119"/>
      <c r="M80" s="119"/>
      <c r="N80" s="120"/>
      <c r="O80" s="120"/>
      <c r="P80" s="120"/>
      <c r="Q80" s="125"/>
      <c r="R80" s="125"/>
      <c r="S80" s="120"/>
      <c r="T80" s="119"/>
      <c r="U80" s="125"/>
      <c r="V80" s="125"/>
      <c r="W80" s="120"/>
      <c r="X80" s="119"/>
      <c r="Y80" s="125"/>
      <c r="Z80" s="125"/>
      <c r="AA80" s="120"/>
      <c r="AB80" s="119"/>
      <c r="AC80" s="125"/>
      <c r="AD80" s="125"/>
      <c r="AE80" s="120"/>
      <c r="AF80" s="120"/>
      <c r="AG80" s="125"/>
      <c r="AH80" s="110" t="s">
        <v>72</v>
      </c>
      <c r="AI80" s="120"/>
      <c r="AJ80" s="119"/>
      <c r="AK80" s="122"/>
      <c r="AL80" s="123"/>
      <c r="AN80" s="117"/>
      <c r="AO80" s="119"/>
      <c r="AP80" s="119"/>
      <c r="AQ80" s="119"/>
    </row>
    <row r="81" spans="1:43" ht="12.75" thickBot="1">
      <c r="A81" s="59" t="s">
        <v>153</v>
      </c>
      <c r="B81" s="27" t="s">
        <v>56</v>
      </c>
      <c r="C81" s="116"/>
      <c r="D81" s="117">
        <f t="shared" ref="D81:D87" si="41">L81/$L$88</f>
        <v>4.7843031047687702E-3</v>
      </c>
      <c r="E81" s="118" t="s">
        <v>195</v>
      </c>
      <c r="F81" s="118" t="s">
        <v>195</v>
      </c>
      <c r="G81" s="127"/>
      <c r="H81" s="118" t="s">
        <v>195</v>
      </c>
      <c r="I81" s="118" t="s">
        <v>195</v>
      </c>
      <c r="J81" s="127"/>
      <c r="K81" s="74" t="s">
        <v>195</v>
      </c>
      <c r="L81" s="119">
        <f t="shared" ref="L81:L87" si="42">7*M81</f>
        <v>3363.5</v>
      </c>
      <c r="M81" s="119">
        <f>961/2</f>
        <v>480.5</v>
      </c>
      <c r="N81" s="120">
        <f t="shared" si="30"/>
        <v>0.34920058139534882</v>
      </c>
      <c r="O81" s="120">
        <f t="shared" si="30"/>
        <v>0.2767857142857143</v>
      </c>
      <c r="P81" s="120"/>
      <c r="Q81" s="125">
        <f t="shared" ref="Q81:Q87" si="43">R81*Q$7</f>
        <v>0</v>
      </c>
      <c r="R81" s="125">
        <f>(((40*8*2)*4.33*15)*CMF)/SM134Units</f>
        <v>348.9850746268657</v>
      </c>
      <c r="S81" s="120">
        <f t="shared" ref="S81:S88" si="44">+R81/R$8</f>
        <v>0.29130640619938708</v>
      </c>
      <c r="T81" s="119"/>
      <c r="U81" s="125">
        <f t="shared" ref="U81:U87" si="45">V81*U$7</f>
        <v>16402.298507462689</v>
      </c>
      <c r="V81" s="125">
        <f>(((40*8*2)*4.33*15)*CMF)/SM134Units</f>
        <v>348.9850746268657</v>
      </c>
      <c r="W81" s="120">
        <f t="shared" ref="W81:W88" si="46">+V81/V$8</f>
        <v>0.38776119402985076</v>
      </c>
      <c r="X81" s="119"/>
      <c r="Y81" s="125">
        <f t="shared" ref="Y81:Y87" si="47">Z81*Y$7</f>
        <v>18496.208955223883</v>
      </c>
      <c r="Z81" s="125">
        <f>(((40*8*2)*4.33*15)*CMF)/SM134Units</f>
        <v>348.9850746268657</v>
      </c>
      <c r="AA81" s="120">
        <f t="shared" ref="AA81:AA88" si="48">+Z81/Z$8</f>
        <v>0.2711616741467488</v>
      </c>
      <c r="AB81" s="119"/>
      <c r="AC81" s="125">
        <f t="shared" ref="AC81:AC87" si="49">AD81*AC$7</f>
        <v>11865.492537313434</v>
      </c>
      <c r="AD81" s="125">
        <f>(((40*8*2)*4.33*15)*CMF)/SM134Units</f>
        <v>348.9850746268657</v>
      </c>
      <c r="AE81" s="120">
        <f t="shared" ref="AE81:AE88" si="50">+AD81/AD$8</f>
        <v>0.24001724527294752</v>
      </c>
      <c r="AF81" s="120"/>
      <c r="AG81" s="125">
        <f t="shared" ref="AG81:AG87" si="51">+Y81+U81+Q81+AC81</f>
        <v>46764</v>
      </c>
      <c r="AH81" s="110">
        <f t="shared" ref="AH81:AH87" si="52">+AG81/AG$7</f>
        <v>348.9850746268657</v>
      </c>
      <c r="AI81" s="120">
        <f t="shared" ref="AI81:AI88" si="53">+AH81/AH$8</f>
        <v>0.29228230705767644</v>
      </c>
      <c r="AJ81" s="119"/>
      <c r="AK81" s="122"/>
      <c r="AL81" s="123"/>
      <c r="AM81" s="11"/>
      <c r="AO81" s="119">
        <v>7000</v>
      </c>
      <c r="AP81" s="119"/>
      <c r="AQ81" s="119"/>
    </row>
    <row r="82" spans="1:43" ht="12.75" thickBot="1">
      <c r="A82" s="59" t="s">
        <v>153</v>
      </c>
      <c r="B82" s="27" t="s">
        <v>57</v>
      </c>
      <c r="C82" s="116"/>
      <c r="D82" s="117">
        <f t="shared" si="41"/>
        <v>1.7424621089168256E-3</v>
      </c>
      <c r="E82" s="118" t="s">
        <v>195</v>
      </c>
      <c r="F82" s="118" t="s">
        <v>195</v>
      </c>
      <c r="G82" s="127"/>
      <c r="H82" s="118" t="s">
        <v>195</v>
      </c>
      <c r="I82" s="118" t="s">
        <v>195</v>
      </c>
      <c r="J82" s="127"/>
      <c r="K82" s="74" t="s">
        <v>195</v>
      </c>
      <c r="L82" s="119">
        <f t="shared" si="42"/>
        <v>1225</v>
      </c>
      <c r="M82" s="119">
        <f>350/2</f>
        <v>175</v>
      </c>
      <c r="N82" s="120">
        <f t="shared" ref="N82:O88" si="54">$M82/N$8</f>
        <v>0.12718023255813954</v>
      </c>
      <c r="O82" s="120">
        <f t="shared" si="54"/>
        <v>0.10080645161290322</v>
      </c>
      <c r="P82" s="120"/>
      <c r="Q82" s="125">
        <f t="shared" si="43"/>
        <v>0</v>
      </c>
      <c r="R82" s="125">
        <f>0.15*R$8*CMF</f>
        <v>202.16249999999999</v>
      </c>
      <c r="S82" s="120">
        <f t="shared" si="44"/>
        <v>0.16874999999999998</v>
      </c>
      <c r="T82" s="119"/>
      <c r="U82" s="125">
        <f t="shared" si="45"/>
        <v>7138.125</v>
      </c>
      <c r="V82" s="125">
        <f>0.15*V$8*CMF</f>
        <v>151.875</v>
      </c>
      <c r="W82" s="120">
        <f t="shared" si="46"/>
        <v>0.16875000000000001</v>
      </c>
      <c r="X82" s="119"/>
      <c r="Y82" s="125">
        <f t="shared" si="47"/>
        <v>11510.606249999999</v>
      </c>
      <c r="Z82" s="125">
        <f>0.15*Z$8*CMF</f>
        <v>217.18124999999998</v>
      </c>
      <c r="AA82" s="120">
        <f t="shared" si="48"/>
        <v>0.16874999999999998</v>
      </c>
      <c r="AB82" s="119"/>
      <c r="AC82" s="125">
        <f t="shared" si="49"/>
        <v>8342.3249999999989</v>
      </c>
      <c r="AD82" s="125">
        <f>0.15*AD$8*CMF</f>
        <v>245.36249999999998</v>
      </c>
      <c r="AE82" s="120">
        <f t="shared" si="50"/>
        <v>0.16874999999999998</v>
      </c>
      <c r="AF82" s="120"/>
      <c r="AG82" s="125">
        <f t="shared" si="51"/>
        <v>26991.056249999994</v>
      </c>
      <c r="AH82" s="110">
        <f t="shared" si="52"/>
        <v>201.42579291044771</v>
      </c>
      <c r="AI82" s="120">
        <f t="shared" si="53"/>
        <v>0.16869831902047547</v>
      </c>
      <c r="AJ82" s="119"/>
      <c r="AK82" s="122"/>
      <c r="AL82" s="123"/>
      <c r="AN82" s="117"/>
      <c r="AO82" s="119">
        <f>1250*14+1220*14</f>
        <v>34580</v>
      </c>
      <c r="AP82" s="119"/>
      <c r="AQ82" s="119"/>
    </row>
    <row r="83" spans="1:43" ht="12.75" thickBot="1">
      <c r="A83" s="59" t="s">
        <v>153</v>
      </c>
      <c r="B83" s="27" t="s">
        <v>58</v>
      </c>
      <c r="C83" s="116"/>
      <c r="D83" s="117">
        <f t="shared" si="41"/>
        <v>4.8838723681354458E-3</v>
      </c>
      <c r="E83" s="118" t="s">
        <v>195</v>
      </c>
      <c r="F83" s="118" t="s">
        <v>195</v>
      </c>
      <c r="G83" s="127"/>
      <c r="H83" s="118" t="s">
        <v>195</v>
      </c>
      <c r="I83" s="118" t="s">
        <v>195</v>
      </c>
      <c r="J83" s="127"/>
      <c r="K83" s="74" t="s">
        <v>195</v>
      </c>
      <c r="L83" s="119">
        <f t="shared" si="42"/>
        <v>3433.5</v>
      </c>
      <c r="M83" s="119">
        <f>981/2</f>
        <v>490.5</v>
      </c>
      <c r="N83" s="120">
        <f t="shared" si="54"/>
        <v>0.35646802325581395</v>
      </c>
      <c r="O83" s="120">
        <f t="shared" si="54"/>
        <v>0.28254608294930877</v>
      </c>
      <c r="P83" s="120"/>
      <c r="Q83" s="125">
        <f t="shared" si="43"/>
        <v>0</v>
      </c>
      <c r="R83" s="125">
        <f>$M83*CMF</f>
        <v>551.8125</v>
      </c>
      <c r="S83" s="120">
        <f t="shared" si="44"/>
        <v>0.46061143572621033</v>
      </c>
      <c r="T83" s="119"/>
      <c r="U83" s="125">
        <f t="shared" si="45"/>
        <v>25935.1875</v>
      </c>
      <c r="V83" s="125">
        <f>$M83*CMF</f>
        <v>551.8125</v>
      </c>
      <c r="W83" s="120">
        <f t="shared" si="46"/>
        <v>0.61312500000000003</v>
      </c>
      <c r="X83" s="119"/>
      <c r="Y83" s="125">
        <f t="shared" si="47"/>
        <v>29246.0625</v>
      </c>
      <c r="Z83" s="125">
        <f>$M83*CMF</f>
        <v>551.8125</v>
      </c>
      <c r="AA83" s="120">
        <f t="shared" si="48"/>
        <v>0.42875874125874125</v>
      </c>
      <c r="AB83" s="119"/>
      <c r="AC83" s="125">
        <f t="shared" si="49"/>
        <v>18761.625</v>
      </c>
      <c r="AD83" s="125">
        <f>$M83*CMF</f>
        <v>551.8125</v>
      </c>
      <c r="AE83" s="120">
        <f t="shared" si="50"/>
        <v>0.37951341127922972</v>
      </c>
      <c r="AF83" s="120"/>
      <c r="AG83" s="125">
        <f t="shared" si="51"/>
        <v>73942.875</v>
      </c>
      <c r="AH83" s="110">
        <f t="shared" si="52"/>
        <v>551.8125</v>
      </c>
      <c r="AI83" s="120">
        <f t="shared" si="53"/>
        <v>0.46215452261306533</v>
      </c>
      <c r="AJ83" s="119"/>
      <c r="AK83" s="122"/>
      <c r="AL83" s="123"/>
      <c r="AN83" s="117"/>
      <c r="AO83" s="119">
        <f>28*3*475</f>
        <v>39900</v>
      </c>
      <c r="AP83" s="119"/>
      <c r="AQ83" s="119"/>
    </row>
    <row r="84" spans="1:43" ht="12.75" thickBot="1">
      <c r="A84" s="59" t="s">
        <v>153</v>
      </c>
      <c r="B84" s="27" t="s">
        <v>59</v>
      </c>
      <c r="C84" s="116"/>
      <c r="D84" s="117">
        <f t="shared" si="41"/>
        <v>4.3959829776387344E-3</v>
      </c>
      <c r="E84" s="118" t="s">
        <v>195</v>
      </c>
      <c r="F84" s="118" t="s">
        <v>195</v>
      </c>
      <c r="G84" s="127"/>
      <c r="H84" s="118" t="s">
        <v>195</v>
      </c>
      <c r="I84" s="118" t="s">
        <v>195</v>
      </c>
      <c r="J84" s="127"/>
      <c r="K84" s="74" t="s">
        <v>195</v>
      </c>
      <c r="L84" s="119">
        <f t="shared" si="42"/>
        <v>3090.5</v>
      </c>
      <c r="M84" s="119">
        <f>883/2</f>
        <v>441.5</v>
      </c>
      <c r="N84" s="120">
        <f t="shared" si="54"/>
        <v>0.32085755813953487</v>
      </c>
      <c r="O84" s="120">
        <f t="shared" si="54"/>
        <v>0.25432027649769584</v>
      </c>
      <c r="P84" s="120"/>
      <c r="Q84" s="125">
        <f t="shared" si="43"/>
        <v>0</v>
      </c>
      <c r="R84" s="125">
        <f>$M84*CMF</f>
        <v>496.6875</v>
      </c>
      <c r="S84" s="120">
        <f t="shared" si="44"/>
        <v>0.41459724540901505</v>
      </c>
      <c r="T84" s="119"/>
      <c r="U84" s="125">
        <f t="shared" si="45"/>
        <v>23344.3125</v>
      </c>
      <c r="V84" s="125">
        <f>$M84*CMF</f>
        <v>496.6875</v>
      </c>
      <c r="W84" s="120">
        <f t="shared" si="46"/>
        <v>0.551875</v>
      </c>
      <c r="X84" s="119"/>
      <c r="Y84" s="125">
        <f t="shared" si="47"/>
        <v>26324.4375</v>
      </c>
      <c r="Z84" s="125">
        <f>$M84*CMF</f>
        <v>496.6875</v>
      </c>
      <c r="AA84" s="120">
        <f t="shared" si="48"/>
        <v>0.38592657342657344</v>
      </c>
      <c r="AB84" s="119"/>
      <c r="AC84" s="125">
        <f t="shared" si="49"/>
        <v>16887.375</v>
      </c>
      <c r="AD84" s="125">
        <f>$M84*CMF</f>
        <v>496.6875</v>
      </c>
      <c r="AE84" s="120">
        <f t="shared" si="50"/>
        <v>0.34160075653370015</v>
      </c>
      <c r="AF84" s="120"/>
      <c r="AG84" s="125">
        <f t="shared" si="51"/>
        <v>66556.125</v>
      </c>
      <c r="AH84" s="110">
        <f t="shared" si="52"/>
        <v>496.6875</v>
      </c>
      <c r="AI84" s="120">
        <f t="shared" si="53"/>
        <v>0.41598618090452261</v>
      </c>
      <c r="AJ84" s="119"/>
      <c r="AK84" s="122"/>
      <c r="AM84" s="11"/>
      <c r="AO84" s="119">
        <f>+AO83-AO82</f>
        <v>5320</v>
      </c>
      <c r="AP84" s="119"/>
      <c r="AQ84" s="119"/>
    </row>
    <row r="85" spans="1:43" ht="12.75" thickBot="1">
      <c r="A85" s="59" t="s">
        <v>153</v>
      </c>
      <c r="B85" s="27" t="s">
        <v>60</v>
      </c>
      <c r="C85" s="116"/>
      <c r="D85" s="117">
        <f t="shared" si="41"/>
        <v>4.9286785366504493E-4</v>
      </c>
      <c r="E85" s="118" t="s">
        <v>195</v>
      </c>
      <c r="F85" s="118" t="s">
        <v>195</v>
      </c>
      <c r="G85" s="127"/>
      <c r="H85" s="118" t="s">
        <v>195</v>
      </c>
      <c r="I85" s="118" t="s">
        <v>195</v>
      </c>
      <c r="J85" s="127"/>
      <c r="K85" s="74" t="s">
        <v>195</v>
      </c>
      <c r="L85" s="119">
        <f t="shared" si="42"/>
        <v>346.5</v>
      </c>
      <c r="M85" s="119">
        <f>99/2</f>
        <v>49.5</v>
      </c>
      <c r="N85" s="120">
        <f t="shared" si="54"/>
        <v>3.5973837209302327E-2</v>
      </c>
      <c r="O85" s="120">
        <f t="shared" si="54"/>
        <v>2.8513824884792628E-2</v>
      </c>
      <c r="P85" s="120"/>
      <c r="Q85" s="125">
        <f t="shared" si="43"/>
        <v>0</v>
      </c>
      <c r="R85" s="125">
        <f>((70*4.33*15)*CMF)/SM134Units</f>
        <v>38.170242537313435</v>
      </c>
      <c r="S85" s="120">
        <f t="shared" si="44"/>
        <v>3.1861638178057962E-2</v>
      </c>
      <c r="T85" s="119"/>
      <c r="U85" s="125">
        <f t="shared" si="45"/>
        <v>1794.0013992537315</v>
      </c>
      <c r="V85" s="125">
        <f>((70*4.33*15)*CMF)/SM134Units</f>
        <v>38.170242537313435</v>
      </c>
      <c r="W85" s="120">
        <f t="shared" si="46"/>
        <v>4.2411380597014929E-2</v>
      </c>
      <c r="X85" s="119"/>
      <c r="Y85" s="125">
        <f t="shared" si="47"/>
        <v>2023.0228544776121</v>
      </c>
      <c r="Z85" s="125">
        <f>((70*4.33*15)*CMF)/SM134Units</f>
        <v>38.170242537313435</v>
      </c>
      <c r="AA85" s="120">
        <f t="shared" si="48"/>
        <v>2.9658308109800649E-2</v>
      </c>
      <c r="AB85" s="119"/>
      <c r="AC85" s="125">
        <f t="shared" si="49"/>
        <v>1297.7882462686568</v>
      </c>
      <c r="AD85" s="125">
        <f>((70*4.33*15)*CMF)/SM134Units</f>
        <v>38.170242537313435</v>
      </c>
      <c r="AE85" s="120">
        <f t="shared" si="50"/>
        <v>2.6251886201728636E-2</v>
      </c>
      <c r="AF85" s="120"/>
      <c r="AG85" s="125">
        <f t="shared" si="51"/>
        <v>5114.8125</v>
      </c>
      <c r="AH85" s="110">
        <f t="shared" si="52"/>
        <v>38.170242537313435</v>
      </c>
      <c r="AI85" s="120">
        <f t="shared" si="53"/>
        <v>3.1968377334433362E-2</v>
      </c>
      <c r="AJ85" s="119"/>
      <c r="AK85" s="122"/>
      <c r="AL85" s="119"/>
      <c r="AN85" s="117"/>
      <c r="AO85" s="119">
        <f>+AO84+AO81</f>
        <v>12320</v>
      </c>
      <c r="AP85" s="119"/>
      <c r="AQ85" s="119"/>
    </row>
    <row r="86" spans="1:43" ht="12.75" thickBot="1">
      <c r="A86" s="59" t="s">
        <v>152</v>
      </c>
      <c r="B86" s="30" t="s">
        <v>61</v>
      </c>
      <c r="C86" s="116"/>
      <c r="D86" s="117">
        <f t="shared" si="41"/>
        <v>9.9569263366675754E-3</v>
      </c>
      <c r="E86" s="118" t="s">
        <v>195</v>
      </c>
      <c r="F86" s="118" t="s">
        <v>195</v>
      </c>
      <c r="G86" s="127"/>
      <c r="H86" s="118" t="s">
        <v>195</v>
      </c>
      <c r="I86" s="118" t="s">
        <v>195</v>
      </c>
      <c r="J86" s="127"/>
      <c r="K86" s="74" t="s">
        <v>195</v>
      </c>
      <c r="L86" s="119">
        <f t="shared" si="42"/>
        <v>7000</v>
      </c>
      <c r="M86" s="119">
        <f>2000/2</f>
        <v>1000</v>
      </c>
      <c r="N86" s="120">
        <f t="shared" si="54"/>
        <v>0.72674418604651159</v>
      </c>
      <c r="O86" s="120">
        <f t="shared" si="54"/>
        <v>0.57603686635944695</v>
      </c>
      <c r="P86" s="120"/>
      <c r="Q86" s="125">
        <f t="shared" si="43"/>
        <v>0</v>
      </c>
      <c r="R86" s="125">
        <f>$M86*CMF</f>
        <v>1125</v>
      </c>
      <c r="S86" s="120">
        <f t="shared" si="44"/>
        <v>0.93906510851419034</v>
      </c>
      <c r="T86" s="119"/>
      <c r="U86" s="125">
        <f t="shared" si="45"/>
        <v>52875</v>
      </c>
      <c r="V86" s="125">
        <f>$M86*CMF</f>
        <v>1125</v>
      </c>
      <c r="W86" s="120">
        <f t="shared" si="46"/>
        <v>1.25</v>
      </c>
      <c r="X86" s="119"/>
      <c r="Y86" s="125">
        <f t="shared" si="47"/>
        <v>59625</v>
      </c>
      <c r="Z86" s="125">
        <f>$M86*CMF</f>
        <v>1125</v>
      </c>
      <c r="AA86" s="120">
        <f t="shared" si="48"/>
        <v>0.87412587412587417</v>
      </c>
      <c r="AB86" s="119"/>
      <c r="AC86" s="125">
        <f t="shared" si="49"/>
        <v>38250</v>
      </c>
      <c r="AD86" s="125">
        <f>$M86*CMF</f>
        <v>1125</v>
      </c>
      <c r="AE86" s="120">
        <f t="shared" si="50"/>
        <v>0.77372764786795045</v>
      </c>
      <c r="AF86" s="120"/>
      <c r="AG86" s="125">
        <f t="shared" si="51"/>
        <v>150750</v>
      </c>
      <c r="AH86" s="110">
        <f t="shared" si="52"/>
        <v>1125</v>
      </c>
      <c r="AI86" s="120">
        <f t="shared" si="53"/>
        <v>0.94221105527638194</v>
      </c>
      <c r="AJ86" s="119"/>
      <c r="AK86" s="122"/>
      <c r="AN86" s="117"/>
      <c r="AO86" s="119">
        <f>AO85*0.58</f>
        <v>7145.5999999999995</v>
      </c>
      <c r="AP86" s="119"/>
      <c r="AQ86" s="119"/>
    </row>
    <row r="87" spans="1:43" ht="12.75" thickBot="1">
      <c r="A87" s="59" t="s">
        <v>214</v>
      </c>
      <c r="B87" s="30" t="s">
        <v>62</v>
      </c>
      <c r="C87" s="116"/>
      <c r="D87" s="117">
        <f t="shared" si="41"/>
        <v>1.2799628805786167E-2</v>
      </c>
      <c r="E87" s="118" t="s">
        <v>195</v>
      </c>
      <c r="F87" s="118" t="s">
        <v>195</v>
      </c>
      <c r="G87" s="127"/>
      <c r="H87" s="118" t="s">
        <v>195</v>
      </c>
      <c r="I87" s="118" t="s">
        <v>195</v>
      </c>
      <c r="J87" s="127"/>
      <c r="K87" s="74" t="s">
        <v>195</v>
      </c>
      <c r="L87" s="119">
        <f t="shared" si="42"/>
        <v>8998.5</v>
      </c>
      <c r="M87" s="119">
        <f>2571/2</f>
        <v>1285.5</v>
      </c>
      <c r="N87" s="120">
        <f t="shared" si="54"/>
        <v>0.93422965116279066</v>
      </c>
      <c r="O87" s="120">
        <f t="shared" si="54"/>
        <v>0.74049539170506917</v>
      </c>
      <c r="P87" s="120"/>
      <c r="Q87" s="125">
        <f t="shared" si="43"/>
        <v>0</v>
      </c>
      <c r="R87" s="125">
        <f>(((1000+500+500+500)*4.33*15)*CMF)/SM134Units</f>
        <v>1363.2229477611941</v>
      </c>
      <c r="S87" s="120">
        <f t="shared" si="44"/>
        <v>1.1379156492163556</v>
      </c>
      <c r="T87" s="119"/>
      <c r="U87" s="125">
        <f t="shared" si="45"/>
        <v>64071.478544776124</v>
      </c>
      <c r="V87" s="125">
        <f>(((1000+500+500+500)*4.33*15)*CMF)/SM134Units</f>
        <v>1363.2229477611941</v>
      </c>
      <c r="W87" s="120">
        <f t="shared" si="46"/>
        <v>1.5146921641791045</v>
      </c>
      <c r="X87" s="119"/>
      <c r="Y87" s="125">
        <f t="shared" si="47"/>
        <v>72250.816231343284</v>
      </c>
      <c r="Z87" s="125">
        <f>(((1000+500+500+500)*4.33*15)*CMF)/SM134Units</f>
        <v>1363.2229477611941</v>
      </c>
      <c r="AA87" s="120">
        <f t="shared" si="48"/>
        <v>1.0592252896357375</v>
      </c>
      <c r="AB87" s="119"/>
      <c r="AC87" s="125">
        <f t="shared" si="49"/>
        <v>46349.580223880599</v>
      </c>
      <c r="AD87" s="125">
        <f>(((1000+500+500+500)*4.33*15)*CMF)/SM134Units</f>
        <v>1363.2229477611941</v>
      </c>
      <c r="AE87" s="120">
        <f t="shared" si="50"/>
        <v>0.93756736434745125</v>
      </c>
      <c r="AF87" s="120"/>
      <c r="AG87" s="125">
        <f t="shared" si="51"/>
        <v>182671.875</v>
      </c>
      <c r="AH87" s="110">
        <f t="shared" si="52"/>
        <v>1363.2229477611941</v>
      </c>
      <c r="AI87" s="120">
        <f t="shared" si="53"/>
        <v>1.1417277619440487</v>
      </c>
      <c r="AJ87" s="119"/>
      <c r="AK87" s="122"/>
      <c r="AM87" s="119"/>
      <c r="AO87" s="27">
        <f>0.5*AO78/12</f>
        <v>4088.7685172257625</v>
      </c>
      <c r="AQ87" s="119"/>
    </row>
    <row r="88" spans="1:43" ht="12.75" thickBot="1">
      <c r="A88" s="140"/>
      <c r="B88" s="33" t="s">
        <v>255</v>
      </c>
      <c r="C88" s="33"/>
      <c r="D88" s="91">
        <f>SUM(D9:D87)</f>
        <v>0.99999999999999978</v>
      </c>
      <c r="E88" s="141" t="s">
        <v>199</v>
      </c>
      <c r="F88" s="141" t="s">
        <v>199</v>
      </c>
      <c r="G88" s="141"/>
      <c r="H88" s="141" t="s">
        <v>199</v>
      </c>
      <c r="I88" s="141" t="s">
        <v>199</v>
      </c>
      <c r="J88" s="141"/>
      <c r="K88" s="141"/>
      <c r="L88" s="29">
        <f>+SUM(L9:L87)</f>
        <v>703028.20000000007</v>
      </c>
      <c r="M88" s="29">
        <f>+SUM(M9:M87)</f>
        <v>60898.049999999996</v>
      </c>
      <c r="N88" s="156">
        <f t="shared" si="54"/>
        <v>44.257303779069765</v>
      </c>
      <c r="O88" s="157">
        <f t="shared" si="54"/>
        <v>35.079521889400922</v>
      </c>
      <c r="P88" s="93"/>
      <c r="Q88" s="28">
        <f>+SUM(Q9:Q87)</f>
        <v>0</v>
      </c>
      <c r="R88" s="29">
        <f>+SUM(R9:R87)</f>
        <v>64116.404413352408</v>
      </c>
      <c r="S88" s="28">
        <f t="shared" si="44"/>
        <v>53.519536238190661</v>
      </c>
      <c r="T88" s="45"/>
      <c r="U88" s="29">
        <f>+SUM(U9:U87)</f>
        <v>2814897.7798989615</v>
      </c>
      <c r="V88" s="29">
        <f>+SUM(V9:V87)</f>
        <v>59891.442125509813</v>
      </c>
      <c r="W88" s="28">
        <f t="shared" si="46"/>
        <v>66.546046806122021</v>
      </c>
      <c r="X88" s="46"/>
      <c r="Y88" s="29">
        <f>+SUM(Y9:Y87)</f>
        <v>3826324.7719142959</v>
      </c>
      <c r="Z88" s="29">
        <f>+SUM(Z9:Z87)</f>
        <v>72194.807017250874</v>
      </c>
      <c r="AA88" s="28">
        <f t="shared" si="48"/>
        <v>56.095421147825078</v>
      </c>
      <c r="AB88" s="46"/>
      <c r="AC88" s="29">
        <f>+SUM(AC9:AC87)</f>
        <v>2630091.4901829292</v>
      </c>
      <c r="AD88" s="29">
        <f>+SUM(AD9:AD87)</f>
        <v>77355.632064203761</v>
      </c>
      <c r="AE88" s="28">
        <f t="shared" si="50"/>
        <v>53.201947774555542</v>
      </c>
      <c r="AF88" s="28"/>
      <c r="AG88" s="53">
        <f>+SUM(AG9:AG87)</f>
        <v>9271314.0419961847</v>
      </c>
      <c r="AH88" s="29">
        <f>+SUM(AH9:AH87)</f>
        <v>69188.910761165549</v>
      </c>
      <c r="AI88" s="28">
        <f t="shared" si="53"/>
        <v>57.947161441512186</v>
      </c>
      <c r="AJ88" s="94"/>
      <c r="AK88" s="95"/>
      <c r="AO88" s="27">
        <f>+AO87+AO86</f>
        <v>11234.368517225761</v>
      </c>
    </row>
    <row r="89" spans="1:43" ht="12.75" thickTop="1">
      <c r="L89" s="124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22"/>
    </row>
    <row r="90" spans="1:43">
      <c r="M90" s="96" t="s">
        <v>254</v>
      </c>
      <c r="N90" s="96" t="s">
        <v>253</v>
      </c>
    </row>
    <row r="91" spans="1:43">
      <c r="B91" s="30" t="s">
        <v>239</v>
      </c>
      <c r="L91" s="27" t="s">
        <v>334</v>
      </c>
      <c r="M91" s="27">
        <f>10.3*43560*2.5</f>
        <v>1121670.0000000002</v>
      </c>
      <c r="N91" s="27">
        <f>M91/10.3</f>
        <v>108900.00000000001</v>
      </c>
      <c r="Q91" s="142">
        <f>R91*Q$7</f>
        <v>0</v>
      </c>
      <c r="R91" s="142">
        <f>+$M91/SM134Units</f>
        <v>8370.6716417910466</v>
      </c>
      <c r="S91" s="38">
        <f>+R91/R$8</f>
        <v>6.9872050432312571</v>
      </c>
      <c r="U91" s="142">
        <f>V91*U$7</f>
        <v>393421.56716417917</v>
      </c>
      <c r="V91" s="142">
        <f>+$M91/SM134Units</f>
        <v>8370.6716417910466</v>
      </c>
      <c r="W91" s="38">
        <f>+V91/V$8</f>
        <v>9.3007462686567184</v>
      </c>
      <c r="Y91" s="142">
        <f>Z91*Y$7</f>
        <v>443645.59701492544</v>
      </c>
      <c r="Z91" s="142">
        <f>+$M91/SM134Units</f>
        <v>8370.6716417910466</v>
      </c>
      <c r="AA91" s="38">
        <f>+Z91/Z$8</f>
        <v>6.5040183696900131</v>
      </c>
      <c r="AC91" s="142">
        <f>AD91*AC$7</f>
        <v>284602.83582089556</v>
      </c>
      <c r="AD91" s="142">
        <f>+$M91/SM134Units</f>
        <v>8370.6716417910466</v>
      </c>
      <c r="AE91" s="38">
        <f>+AD91/AD$8</f>
        <v>5.7569956270915039</v>
      </c>
      <c r="AF91" s="38"/>
      <c r="AG91" s="142">
        <f>+Y91+U91+Q91</f>
        <v>837067.16417910461</v>
      </c>
      <c r="AH91" s="142">
        <f>+AG91/AG$7</f>
        <v>6246.7698819336165</v>
      </c>
      <c r="AI91" s="38">
        <f>+AH91/AH$8</f>
        <v>5.2318005711336824</v>
      </c>
    </row>
    <row r="92" spans="1:43">
      <c r="B92" s="30" t="s">
        <v>339</v>
      </c>
      <c r="Q92" s="142"/>
      <c r="R92" s="142"/>
      <c r="S92" s="38"/>
      <c r="U92" s="142"/>
      <c r="V92" s="142"/>
      <c r="W92" s="38"/>
      <c r="Y92" s="142"/>
      <c r="Z92" s="142"/>
      <c r="AA92" s="38"/>
      <c r="AC92" s="142"/>
      <c r="AD92" s="142"/>
      <c r="AE92" s="38"/>
      <c r="AF92" s="38"/>
      <c r="AG92" s="142"/>
      <c r="AH92" s="142"/>
      <c r="AI92" s="38"/>
    </row>
    <row r="93" spans="1:43">
      <c r="B93" s="34" t="s">
        <v>240</v>
      </c>
      <c r="Q93" s="125"/>
      <c r="S93" s="120"/>
    </row>
    <row r="94" spans="1:43">
      <c r="B94" s="27" t="s">
        <v>250</v>
      </c>
      <c r="L94" s="27" t="s">
        <v>333</v>
      </c>
      <c r="M94" s="27">
        <f>+L150*2*CMF</f>
        <v>294300</v>
      </c>
      <c r="N94" s="27">
        <f t="shared" ref="N94:N103" si="55">M94/10.3</f>
        <v>28572.815533980582</v>
      </c>
      <c r="Q94" s="125">
        <f t="shared" ref="Q94:Q103" si="56">R94*Q$7</f>
        <v>0</v>
      </c>
      <c r="R94" s="27">
        <f t="shared" ref="R94:R103" si="57">+$M94/SM134Units</f>
        <v>2196.2686567164178</v>
      </c>
      <c r="S94" s="38">
        <f t="shared" ref="S94:S103" si="58">+R94/R$8</f>
        <v>1.8332793461739714</v>
      </c>
      <c r="U94" s="142">
        <f t="shared" ref="U94:U103" si="59">V94*U$7</f>
        <v>103224.62686567164</v>
      </c>
      <c r="V94" s="27">
        <f t="shared" ref="V94:V103" si="60">+$M94/SM134Units</f>
        <v>2196.2686567164178</v>
      </c>
      <c r="W94" s="38">
        <f t="shared" ref="W94:W103" si="61">+V94/V$8</f>
        <v>2.4402985074626864</v>
      </c>
      <c r="Y94" s="142">
        <f t="shared" ref="Y94:Y103" si="62">Z94*Y$7</f>
        <v>116402.23880597015</v>
      </c>
      <c r="Z94" s="27">
        <f t="shared" ref="Z94:Z103" si="63">+$M94/SM134Units</f>
        <v>2196.2686567164178</v>
      </c>
      <c r="AA94" s="38">
        <f t="shared" ref="AA94:AA103" si="64">+Z94/Z$8</f>
        <v>1.7065024527711095</v>
      </c>
      <c r="AC94" s="142">
        <f t="shared" ref="AC94:AC103" si="65">AD94*AC$7</f>
        <v>74673.13432835821</v>
      </c>
      <c r="AD94" s="27">
        <f t="shared" ref="AD94:AD103" si="66">+$M94/SM134Units</f>
        <v>2196.2686567164178</v>
      </c>
      <c r="AE94" s="38">
        <f t="shared" ref="AE94:AE103" si="67">+AD94/AD$8</f>
        <v>1.5105011394198198</v>
      </c>
      <c r="AF94" s="38"/>
      <c r="AG94" s="142">
        <f t="shared" ref="AG94:AG103" si="68">+Y94+U94+Q94</f>
        <v>219626.86567164178</v>
      </c>
      <c r="AH94" s="142">
        <f t="shared" ref="AH94:AH103" si="69">+AG94/AG$7</f>
        <v>1639.0064602361326</v>
      </c>
      <c r="AI94" s="38">
        <f t="shared" ref="AI94:AI103" si="70">+AH94/AH$8</f>
        <v>1.3727022280034611</v>
      </c>
    </row>
    <row r="95" spans="1:43">
      <c r="B95" s="27" t="s">
        <v>251</v>
      </c>
      <c r="L95" s="27" t="s">
        <v>332</v>
      </c>
      <c r="M95" s="27">
        <f>+L152*8*CMF</f>
        <v>41202</v>
      </c>
      <c r="N95" s="27">
        <f t="shared" si="55"/>
        <v>4000.1941747572814</v>
      </c>
      <c r="Q95" s="125">
        <f t="shared" si="56"/>
        <v>0</v>
      </c>
      <c r="R95" s="27">
        <f t="shared" si="57"/>
        <v>307.47761194029852</v>
      </c>
      <c r="S95" s="120">
        <f t="shared" si="58"/>
        <v>0.25665910846435602</v>
      </c>
      <c r="U95" s="125">
        <f t="shared" si="59"/>
        <v>14451.447761194031</v>
      </c>
      <c r="V95" s="27">
        <f t="shared" si="60"/>
        <v>307.47761194029852</v>
      </c>
      <c r="W95" s="120">
        <f t="shared" si="61"/>
        <v>0.34164179104477616</v>
      </c>
      <c r="Y95" s="125">
        <f t="shared" si="62"/>
        <v>16296.313432835821</v>
      </c>
      <c r="Z95" s="27">
        <f t="shared" si="63"/>
        <v>307.47761194029852</v>
      </c>
      <c r="AA95" s="120">
        <f t="shared" si="64"/>
        <v>0.23891034338795533</v>
      </c>
      <c r="AC95" s="125">
        <f t="shared" si="65"/>
        <v>10454.23880597015</v>
      </c>
      <c r="AD95" s="27">
        <f t="shared" si="66"/>
        <v>307.47761194029852</v>
      </c>
      <c r="AE95" s="120">
        <f t="shared" si="67"/>
        <v>0.21147015951877476</v>
      </c>
      <c r="AF95" s="120"/>
      <c r="AG95" s="119">
        <f t="shared" si="68"/>
        <v>30747.761194029852</v>
      </c>
      <c r="AH95" s="110">
        <f t="shared" si="69"/>
        <v>229.4609044330586</v>
      </c>
      <c r="AI95" s="120">
        <f t="shared" si="70"/>
        <v>0.1921783119204846</v>
      </c>
    </row>
    <row r="96" spans="1:43">
      <c r="B96" s="27" t="s">
        <v>252</v>
      </c>
      <c r="L96" s="27" t="s">
        <v>335</v>
      </c>
      <c r="M96" s="27">
        <f>L150*0.5*CMF</f>
        <v>73575</v>
      </c>
      <c r="N96" s="27">
        <f t="shared" si="55"/>
        <v>7143.2038834951454</v>
      </c>
      <c r="Q96" s="125">
        <f t="shared" si="56"/>
        <v>0</v>
      </c>
      <c r="R96" s="27">
        <f t="shared" si="57"/>
        <v>549.06716417910445</v>
      </c>
      <c r="S96" s="120">
        <f t="shared" si="58"/>
        <v>0.45831983654349284</v>
      </c>
      <c r="U96" s="125">
        <f t="shared" si="59"/>
        <v>25806.156716417911</v>
      </c>
      <c r="V96" s="27">
        <f t="shared" si="60"/>
        <v>549.06716417910445</v>
      </c>
      <c r="W96" s="120">
        <f t="shared" si="61"/>
        <v>0.6100746268656716</v>
      </c>
      <c r="Y96" s="125">
        <f t="shared" si="62"/>
        <v>29100.559701492537</v>
      </c>
      <c r="Z96" s="27">
        <f t="shared" si="63"/>
        <v>549.06716417910445</v>
      </c>
      <c r="AA96" s="120">
        <f t="shared" si="64"/>
        <v>0.42662561319277736</v>
      </c>
      <c r="AC96" s="125">
        <f t="shared" si="65"/>
        <v>18668.283582089553</v>
      </c>
      <c r="AD96" s="27">
        <f t="shared" si="66"/>
        <v>549.06716417910445</v>
      </c>
      <c r="AE96" s="120">
        <f t="shared" si="67"/>
        <v>0.37762528485495495</v>
      </c>
      <c r="AF96" s="120"/>
      <c r="AG96" s="119">
        <f t="shared" si="68"/>
        <v>54906.716417910444</v>
      </c>
      <c r="AH96" s="110">
        <f t="shared" si="69"/>
        <v>409.75161505903316</v>
      </c>
      <c r="AI96" s="120">
        <f t="shared" si="70"/>
        <v>0.34317555700086527</v>
      </c>
    </row>
    <row r="97" spans="2:35">
      <c r="B97" s="27" t="s">
        <v>241</v>
      </c>
      <c r="L97" s="27" t="s">
        <v>336</v>
      </c>
      <c r="M97" s="27">
        <f>545*4*35*CMF</f>
        <v>85837.5</v>
      </c>
      <c r="N97" s="27">
        <f t="shared" si="55"/>
        <v>8333.7378640776697</v>
      </c>
      <c r="Q97" s="125">
        <f t="shared" si="56"/>
        <v>0</v>
      </c>
      <c r="R97" s="27">
        <f t="shared" si="57"/>
        <v>640.57835820895525</v>
      </c>
      <c r="S97" s="120">
        <f t="shared" si="58"/>
        <v>0.53470647596740839</v>
      </c>
      <c r="U97" s="125">
        <f t="shared" si="59"/>
        <v>30107.182835820895</v>
      </c>
      <c r="V97" s="27">
        <f t="shared" si="60"/>
        <v>640.57835820895525</v>
      </c>
      <c r="W97" s="120">
        <f t="shared" si="61"/>
        <v>0.71175373134328357</v>
      </c>
      <c r="Y97" s="125">
        <f t="shared" si="62"/>
        <v>33950.65298507463</v>
      </c>
      <c r="Z97" s="27">
        <f t="shared" si="63"/>
        <v>640.57835820895525</v>
      </c>
      <c r="AA97" s="120">
        <f t="shared" si="64"/>
        <v>0.49772988205824031</v>
      </c>
      <c r="AC97" s="125">
        <f t="shared" si="65"/>
        <v>21779.664179104479</v>
      </c>
      <c r="AD97" s="27">
        <f t="shared" si="66"/>
        <v>640.57835820895525</v>
      </c>
      <c r="AE97" s="120">
        <f t="shared" si="67"/>
        <v>0.44056283233078075</v>
      </c>
      <c r="AF97" s="120"/>
      <c r="AG97" s="119">
        <f t="shared" si="68"/>
        <v>64057.835820895525</v>
      </c>
      <c r="AH97" s="110">
        <f t="shared" si="69"/>
        <v>478.04355090220542</v>
      </c>
      <c r="AI97" s="120">
        <f t="shared" si="70"/>
        <v>0.40037148316767623</v>
      </c>
    </row>
    <row r="98" spans="2:35">
      <c r="B98" s="27" t="s">
        <v>338</v>
      </c>
      <c r="L98" s="27" t="s">
        <v>334</v>
      </c>
      <c r="M98" s="27">
        <f>N144*2.5*CMF</f>
        <v>396513.7996770243</v>
      </c>
      <c r="N98" s="27">
        <f t="shared" si="55"/>
        <v>38496.485405536339</v>
      </c>
      <c r="Q98" s="125">
        <f t="shared" si="56"/>
        <v>0</v>
      </c>
      <c r="R98" s="27">
        <f t="shared" si="57"/>
        <v>2959.0582065449576</v>
      </c>
      <c r="S98" s="120">
        <f t="shared" si="58"/>
        <v>2.4699985029590632</v>
      </c>
      <c r="U98" s="125">
        <f t="shared" si="59"/>
        <v>139075.735707613</v>
      </c>
      <c r="V98" s="27">
        <f t="shared" si="60"/>
        <v>2959.0582065449576</v>
      </c>
      <c r="W98" s="120">
        <f t="shared" si="61"/>
        <v>3.2878424517166196</v>
      </c>
      <c r="Y98" s="125">
        <f t="shared" si="62"/>
        <v>156830.08494688274</v>
      </c>
      <c r="Z98" s="27">
        <f t="shared" si="63"/>
        <v>2959.0582065449576</v>
      </c>
      <c r="AA98" s="120">
        <f t="shared" si="64"/>
        <v>2.2991905256759577</v>
      </c>
      <c r="AC98" s="125">
        <f t="shared" si="65"/>
        <v>100607.97902252855</v>
      </c>
      <c r="AD98" s="27">
        <f t="shared" si="66"/>
        <v>2959.0582065449576</v>
      </c>
      <c r="AE98" s="120">
        <f t="shared" si="67"/>
        <v>2.0351156853816765</v>
      </c>
      <c r="AF98" s="120"/>
      <c r="AG98" s="119">
        <f t="shared" si="68"/>
        <v>295905.82065449574</v>
      </c>
      <c r="AH98" s="110">
        <f t="shared" si="69"/>
        <v>2208.2523929439981</v>
      </c>
      <c r="AI98" s="120">
        <f t="shared" si="70"/>
        <v>1.8494576155309868</v>
      </c>
    </row>
    <row r="99" spans="2:35">
      <c r="B99" s="27" t="s">
        <v>243</v>
      </c>
      <c r="L99" s="27" t="s">
        <v>337</v>
      </c>
      <c r="M99" s="27">
        <f>+L161*CMF</f>
        <v>11250</v>
      </c>
      <c r="N99" s="27">
        <f t="shared" si="55"/>
        <v>1092.2330097087379</v>
      </c>
      <c r="Q99" s="125">
        <f t="shared" si="56"/>
        <v>0</v>
      </c>
      <c r="R99" s="27">
        <f t="shared" si="57"/>
        <v>83.955223880597018</v>
      </c>
      <c r="S99" s="120">
        <f t="shared" si="58"/>
        <v>7.0079485710014211E-2</v>
      </c>
      <c r="U99" s="125">
        <f t="shared" si="59"/>
        <v>3945.8955223880598</v>
      </c>
      <c r="V99" s="27">
        <f t="shared" si="60"/>
        <v>83.955223880597018</v>
      </c>
      <c r="W99" s="120">
        <f t="shared" si="61"/>
        <v>9.3283582089552244E-2</v>
      </c>
      <c r="Y99" s="125">
        <f t="shared" si="62"/>
        <v>4449.626865671642</v>
      </c>
      <c r="Z99" s="27">
        <f t="shared" si="63"/>
        <v>83.955223880597018</v>
      </c>
      <c r="AA99" s="120">
        <f t="shared" si="64"/>
        <v>6.5233274188498072E-2</v>
      </c>
      <c r="AC99" s="125">
        <f t="shared" si="65"/>
        <v>2854.4776119402986</v>
      </c>
      <c r="AD99" s="27">
        <f t="shared" si="66"/>
        <v>83.955223880597018</v>
      </c>
      <c r="AE99" s="120">
        <f t="shared" si="67"/>
        <v>5.7740869243876905E-2</v>
      </c>
      <c r="AF99" s="120"/>
      <c r="AG99" s="119">
        <f t="shared" si="68"/>
        <v>8395.5223880597023</v>
      </c>
      <c r="AH99" s="110">
        <f t="shared" si="69"/>
        <v>62.653152149699274</v>
      </c>
      <c r="AI99" s="120">
        <f t="shared" si="70"/>
        <v>5.2473326758542105E-2</v>
      </c>
    </row>
    <row r="100" spans="2:35">
      <c r="B100" s="27" t="s">
        <v>244</v>
      </c>
      <c r="L100" s="27" t="s">
        <v>336</v>
      </c>
      <c r="M100" s="27">
        <f>+L164*CMF</f>
        <v>35437.5</v>
      </c>
      <c r="N100" s="27">
        <f t="shared" si="55"/>
        <v>3440.5339805825242</v>
      </c>
      <c r="Q100" s="125">
        <f t="shared" si="56"/>
        <v>0</v>
      </c>
      <c r="R100" s="27">
        <f t="shared" si="57"/>
        <v>264.45895522388059</v>
      </c>
      <c r="S100" s="120">
        <f t="shared" si="58"/>
        <v>0.22075037998654473</v>
      </c>
      <c r="U100" s="125">
        <f t="shared" si="59"/>
        <v>12429.570895522387</v>
      </c>
      <c r="V100" s="27">
        <f t="shared" si="60"/>
        <v>264.45895522388059</v>
      </c>
      <c r="W100" s="120">
        <f t="shared" si="61"/>
        <v>0.29384328358208955</v>
      </c>
      <c r="Y100" s="125">
        <f t="shared" si="62"/>
        <v>14016.324626865671</v>
      </c>
      <c r="Z100" s="27">
        <f t="shared" si="63"/>
        <v>264.45895522388059</v>
      </c>
      <c r="AA100" s="120">
        <f t="shared" si="64"/>
        <v>0.20548481369376892</v>
      </c>
      <c r="AC100" s="125">
        <f t="shared" si="65"/>
        <v>8991.6044776119397</v>
      </c>
      <c r="AD100" s="27">
        <f t="shared" si="66"/>
        <v>264.45895522388059</v>
      </c>
      <c r="AE100" s="120">
        <f t="shared" si="67"/>
        <v>0.18188373811821223</v>
      </c>
      <c r="AF100" s="120"/>
      <c r="AG100" s="119">
        <f t="shared" si="68"/>
        <v>26445.895522388058</v>
      </c>
      <c r="AH100" s="110">
        <f t="shared" si="69"/>
        <v>197.35742927155266</v>
      </c>
      <c r="AI100" s="120">
        <f t="shared" si="70"/>
        <v>0.16529097928940759</v>
      </c>
    </row>
    <row r="101" spans="2:35">
      <c r="B101" s="27" t="s">
        <v>229</v>
      </c>
      <c r="L101" s="3">
        <v>25000</v>
      </c>
      <c r="M101" s="27">
        <f>+L160*CMF</f>
        <v>28125</v>
      </c>
      <c r="N101" s="27">
        <f t="shared" si="55"/>
        <v>2730.5825242718442</v>
      </c>
      <c r="Q101" s="125">
        <f t="shared" si="56"/>
        <v>0</v>
      </c>
      <c r="R101" s="27">
        <f t="shared" si="57"/>
        <v>209.88805970149255</v>
      </c>
      <c r="S101" s="120">
        <f t="shared" si="58"/>
        <v>0.17519871427503553</v>
      </c>
      <c r="U101" s="125">
        <f t="shared" si="59"/>
        <v>9864.7388059701498</v>
      </c>
      <c r="V101" s="27">
        <f t="shared" si="60"/>
        <v>209.88805970149255</v>
      </c>
      <c r="W101" s="120">
        <f t="shared" si="61"/>
        <v>0.2332089552238806</v>
      </c>
      <c r="Y101" s="125">
        <f t="shared" si="62"/>
        <v>11124.067164179105</v>
      </c>
      <c r="Z101" s="27">
        <f t="shared" si="63"/>
        <v>209.88805970149255</v>
      </c>
      <c r="AA101" s="120">
        <f t="shared" si="64"/>
        <v>0.16308318547124517</v>
      </c>
      <c r="AC101" s="125">
        <f t="shared" si="65"/>
        <v>7136.194029850747</v>
      </c>
      <c r="AD101" s="27">
        <f t="shared" si="66"/>
        <v>209.88805970149255</v>
      </c>
      <c r="AE101" s="120">
        <f t="shared" si="67"/>
        <v>0.14435217310969226</v>
      </c>
      <c r="AF101" s="120"/>
      <c r="AG101" s="119">
        <f t="shared" si="68"/>
        <v>20988.805970149253</v>
      </c>
      <c r="AH101" s="110">
        <f t="shared" si="69"/>
        <v>156.63288037424815</v>
      </c>
      <c r="AI101" s="120">
        <f t="shared" si="70"/>
        <v>0.13118331689635523</v>
      </c>
    </row>
    <row r="102" spans="2:35">
      <c r="B102" s="27" t="s">
        <v>233</v>
      </c>
      <c r="L102" s="3">
        <v>15000</v>
      </c>
      <c r="M102" s="27">
        <f>+L163*CMF</f>
        <v>16875</v>
      </c>
      <c r="N102" s="27">
        <f t="shared" si="55"/>
        <v>1638.3495145631066</v>
      </c>
      <c r="Q102" s="125">
        <f t="shared" si="56"/>
        <v>0</v>
      </c>
      <c r="R102" s="27">
        <f t="shared" si="57"/>
        <v>125.93283582089552</v>
      </c>
      <c r="S102" s="120">
        <f t="shared" si="58"/>
        <v>0.1051192285650213</v>
      </c>
      <c r="U102" s="125">
        <f t="shared" si="59"/>
        <v>5918.8432835820895</v>
      </c>
      <c r="V102" s="27">
        <f t="shared" si="60"/>
        <v>125.93283582089552</v>
      </c>
      <c r="W102" s="120">
        <f t="shared" si="61"/>
        <v>0.13992537313432835</v>
      </c>
      <c r="Y102" s="125">
        <f t="shared" si="62"/>
        <v>6674.4402985074621</v>
      </c>
      <c r="Z102" s="27">
        <f t="shared" si="63"/>
        <v>125.93283582089552</v>
      </c>
      <c r="AA102" s="120">
        <f t="shared" si="64"/>
        <v>9.7849911282747101E-2</v>
      </c>
      <c r="AC102" s="125">
        <f t="shared" si="65"/>
        <v>4281.7164179104475</v>
      </c>
      <c r="AD102" s="27">
        <f t="shared" si="66"/>
        <v>125.93283582089552</v>
      </c>
      <c r="AE102" s="120">
        <f t="shared" si="67"/>
        <v>8.6611303865815351E-2</v>
      </c>
      <c r="AF102" s="120"/>
      <c r="AG102" s="119">
        <f t="shared" si="68"/>
        <v>12593.283582089553</v>
      </c>
      <c r="AH102" s="110">
        <f t="shared" si="69"/>
        <v>93.979728224548893</v>
      </c>
      <c r="AI102" s="120">
        <f t="shared" si="70"/>
        <v>7.8709990137813143E-2</v>
      </c>
    </row>
    <row r="103" spans="2:35">
      <c r="B103" s="27" t="s">
        <v>257</v>
      </c>
      <c r="L103" s="3">
        <v>15000</v>
      </c>
      <c r="M103" s="27">
        <f>15000*CMF</f>
        <v>16875</v>
      </c>
      <c r="N103" s="27">
        <f t="shared" si="55"/>
        <v>1638.3495145631066</v>
      </c>
      <c r="Q103" s="125">
        <f t="shared" si="56"/>
        <v>0</v>
      </c>
      <c r="R103" s="27">
        <f t="shared" si="57"/>
        <v>125.93283582089552</v>
      </c>
      <c r="S103" s="120">
        <f t="shared" si="58"/>
        <v>0.1051192285650213</v>
      </c>
      <c r="U103" s="125">
        <f t="shared" si="59"/>
        <v>5918.8432835820895</v>
      </c>
      <c r="V103" s="27">
        <f t="shared" si="60"/>
        <v>125.93283582089552</v>
      </c>
      <c r="W103" s="120">
        <f t="shared" si="61"/>
        <v>0.13992537313432835</v>
      </c>
      <c r="Y103" s="125">
        <f t="shared" si="62"/>
        <v>6674.4402985074621</v>
      </c>
      <c r="Z103" s="27">
        <f t="shared" si="63"/>
        <v>125.93283582089552</v>
      </c>
      <c r="AA103" s="120">
        <f t="shared" si="64"/>
        <v>9.7849911282747101E-2</v>
      </c>
      <c r="AC103" s="125">
        <f t="shared" si="65"/>
        <v>4281.7164179104475</v>
      </c>
      <c r="AD103" s="27">
        <f t="shared" si="66"/>
        <v>125.93283582089552</v>
      </c>
      <c r="AE103" s="120">
        <f t="shared" si="67"/>
        <v>8.6611303865815351E-2</v>
      </c>
      <c r="AF103" s="120"/>
      <c r="AG103" s="119">
        <f t="shared" si="68"/>
        <v>12593.283582089553</v>
      </c>
      <c r="AH103" s="110">
        <f t="shared" si="69"/>
        <v>93.979728224548893</v>
      </c>
      <c r="AI103" s="120">
        <f t="shared" si="70"/>
        <v>7.8709990137813143E-2</v>
      </c>
    </row>
    <row r="104" spans="2:35">
      <c r="B104" s="143" t="s">
        <v>264</v>
      </c>
      <c r="C104" s="143"/>
      <c r="D104" s="143"/>
      <c r="E104" s="143"/>
      <c r="F104" s="143"/>
      <c r="G104" s="143"/>
      <c r="H104" s="143"/>
      <c r="I104" s="143"/>
      <c r="J104" s="143"/>
      <c r="K104" s="143"/>
      <c r="M104" s="143">
        <f>SUM(M94:M102)</f>
        <v>983115.79967702436</v>
      </c>
      <c r="N104" s="143">
        <f>SUM(N94:N102)</f>
        <v>95448.135890973223</v>
      </c>
      <c r="Q104" s="144">
        <f>SUM(Q94:Q103)</f>
        <v>0</v>
      </c>
      <c r="R104" s="144">
        <f>SUM(R94:R103)</f>
        <v>7462.6179080374959</v>
      </c>
      <c r="S104" s="145">
        <f>SUM(S94:S103)</f>
        <v>6.2292303072099298</v>
      </c>
      <c r="U104" s="144">
        <f>SUM(U94:U103)</f>
        <v>350743.04167776217</v>
      </c>
      <c r="V104" s="144">
        <f>SUM(V94:V103)</f>
        <v>7462.6179080374959</v>
      </c>
      <c r="W104" s="145">
        <f>SUM(W94:W103)</f>
        <v>8.2917976755972163</v>
      </c>
      <c r="Y104" s="144">
        <f>SUM(Y94:Y103)</f>
        <v>395518.74912598723</v>
      </c>
      <c r="Z104" s="144">
        <f>SUM(Z94:Z103)</f>
        <v>7462.6179080374959</v>
      </c>
      <c r="AA104" s="145">
        <f>SUM(AA94:AA103)</f>
        <v>5.7984599130050452</v>
      </c>
      <c r="AC104" s="144">
        <f>SUM(AC94:AC103)</f>
        <v>253729.00887327481</v>
      </c>
      <c r="AD104" s="144">
        <f>SUM(AD94:AD103)</f>
        <v>7462.6179080374959</v>
      </c>
      <c r="AE104" s="145">
        <f>SUM(AE94:AE103)</f>
        <v>5.132474489709419</v>
      </c>
      <c r="AF104" s="145"/>
      <c r="AG104" s="144">
        <f>SUM(AG94:AG103)</f>
        <v>746261.79080374935</v>
      </c>
      <c r="AH104" s="144">
        <f>SUM(AH94:AH103)</f>
        <v>5569.1178418190266</v>
      </c>
      <c r="AI104" s="145">
        <f>SUM(AI94:AI103)</f>
        <v>4.664252798843405</v>
      </c>
    </row>
    <row r="105" spans="2:35">
      <c r="Q105" s="125"/>
      <c r="S105" s="120"/>
      <c r="V105" s="27">
        <f>+$M105/SM134Units</f>
        <v>0</v>
      </c>
      <c r="Z105" s="27">
        <f>+$M105/SM134Units</f>
        <v>0</v>
      </c>
      <c r="AD105" s="27">
        <f>+$M105/SM134Units</f>
        <v>0</v>
      </c>
    </row>
    <row r="106" spans="2:35" ht="12.75">
      <c r="B106" s="34" t="s">
        <v>248</v>
      </c>
      <c r="Q106" s="125"/>
      <c r="S106" s="120"/>
      <c r="V106" s="27">
        <f>+$M106/SM134Units</f>
        <v>0</v>
      </c>
      <c r="Z106" s="27">
        <f>+$M106/SM134Units</f>
        <v>0</v>
      </c>
      <c r="AD106" s="27">
        <f>+$M106/SM134Units</f>
        <v>0</v>
      </c>
      <c r="AG106" s="4"/>
    </row>
    <row r="107" spans="2:35">
      <c r="B107" s="27" t="s">
        <v>245</v>
      </c>
      <c r="L107" s="3">
        <v>75000</v>
      </c>
      <c r="M107" s="27">
        <f>75000*CMF</f>
        <v>84375</v>
      </c>
      <c r="N107" s="27">
        <f>M107/10.3</f>
        <v>8191.7475728155332</v>
      </c>
      <c r="Q107" s="142">
        <f>R107*Q$7</f>
        <v>0</v>
      </c>
      <c r="R107" s="142">
        <f>+$M107/SM134Units</f>
        <v>629.66417910447763</v>
      </c>
      <c r="S107" s="38">
        <f>+R107/R$8</f>
        <v>0.52559614282510658</v>
      </c>
      <c r="U107" s="142">
        <f>V107*U$7</f>
        <v>29594.216417910447</v>
      </c>
      <c r="V107" s="142">
        <f>+$M107/SM134Units</f>
        <v>629.66417910447763</v>
      </c>
      <c r="W107" s="38">
        <f>+V107/V$8</f>
        <v>0.69962686567164178</v>
      </c>
      <c r="Y107" s="142">
        <f>Z107*Y$7</f>
        <v>33372.201492537315</v>
      </c>
      <c r="Z107" s="142">
        <f>+$M107/SM134Units</f>
        <v>629.66417910447763</v>
      </c>
      <c r="AA107" s="38">
        <f>+Z107/Z$8</f>
        <v>0.48924955641373552</v>
      </c>
      <c r="AC107" s="142">
        <f>AD107*AC$7</f>
        <v>21408.582089552241</v>
      </c>
      <c r="AD107" s="142">
        <f>+$M107/SM134Units</f>
        <v>629.66417910447763</v>
      </c>
      <c r="AE107" s="38">
        <f>+AD107/AD$8</f>
        <v>0.43305651932907679</v>
      </c>
      <c r="AF107" s="38"/>
      <c r="AG107" s="119">
        <f>+Y107+U107+Q107</f>
        <v>62966.417910447766</v>
      </c>
      <c r="AH107" s="110">
        <f>+AG107/AG$7</f>
        <v>469.89864112274455</v>
      </c>
      <c r="AI107" s="120">
        <f>+AH107/AH$8</f>
        <v>0.39354995068906579</v>
      </c>
    </row>
    <row r="108" spans="2:35">
      <c r="B108" s="27" t="s">
        <v>247</v>
      </c>
      <c r="L108" s="3">
        <v>4000</v>
      </c>
      <c r="M108" s="27">
        <f>4000*CMF</f>
        <v>4500</v>
      </c>
      <c r="N108" s="27">
        <f>M108/10.3</f>
        <v>436.89320388349512</v>
      </c>
      <c r="Q108" s="125">
        <f>R108*Q$7</f>
        <v>0</v>
      </c>
      <c r="R108" s="27">
        <f>+$M108/SM134Units</f>
        <v>33.582089552238806</v>
      </c>
      <c r="S108" s="120">
        <f>+R108/R$8</f>
        <v>2.8031794284005682E-2</v>
      </c>
      <c r="U108" s="125">
        <f>V108*U$7</f>
        <v>1578.358208955224</v>
      </c>
      <c r="V108" s="27">
        <f>+$M108/SM134Units</f>
        <v>33.582089552238806</v>
      </c>
      <c r="W108" s="120">
        <f>+V108/V$8</f>
        <v>3.7313432835820892E-2</v>
      </c>
      <c r="Y108" s="125">
        <f>Z108*Y$7</f>
        <v>1779.8507462686566</v>
      </c>
      <c r="Z108" s="27">
        <f>+$M108/SM134Units</f>
        <v>33.582089552238806</v>
      </c>
      <c r="AA108" s="120">
        <f>+Z108/Z$8</f>
        <v>2.6093309675399228E-2</v>
      </c>
      <c r="AC108" s="125">
        <f>AD108*AC$7</f>
        <v>1141.7910447761194</v>
      </c>
      <c r="AD108" s="27">
        <f>+$M108/SM134Units</f>
        <v>33.582089552238806</v>
      </c>
      <c r="AE108" s="120">
        <f>+AD108/AD$8</f>
        <v>2.309634769755076E-2</v>
      </c>
      <c r="AF108" s="120"/>
      <c r="AG108" s="119">
        <f>+Y108+U108+Q108</f>
        <v>3358.2089552238804</v>
      </c>
      <c r="AH108" s="110">
        <f>+AG108/AG$7</f>
        <v>25.061260859879706</v>
      </c>
      <c r="AI108" s="120">
        <f>+AH108/AH$8</f>
        <v>2.0989330703416839E-2</v>
      </c>
    </row>
    <row r="109" spans="2:35">
      <c r="B109" s="27" t="s">
        <v>246</v>
      </c>
      <c r="L109" s="3">
        <v>4000</v>
      </c>
      <c r="M109" s="27">
        <f>4000*CMF</f>
        <v>4500</v>
      </c>
      <c r="N109" s="27">
        <f>M109/10.3</f>
        <v>436.89320388349512</v>
      </c>
      <c r="Q109" s="125">
        <f>R109*Q$7</f>
        <v>0</v>
      </c>
      <c r="R109" s="27">
        <f>+$M109/SM134Units</f>
        <v>33.582089552238806</v>
      </c>
      <c r="S109" s="120">
        <f>+R109/R$8</f>
        <v>2.8031794284005682E-2</v>
      </c>
      <c r="U109" s="125">
        <f>V109*U$7</f>
        <v>1578.358208955224</v>
      </c>
      <c r="V109" s="27">
        <f>+$M109/SM134Units</f>
        <v>33.582089552238806</v>
      </c>
      <c r="W109" s="120">
        <f>+V109/V$8</f>
        <v>3.7313432835820892E-2</v>
      </c>
      <c r="Y109" s="125">
        <f>Z109*Y$7</f>
        <v>1779.8507462686566</v>
      </c>
      <c r="Z109" s="27">
        <f>+$M109/SM134Units</f>
        <v>33.582089552238806</v>
      </c>
      <c r="AA109" s="120">
        <f>+Z109/Z$8</f>
        <v>2.6093309675399228E-2</v>
      </c>
      <c r="AC109" s="125">
        <f>AD109*AC$7</f>
        <v>1141.7910447761194</v>
      </c>
      <c r="AD109" s="27">
        <f>+$M109/SM134Units</f>
        <v>33.582089552238806</v>
      </c>
      <c r="AE109" s="120">
        <f>+AD109/AD$8</f>
        <v>2.309634769755076E-2</v>
      </c>
      <c r="AF109" s="120"/>
      <c r="AG109" s="119">
        <f>+Y109+U109+Q109</f>
        <v>3358.2089552238804</v>
      </c>
      <c r="AH109" s="110">
        <f>+AG109/AG$7</f>
        <v>25.061260859879706</v>
      </c>
      <c r="AI109" s="120">
        <f>+AH109/AH$8</f>
        <v>2.0989330703416839E-2</v>
      </c>
    </row>
    <row r="110" spans="2:35">
      <c r="B110" s="143" t="s">
        <v>249</v>
      </c>
      <c r="C110" s="143"/>
      <c r="D110" s="143"/>
      <c r="E110" s="143"/>
      <c r="F110" s="143"/>
      <c r="G110" s="143"/>
      <c r="H110" s="143"/>
      <c r="I110" s="143"/>
      <c r="J110" s="143"/>
      <c r="K110" s="143"/>
      <c r="M110" s="143">
        <f>SUM(M107:M109)</f>
        <v>93375</v>
      </c>
      <c r="N110" s="143">
        <f>SUM(N107:N109)</f>
        <v>9065.5339805825242</v>
      </c>
      <c r="Q110" s="144">
        <f>SUM(Q107:Q109)</f>
        <v>0</v>
      </c>
      <c r="R110" s="144">
        <f>SUM(R107:R109)</f>
        <v>696.82835820895525</v>
      </c>
      <c r="S110" s="145">
        <f>SUM(S107:S109)</f>
        <v>0.581659731393118</v>
      </c>
      <c r="U110" s="144">
        <f>SUM(U107:U109)</f>
        <v>32750.932835820899</v>
      </c>
      <c r="V110" s="144">
        <f>SUM(V107:V109)</f>
        <v>696.82835820895525</v>
      </c>
      <c r="W110" s="145">
        <f>SUM(W107:W109)</f>
        <v>0.77425373134328357</v>
      </c>
      <c r="Y110" s="144">
        <f>SUM(Y107:Y109)</f>
        <v>36931.902985074623</v>
      </c>
      <c r="Z110" s="144">
        <f>SUM(Z107:Z109)</f>
        <v>696.82835820895525</v>
      </c>
      <c r="AA110" s="145">
        <f>SUM(AA107:AA109)</f>
        <v>0.54143617576453396</v>
      </c>
      <c r="AC110" s="144">
        <f>SUM(AC107:AC109)</f>
        <v>23692.164179104482</v>
      </c>
      <c r="AD110" s="144">
        <f>SUM(AD107:AD109)</f>
        <v>696.82835820895525</v>
      </c>
      <c r="AE110" s="145">
        <f>SUM(AE107:AE109)</f>
        <v>0.47924921472417831</v>
      </c>
      <c r="AF110" s="145"/>
      <c r="AG110" s="144">
        <f>SUM(AG107:AG109)</f>
        <v>69682.835820895518</v>
      </c>
      <c r="AH110" s="144">
        <f>SUM(AH107:AH109)</f>
        <v>520.02116284250394</v>
      </c>
      <c r="AI110" s="145">
        <f>SUM(AI107:AI109)</f>
        <v>0.43552861209589949</v>
      </c>
    </row>
    <row r="111" spans="2:35">
      <c r="B111" s="54" t="s">
        <v>265</v>
      </c>
      <c r="C111" s="143"/>
      <c r="D111" s="143"/>
      <c r="E111" s="143"/>
      <c r="F111" s="143"/>
      <c r="G111" s="143"/>
      <c r="H111" s="143"/>
      <c r="I111" s="143"/>
      <c r="J111" s="143"/>
      <c r="K111" s="143"/>
      <c r="M111" s="143">
        <f>+M110+M104</f>
        <v>1076490.7996770244</v>
      </c>
      <c r="N111" s="143">
        <f>+N110+N104</f>
        <v>104513.66987155574</v>
      </c>
      <c r="Q111" s="144">
        <f>+Q110+Q104</f>
        <v>0</v>
      </c>
      <c r="R111" s="144">
        <f>+R110+R104</f>
        <v>8159.4462662464512</v>
      </c>
      <c r="S111" s="145">
        <f>+S110+S104</f>
        <v>6.8108900386030475</v>
      </c>
      <c r="U111" s="144">
        <f>+U110+U104</f>
        <v>383493.97451358306</v>
      </c>
      <c r="V111" s="144">
        <f>+V110+V104</f>
        <v>8159.4462662464512</v>
      </c>
      <c r="W111" s="145">
        <f>+W110+W104</f>
        <v>9.0660514069404989</v>
      </c>
      <c r="Y111" s="144">
        <f>+Y110+Y104</f>
        <v>432450.65211106185</v>
      </c>
      <c r="Z111" s="144">
        <f>+Z110+Z104</f>
        <v>8159.4462662464512</v>
      </c>
      <c r="AA111" s="145">
        <f>+AA110+AA104</f>
        <v>6.3398960887695788</v>
      </c>
      <c r="AC111" s="144">
        <f>+AC110+AC104</f>
        <v>277421.17305237928</v>
      </c>
      <c r="AD111" s="144">
        <f>+AD110+AD104</f>
        <v>8159.4462662464512</v>
      </c>
      <c r="AE111" s="145">
        <f>+AE110+AE104</f>
        <v>5.6117237044335972</v>
      </c>
      <c r="AF111" s="145"/>
      <c r="AG111" s="144">
        <f>+AG110+AG104</f>
        <v>815944.62662464485</v>
      </c>
      <c r="AH111" s="144">
        <f>+AH110+AH104</f>
        <v>6089.1390046615306</v>
      </c>
      <c r="AI111" s="145">
        <f>+AI110+AI104</f>
        <v>5.0997814109393049</v>
      </c>
    </row>
    <row r="112" spans="2:35">
      <c r="B112" s="54" t="s">
        <v>256</v>
      </c>
      <c r="C112" s="54"/>
      <c r="D112" s="99"/>
      <c r="E112" s="146"/>
      <c r="F112" s="146"/>
      <c r="G112" s="146"/>
      <c r="H112" s="146"/>
      <c r="I112" s="146"/>
      <c r="J112" s="146"/>
      <c r="K112" s="146"/>
      <c r="M112" s="55">
        <f>+M111+M91</f>
        <v>2198160.7996770246</v>
      </c>
      <c r="N112" s="55">
        <f>+N111+N91</f>
        <v>213413.66987155576</v>
      </c>
      <c r="O112" s="101"/>
      <c r="P112" s="101"/>
      <c r="Q112" s="55">
        <f>+Q111+Q91</f>
        <v>0</v>
      </c>
      <c r="R112" s="55">
        <f>+R111+R91</f>
        <v>16530.117908037497</v>
      </c>
      <c r="S112" s="56">
        <f>+S111+S91</f>
        <v>13.798095081834305</v>
      </c>
      <c r="T112" s="57"/>
      <c r="U112" s="55">
        <f>+U111+U91</f>
        <v>776915.54167776229</v>
      </c>
      <c r="V112" s="55">
        <f>+V111+V91</f>
        <v>16530.117908037497</v>
      </c>
      <c r="W112" s="56">
        <f>+W111+W91</f>
        <v>18.366797675597219</v>
      </c>
      <c r="X112" s="57"/>
      <c r="Y112" s="55">
        <f>+Y111+Y91</f>
        <v>876096.24912598729</v>
      </c>
      <c r="Z112" s="55">
        <f>+Z111+Z91</f>
        <v>16530.117908037497</v>
      </c>
      <c r="AA112" s="56">
        <f>+AA111+AA91</f>
        <v>12.843914458459592</v>
      </c>
      <c r="AB112" s="57"/>
      <c r="AC112" s="55">
        <f>+AC111+AC91</f>
        <v>562024.00887327478</v>
      </c>
      <c r="AD112" s="55">
        <f>+AD111+AD91</f>
        <v>16530.117908037497</v>
      </c>
      <c r="AE112" s="56">
        <f>+AE111+AE91</f>
        <v>11.368719331525101</v>
      </c>
      <c r="AF112" s="56"/>
      <c r="AG112" s="58">
        <f>+AG111+AG91</f>
        <v>1653011.7908037496</v>
      </c>
      <c r="AH112" s="55">
        <f>+AH111+AH91</f>
        <v>12335.908886595147</v>
      </c>
      <c r="AI112" s="56">
        <f>+AI111+AI91</f>
        <v>10.331581982072986</v>
      </c>
    </row>
    <row r="113" spans="2:35">
      <c r="B113" s="134" t="s">
        <v>218</v>
      </c>
      <c r="M113"/>
      <c r="N113"/>
      <c r="O113"/>
      <c r="Q113" s="27">
        <f>0.15*(Q111+Q88)</f>
        <v>0</v>
      </c>
      <c r="R113" s="27">
        <f>0.15*(R111+R88)</f>
        <v>10841.37760193983</v>
      </c>
      <c r="S113" s="135">
        <f>0.15*(S111+S88)</f>
        <v>9.0495639415190556</v>
      </c>
      <c r="U113" s="27">
        <f>0.15*(U111+U88)</f>
        <v>479758.76316188165</v>
      </c>
      <c r="V113" s="27">
        <f>0.15*(V111+V88)</f>
        <v>10207.633258763439</v>
      </c>
      <c r="W113" s="27">
        <f>0.15*(W111+W88)</f>
        <v>11.341814731959378</v>
      </c>
      <c r="Y113" s="27">
        <f>0.15*(Y111+Y88)</f>
        <v>638816.31360380363</v>
      </c>
      <c r="Z113" s="27">
        <f>0.15*(Z111+Z88)</f>
        <v>12053.137992524598</v>
      </c>
      <c r="AA113" s="27">
        <f>0.15*(AA111+AA88)</f>
        <v>9.3652975854891984</v>
      </c>
      <c r="AC113" s="27">
        <f>0.15*(AC111+AC88)</f>
        <v>436126.89948529628</v>
      </c>
      <c r="AD113" s="27">
        <f>0.15*(AD111+AD88)</f>
        <v>12827.261749567531</v>
      </c>
      <c r="AE113" s="27">
        <f>0.15*(AE111+AE88)</f>
        <v>8.8220507218483704</v>
      </c>
      <c r="AG113" s="27">
        <f>0.15*(AG111+AG88)</f>
        <v>1513088.8002931245</v>
      </c>
      <c r="AH113" s="27">
        <f>0.15*(AH111+AH88)</f>
        <v>11291.707464874062</v>
      </c>
      <c r="AI113" s="27">
        <f>0.15*(AI111+AI88)</f>
        <v>9.4570414278677237</v>
      </c>
    </row>
    <row r="114" spans="2:35">
      <c r="B114" s="54" t="s">
        <v>266</v>
      </c>
      <c r="C114" s="54"/>
      <c r="D114" s="99"/>
      <c r="E114" s="146"/>
      <c r="F114" s="146"/>
      <c r="G114" s="146"/>
      <c r="H114" s="146"/>
      <c r="I114" s="146"/>
      <c r="J114" s="146"/>
      <c r="K114" s="146"/>
      <c r="M114"/>
      <c r="N114"/>
      <c r="O114"/>
      <c r="P114" s="101"/>
      <c r="Q114" s="55">
        <f>+Q113+Q112+Q88</f>
        <v>0</v>
      </c>
      <c r="R114" s="55">
        <f>+R113+R112+R88</f>
        <v>91487.899923329736</v>
      </c>
      <c r="S114" s="56">
        <f>+S113+S112+S88</f>
        <v>76.367195261544026</v>
      </c>
      <c r="T114" s="57"/>
      <c r="U114" s="55">
        <f>+U113+U112+U88</f>
        <v>4071572.0847386057</v>
      </c>
      <c r="V114" s="55">
        <f>+V113+V112+V88</f>
        <v>86629.193292310752</v>
      </c>
      <c r="W114" s="56">
        <f>+W113+W112+W88</f>
        <v>96.254659213678622</v>
      </c>
      <c r="X114" s="57"/>
      <c r="Y114" s="55">
        <f>+Y113+Y112+Y88</f>
        <v>5341237.3346440867</v>
      </c>
      <c r="Z114" s="55">
        <f>+Z113+Z112+Z88</f>
        <v>100778.06291781296</v>
      </c>
      <c r="AA114" s="56">
        <f>+AA113+AA112+AA88</f>
        <v>78.30463319177386</v>
      </c>
      <c r="AB114" s="57"/>
      <c r="AC114" s="55">
        <f>+AC113+AC112+AC88</f>
        <v>3628242.3985415003</v>
      </c>
      <c r="AD114" s="55">
        <f>+AD113+AD112+AD88</f>
        <v>106713.01172180878</v>
      </c>
      <c r="AE114" s="56">
        <f>+AE113+AE112+AE88</f>
        <v>73.392717827929005</v>
      </c>
      <c r="AF114" s="56"/>
      <c r="AG114" s="58">
        <f>+AG113+AG112+AG88</f>
        <v>12437414.633093059</v>
      </c>
      <c r="AH114" s="55">
        <f>+AH113+AH112+AH88</f>
        <v>92816.527112634765</v>
      </c>
      <c r="AI114" s="56">
        <f>+AI113+AI112+AI88</f>
        <v>77.735784851452905</v>
      </c>
    </row>
    <row r="115" spans="2:35">
      <c r="B115" s="134"/>
      <c r="S115" s="120"/>
    </row>
    <row r="116" spans="2:35">
      <c r="B116" s="34" t="s">
        <v>258</v>
      </c>
    </row>
    <row r="117" spans="2:35">
      <c r="B117" s="27" t="s">
        <v>70</v>
      </c>
      <c r="M117" s="27">
        <v>4000</v>
      </c>
      <c r="Q117" s="142">
        <f>R117*Q$7</f>
        <v>0</v>
      </c>
      <c r="R117" s="142">
        <f>+$M117/SM134Units</f>
        <v>29.850746268656717</v>
      </c>
      <c r="S117" s="38">
        <f>+R117/R$8</f>
        <v>2.4917150474671718E-2</v>
      </c>
      <c r="U117" s="142">
        <f>V117*U$7</f>
        <v>1402.9850746268658</v>
      </c>
      <c r="V117" s="142">
        <f>+$M117/SM134Units</f>
        <v>29.850746268656717</v>
      </c>
      <c r="W117" s="38">
        <f>+V117/V$8</f>
        <v>3.316749585406302E-2</v>
      </c>
      <c r="Y117" s="142">
        <f>Z117*Y$7</f>
        <v>1582.0895522388059</v>
      </c>
      <c r="Z117" s="142">
        <f>+$M117/SM134Units</f>
        <v>29.850746268656717</v>
      </c>
      <c r="AA117" s="38">
        <f>+Z117/Z$8</f>
        <v>2.3194053044799313E-2</v>
      </c>
      <c r="AC117" s="142">
        <f>AD117*AC$7</f>
        <v>1014.9253731343284</v>
      </c>
      <c r="AD117" s="142">
        <f>+$M117/SM134Units</f>
        <v>29.850746268656717</v>
      </c>
      <c r="AE117" s="38">
        <f>+AD117/AD$8</f>
        <v>2.0530086842267342E-2</v>
      </c>
      <c r="AF117" s="38"/>
      <c r="AG117" s="119">
        <f>+Y117+U117+Q117</f>
        <v>2985.0746268656717</v>
      </c>
      <c r="AH117" s="110">
        <f>+AG117/AG$7</f>
        <v>22.276676319893074</v>
      </c>
      <c r="AI117" s="120">
        <f>+AH117/AH$8</f>
        <v>1.8657182847481635E-2</v>
      </c>
    </row>
    <row r="118" spans="2:35">
      <c r="B118" s="27" t="s">
        <v>259</v>
      </c>
      <c r="M118" s="27">
        <f>0.0075*0.75*13000000</f>
        <v>73125</v>
      </c>
      <c r="Q118" s="125">
        <f>R118*Q$7</f>
        <v>0</v>
      </c>
      <c r="R118" s="27">
        <f>+$M118/SM134Units</f>
        <v>545.70895522388059</v>
      </c>
      <c r="S118" s="120">
        <f>+R118/R$8</f>
        <v>0.45551665711509232</v>
      </c>
      <c r="U118" s="125">
        <f>V118*U$7</f>
        <v>25648.320895522389</v>
      </c>
      <c r="V118" s="27">
        <f>+$M118/SM134Units</f>
        <v>545.70895522388059</v>
      </c>
      <c r="W118" s="120">
        <f>+V118/V$8</f>
        <v>0.60634328358208955</v>
      </c>
      <c r="Y118" s="125">
        <f>Z118*Y$7</f>
        <v>28922.574626865673</v>
      </c>
      <c r="Z118" s="27">
        <f>+$M118/SM134Units</f>
        <v>545.70895522388059</v>
      </c>
      <c r="AA118" s="120">
        <f>+Z118/Z$8</f>
        <v>0.42401628222523746</v>
      </c>
      <c r="AC118" s="125">
        <f>AD118*AC$7</f>
        <v>18554.104477611942</v>
      </c>
      <c r="AD118" s="27">
        <f>+$M118/SM134Units</f>
        <v>545.70895522388059</v>
      </c>
      <c r="AE118" s="120">
        <f>+AD118/AD$8</f>
        <v>0.37531565008519985</v>
      </c>
      <c r="AF118" s="120"/>
      <c r="AG118" s="119">
        <f>+Y118+U118+Q118</f>
        <v>54570.895522388062</v>
      </c>
      <c r="AH118" s="110">
        <f>+AG118/AG$7</f>
        <v>407.24548897304521</v>
      </c>
      <c r="AI118" s="120">
        <f>+AH118/AH$8</f>
        <v>0.34107662393052363</v>
      </c>
    </row>
    <row r="119" spans="2:35">
      <c r="B119" s="27" t="s">
        <v>263</v>
      </c>
      <c r="M119" s="27">
        <f>0.0025*0.75*13000000</f>
        <v>24375</v>
      </c>
      <c r="Q119" s="125">
        <f>R119*Q$7</f>
        <v>0</v>
      </c>
      <c r="R119" s="27">
        <f>+$M119/SM134Units</f>
        <v>181.90298507462686</v>
      </c>
      <c r="S119" s="120">
        <f>+R119/R$8</f>
        <v>0.15183888570503076</v>
      </c>
      <c r="U119" s="125">
        <f>V119*U$7</f>
        <v>8549.440298507463</v>
      </c>
      <c r="V119" s="27">
        <f>+$M119/SM134Units</f>
        <v>181.90298507462686</v>
      </c>
      <c r="W119" s="120">
        <f>+V119/V$8</f>
        <v>0.2021144278606965</v>
      </c>
      <c r="Y119" s="125">
        <f>Z119*Y$7</f>
        <v>9640.8582089552237</v>
      </c>
      <c r="Z119" s="27">
        <f>+$M119/SM134Units</f>
        <v>181.90298507462686</v>
      </c>
      <c r="AA119" s="120">
        <f>+Z119/Z$8</f>
        <v>0.14133876074174581</v>
      </c>
      <c r="AC119" s="125">
        <f>AD119*AC$7</f>
        <v>6184.7014925373132</v>
      </c>
      <c r="AD119" s="27">
        <f>+$M119/SM134Units</f>
        <v>181.90298507462686</v>
      </c>
      <c r="AE119" s="120">
        <f>+AD119/AD$8</f>
        <v>0.12510521669506661</v>
      </c>
      <c r="AF119" s="120"/>
      <c r="AG119" s="119">
        <f>+Y119+U119+Q119</f>
        <v>18190.298507462685</v>
      </c>
      <c r="AH119" s="110">
        <f>+AG119/AG$7</f>
        <v>135.74849632434839</v>
      </c>
      <c r="AI119" s="120">
        <f>+AH119/AH$8</f>
        <v>0.11369220797684119</v>
      </c>
    </row>
    <row r="120" spans="2:35">
      <c r="B120" s="27" t="s">
        <v>260</v>
      </c>
      <c r="M120" s="27">
        <f>13000000*0.75*0.75*0.105*0.5</f>
        <v>383906.25</v>
      </c>
      <c r="Q120" s="125">
        <f>R120*Q$7</f>
        <v>0</v>
      </c>
      <c r="R120" s="27">
        <f>+$M120/SM134Units</f>
        <v>2864.9720149253731</v>
      </c>
      <c r="S120" s="120">
        <f>+R120/R$8</f>
        <v>2.3914624498542345</v>
      </c>
      <c r="U120" s="125">
        <f>V120*U$7</f>
        <v>134653.68470149254</v>
      </c>
      <c r="V120" s="27">
        <f>+$M120/SM134Units</f>
        <v>2864.9720149253731</v>
      </c>
      <c r="W120" s="120">
        <f>+V120/V$8</f>
        <v>3.18330223880597</v>
      </c>
      <c r="Y120" s="125">
        <f>Z120*Y$7</f>
        <v>151843.51679104476</v>
      </c>
      <c r="Z120" s="27">
        <f>+$M120/SM134Units</f>
        <v>2864.9720149253731</v>
      </c>
      <c r="AA120" s="120">
        <f>+Z120/Z$8</f>
        <v>2.2260854816824964</v>
      </c>
      <c r="AC120" s="125">
        <f>AD120*AC$7</f>
        <v>97409.048507462678</v>
      </c>
      <c r="AD120" s="27">
        <f>+$M120/SM134Units</f>
        <v>2864.9720149253731</v>
      </c>
      <c r="AE120" s="120">
        <f>+AD120/AD$8</f>
        <v>1.9704071629472992</v>
      </c>
      <c r="AF120" s="120"/>
      <c r="AG120" s="119">
        <f>+Y120+U120+Q120</f>
        <v>286497.20149253728</v>
      </c>
      <c r="AH120" s="110">
        <f>+AG120/AG$7</f>
        <v>2138.0388171084874</v>
      </c>
      <c r="AI120" s="120">
        <f>+AH120/AH$8</f>
        <v>1.790652275635249</v>
      </c>
    </row>
    <row r="121" spans="2:35">
      <c r="B121" s="147" t="s">
        <v>261</v>
      </c>
      <c r="M121" s="147">
        <f>SUM(M117:M120)</f>
        <v>485406.25</v>
      </c>
      <c r="N121" s="147"/>
      <c r="Q121" s="148">
        <f>SUM(Q117:Q120)</f>
        <v>0</v>
      </c>
      <c r="R121" s="148">
        <f>SUM(R117:R120)</f>
        <v>3622.434701492537</v>
      </c>
      <c r="S121" s="149">
        <f>SUM(S117:S120)</f>
        <v>3.0237351431490294</v>
      </c>
      <c r="U121" s="148">
        <f>SUM(U117:U120)</f>
        <v>170254.43097014926</v>
      </c>
      <c r="V121" s="148">
        <f>SUM(V117:V120)</f>
        <v>3622.434701492537</v>
      </c>
      <c r="W121" s="149">
        <f>SUM(W117:W120)</f>
        <v>4.0249274461028186</v>
      </c>
      <c r="Y121" s="148">
        <f>SUM(Y117:Y120)</f>
        <v>191989.03917910447</v>
      </c>
      <c r="Z121" s="148">
        <f>SUM(Z117:Z120)</f>
        <v>3622.434701492537</v>
      </c>
      <c r="AA121" s="149">
        <f>SUM(AA117:AA120)</f>
        <v>2.8146345776942789</v>
      </c>
      <c r="AC121" s="148">
        <f>SUM(AC117:AC120)</f>
        <v>123162.77985074626</v>
      </c>
      <c r="AD121" s="148">
        <f>SUM(AD117:AD120)</f>
        <v>3622.434701492537</v>
      </c>
      <c r="AE121" s="149">
        <f>SUM(AE117:AE120)</f>
        <v>2.4913581165698329</v>
      </c>
      <c r="AF121" s="149"/>
      <c r="AG121" s="148">
        <f>SUM(AG117:AG120)</f>
        <v>362243.47014925373</v>
      </c>
      <c r="AH121" s="148">
        <f>SUM(AH117:AH120)</f>
        <v>2703.3094787257742</v>
      </c>
      <c r="AI121" s="149">
        <f>SUM(AI117:AI120)</f>
        <v>2.2640782903900956</v>
      </c>
    </row>
    <row r="122" spans="2:35">
      <c r="B122" s="143"/>
      <c r="M122" s="143"/>
      <c r="N122" s="143"/>
      <c r="Q122" s="144"/>
      <c r="R122" s="144"/>
      <c r="S122" s="150"/>
      <c r="U122" s="144"/>
      <c r="V122" s="144"/>
      <c r="W122" s="150"/>
      <c r="Y122" s="144"/>
      <c r="Z122" s="144"/>
      <c r="AA122" s="150"/>
      <c r="AC122" s="144"/>
      <c r="AD122" s="144"/>
      <c r="AE122" s="150"/>
      <c r="AF122" s="150"/>
      <c r="AG122" s="144"/>
      <c r="AH122" s="144"/>
      <c r="AI122" s="150"/>
    </row>
    <row r="123" spans="2:35" ht="12.75" thickBot="1">
      <c r="B123" s="21" t="s">
        <v>262</v>
      </c>
      <c r="M123" s="21">
        <f>+M121+M114+L88</f>
        <v>1188434.4500000002</v>
      </c>
      <c r="N123" s="21"/>
      <c r="Q123" s="10">
        <f>+Q121+Q114</f>
        <v>0</v>
      </c>
      <c r="R123" s="10">
        <f>+R121+R114</f>
        <v>95110.334624822281</v>
      </c>
      <c r="S123" s="8">
        <f>+S121+S114</f>
        <v>79.390930404693052</v>
      </c>
      <c r="U123" s="10">
        <f>+U121+U114</f>
        <v>4241826.5157087548</v>
      </c>
      <c r="V123" s="10">
        <f>+V121+V114</f>
        <v>90251.627993803297</v>
      </c>
      <c r="W123" s="8">
        <f>+W121+W114</f>
        <v>100.27958665978144</v>
      </c>
      <c r="Y123" s="10">
        <f>+Y121+Y114</f>
        <v>5533226.373823191</v>
      </c>
      <c r="Z123" s="10">
        <f>+Z121+Z114</f>
        <v>104400.4976193055</v>
      </c>
      <c r="AA123" s="8">
        <f>+AA121+AA114</f>
        <v>81.119267769468138</v>
      </c>
      <c r="AC123" s="10">
        <f>+AC121+AC114</f>
        <v>3751405.1783922464</v>
      </c>
      <c r="AD123" s="10">
        <f>+AD121+AD114</f>
        <v>110335.44642330133</v>
      </c>
      <c r="AE123" s="8">
        <f>+AE121+AE114</f>
        <v>75.884075944498832</v>
      </c>
      <c r="AF123" s="8"/>
      <c r="AG123" s="10">
        <f>+AG121+AG114</f>
        <v>12799658.103242313</v>
      </c>
      <c r="AH123" s="10">
        <f>+AH121+AH114</f>
        <v>95519.836591360538</v>
      </c>
      <c r="AI123" s="8">
        <f>+AI121+AI114</f>
        <v>79.999863141843008</v>
      </c>
    </row>
    <row r="124" spans="2:35" ht="12.75" thickTop="1">
      <c r="B124" s="151" t="s">
        <v>341</v>
      </c>
      <c r="L124" s="151"/>
      <c r="M124" s="151"/>
      <c r="Q124" s="152"/>
      <c r="R124" s="152">
        <f>2*R125</f>
        <v>1250</v>
      </c>
      <c r="S124" s="153"/>
      <c r="U124" s="152"/>
      <c r="V124" s="152">
        <f>2*V125+75</f>
        <v>1225</v>
      </c>
      <c r="W124" s="153"/>
      <c r="Y124" s="152"/>
      <c r="Z124" s="152">
        <f>3*Z125+75</f>
        <v>1500</v>
      </c>
      <c r="AA124" s="153"/>
      <c r="AC124" s="152"/>
      <c r="AD124" s="152">
        <f>4*AD125+75</f>
        <v>1875</v>
      </c>
      <c r="AE124" s="153"/>
      <c r="AF124" s="153"/>
      <c r="AG124" s="152"/>
      <c r="AH124" s="152"/>
      <c r="AI124" s="153"/>
    </row>
    <row r="125" spans="2:35">
      <c r="B125" s="151" t="s">
        <v>328</v>
      </c>
      <c r="L125" s="151"/>
      <c r="M125" s="151"/>
      <c r="Q125" s="152"/>
      <c r="R125" s="152">
        <v>625</v>
      </c>
      <c r="S125" s="153"/>
      <c r="U125" s="152"/>
      <c r="V125" s="152">
        <v>575</v>
      </c>
      <c r="W125" s="153"/>
      <c r="Y125" s="152"/>
      <c r="Z125" s="152">
        <v>475</v>
      </c>
      <c r="AA125" s="153"/>
      <c r="AC125" s="152"/>
      <c r="AD125" s="152">
        <v>450</v>
      </c>
      <c r="AE125" s="153"/>
      <c r="AF125" s="153"/>
      <c r="AG125" s="152"/>
      <c r="AH125" s="152"/>
      <c r="AI125" s="153"/>
    </row>
    <row r="126" spans="2:35" ht="12.75">
      <c r="B126" s="151" t="s">
        <v>329</v>
      </c>
      <c r="L126" s="151"/>
      <c r="M126" s="151"/>
      <c r="Q126" s="152"/>
      <c r="R126" s="154">
        <f>(R124*12)/R123</f>
        <v>0.15771156792970886</v>
      </c>
      <c r="S126" s="153"/>
      <c r="U126" s="152"/>
      <c r="V126" s="154">
        <f>(V124*12)/V123</f>
        <v>0.1628779483181102</v>
      </c>
      <c r="W126" s="153"/>
      <c r="Y126" s="152"/>
      <c r="Z126" s="154">
        <f>(Z124*12)/Z123</f>
        <v>0.1724129713024613</v>
      </c>
      <c r="AA126" s="153"/>
      <c r="AC126" s="152"/>
      <c r="AD126" s="154">
        <f>(AD124*12)/AD123</f>
        <v>0.20392358692852772</v>
      </c>
      <c r="AE126" s="153"/>
      <c r="AF126" s="153"/>
      <c r="AG126" s="152"/>
      <c r="AH126" s="152"/>
      <c r="AI126" s="153"/>
    </row>
    <row r="128" spans="2:35">
      <c r="B128" s="27" t="s">
        <v>267</v>
      </c>
      <c r="L128" s="39">
        <v>0.75</v>
      </c>
      <c r="M128" s="27" t="s">
        <v>268</v>
      </c>
      <c r="Q128" s="27">
        <f>0.75*Q123</f>
        <v>0</v>
      </c>
      <c r="R128" s="27">
        <f>0.75*R123</f>
        <v>71332.750968616718</v>
      </c>
      <c r="S128" s="27">
        <f>0.75*S123</f>
        <v>59.543197803519789</v>
      </c>
      <c r="U128" s="27">
        <f>0.75*U123</f>
        <v>3181369.8867815658</v>
      </c>
      <c r="V128" s="27">
        <f>0.75*V123</f>
        <v>67688.720995352473</v>
      </c>
      <c r="W128" s="27">
        <f>0.75*W123</f>
        <v>75.209689994836083</v>
      </c>
      <c r="Y128" s="27">
        <f>0.75*Y123</f>
        <v>4149919.780367393</v>
      </c>
      <c r="Z128" s="27">
        <f>0.75*Z123</f>
        <v>78300.373214479128</v>
      </c>
      <c r="AA128" s="27">
        <f>0.75*AA123</f>
        <v>60.839450827101103</v>
      </c>
      <c r="AC128" s="27">
        <f>0.75*AC123</f>
        <v>2813553.8837941848</v>
      </c>
      <c r="AD128" s="27">
        <f>0.75*AD123</f>
        <v>82751.584817475989</v>
      </c>
      <c r="AE128" s="27">
        <f>0.75*AE123</f>
        <v>56.913056958374128</v>
      </c>
      <c r="AG128" s="27">
        <f>0.75*AG123</f>
        <v>9599743.5774317347</v>
      </c>
      <c r="AH128" s="27">
        <f>0.75*AH123</f>
        <v>71639.87744352041</v>
      </c>
      <c r="AI128" s="27">
        <f>0.75*AI123</f>
        <v>59.999897356382256</v>
      </c>
    </row>
    <row r="129" spans="2:33">
      <c r="B129" s="104" t="s">
        <v>269</v>
      </c>
    </row>
    <row r="130" spans="2:33">
      <c r="B130" s="27" t="s">
        <v>254</v>
      </c>
      <c r="Q130" s="27">
        <f>+Q123-Q128</f>
        <v>0</v>
      </c>
      <c r="U130" s="27">
        <f>+U123-U128</f>
        <v>1060456.6289271889</v>
      </c>
      <c r="Y130" s="27">
        <f>+Y123-Y128</f>
        <v>1383306.593455798</v>
      </c>
      <c r="AC130" s="27">
        <f>+AC123-AC128</f>
        <v>937851.29459806159</v>
      </c>
      <c r="AG130" s="27">
        <f>+AG123-AG128</f>
        <v>3199914.5258105788</v>
      </c>
    </row>
    <row r="131" spans="2:33">
      <c r="B131" s="27" t="s">
        <v>270</v>
      </c>
      <c r="Q131" s="27">
        <f>-Q113</f>
        <v>0</v>
      </c>
      <c r="U131" s="27">
        <f>-U113</f>
        <v>-479758.76316188165</v>
      </c>
      <c r="Y131" s="27">
        <f>-Y113</f>
        <v>-638816.31360380363</v>
      </c>
      <c r="AC131" s="27">
        <f>-AC113</f>
        <v>-436126.89948529628</v>
      </c>
      <c r="AG131" s="27">
        <f>-AG113</f>
        <v>-1513088.8002931245</v>
      </c>
    </row>
    <row r="132" spans="2:33">
      <c r="B132" s="27" t="s">
        <v>271</v>
      </c>
      <c r="Q132" s="27">
        <f>+Q131+Q130</f>
        <v>0</v>
      </c>
      <c r="U132" s="27">
        <f>+U131+U130</f>
        <v>580697.86576530733</v>
      </c>
      <c r="Y132" s="27">
        <f>+Y131+Y130</f>
        <v>744490.27985199436</v>
      </c>
      <c r="AC132" s="27">
        <f>+AC131+AC130</f>
        <v>501724.39511276531</v>
      </c>
      <c r="AG132" s="27">
        <f>+AG131+AG130</f>
        <v>1686825.7255174543</v>
      </c>
    </row>
    <row r="138" spans="2:33">
      <c r="L138" s="27">
        <f>10.3*43560</f>
        <v>448668.00000000006</v>
      </c>
      <c r="Q138" s="27">
        <f>Q$7*28</f>
        <v>0</v>
      </c>
      <c r="U138" s="27">
        <f>U7*15.83</f>
        <v>744.01</v>
      </c>
      <c r="Y138" s="27">
        <f>Y7*26</f>
        <v>1378</v>
      </c>
    </row>
    <row r="139" spans="2:33">
      <c r="L139" s="27">
        <f>SQRT(L138)</f>
        <v>669.82684329608651</v>
      </c>
      <c r="M139" s="27">
        <f>L139*25</f>
        <v>16745.671082402161</v>
      </c>
      <c r="N139" s="27">
        <f>M139*4</f>
        <v>66982.684329608644</v>
      </c>
      <c r="Q139" s="27">
        <f>Q$7*20</f>
        <v>0</v>
      </c>
      <c r="U139" s="27">
        <f>U$7*20</f>
        <v>940</v>
      </c>
      <c r="Y139" s="27">
        <f>Y$7*20</f>
        <v>1060</v>
      </c>
    </row>
    <row r="140" spans="2:33">
      <c r="L140" s="27">
        <f>L139*4-120</f>
        <v>2559.307373184346</v>
      </c>
      <c r="N140" s="27">
        <f>300*300</f>
        <v>90000</v>
      </c>
      <c r="Q140" s="27">
        <f>+Q139+Q138</f>
        <v>0</v>
      </c>
      <c r="U140" s="27">
        <f>+U139+U138</f>
        <v>1684.01</v>
      </c>
      <c r="Y140" s="27">
        <f>+Y139+Y138</f>
        <v>2438</v>
      </c>
    </row>
    <row r="141" spans="2:33">
      <c r="L141" s="27">
        <f>30*L140</f>
        <v>76779.221195530379</v>
      </c>
      <c r="N141" s="27">
        <f>+N140+N139</f>
        <v>156982.68432960863</v>
      </c>
    </row>
    <row r="142" spans="2:33">
      <c r="N142" s="27">
        <f>-2.5*60*80</f>
        <v>-12000</v>
      </c>
    </row>
    <row r="143" spans="2:33">
      <c r="N143" s="27">
        <f>-4000</f>
        <v>-4000</v>
      </c>
    </row>
    <row r="144" spans="2:33">
      <c r="N144" s="27">
        <f>SUM(N141:N143)</f>
        <v>140982.68432960863</v>
      </c>
      <c r="V144" s="27">
        <f>25*37</f>
        <v>925</v>
      </c>
    </row>
    <row r="145" spans="2:15">
      <c r="N145" s="27">
        <f>N144/134</f>
        <v>1052.1095845493182</v>
      </c>
    </row>
    <row r="146" spans="2:15">
      <c r="N146" s="27">
        <f>6500*12</f>
        <v>78000</v>
      </c>
    </row>
    <row r="147" spans="2:15">
      <c r="L147" s="27">
        <f>670-(37.5*2+25*2)</f>
        <v>545</v>
      </c>
    </row>
    <row r="148" spans="2:15">
      <c r="L148" s="27">
        <v>60</v>
      </c>
    </row>
    <row r="149" spans="2:15">
      <c r="L149" s="27">
        <v>4</v>
      </c>
    </row>
    <row r="150" spans="2:15">
      <c r="L150" s="27">
        <f>L149*L148*L147</f>
        <v>130800</v>
      </c>
    </row>
    <row r="151" spans="2:15">
      <c r="L151" s="27">
        <f>2*L150</f>
        <v>261600</v>
      </c>
    </row>
    <row r="152" spans="2:15">
      <c r="L152" s="27">
        <f>L147*L149*2.1</f>
        <v>4578</v>
      </c>
    </row>
    <row r="153" spans="2:15">
      <c r="L153" s="27">
        <f>10*L152</f>
        <v>45780</v>
      </c>
    </row>
    <row r="154" spans="2:15">
      <c r="L154" s="27">
        <f>+L153+L151</f>
        <v>307380</v>
      </c>
      <c r="M154" s="27">
        <f>75000*10.3</f>
        <v>772500</v>
      </c>
      <c r="N154" s="39">
        <f>+L154/M154</f>
        <v>0.39790291262135924</v>
      </c>
      <c r="O154" s="39"/>
    </row>
    <row r="155" spans="2:15">
      <c r="L155" s="27">
        <f>+N144*1.5</f>
        <v>211474.02649441294</v>
      </c>
    </row>
    <row r="156" spans="2:15">
      <c r="B156" s="27" t="s">
        <v>225</v>
      </c>
      <c r="L156" s="27">
        <f>545*4*35</f>
        <v>76300</v>
      </c>
      <c r="M156" s="27">
        <v>16</v>
      </c>
    </row>
    <row r="157" spans="2:15">
      <c r="B157" s="27" t="s">
        <v>226</v>
      </c>
    </row>
    <row r="158" spans="2:15">
      <c r="B158" s="27" t="s">
        <v>227</v>
      </c>
    </row>
    <row r="159" spans="2:15">
      <c r="B159" s="27" t="s">
        <v>228</v>
      </c>
    </row>
    <row r="160" spans="2:15">
      <c r="B160" s="27" t="s">
        <v>229</v>
      </c>
      <c r="L160" s="27">
        <v>25000</v>
      </c>
    </row>
    <row r="161" spans="2:14">
      <c r="B161" s="27" t="s">
        <v>230</v>
      </c>
      <c r="L161" s="27">
        <f>10000</f>
        <v>10000</v>
      </c>
    </row>
    <row r="162" spans="2:14">
      <c r="B162" s="27" t="s">
        <v>232</v>
      </c>
      <c r="L162" s="27">
        <v>15000</v>
      </c>
    </row>
    <row r="163" spans="2:14">
      <c r="B163" s="27" t="s">
        <v>233</v>
      </c>
      <c r="L163" s="27">
        <v>15000</v>
      </c>
    </row>
    <row r="164" spans="2:14">
      <c r="B164" s="27" t="s">
        <v>234</v>
      </c>
      <c r="L164" s="27">
        <f>900*35</f>
        <v>31500</v>
      </c>
      <c r="M164" s="27">
        <f>SUM(L154:L164)</f>
        <v>691654.02649441292</v>
      </c>
      <c r="N164" s="27">
        <f>M164/10.3</f>
        <v>67150.876358680864</v>
      </c>
    </row>
    <row r="165" spans="2:14">
      <c r="B165" s="27" t="s">
        <v>235</v>
      </c>
      <c r="L165" s="27">
        <v>75000</v>
      </c>
    </row>
    <row r="166" spans="2:14">
      <c r="B166" s="27" t="s">
        <v>236</v>
      </c>
      <c r="L166" s="27">
        <v>4000</v>
      </c>
    </row>
    <row r="167" spans="2:14">
      <c r="B167" s="27" t="s">
        <v>237</v>
      </c>
      <c r="L167" s="27">
        <v>4000</v>
      </c>
      <c r="M167" s="27">
        <f>SUM(L154:L167)</f>
        <v>774654.02649441292</v>
      </c>
      <c r="N167" s="27">
        <f>M167/10.3</f>
        <v>75209.128785865323</v>
      </c>
    </row>
  </sheetData>
  <mergeCells count="5">
    <mergeCell ref="Q5:S5"/>
    <mergeCell ref="U5:W5"/>
    <mergeCell ref="Y5:AA5"/>
    <mergeCell ref="AG5:AI5"/>
    <mergeCell ref="AC5:AE5"/>
  </mergeCells>
  <phoneticPr fontId="0" type="noConversion"/>
  <printOptions horizontalCentered="1" gridLines="1"/>
  <pageMargins left="0.5" right="0.5" top="1.81" bottom="0.8" header="0.5" footer="0.5"/>
  <pageSetup scale="89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6"/>
  <sheetViews>
    <sheetView showGridLines="0" topLeftCell="P1" workbookViewId="0">
      <selection activeCell="T15" sqref="T15"/>
    </sheetView>
  </sheetViews>
  <sheetFormatPr defaultColWidth="9.1640625" defaultRowHeight="12.75"/>
  <cols>
    <col min="1" max="1" width="15.6640625" style="159" customWidth="1"/>
    <col min="2" max="3" width="9.1640625" style="159"/>
    <col min="4" max="4" width="0.83203125" style="159" customWidth="1"/>
    <col min="5" max="8" width="9.1640625" style="159"/>
    <col min="9" max="9" width="0.83203125" style="159" customWidth="1"/>
    <col min="10" max="13" width="9.1640625" style="159"/>
    <col min="14" max="14" width="0.83203125" style="159" customWidth="1"/>
    <col min="15" max="15" width="9.1640625" style="159"/>
    <col min="16" max="16" width="10" style="159" customWidth="1"/>
    <col min="17" max="18" width="9.33203125" style="159" customWidth="1"/>
    <col min="19" max="19" width="0.83203125" style="159" customWidth="1"/>
    <col min="20" max="20" width="9.1640625" style="159"/>
    <col min="21" max="21" width="10" style="159" customWidth="1"/>
    <col min="22" max="23" width="9.33203125" style="159" customWidth="1"/>
    <col min="24" max="24" width="0.83203125" style="159" customWidth="1"/>
    <col min="25" max="25" width="7.5" style="159" customWidth="1"/>
    <col min="26" max="26" width="10" style="159" customWidth="1"/>
    <col min="27" max="28" width="9.33203125" style="159" customWidth="1"/>
    <col min="29" max="29" width="0.83203125" style="159" customWidth="1"/>
    <col min="30" max="30" width="9.1640625" style="159"/>
    <col min="31" max="31" width="10" style="159" customWidth="1"/>
    <col min="32" max="33" width="9.33203125" style="159" customWidth="1"/>
    <col min="34" max="34" width="0.83203125" style="159" customWidth="1"/>
    <col min="35" max="35" width="9.1640625" style="159"/>
    <col min="36" max="36" width="10" style="159" customWidth="1"/>
    <col min="37" max="38" width="9.33203125" style="159" customWidth="1"/>
    <col min="39" max="39" width="0.83203125" style="159" customWidth="1"/>
    <col min="40" max="40" width="9.1640625" style="159"/>
    <col min="41" max="41" width="10" style="159" customWidth="1"/>
    <col min="42" max="43" width="9.33203125" style="159" customWidth="1"/>
    <col min="44" max="44" width="0.83203125" style="159" customWidth="1"/>
    <col min="45" max="45" width="9.1640625" style="159"/>
    <col min="46" max="46" width="10" style="159" customWidth="1"/>
    <col min="47" max="48" width="9.33203125" style="159" customWidth="1"/>
    <col min="49" max="49" width="0.83203125" style="159" customWidth="1"/>
    <col min="50" max="16384" width="9.1640625" style="159"/>
  </cols>
  <sheetData>
    <row r="1" spans="1:54">
      <c r="E1" s="160" t="s">
        <v>324</v>
      </c>
      <c r="F1" s="160"/>
      <c r="G1" s="160"/>
      <c r="H1" s="160"/>
      <c r="I1" s="160"/>
      <c r="J1" s="160"/>
      <c r="K1" s="160"/>
      <c r="L1" s="160"/>
      <c r="M1" s="160"/>
      <c r="O1" s="160"/>
      <c r="P1" s="160" t="s">
        <v>325</v>
      </c>
      <c r="Q1" s="160"/>
      <c r="R1" s="160"/>
      <c r="S1" s="160"/>
      <c r="T1" s="160"/>
      <c r="U1" s="160"/>
      <c r="V1" s="160"/>
      <c r="W1" s="160"/>
      <c r="Y1" s="160" t="s">
        <v>316</v>
      </c>
      <c r="Z1" s="160"/>
      <c r="AA1" s="160"/>
      <c r="AB1" s="160"/>
      <c r="AC1" s="160"/>
      <c r="AD1" s="160"/>
      <c r="AE1" s="160"/>
      <c r="AF1" s="160"/>
      <c r="AG1" s="160"/>
      <c r="AI1" s="161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</row>
    <row r="2" spans="1:54">
      <c r="E2" s="205" t="s">
        <v>321</v>
      </c>
      <c r="F2" s="205"/>
      <c r="G2" s="205"/>
      <c r="H2" s="205"/>
      <c r="I2" s="162"/>
      <c r="J2" s="205" t="s">
        <v>323</v>
      </c>
      <c r="K2" s="205"/>
      <c r="L2" s="205"/>
      <c r="M2" s="205"/>
      <c r="O2" s="205" t="s">
        <v>322</v>
      </c>
      <c r="P2" s="205"/>
      <c r="Q2" s="205"/>
      <c r="R2" s="205"/>
      <c r="S2" s="162"/>
      <c r="T2" s="205" t="s">
        <v>317</v>
      </c>
      <c r="U2" s="205"/>
      <c r="V2" s="205"/>
      <c r="W2" s="205"/>
      <c r="X2" s="162"/>
      <c r="Y2" s="205" t="s">
        <v>317</v>
      </c>
      <c r="Z2" s="205"/>
      <c r="AA2" s="205"/>
      <c r="AB2" s="205"/>
      <c r="AD2" s="205" t="s">
        <v>318</v>
      </c>
      <c r="AE2" s="205"/>
      <c r="AF2" s="205"/>
      <c r="AG2" s="205"/>
      <c r="AI2" s="205" t="s">
        <v>315</v>
      </c>
      <c r="AJ2" s="205"/>
      <c r="AK2" s="205"/>
      <c r="AL2" s="205"/>
      <c r="AN2" s="205" t="s">
        <v>319</v>
      </c>
      <c r="AO2" s="205"/>
      <c r="AP2" s="205"/>
      <c r="AQ2" s="205"/>
      <c r="AS2" s="205" t="s">
        <v>320</v>
      </c>
      <c r="AT2" s="205"/>
      <c r="AU2" s="205"/>
      <c r="AV2" s="205"/>
    </row>
    <row r="3" spans="1:54">
      <c r="B3" s="159" t="s">
        <v>306</v>
      </c>
      <c r="C3" s="159" t="s">
        <v>307</v>
      </c>
      <c r="E3" s="159" t="s">
        <v>308</v>
      </c>
      <c r="F3" s="159" t="s">
        <v>238</v>
      </c>
      <c r="G3" s="159" t="s">
        <v>309</v>
      </c>
      <c r="H3" s="159" t="s">
        <v>310</v>
      </c>
      <c r="J3" s="159" t="s">
        <v>308</v>
      </c>
      <c r="K3" s="159" t="s">
        <v>238</v>
      </c>
      <c r="L3" s="159" t="s">
        <v>309</v>
      </c>
      <c r="M3" s="159" t="s">
        <v>310</v>
      </c>
      <c r="O3" s="159" t="s">
        <v>308</v>
      </c>
      <c r="P3" s="159" t="s">
        <v>238</v>
      </c>
      <c r="Q3" s="159" t="s">
        <v>309</v>
      </c>
      <c r="R3" s="159" t="s">
        <v>310</v>
      </c>
      <c r="T3" s="159" t="s">
        <v>308</v>
      </c>
      <c r="U3" s="159" t="s">
        <v>238</v>
      </c>
      <c r="V3" s="159" t="s">
        <v>309</v>
      </c>
      <c r="W3" s="159" t="s">
        <v>310</v>
      </c>
      <c r="Y3" s="159" t="s">
        <v>308</v>
      </c>
      <c r="Z3" s="159" t="s">
        <v>238</v>
      </c>
      <c r="AA3" s="159" t="s">
        <v>309</v>
      </c>
      <c r="AB3" s="159" t="s">
        <v>310</v>
      </c>
      <c r="AD3" s="159" t="s">
        <v>308</v>
      </c>
      <c r="AE3" s="159" t="s">
        <v>238</v>
      </c>
      <c r="AF3" s="159" t="s">
        <v>309</v>
      </c>
      <c r="AG3" s="159" t="s">
        <v>310</v>
      </c>
      <c r="AI3" s="159" t="s">
        <v>308</v>
      </c>
      <c r="AJ3" s="159" t="s">
        <v>238</v>
      </c>
      <c r="AK3" s="159" t="s">
        <v>309</v>
      </c>
      <c r="AL3" s="159" t="s">
        <v>310</v>
      </c>
      <c r="AN3" s="159" t="s">
        <v>308</v>
      </c>
      <c r="AO3" s="159" t="s">
        <v>238</v>
      </c>
      <c r="AP3" s="159" t="s">
        <v>309</v>
      </c>
      <c r="AQ3" s="159" t="s">
        <v>310</v>
      </c>
      <c r="AS3" s="159" t="s">
        <v>308</v>
      </c>
      <c r="AT3" s="159" t="s">
        <v>238</v>
      </c>
      <c r="AU3" s="159" t="s">
        <v>309</v>
      </c>
      <c r="AV3" s="159" t="s">
        <v>310</v>
      </c>
    </row>
    <row r="5" spans="1:54" s="169" customFormat="1">
      <c r="A5" s="163" t="s">
        <v>305</v>
      </c>
      <c r="B5" s="164">
        <v>173</v>
      </c>
      <c r="C5" s="164">
        <v>1</v>
      </c>
      <c r="D5" s="164"/>
      <c r="E5" s="164">
        <v>477</v>
      </c>
      <c r="F5" s="165">
        <v>650</v>
      </c>
      <c r="G5" s="166">
        <v>1.36</v>
      </c>
      <c r="H5" s="165">
        <v>650</v>
      </c>
      <c r="I5" s="167"/>
      <c r="J5" s="167"/>
      <c r="K5" s="165"/>
      <c r="L5" s="167"/>
      <c r="M5" s="165"/>
      <c r="N5" s="164"/>
      <c r="O5" s="164"/>
      <c r="P5" s="165"/>
      <c r="Q5" s="168"/>
      <c r="R5" s="165"/>
      <c r="S5" s="167"/>
      <c r="T5" s="164">
        <v>800</v>
      </c>
      <c r="U5" s="165">
        <v>1000</v>
      </c>
      <c r="V5" s="166">
        <v>1.25</v>
      </c>
      <c r="W5" s="165">
        <v>500</v>
      </c>
      <c r="X5" s="167"/>
      <c r="Y5" s="164"/>
      <c r="Z5" s="165"/>
      <c r="AA5" s="164"/>
      <c r="AB5" s="165"/>
      <c r="AC5" s="164"/>
      <c r="AD5" s="164">
        <v>944</v>
      </c>
      <c r="AE5" s="165">
        <v>1374</v>
      </c>
      <c r="AF5" s="166">
        <v>1.46</v>
      </c>
      <c r="AG5" s="165">
        <v>458</v>
      </c>
      <c r="AH5" s="164"/>
      <c r="AI5" s="164">
        <v>1100</v>
      </c>
      <c r="AJ5" s="165">
        <v>1600</v>
      </c>
      <c r="AK5" s="166">
        <v>1.45</v>
      </c>
      <c r="AL5" s="165">
        <v>400</v>
      </c>
      <c r="AM5" s="164"/>
      <c r="AX5" s="164"/>
      <c r="AY5" s="164"/>
      <c r="AZ5" s="164"/>
      <c r="BA5" s="164"/>
      <c r="BB5" s="170"/>
    </row>
    <row r="6" spans="1:54" s="169" customFormat="1">
      <c r="A6" s="171" t="s">
        <v>311</v>
      </c>
      <c r="B6" s="172">
        <v>152</v>
      </c>
      <c r="C6" s="172">
        <v>3</v>
      </c>
      <c r="D6" s="172"/>
      <c r="E6" s="172">
        <v>689</v>
      </c>
      <c r="F6" s="173">
        <v>705</v>
      </c>
      <c r="G6" s="174">
        <v>1.02</v>
      </c>
      <c r="H6" s="173">
        <v>705</v>
      </c>
      <c r="I6" s="172"/>
      <c r="J6" s="172">
        <v>806</v>
      </c>
      <c r="K6" s="173">
        <v>755</v>
      </c>
      <c r="L6" s="174">
        <v>0.94</v>
      </c>
      <c r="M6" s="173">
        <v>755</v>
      </c>
      <c r="N6" s="172"/>
      <c r="O6" s="172">
        <v>988</v>
      </c>
      <c r="P6" s="173">
        <v>910</v>
      </c>
      <c r="Q6" s="174">
        <v>0.92</v>
      </c>
      <c r="R6" s="173">
        <v>455</v>
      </c>
      <c r="S6" s="172"/>
      <c r="T6" s="172">
        <v>1105</v>
      </c>
      <c r="U6" s="173">
        <v>1025</v>
      </c>
      <c r="V6" s="174">
        <v>0.93</v>
      </c>
      <c r="W6" s="173">
        <v>512.5</v>
      </c>
      <c r="X6" s="175"/>
      <c r="Y6" s="172">
        <v>1250</v>
      </c>
      <c r="Z6" s="173">
        <v>1210</v>
      </c>
      <c r="AA6" s="174">
        <v>0.97</v>
      </c>
      <c r="AB6" s="173">
        <v>403.33</v>
      </c>
      <c r="AC6" s="172"/>
      <c r="AD6" s="172"/>
      <c r="AE6" s="173"/>
      <c r="AF6" s="172"/>
      <c r="AG6" s="173"/>
      <c r="AH6" s="172"/>
      <c r="AI6" s="172">
        <v>1350</v>
      </c>
      <c r="AJ6" s="173">
        <v>1624</v>
      </c>
      <c r="AK6" s="174">
        <v>1.2</v>
      </c>
      <c r="AL6" s="173">
        <v>406</v>
      </c>
      <c r="AM6" s="167"/>
      <c r="AN6" s="172"/>
      <c r="AO6" s="173"/>
      <c r="AP6" s="172"/>
      <c r="AQ6" s="173"/>
      <c r="AR6" s="172"/>
      <c r="AS6" s="172"/>
      <c r="AT6" s="173"/>
      <c r="AU6" s="172"/>
      <c r="AV6" s="173"/>
      <c r="AW6" s="172"/>
      <c r="AX6" s="172"/>
      <c r="AY6" s="172"/>
      <c r="AZ6" s="172"/>
      <c r="BA6" s="172"/>
      <c r="BB6" s="176"/>
    </row>
    <row r="7" spans="1:54" s="169" customFormat="1">
      <c r="A7" s="171" t="s">
        <v>312</v>
      </c>
      <c r="B7" s="172">
        <v>258</v>
      </c>
      <c r="C7" s="172">
        <v>3</v>
      </c>
      <c r="D7" s="172"/>
      <c r="E7" s="172">
        <v>501</v>
      </c>
      <c r="F7" s="173">
        <v>600</v>
      </c>
      <c r="G7" s="174">
        <v>1.2</v>
      </c>
      <c r="H7" s="173">
        <v>600</v>
      </c>
      <c r="I7" s="172"/>
      <c r="J7" s="172">
        <v>755</v>
      </c>
      <c r="K7" s="173">
        <v>725</v>
      </c>
      <c r="L7" s="174">
        <v>0.96</v>
      </c>
      <c r="M7" s="173">
        <v>725</v>
      </c>
      <c r="N7" s="172"/>
      <c r="O7" s="172">
        <v>886</v>
      </c>
      <c r="P7" s="173">
        <v>810</v>
      </c>
      <c r="Q7" s="174">
        <v>0.91</v>
      </c>
      <c r="R7" s="173">
        <v>405</v>
      </c>
      <c r="S7" s="172"/>
      <c r="T7" s="172">
        <v>933</v>
      </c>
      <c r="U7" s="173">
        <v>900</v>
      </c>
      <c r="V7" s="174">
        <v>0.96</v>
      </c>
      <c r="W7" s="173">
        <v>450</v>
      </c>
      <c r="X7" s="172"/>
      <c r="Y7" s="172"/>
      <c r="Z7" s="173"/>
      <c r="AA7" s="172"/>
      <c r="AB7" s="173"/>
      <c r="AC7" s="172"/>
      <c r="AD7" s="172"/>
      <c r="AE7" s="173"/>
      <c r="AF7" s="172"/>
      <c r="AG7" s="173"/>
      <c r="AH7" s="172"/>
      <c r="AI7" s="172">
        <v>1556</v>
      </c>
      <c r="AJ7" s="173">
        <v>1880</v>
      </c>
      <c r="AK7" s="174">
        <v>1.21</v>
      </c>
      <c r="AL7" s="173">
        <v>470</v>
      </c>
      <c r="AM7" s="164"/>
      <c r="AN7" s="172"/>
      <c r="AO7" s="173"/>
      <c r="AP7" s="172"/>
      <c r="AQ7" s="173"/>
      <c r="AR7" s="172"/>
      <c r="AS7" s="172"/>
      <c r="AT7" s="173"/>
      <c r="AU7" s="172"/>
      <c r="AV7" s="173"/>
      <c r="AW7" s="172"/>
      <c r="AX7" s="172"/>
      <c r="AY7" s="172"/>
      <c r="AZ7" s="172"/>
      <c r="BA7" s="172"/>
      <c r="BB7" s="176"/>
    </row>
    <row r="8" spans="1:54" s="169" customFormat="1">
      <c r="A8" s="171" t="s">
        <v>313</v>
      </c>
      <c r="B8" s="172">
        <v>192</v>
      </c>
      <c r="C8" s="172">
        <v>3</v>
      </c>
      <c r="D8" s="172"/>
      <c r="E8" s="172"/>
      <c r="F8" s="173"/>
      <c r="G8" s="175"/>
      <c r="H8" s="173"/>
      <c r="I8" s="172"/>
      <c r="J8" s="172"/>
      <c r="K8" s="173"/>
      <c r="L8" s="172"/>
      <c r="M8" s="173"/>
      <c r="N8" s="172"/>
      <c r="O8" s="172"/>
      <c r="P8" s="173"/>
      <c r="Q8" s="175"/>
      <c r="R8" s="173"/>
      <c r="S8" s="172"/>
      <c r="T8" s="172">
        <v>1058</v>
      </c>
      <c r="U8" s="173">
        <v>1064</v>
      </c>
      <c r="V8" s="174">
        <v>1.01</v>
      </c>
      <c r="W8" s="173">
        <v>532</v>
      </c>
      <c r="X8" s="172"/>
      <c r="Y8" s="172"/>
      <c r="Z8" s="173"/>
      <c r="AA8" s="172"/>
      <c r="AB8" s="173"/>
      <c r="AC8" s="172"/>
      <c r="AD8" s="172">
        <v>1000</v>
      </c>
      <c r="AE8" s="173">
        <v>1281</v>
      </c>
      <c r="AF8" s="174">
        <v>1.28</v>
      </c>
      <c r="AG8" s="173">
        <v>427</v>
      </c>
      <c r="AH8" s="172"/>
      <c r="AI8" s="172"/>
      <c r="AJ8" s="173"/>
      <c r="AK8" s="172"/>
      <c r="AL8" s="173"/>
      <c r="AM8" s="172"/>
      <c r="AN8" s="172"/>
      <c r="AO8" s="173"/>
      <c r="AP8" s="172"/>
      <c r="AQ8" s="173"/>
      <c r="AR8" s="172"/>
      <c r="AS8" s="172"/>
      <c r="AT8" s="173"/>
      <c r="AU8" s="172"/>
      <c r="AV8" s="173"/>
      <c r="AW8" s="172"/>
      <c r="AX8" s="172"/>
      <c r="AY8" s="172"/>
      <c r="AZ8" s="172"/>
      <c r="BA8" s="172"/>
      <c r="BB8" s="176"/>
    </row>
    <row r="9" spans="1:54" s="169" customFormat="1">
      <c r="A9" s="171" t="s">
        <v>313</v>
      </c>
      <c r="B9" s="172"/>
      <c r="C9" s="172"/>
      <c r="D9" s="172"/>
      <c r="E9" s="172"/>
      <c r="F9" s="173"/>
      <c r="G9" s="175"/>
      <c r="H9" s="173"/>
      <c r="I9" s="172"/>
      <c r="J9" s="172"/>
      <c r="K9" s="173"/>
      <c r="L9" s="172"/>
      <c r="M9" s="173"/>
      <c r="N9" s="172"/>
      <c r="O9" s="172"/>
      <c r="P9" s="173"/>
      <c r="Q9" s="175"/>
      <c r="R9" s="173"/>
      <c r="S9" s="172"/>
      <c r="T9" s="172">
        <v>1058</v>
      </c>
      <c r="U9" s="173">
        <v>976</v>
      </c>
      <c r="V9" s="174">
        <v>0.92</v>
      </c>
      <c r="W9" s="173">
        <v>488</v>
      </c>
      <c r="X9" s="172"/>
      <c r="Y9" s="172"/>
      <c r="Z9" s="173"/>
      <c r="AA9" s="172"/>
      <c r="AB9" s="173"/>
      <c r="AC9" s="172"/>
      <c r="AD9" s="172"/>
      <c r="AE9" s="173"/>
      <c r="AF9" s="172"/>
      <c r="AG9" s="173"/>
      <c r="AH9" s="172"/>
      <c r="AI9" s="172"/>
      <c r="AJ9" s="173"/>
      <c r="AK9" s="172"/>
      <c r="AL9" s="173"/>
      <c r="AM9" s="172"/>
      <c r="AN9" s="172"/>
      <c r="AO9" s="173"/>
      <c r="AP9" s="172"/>
      <c r="AQ9" s="173"/>
      <c r="AR9" s="172"/>
      <c r="AS9" s="172"/>
      <c r="AT9" s="173"/>
      <c r="AU9" s="172"/>
      <c r="AV9" s="173"/>
      <c r="AW9" s="172"/>
      <c r="AX9" s="172"/>
      <c r="AY9" s="172"/>
      <c r="AZ9" s="172"/>
      <c r="BA9" s="172"/>
      <c r="BB9" s="176"/>
    </row>
    <row r="10" spans="1:54" s="185" customFormat="1">
      <c r="A10" s="177"/>
      <c r="B10" s="178"/>
      <c r="C10" s="178"/>
      <c r="D10" s="178"/>
      <c r="E10" s="178"/>
      <c r="F10" s="179"/>
      <c r="G10" s="180"/>
      <c r="H10" s="179"/>
      <c r="I10" s="178"/>
      <c r="J10" s="178"/>
      <c r="K10" s="179"/>
      <c r="L10" s="178"/>
      <c r="M10" s="179"/>
      <c r="N10" s="178"/>
      <c r="O10" s="178"/>
      <c r="P10" s="179"/>
      <c r="Q10" s="180"/>
      <c r="R10" s="179"/>
      <c r="S10" s="178"/>
      <c r="T10" s="181">
        <v>990.8</v>
      </c>
      <c r="U10" s="179">
        <v>993</v>
      </c>
      <c r="V10" s="182">
        <v>1.01</v>
      </c>
      <c r="W10" s="179">
        <v>496.5</v>
      </c>
      <c r="X10" s="178"/>
      <c r="Y10" s="183">
        <f>AVERAGE(Y5:Y9)</f>
        <v>1250</v>
      </c>
      <c r="Z10" s="183">
        <f>AVERAGE(Z5:Z9)</f>
        <v>1210</v>
      </c>
      <c r="AA10" s="181">
        <f>AVERAGE(AA5:AA9)</f>
        <v>0.97</v>
      </c>
      <c r="AB10" s="183">
        <f>AVERAGE(AB5:AB9)</f>
        <v>403.33</v>
      </c>
      <c r="AC10" s="178"/>
      <c r="AD10" s="183">
        <f>AVERAGE(AD5:AD9)</f>
        <v>972</v>
      </c>
      <c r="AE10" s="183">
        <f>AVERAGE(AE5:AE9)</f>
        <v>1327.5</v>
      </c>
      <c r="AF10" s="181">
        <f>AVERAGE(AF5:AF9)</f>
        <v>1.37</v>
      </c>
      <c r="AG10" s="183">
        <f>AVERAGE(AG5:AG9)</f>
        <v>442.5</v>
      </c>
      <c r="AH10" s="178"/>
      <c r="AI10" s="183">
        <f>AVERAGE(AI5:AI9)</f>
        <v>1335.3333333333333</v>
      </c>
      <c r="AJ10" s="183">
        <f>AVERAGE(AJ5:AJ9)</f>
        <v>1701.3333333333333</v>
      </c>
      <c r="AK10" s="181">
        <f>AVERAGE(AK5:AK9)</f>
        <v>1.2866666666666666</v>
      </c>
      <c r="AL10" s="183">
        <f>AVERAGE(AL5:AL9)</f>
        <v>425.33333333333331</v>
      </c>
      <c r="AM10" s="178"/>
      <c r="AN10" s="178"/>
      <c r="AO10" s="179"/>
      <c r="AP10" s="178"/>
      <c r="AQ10" s="179"/>
      <c r="AR10" s="178"/>
      <c r="AS10" s="178"/>
      <c r="AT10" s="179"/>
      <c r="AU10" s="178"/>
      <c r="AV10" s="179"/>
      <c r="AW10" s="178"/>
      <c r="AX10" s="178"/>
      <c r="AY10" s="178"/>
      <c r="AZ10" s="178"/>
      <c r="BA10" s="178"/>
      <c r="BB10" s="184"/>
    </row>
    <row r="11" spans="1:54">
      <c r="F11" s="186"/>
      <c r="G11" s="187"/>
      <c r="H11" s="186"/>
      <c r="K11" s="188"/>
      <c r="M11" s="188"/>
      <c r="P11" s="188"/>
      <c r="Q11" s="187"/>
      <c r="R11" s="186"/>
      <c r="U11" s="188"/>
      <c r="V11" s="187"/>
      <c r="W11" s="186"/>
      <c r="Z11" s="188"/>
      <c r="AB11" s="188"/>
      <c r="AE11" s="188"/>
      <c r="AG11" s="188"/>
      <c r="AJ11" s="188"/>
      <c r="AL11" s="188"/>
      <c r="AO11" s="188"/>
      <c r="AQ11" s="188"/>
      <c r="AT11" s="188"/>
      <c r="AV11" s="188"/>
    </row>
    <row r="12" spans="1:54">
      <c r="A12" s="189" t="s">
        <v>314</v>
      </c>
      <c r="B12" s="190">
        <v>134</v>
      </c>
      <c r="C12" s="190">
        <v>0</v>
      </c>
      <c r="D12" s="190"/>
      <c r="E12" s="190">
        <v>0</v>
      </c>
      <c r="F12" s="191">
        <v>0</v>
      </c>
      <c r="G12" s="192"/>
      <c r="H12" s="191"/>
      <c r="I12" s="190"/>
      <c r="J12" s="190">
        <v>0</v>
      </c>
      <c r="K12" s="193">
        <v>0</v>
      </c>
      <c r="L12" s="190">
        <v>0</v>
      </c>
      <c r="M12" s="193">
        <v>0</v>
      </c>
      <c r="N12" s="190"/>
      <c r="O12" s="190"/>
      <c r="P12" s="193"/>
      <c r="Q12" s="192"/>
      <c r="R12" s="191"/>
      <c r="S12" s="190"/>
      <c r="T12" s="190">
        <v>1107</v>
      </c>
      <c r="U12" s="193">
        <v>1150</v>
      </c>
      <c r="V12" s="192">
        <f>+U12/T12</f>
        <v>1.0388437217705511</v>
      </c>
      <c r="W12" s="191">
        <f>+U12/2</f>
        <v>575</v>
      </c>
      <c r="X12" s="190"/>
      <c r="Y12" s="190"/>
      <c r="Z12" s="193"/>
      <c r="AA12" s="190"/>
      <c r="AB12" s="193"/>
      <c r="AC12" s="190"/>
      <c r="AD12" s="190">
        <f>1298</f>
        <v>1298</v>
      </c>
      <c r="AE12" s="193">
        <f>475*3</f>
        <v>1425</v>
      </c>
      <c r="AF12" s="192">
        <f>+AE12/AD12</f>
        <v>1.0978428351309708</v>
      </c>
      <c r="AG12" s="191">
        <f>+AE12/3</f>
        <v>475</v>
      </c>
      <c r="AH12" s="190"/>
      <c r="AI12" s="190"/>
      <c r="AJ12" s="193"/>
      <c r="AK12" s="190"/>
      <c r="AL12" s="193"/>
      <c r="AM12" s="190"/>
      <c r="AN12" s="190"/>
      <c r="AO12" s="193"/>
      <c r="AP12" s="190"/>
      <c r="AQ12" s="193"/>
      <c r="AR12" s="190"/>
      <c r="AS12" s="190"/>
      <c r="AT12" s="193"/>
      <c r="AU12" s="190"/>
      <c r="AV12" s="194"/>
    </row>
    <row r="13" spans="1:54">
      <c r="A13" s="195"/>
      <c r="B13" s="196"/>
      <c r="C13" s="196"/>
      <c r="D13" s="196"/>
      <c r="E13" s="196"/>
      <c r="F13" s="197"/>
      <c r="G13" s="198"/>
      <c r="H13" s="197"/>
      <c r="I13" s="196"/>
      <c r="J13" s="196"/>
      <c r="K13" s="199"/>
      <c r="L13" s="196"/>
      <c r="M13" s="199"/>
      <c r="N13" s="196"/>
      <c r="O13" s="196"/>
      <c r="P13" s="199"/>
      <c r="Q13" s="198"/>
      <c r="R13" s="197"/>
      <c r="S13" s="196"/>
      <c r="T13" s="196">
        <v>1198</v>
      </c>
      <c r="U13" s="199">
        <v>1200</v>
      </c>
      <c r="V13" s="198">
        <f>+U13/T13</f>
        <v>1.001669449081803</v>
      </c>
      <c r="W13" s="197">
        <f>+U13/2</f>
        <v>600</v>
      </c>
      <c r="X13" s="196"/>
      <c r="Y13" s="196"/>
      <c r="Z13" s="199"/>
      <c r="AA13" s="196"/>
      <c r="AB13" s="199"/>
      <c r="AC13" s="196"/>
      <c r="AD13" s="196"/>
      <c r="AE13" s="199"/>
      <c r="AF13" s="196"/>
      <c r="AG13" s="199"/>
      <c r="AH13" s="196"/>
      <c r="AI13" s="196"/>
      <c r="AJ13" s="199"/>
      <c r="AK13" s="196"/>
      <c r="AL13" s="199"/>
      <c r="AM13" s="196"/>
      <c r="AN13" s="196"/>
      <c r="AO13" s="199"/>
      <c r="AP13" s="196"/>
      <c r="AQ13" s="199"/>
      <c r="AR13" s="196"/>
      <c r="AS13" s="196"/>
      <c r="AT13" s="199"/>
      <c r="AU13" s="196"/>
      <c r="AV13" s="200"/>
    </row>
    <row r="14" spans="1:54">
      <c r="F14" s="186"/>
      <c r="G14" s="187"/>
      <c r="H14" s="186"/>
      <c r="K14" s="188"/>
      <c r="M14" s="188"/>
      <c r="P14" s="188"/>
      <c r="Q14" s="187"/>
      <c r="R14" s="186"/>
      <c r="T14" s="190">
        <f>1107-150</f>
        <v>957</v>
      </c>
      <c r="U14" s="188">
        <f>W14*2</f>
        <v>1200</v>
      </c>
      <c r="V14" s="201">
        <f>+U14/U14</f>
        <v>1</v>
      </c>
      <c r="W14" s="197">
        <v>600</v>
      </c>
      <c r="Z14" s="188"/>
      <c r="AB14" s="188"/>
      <c r="AE14" s="188"/>
      <c r="AG14" s="188"/>
      <c r="AJ14" s="188"/>
      <c r="AL14" s="188"/>
      <c r="AO14" s="188"/>
      <c r="AQ14" s="188"/>
      <c r="AT14" s="188"/>
      <c r="AV14" s="188"/>
    </row>
    <row r="15" spans="1:54">
      <c r="F15" s="186"/>
      <c r="G15" s="187"/>
      <c r="H15" s="186"/>
      <c r="K15" s="188"/>
      <c r="M15" s="188"/>
      <c r="P15" s="188"/>
      <c r="Q15" s="187"/>
      <c r="R15" s="186"/>
      <c r="T15" s="196">
        <v>1198</v>
      </c>
      <c r="U15" s="188">
        <f>V15*T15</f>
        <v>1497.5</v>
      </c>
      <c r="V15" s="159">
        <v>1.25</v>
      </c>
      <c r="W15" s="197">
        <f>+U15/2</f>
        <v>748.75</v>
      </c>
      <c r="Z15" s="188"/>
      <c r="AB15" s="188"/>
      <c r="AE15" s="188"/>
      <c r="AG15" s="188"/>
      <c r="AJ15" s="188"/>
      <c r="AL15" s="188"/>
      <c r="AO15" s="188"/>
      <c r="AQ15" s="188"/>
      <c r="AT15" s="188"/>
      <c r="AV15" s="188"/>
    </row>
    <row r="16" spans="1:54">
      <c r="F16" s="186"/>
      <c r="G16" s="187"/>
      <c r="H16" s="186"/>
      <c r="K16" s="188"/>
      <c r="M16" s="188"/>
      <c r="P16" s="188"/>
      <c r="Q16" s="187"/>
      <c r="R16" s="186"/>
      <c r="U16" s="188"/>
      <c r="W16" s="188"/>
      <c r="Z16" s="188"/>
      <c r="AB16" s="188"/>
      <c r="AE16" s="188"/>
      <c r="AG16" s="188"/>
      <c r="AJ16" s="188"/>
      <c r="AL16" s="188"/>
      <c r="AO16" s="188"/>
      <c r="AQ16" s="188"/>
      <c r="AT16" s="188"/>
      <c r="AV16" s="188"/>
    </row>
    <row r="17" spans="6:48">
      <c r="F17" s="186"/>
      <c r="G17" s="187"/>
      <c r="H17" s="186"/>
      <c r="K17" s="188"/>
      <c r="M17" s="188"/>
      <c r="P17" s="188"/>
      <c r="Q17" s="187"/>
      <c r="R17" s="186"/>
      <c r="U17" s="188"/>
      <c r="W17" s="188"/>
      <c r="Z17" s="188"/>
      <c r="AB17" s="188"/>
      <c r="AE17" s="188"/>
      <c r="AG17" s="188"/>
      <c r="AJ17" s="188"/>
      <c r="AL17" s="188"/>
      <c r="AO17" s="188"/>
      <c r="AQ17" s="188"/>
      <c r="AT17" s="188"/>
      <c r="AV17" s="188"/>
    </row>
    <row r="18" spans="6:48">
      <c r="F18" s="186"/>
      <c r="G18" s="187"/>
      <c r="H18" s="186"/>
      <c r="K18" s="188"/>
      <c r="M18" s="188"/>
      <c r="P18" s="188"/>
      <c r="Q18" s="187"/>
      <c r="R18" s="186"/>
      <c r="U18" s="188"/>
      <c r="W18" s="188"/>
      <c r="Z18" s="188"/>
      <c r="AB18" s="188"/>
      <c r="AE18" s="188"/>
      <c r="AG18" s="188"/>
      <c r="AJ18" s="188"/>
      <c r="AL18" s="188"/>
      <c r="AO18" s="188"/>
      <c r="AQ18" s="188"/>
      <c r="AT18" s="188"/>
      <c r="AV18" s="188"/>
    </row>
    <row r="19" spans="6:48">
      <c r="F19" s="186"/>
      <c r="G19" s="187"/>
      <c r="H19" s="186"/>
      <c r="K19" s="188"/>
      <c r="M19" s="188"/>
      <c r="P19" s="188"/>
      <c r="Q19" s="187"/>
      <c r="R19" s="186"/>
      <c r="U19" s="188"/>
      <c r="W19" s="188"/>
      <c r="Z19" s="188"/>
      <c r="AB19" s="188"/>
      <c r="AE19" s="188"/>
      <c r="AG19" s="188"/>
      <c r="AJ19" s="188"/>
      <c r="AL19" s="188"/>
      <c r="AO19" s="188"/>
      <c r="AQ19" s="188"/>
      <c r="AT19" s="188"/>
      <c r="AV19" s="188"/>
    </row>
    <row r="20" spans="6:48">
      <c r="F20" s="186"/>
      <c r="G20" s="187"/>
      <c r="H20" s="186"/>
      <c r="K20" s="188"/>
      <c r="M20" s="188"/>
      <c r="P20" s="188"/>
      <c r="Q20" s="187"/>
      <c r="R20" s="186"/>
      <c r="U20" s="188"/>
      <c r="W20" s="188"/>
      <c r="Z20" s="188"/>
      <c r="AB20" s="188"/>
      <c r="AE20" s="188"/>
      <c r="AG20" s="188"/>
      <c r="AJ20" s="188"/>
      <c r="AL20" s="188"/>
      <c r="AO20" s="188"/>
      <c r="AQ20" s="188"/>
      <c r="AT20" s="188"/>
      <c r="AV20" s="188"/>
    </row>
    <row r="21" spans="6:48">
      <c r="F21" s="186"/>
      <c r="G21" s="187"/>
      <c r="H21" s="186"/>
      <c r="K21" s="188"/>
      <c r="M21" s="188"/>
      <c r="P21" s="188"/>
      <c r="Q21" s="187"/>
      <c r="R21" s="186"/>
      <c r="U21" s="188"/>
      <c r="W21" s="188"/>
      <c r="Z21" s="188"/>
      <c r="AB21" s="188"/>
      <c r="AE21" s="188"/>
      <c r="AG21" s="188"/>
      <c r="AJ21" s="188"/>
      <c r="AL21" s="188"/>
      <c r="AO21" s="188"/>
      <c r="AQ21" s="188"/>
      <c r="AT21" s="188"/>
      <c r="AV21" s="188"/>
    </row>
    <row r="22" spans="6:48">
      <c r="F22" s="186"/>
      <c r="G22" s="187"/>
      <c r="H22" s="186"/>
      <c r="K22" s="188"/>
      <c r="M22" s="188"/>
      <c r="P22" s="188"/>
      <c r="Q22" s="187"/>
      <c r="R22" s="186"/>
      <c r="U22" s="188"/>
      <c r="W22" s="188"/>
      <c r="Z22" s="188"/>
      <c r="AB22" s="188"/>
      <c r="AE22" s="188"/>
      <c r="AG22" s="188"/>
      <c r="AJ22" s="188"/>
      <c r="AL22" s="188"/>
      <c r="AO22" s="188"/>
      <c r="AQ22" s="188"/>
      <c r="AT22" s="188"/>
      <c r="AV22" s="188"/>
    </row>
    <row r="23" spans="6:48">
      <c r="F23" s="186"/>
      <c r="G23" s="187"/>
      <c r="H23" s="186"/>
      <c r="K23" s="188"/>
      <c r="M23" s="188"/>
      <c r="P23" s="188"/>
      <c r="Q23" s="187"/>
      <c r="R23" s="186"/>
      <c r="U23" s="188"/>
      <c r="W23" s="188"/>
      <c r="Z23" s="188"/>
      <c r="AB23" s="188"/>
      <c r="AE23" s="188"/>
      <c r="AG23" s="188"/>
      <c r="AJ23" s="188"/>
      <c r="AL23" s="188"/>
      <c r="AO23" s="188"/>
      <c r="AQ23" s="188"/>
      <c r="AT23" s="188"/>
      <c r="AV23" s="188"/>
    </row>
    <row r="24" spans="6:48">
      <c r="F24" s="186"/>
      <c r="G24" s="187"/>
      <c r="H24" s="186"/>
      <c r="K24" s="188"/>
      <c r="M24" s="188"/>
      <c r="P24" s="188"/>
      <c r="Q24" s="187"/>
      <c r="R24" s="186"/>
      <c r="U24" s="188"/>
      <c r="W24" s="188"/>
      <c r="Z24" s="188"/>
      <c r="AB24" s="188"/>
      <c r="AE24" s="188"/>
      <c r="AG24" s="188"/>
      <c r="AJ24" s="188"/>
      <c r="AL24" s="188"/>
      <c r="AO24" s="188"/>
      <c r="AQ24" s="188"/>
      <c r="AT24" s="188"/>
      <c r="AV24" s="188"/>
    </row>
    <row r="25" spans="6:48">
      <c r="F25" s="186"/>
      <c r="G25" s="187"/>
      <c r="H25" s="186"/>
      <c r="K25" s="188"/>
      <c r="M25" s="188"/>
      <c r="P25" s="188"/>
      <c r="Q25" s="187"/>
      <c r="R25" s="186"/>
      <c r="U25" s="188"/>
      <c r="W25" s="188"/>
      <c r="Z25" s="188"/>
      <c r="AB25" s="188"/>
      <c r="AE25" s="188"/>
      <c r="AG25" s="188"/>
      <c r="AJ25" s="188"/>
      <c r="AL25" s="188"/>
      <c r="AO25" s="188"/>
      <c r="AQ25" s="188"/>
      <c r="AT25" s="188"/>
      <c r="AV25" s="188"/>
    </row>
    <row r="26" spans="6:48">
      <c r="F26" s="186"/>
      <c r="G26" s="187"/>
      <c r="H26" s="186"/>
      <c r="K26" s="188"/>
      <c r="M26" s="188"/>
      <c r="P26" s="188"/>
      <c r="Q26" s="187"/>
      <c r="R26" s="186"/>
      <c r="U26" s="188"/>
      <c r="W26" s="188"/>
      <c r="Z26" s="188"/>
      <c r="AB26" s="188"/>
      <c r="AE26" s="188"/>
      <c r="AG26" s="188"/>
      <c r="AJ26" s="188"/>
      <c r="AL26" s="188"/>
      <c r="AO26" s="188"/>
      <c r="AQ26" s="188"/>
      <c r="AT26" s="188"/>
      <c r="AV26" s="188"/>
    </row>
    <row r="27" spans="6:48">
      <c r="F27" s="186"/>
      <c r="G27" s="187"/>
      <c r="H27" s="186"/>
      <c r="K27" s="188"/>
      <c r="M27" s="188"/>
      <c r="P27" s="188"/>
      <c r="Q27" s="187"/>
      <c r="R27" s="186"/>
      <c r="U27" s="188"/>
      <c r="W27" s="188"/>
      <c r="Z27" s="188"/>
      <c r="AB27" s="188"/>
      <c r="AE27" s="188"/>
      <c r="AG27" s="188"/>
      <c r="AJ27" s="188"/>
      <c r="AL27" s="188"/>
      <c r="AO27" s="188"/>
      <c r="AQ27" s="188"/>
      <c r="AT27" s="188"/>
      <c r="AV27" s="188"/>
    </row>
    <row r="28" spans="6:48">
      <c r="F28" s="186"/>
      <c r="G28" s="187"/>
      <c r="H28" s="186"/>
      <c r="K28" s="188"/>
      <c r="M28" s="188"/>
      <c r="P28" s="188"/>
      <c r="Q28" s="187"/>
      <c r="R28" s="186"/>
      <c r="U28" s="188"/>
      <c r="W28" s="188"/>
      <c r="Z28" s="188"/>
      <c r="AB28" s="188"/>
      <c r="AE28" s="188"/>
      <c r="AG28" s="188"/>
      <c r="AJ28" s="188"/>
      <c r="AL28" s="188"/>
      <c r="AO28" s="188"/>
      <c r="AQ28" s="188"/>
      <c r="AT28" s="188"/>
      <c r="AV28" s="188"/>
    </row>
    <row r="29" spans="6:48">
      <c r="F29" s="186"/>
      <c r="G29" s="187"/>
      <c r="H29" s="186"/>
      <c r="K29" s="188"/>
      <c r="M29" s="188"/>
      <c r="P29" s="188"/>
      <c r="Q29" s="187"/>
      <c r="R29" s="186"/>
      <c r="U29" s="188"/>
      <c r="W29" s="188"/>
      <c r="Z29" s="188"/>
      <c r="AB29" s="188"/>
      <c r="AE29" s="188"/>
      <c r="AG29" s="188"/>
      <c r="AJ29" s="188"/>
      <c r="AL29" s="188"/>
      <c r="AO29" s="188"/>
      <c r="AQ29" s="188"/>
      <c r="AT29" s="188"/>
      <c r="AV29" s="188"/>
    </row>
    <row r="30" spans="6:48">
      <c r="F30" s="186"/>
      <c r="G30" s="187"/>
      <c r="H30" s="186"/>
      <c r="K30" s="188"/>
      <c r="M30" s="188"/>
      <c r="P30" s="188"/>
      <c r="Q30" s="187"/>
      <c r="R30" s="186"/>
      <c r="U30" s="188"/>
      <c r="W30" s="188"/>
      <c r="Z30" s="188"/>
      <c r="AB30" s="188"/>
      <c r="AE30" s="188"/>
      <c r="AG30" s="188"/>
      <c r="AJ30" s="188"/>
      <c r="AL30" s="188"/>
      <c r="AO30" s="188"/>
      <c r="AQ30" s="188"/>
      <c r="AT30" s="188"/>
      <c r="AV30" s="188"/>
    </row>
    <row r="31" spans="6:48">
      <c r="F31" s="186"/>
      <c r="G31" s="187"/>
      <c r="H31" s="186"/>
      <c r="K31" s="188"/>
      <c r="M31" s="188"/>
      <c r="P31" s="188"/>
      <c r="Q31" s="187"/>
      <c r="R31" s="186"/>
      <c r="U31" s="188"/>
      <c r="W31" s="188"/>
      <c r="Z31" s="188"/>
      <c r="AB31" s="188"/>
      <c r="AE31" s="188"/>
      <c r="AG31" s="188"/>
      <c r="AJ31" s="188"/>
      <c r="AL31" s="188"/>
      <c r="AO31" s="188"/>
      <c r="AQ31" s="188"/>
      <c r="AT31" s="188"/>
      <c r="AV31" s="188"/>
    </row>
    <row r="32" spans="6:48">
      <c r="F32" s="186"/>
      <c r="G32" s="187"/>
      <c r="H32" s="186"/>
      <c r="K32" s="188"/>
      <c r="M32" s="188"/>
      <c r="P32" s="188"/>
      <c r="Q32" s="187"/>
      <c r="R32" s="186"/>
      <c r="U32" s="188"/>
      <c r="W32" s="188"/>
      <c r="Z32" s="188"/>
      <c r="AB32" s="188"/>
      <c r="AE32" s="188"/>
      <c r="AG32" s="188"/>
      <c r="AJ32" s="188"/>
      <c r="AL32" s="188"/>
      <c r="AO32" s="188"/>
      <c r="AQ32" s="188"/>
      <c r="AT32" s="188"/>
      <c r="AV32" s="188"/>
    </row>
    <row r="33" spans="6:48">
      <c r="F33" s="186"/>
      <c r="G33" s="187"/>
      <c r="H33" s="186"/>
      <c r="K33" s="188"/>
      <c r="M33" s="188"/>
      <c r="P33" s="188"/>
      <c r="Q33" s="187"/>
      <c r="R33" s="186"/>
      <c r="U33" s="188"/>
      <c r="W33" s="188"/>
      <c r="Z33" s="188"/>
      <c r="AB33" s="188"/>
      <c r="AE33" s="188"/>
      <c r="AG33" s="188"/>
      <c r="AJ33" s="188"/>
      <c r="AL33" s="188"/>
      <c r="AO33" s="188"/>
      <c r="AQ33" s="188"/>
      <c r="AT33" s="188"/>
      <c r="AV33" s="188"/>
    </row>
    <row r="34" spans="6:48">
      <c r="F34" s="186"/>
      <c r="G34" s="187"/>
      <c r="H34" s="186"/>
      <c r="K34" s="188"/>
      <c r="M34" s="188"/>
      <c r="P34" s="188"/>
      <c r="Q34" s="187"/>
      <c r="R34" s="186"/>
      <c r="U34" s="188"/>
      <c r="W34" s="188"/>
      <c r="Z34" s="188"/>
      <c r="AB34" s="188"/>
      <c r="AE34" s="188"/>
      <c r="AG34" s="188"/>
      <c r="AJ34" s="188"/>
      <c r="AL34" s="188"/>
      <c r="AO34" s="188"/>
      <c r="AQ34" s="188"/>
      <c r="AT34" s="188"/>
      <c r="AV34" s="188"/>
    </row>
    <row r="35" spans="6:48">
      <c r="F35" s="186"/>
      <c r="G35" s="187"/>
      <c r="H35" s="186"/>
      <c r="K35" s="188"/>
      <c r="M35" s="188"/>
      <c r="P35" s="188"/>
      <c r="Q35" s="187"/>
      <c r="R35" s="186"/>
      <c r="U35" s="188"/>
      <c r="W35" s="188"/>
      <c r="Z35" s="188"/>
      <c r="AB35" s="188"/>
      <c r="AE35" s="188"/>
      <c r="AG35" s="188"/>
      <c r="AJ35" s="188"/>
      <c r="AL35" s="188"/>
      <c r="AO35" s="188"/>
      <c r="AQ35" s="188"/>
      <c r="AT35" s="188"/>
      <c r="AV35" s="188"/>
    </row>
    <row r="36" spans="6:48">
      <c r="F36" s="188"/>
      <c r="H36" s="188"/>
      <c r="K36" s="188"/>
      <c r="M36" s="188"/>
      <c r="P36" s="188"/>
      <c r="Q36" s="187"/>
      <c r="R36" s="186"/>
      <c r="U36" s="188"/>
      <c r="W36" s="188"/>
      <c r="Z36" s="188"/>
      <c r="AB36" s="188"/>
      <c r="AE36" s="188"/>
      <c r="AG36" s="188"/>
      <c r="AJ36" s="188"/>
      <c r="AL36" s="188"/>
      <c r="AO36" s="188"/>
      <c r="AQ36" s="188"/>
      <c r="AT36" s="188"/>
      <c r="AV36" s="188"/>
    </row>
    <row r="37" spans="6:48">
      <c r="F37" s="188"/>
      <c r="H37" s="188"/>
      <c r="K37" s="188"/>
      <c r="M37" s="188"/>
      <c r="P37" s="188"/>
      <c r="Q37" s="187"/>
      <c r="R37" s="186"/>
      <c r="U37" s="188"/>
      <c r="W37" s="188"/>
      <c r="Z37" s="188"/>
      <c r="AB37" s="188"/>
      <c r="AE37" s="188"/>
      <c r="AG37" s="188"/>
      <c r="AJ37" s="188"/>
      <c r="AL37" s="188"/>
      <c r="AO37" s="188"/>
      <c r="AQ37" s="188"/>
      <c r="AT37" s="188"/>
      <c r="AV37" s="188"/>
    </row>
    <row r="38" spans="6:48">
      <c r="F38" s="188"/>
      <c r="H38" s="188"/>
      <c r="K38" s="188"/>
      <c r="M38" s="188"/>
      <c r="P38" s="188"/>
      <c r="R38" s="188"/>
      <c r="U38" s="188"/>
      <c r="W38" s="188"/>
      <c r="Z38" s="188"/>
      <c r="AB38" s="188"/>
      <c r="AE38" s="188"/>
      <c r="AG38" s="188"/>
      <c r="AJ38" s="188"/>
      <c r="AL38" s="188"/>
      <c r="AO38" s="188"/>
      <c r="AQ38" s="188"/>
      <c r="AT38" s="188"/>
      <c r="AV38" s="188"/>
    </row>
    <row r="39" spans="6:48">
      <c r="F39" s="188"/>
      <c r="H39" s="188"/>
      <c r="K39" s="188"/>
      <c r="M39" s="188"/>
      <c r="P39" s="188"/>
      <c r="R39" s="188"/>
      <c r="U39" s="188"/>
      <c r="W39" s="188"/>
      <c r="Z39" s="188"/>
      <c r="AB39" s="188"/>
      <c r="AE39" s="188"/>
      <c r="AG39" s="188"/>
      <c r="AJ39" s="188"/>
      <c r="AL39" s="188"/>
      <c r="AO39" s="188"/>
      <c r="AQ39" s="188"/>
      <c r="AT39" s="188"/>
      <c r="AV39" s="188"/>
    </row>
    <row r="40" spans="6:48">
      <c r="F40" s="188"/>
      <c r="H40" s="188"/>
      <c r="K40" s="188"/>
      <c r="M40" s="188"/>
      <c r="P40" s="188"/>
      <c r="R40" s="188"/>
      <c r="U40" s="188"/>
      <c r="W40" s="188"/>
      <c r="Z40" s="188"/>
      <c r="AB40" s="188"/>
      <c r="AE40" s="188"/>
      <c r="AG40" s="188"/>
      <c r="AJ40" s="188"/>
      <c r="AL40" s="188"/>
      <c r="AO40" s="188"/>
      <c r="AQ40" s="188"/>
      <c r="AT40" s="188"/>
      <c r="AV40" s="188"/>
    </row>
    <row r="41" spans="6:48">
      <c r="F41" s="188"/>
      <c r="H41" s="188"/>
      <c r="K41" s="188"/>
      <c r="M41" s="188"/>
      <c r="P41" s="188"/>
      <c r="R41" s="188"/>
      <c r="U41" s="188"/>
      <c r="W41" s="188"/>
      <c r="Z41" s="188"/>
      <c r="AB41" s="188"/>
      <c r="AE41" s="188"/>
      <c r="AG41" s="188"/>
      <c r="AJ41" s="188"/>
      <c r="AL41" s="188"/>
      <c r="AO41" s="188"/>
      <c r="AQ41" s="188"/>
      <c r="AT41" s="188"/>
      <c r="AV41" s="188"/>
    </row>
    <row r="42" spans="6:48">
      <c r="F42" s="188"/>
      <c r="H42" s="188"/>
      <c r="K42" s="188"/>
      <c r="M42" s="188"/>
      <c r="P42" s="188"/>
      <c r="R42" s="188"/>
      <c r="U42" s="188"/>
      <c r="W42" s="188"/>
      <c r="Z42" s="188"/>
      <c r="AB42" s="188"/>
      <c r="AE42" s="188"/>
      <c r="AG42" s="188"/>
      <c r="AJ42" s="188"/>
      <c r="AL42" s="188"/>
      <c r="AO42" s="188"/>
      <c r="AQ42" s="188"/>
      <c r="AT42" s="188"/>
      <c r="AV42" s="188"/>
    </row>
    <row r="43" spans="6:48">
      <c r="F43" s="188"/>
      <c r="H43" s="188"/>
      <c r="K43" s="188"/>
      <c r="M43" s="188"/>
      <c r="P43" s="188"/>
      <c r="R43" s="188"/>
      <c r="U43" s="188"/>
      <c r="W43" s="188"/>
      <c r="Z43" s="188"/>
      <c r="AB43" s="188"/>
      <c r="AE43" s="188"/>
      <c r="AG43" s="188"/>
      <c r="AJ43" s="188"/>
      <c r="AL43" s="188"/>
      <c r="AO43" s="188"/>
      <c r="AQ43" s="188"/>
      <c r="AT43" s="188"/>
      <c r="AV43" s="188"/>
    </row>
    <row r="44" spans="6:48">
      <c r="F44" s="188"/>
      <c r="H44" s="188"/>
      <c r="K44" s="188"/>
      <c r="M44" s="188"/>
      <c r="P44" s="188"/>
      <c r="R44" s="188"/>
      <c r="U44" s="188"/>
      <c r="W44" s="188"/>
      <c r="Z44" s="188"/>
      <c r="AB44" s="188"/>
      <c r="AE44" s="188"/>
      <c r="AG44" s="188"/>
      <c r="AJ44" s="188"/>
      <c r="AL44" s="188"/>
      <c r="AO44" s="188"/>
      <c r="AQ44" s="188"/>
      <c r="AT44" s="188"/>
      <c r="AV44" s="188"/>
    </row>
    <row r="45" spans="6:48">
      <c r="F45" s="188"/>
      <c r="H45" s="188"/>
      <c r="K45" s="188"/>
      <c r="M45" s="188"/>
      <c r="P45" s="188"/>
      <c r="R45" s="188"/>
      <c r="U45" s="188"/>
      <c r="W45" s="188"/>
      <c r="Z45" s="188"/>
      <c r="AB45" s="188"/>
      <c r="AE45" s="188"/>
      <c r="AG45" s="188"/>
      <c r="AJ45" s="188"/>
      <c r="AL45" s="188"/>
      <c r="AO45" s="188"/>
      <c r="AQ45" s="188"/>
      <c r="AT45" s="188"/>
      <c r="AV45" s="188"/>
    </row>
    <row r="46" spans="6:48">
      <c r="F46" s="188"/>
      <c r="H46" s="188"/>
      <c r="K46" s="188"/>
      <c r="M46" s="188"/>
      <c r="P46" s="188"/>
      <c r="R46" s="188"/>
      <c r="U46" s="188"/>
      <c r="W46" s="188"/>
      <c r="Z46" s="188"/>
      <c r="AB46" s="188"/>
      <c r="AE46" s="188"/>
      <c r="AG46" s="188"/>
      <c r="AJ46" s="188"/>
      <c r="AL46" s="188"/>
      <c r="AO46" s="188"/>
      <c r="AQ46" s="188"/>
      <c r="AT46" s="188"/>
      <c r="AV46" s="188"/>
    </row>
    <row r="47" spans="6:48">
      <c r="F47" s="188"/>
      <c r="H47" s="188"/>
      <c r="K47" s="188"/>
      <c r="M47" s="188"/>
      <c r="P47" s="188"/>
      <c r="R47" s="188"/>
      <c r="U47" s="188"/>
      <c r="W47" s="188"/>
      <c r="Z47" s="188"/>
      <c r="AB47" s="188"/>
      <c r="AE47" s="188"/>
      <c r="AG47" s="188"/>
      <c r="AJ47" s="188"/>
      <c r="AL47" s="188"/>
      <c r="AO47" s="188"/>
      <c r="AQ47" s="188"/>
      <c r="AT47" s="188"/>
      <c r="AV47" s="188"/>
    </row>
    <row r="48" spans="6:48">
      <c r="F48" s="188"/>
      <c r="H48" s="188"/>
      <c r="K48" s="188"/>
      <c r="M48" s="188"/>
      <c r="P48" s="188"/>
      <c r="R48" s="188"/>
      <c r="U48" s="188"/>
      <c r="W48" s="188"/>
      <c r="Z48" s="188"/>
      <c r="AB48" s="188"/>
      <c r="AE48" s="188"/>
      <c r="AG48" s="188"/>
      <c r="AJ48" s="188"/>
      <c r="AL48" s="188"/>
      <c r="AO48" s="188"/>
      <c r="AQ48" s="188"/>
      <c r="AT48" s="188"/>
      <c r="AV48" s="188"/>
    </row>
    <row r="49" spans="6:48">
      <c r="F49" s="188"/>
      <c r="H49" s="188"/>
      <c r="K49" s="188"/>
      <c r="M49" s="188"/>
      <c r="P49" s="188"/>
      <c r="R49" s="188"/>
      <c r="U49" s="188"/>
      <c r="W49" s="188"/>
      <c r="Z49" s="188"/>
      <c r="AB49" s="188"/>
      <c r="AE49" s="188"/>
      <c r="AG49" s="188"/>
      <c r="AJ49" s="188"/>
      <c r="AL49" s="188"/>
      <c r="AO49" s="188"/>
      <c r="AQ49" s="188"/>
      <c r="AT49" s="188"/>
      <c r="AV49" s="188"/>
    </row>
    <row r="50" spans="6:48">
      <c r="F50" s="188"/>
      <c r="H50" s="188"/>
      <c r="K50" s="188"/>
      <c r="M50" s="188"/>
      <c r="P50" s="188"/>
      <c r="R50" s="188"/>
      <c r="U50" s="188"/>
      <c r="W50" s="188"/>
      <c r="Z50" s="188"/>
      <c r="AB50" s="188"/>
      <c r="AE50" s="188"/>
      <c r="AG50" s="188"/>
      <c r="AJ50" s="188"/>
      <c r="AL50" s="188"/>
      <c r="AO50" s="188"/>
      <c r="AQ50" s="188"/>
      <c r="AT50" s="188"/>
      <c r="AV50" s="188"/>
    </row>
    <row r="51" spans="6:48">
      <c r="F51" s="188"/>
      <c r="H51" s="188"/>
      <c r="K51" s="188"/>
      <c r="M51" s="188"/>
      <c r="P51" s="188"/>
      <c r="R51" s="188"/>
      <c r="U51" s="188"/>
      <c r="W51" s="188"/>
      <c r="Z51" s="188"/>
      <c r="AB51" s="188"/>
      <c r="AE51" s="188"/>
      <c r="AG51" s="188"/>
      <c r="AJ51" s="188"/>
      <c r="AL51" s="188"/>
      <c r="AO51" s="188"/>
      <c r="AQ51" s="188"/>
      <c r="AT51" s="188"/>
      <c r="AV51" s="188"/>
    </row>
    <row r="52" spans="6:48">
      <c r="F52" s="188"/>
      <c r="H52" s="188"/>
      <c r="K52" s="188"/>
      <c r="M52" s="188"/>
      <c r="P52" s="188"/>
      <c r="R52" s="188"/>
      <c r="U52" s="188"/>
      <c r="W52" s="188"/>
      <c r="Z52" s="188"/>
      <c r="AB52" s="188"/>
      <c r="AE52" s="188"/>
      <c r="AG52" s="188"/>
      <c r="AJ52" s="188"/>
      <c r="AL52" s="188"/>
      <c r="AO52" s="188"/>
      <c r="AQ52" s="188"/>
      <c r="AT52" s="188"/>
      <c r="AV52" s="188"/>
    </row>
    <row r="53" spans="6:48">
      <c r="F53" s="188"/>
      <c r="H53" s="188"/>
      <c r="K53" s="188"/>
      <c r="M53" s="188"/>
      <c r="P53" s="188"/>
      <c r="R53" s="188"/>
      <c r="U53" s="188"/>
      <c r="W53" s="188"/>
      <c r="Z53" s="188"/>
      <c r="AB53" s="188"/>
      <c r="AE53" s="188"/>
      <c r="AG53" s="188"/>
      <c r="AJ53" s="188"/>
      <c r="AL53" s="188"/>
      <c r="AO53" s="188"/>
      <c r="AQ53" s="188"/>
      <c r="AT53" s="188"/>
      <c r="AV53" s="188"/>
    </row>
    <row r="54" spans="6:48">
      <c r="F54" s="188"/>
      <c r="H54" s="188"/>
      <c r="K54" s="188"/>
      <c r="M54" s="188"/>
      <c r="P54" s="188"/>
      <c r="R54" s="188"/>
      <c r="U54" s="188"/>
      <c r="W54" s="188"/>
      <c r="Z54" s="188"/>
      <c r="AB54" s="188"/>
      <c r="AE54" s="188"/>
      <c r="AG54" s="188"/>
      <c r="AJ54" s="188"/>
      <c r="AL54" s="188"/>
      <c r="AO54" s="188"/>
      <c r="AQ54" s="188"/>
      <c r="AT54" s="188"/>
      <c r="AV54" s="188"/>
    </row>
    <row r="55" spans="6:48">
      <c r="F55" s="188"/>
      <c r="H55" s="188"/>
      <c r="K55" s="188"/>
      <c r="M55" s="188"/>
      <c r="P55" s="188"/>
      <c r="R55" s="188"/>
      <c r="U55" s="188"/>
      <c r="W55" s="188"/>
      <c r="Z55" s="188"/>
      <c r="AB55" s="188"/>
      <c r="AE55" s="188"/>
      <c r="AG55" s="188"/>
      <c r="AJ55" s="188"/>
      <c r="AL55" s="188"/>
      <c r="AO55" s="188"/>
      <c r="AQ55" s="188"/>
      <c r="AT55" s="188"/>
      <c r="AV55" s="188"/>
    </row>
    <row r="56" spans="6:48">
      <c r="F56" s="188"/>
      <c r="H56" s="188"/>
      <c r="K56" s="188"/>
      <c r="M56" s="188"/>
      <c r="P56" s="188"/>
      <c r="R56" s="188"/>
      <c r="U56" s="188"/>
      <c r="W56" s="188"/>
      <c r="Z56" s="188"/>
      <c r="AB56" s="188"/>
      <c r="AE56" s="188"/>
      <c r="AG56" s="188"/>
      <c r="AJ56" s="188"/>
      <c r="AL56" s="188"/>
      <c r="AO56" s="188"/>
      <c r="AQ56" s="188"/>
      <c r="AT56" s="188"/>
      <c r="AV56" s="188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honeticPr fontId="0" type="noConversion"/>
  <pageMargins left="0.25" right="0.2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Proforma</vt:lpstr>
      <vt:lpstr>Unit Costs</vt:lpstr>
      <vt:lpstr>UCost AltA</vt:lpstr>
      <vt:lpstr>Comps</vt:lpstr>
      <vt:lpstr>'UCost AltA'!CMF</vt:lpstr>
      <vt:lpstr>CMF</vt:lpstr>
      <vt:lpstr>Comps!Print_Area</vt:lpstr>
      <vt:lpstr>'UCost AltA'!Print_Area</vt:lpstr>
      <vt:lpstr>'Unit Costs'!Print_Area</vt:lpstr>
      <vt:lpstr>'UCost AltA'!Print_Titles</vt:lpstr>
      <vt:lpstr>'Unit Costs'!Print_Titles</vt:lpstr>
      <vt:lpstr>'UCost AltA'!SM134Units</vt:lpstr>
      <vt:lpstr>SM134Units</vt:lpstr>
      <vt:lpstr>'UCost AltA'!TRUnits</vt:lpstr>
      <vt:lpstr>TRUnits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2000-11-19T16:49:42Z</cp:lastPrinted>
  <dcterms:created xsi:type="dcterms:W3CDTF">1998-01-21T04:19:53Z</dcterms:created>
  <dcterms:modified xsi:type="dcterms:W3CDTF">2023-09-17T12:06:41Z</dcterms:modified>
</cp:coreProperties>
</file>