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775454-92B6-44D0-AD6B-2F15A6B10BA9}" xr6:coauthVersionLast="47" xr6:coauthVersionMax="47" xr10:uidLastSave="{00000000-0000-0000-0000-000000000000}"/>
  <bookViews>
    <workbookView xWindow="-120" yWindow="-120" windowWidth="38640" windowHeight="15720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<sst xmlns="http://schemas.openxmlformats.org/spreadsheetml/2006/main" count="306" uniqueCount="165">
  <si>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</si>
  <si>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</si>
  <si>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</si>
  <si>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</si>
  <si>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</si>
  <si>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</si>
  <si>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</si>
  <si>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</si>
  <si>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</si>
  <si>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</si>
  <si>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</si>
  <si>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</si>
  <si>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</si>
  <si>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</si>
  <si>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</si>
  <si>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</si>
  <si>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</si>
  <si>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</si>
  <si>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</si>
  <si>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</si>
  <si>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</si>
  <si>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</si>
  <si>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</si>
  <si>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</si>
  <si>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</si>
  <si>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</si>
  <si>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</si>
  <si>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</si>
  <si>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</si>
  <si>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</si>
  <si>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</si>
  <si>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</si>
  <si>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</si>
  <si>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</si>
  <si>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</si>
  <si>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</si>
  <si>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</si>
  <si>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</si>
  <si>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</si>
  <si>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</si>
  <si>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</si>
  <si>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</si>
  <si>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</si>
  <si>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</si>
  <si>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</si>
  <si>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</si>
  <si>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</si>
  <si>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</si>
  <si>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</si>
  <si>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</si>
  <si>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</si>
  <si>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</si>
  <si>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</si>
  <si>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</si>
  <si>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</si>
  <si>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</si>
  <si>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</si>
  <si>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</si>
  <si>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</si>
  <si>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</si>
  <si>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</si>
  <si>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</si>
  <si>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</si>
  <si>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</si>
  <si>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</si>
  <si>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</si>
  <si>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</si>
  <si>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</si>
  <si>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</si>
  <si>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</si>
  <si>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</si>
  <si>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</si>
  <si>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</si>
  <si>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</si>
  <si>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</si>
  <si>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</si>
  <si>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</si>
  <si>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</si>
  <si>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</si>
  <si>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</si>
  <si>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</si>
  <si>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</si>
  <si>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</si>
  <si>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</si>
  <si>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</si>
  <si>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</si>
  <si>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</si>
  <si>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</si>
  <si>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</si>
  <si>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</si>
  <si>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</si>
  <si>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</si>
  <si>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</si>
  <si>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</si>
  <si>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</si>
  <si>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</si>
  <si>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</si>
  <si>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</si>
  <si>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</si>
  <si>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</si>
  <si>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</si>
  <si>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</si>
  <si>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</si>
  <si>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</si>
  <si>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</si>
  <si>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</si>
  <si>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</si>
  <si>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</si>
  <si>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</si>
  <si>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</si>
  <si>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</si>
  <si>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</si>
  <si>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</si>
  <si>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</si>
  <si>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</si>
  <si>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</si>
  <si>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</si>
  <si>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</si>
  <si>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</si>
  <si>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</si>
  <si>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</si>
  <si>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</si>
  <si>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</si>
  <si>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</si>
  <si>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</si>
  <si>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</si>
  <si>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</si>
  <si>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</si>
  <si>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</si>
  <si>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</si>
  <si>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</si>
  <si>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</si>
  <si>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</si>
  <si>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</si>
  <si>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</si>
  <si>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</si>
  <si>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</si>
  <si>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</si>
  <si>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</si>
  <si>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</si>
  <si>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</si>
  <si>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</si>
  <si>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</si>
  <si>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</si>
  <si>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</si>
  <si>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</si>
  <si>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</si>
  <si>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</si>
  <si>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</si>
  <si>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</si>
  <si>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</si>
  <si>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</si>
  <si>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</si>
  <si>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NEW ORLEANS SWR</t>
  </si>
  <si>
    <t>LAFAYETTE IND PARK</t>
  </si>
  <si>
    <t>HOUSTON TX CCD REVS</t>
  </si>
  <si>
    <t>HOUSTON TX G.O.</t>
  </si>
  <si>
    <t>MICHIGAN PUB PWR</t>
  </si>
  <si>
    <t>DALLAS TX CIVIC</t>
  </si>
  <si>
    <t>TX WTR DEV BRD</t>
  </si>
  <si>
    <t>GRANT CO WASH PUD</t>
  </si>
  <si>
    <t xml:space="preserve">AAA/ </t>
  </si>
  <si>
    <t>BENBROOK TX W/S REV</t>
  </si>
  <si>
    <t>DENTON TX UTIL REV</t>
  </si>
  <si>
    <t>HS-E4369-ME PHILLIP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</si>
</sst>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98437662013272E-2"/>
          <c:y val="7.0554498534545734E-2"/>
          <c:w val="0.90047745709553695"/>
          <c:h val="0.809842939700872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10125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7625</c:v>
                </c:pt>
                <c:pt idx="6">
                  <c:v>10125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0</c:v>
                </c:pt>
                <c:pt idx="11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E17-B33A-05F68E49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3510207"/>
        <c:axId val="1"/>
        <c:axId val="0"/>
      </c:bar3DChart>
      <c:catAx>
        <c:axId val="8535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5102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7967468248455243"/>
          <c:w val="0.97022157730860292"/>
          <c:h val="0.687964902671115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200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45FD-BF03-CD6D7427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3511647"/>
        <c:axId val="1"/>
        <c:axId val="0"/>
      </c:bar3DChart>
      <c:catAx>
        <c:axId val="85351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5116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05572517078458E-2"/>
          <c:y val="6.1172182202084063E-2"/>
          <c:w val="0.92895764737940911"/>
          <c:h val="0.851091230637691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10125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7625</c:v>
                </c:pt>
                <c:pt idx="6">
                  <c:v>10125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0</c:v>
                </c:pt>
                <c:pt idx="11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915-BAA2-0C2CD595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3513567"/>
        <c:axId val="1"/>
        <c:axId val="0"/>
      </c:bar3DChart>
      <c:catAx>
        <c:axId val="85351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5135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A36ADCB7-6725-03CA-D1BC-7E1B4DBEB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>
          <a:extLst>
            <a:ext uri="{FF2B5EF4-FFF2-40B4-BE49-F238E27FC236}">
              <a16:creationId xmlns:a16="http://schemas.microsoft.com/office/drawing/2014/main" id="{EDAD7BED-2CE9-B56F-BEC7-F54AEDA4FC80}"/>
            </a:ext>
          </a:extLst>
        </xdr:cNvPr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FEC00E2-521D-65BC-CA01-4FB80D81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22D06AD-E7ED-8303-50B4-1663EBA4F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0.14629</cdr:y>
    </cdr:from>
    <cdr:to>
      <cdr:x>0.1016</cdr:x>
      <cdr:y>0.14629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191BA064-595B-5F42-E765-9F8226A78D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939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0.0633</cdr:y>
    </cdr:from>
    <cdr:to>
      <cdr:x>0.52904</cdr:x>
      <cdr:y>0.67185</cdr:y>
    </cdr:to>
    <cdr:sp macro="" textlink="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05D2F80B-6733-1ADF-E430-5EEAC343D28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58812"/>
          <a:ext cx="6524149" cy="2457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535D9344-BB53-46C6-69D6-DD50CC97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E39501B4-AB8E-9A42-465D-AAFD9D5F8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tabSelected="1" zoomScale="70" workbookViewId="0">
      <selection activeCell="E5" sqref="E5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132</v>
      </c>
      <c r="L2" s="135" t="s">
        <v>21</v>
      </c>
      <c r="M2" s="135"/>
      <c r="AE2" s="2" t="s">
        <v>127</v>
      </c>
    </row>
    <row r="3" spans="1:31" ht="15.75" customHeight="1" x14ac:dyDescent="0.25">
      <c r="A3" s="326">
        <v>100</v>
      </c>
      <c r="B3" s="327">
        <v>37226</v>
      </c>
      <c r="C3" s="328">
        <v>37245</v>
      </c>
      <c r="D3" s="328" t="s">
        <v>152</v>
      </c>
      <c r="E3" s="328" t="s">
        <v>153</v>
      </c>
      <c r="F3" s="329">
        <v>0.05</v>
      </c>
      <c r="G3" s="328">
        <v>42522</v>
      </c>
      <c r="H3" s="328">
        <v>40695</v>
      </c>
      <c r="I3" s="330">
        <v>101</v>
      </c>
      <c r="J3" s="328">
        <v>41426</v>
      </c>
      <c r="K3" s="336"/>
      <c r="L3" s="339">
        <v>100</v>
      </c>
      <c r="M3" s="332"/>
      <c r="AE3" s="18">
        <f>M3*A3</f>
        <v>0</v>
      </c>
    </row>
    <row r="4" spans="1:31" ht="15" customHeight="1" x14ac:dyDescent="0.25">
      <c r="A4" s="326">
        <v>100</v>
      </c>
      <c r="B4" s="327">
        <v>37240</v>
      </c>
      <c r="C4" s="328">
        <v>37252</v>
      </c>
      <c r="D4" s="328" t="s">
        <v>152</v>
      </c>
      <c r="E4" s="328" t="s">
        <v>154</v>
      </c>
      <c r="F4" s="329">
        <v>0.05</v>
      </c>
      <c r="G4" s="328">
        <v>42750</v>
      </c>
      <c r="H4" s="328">
        <v>40009</v>
      </c>
      <c r="I4" s="335">
        <v>101</v>
      </c>
      <c r="J4" s="328">
        <v>40739</v>
      </c>
      <c r="K4" s="336"/>
      <c r="L4" s="339">
        <v>99.997</v>
      </c>
      <c r="M4" s="332"/>
      <c r="AE4" s="18">
        <f t="shared" ref="AE4:AE24" si="0">M4*A4</f>
        <v>0</v>
      </c>
    </row>
    <row r="5" spans="1:31" ht="15" customHeight="1" x14ac:dyDescent="0.25">
      <c r="A5" s="326">
        <v>100</v>
      </c>
      <c r="B5" s="327">
        <v>35886</v>
      </c>
      <c r="C5" s="328">
        <v>37245</v>
      </c>
      <c r="D5" s="328" t="s">
        <v>152</v>
      </c>
      <c r="E5" s="328" t="s">
        <v>158</v>
      </c>
      <c r="F5" s="329">
        <v>0.05</v>
      </c>
      <c r="G5" s="328">
        <v>43327</v>
      </c>
      <c r="H5" s="328">
        <v>39675</v>
      </c>
      <c r="I5" s="335">
        <v>101</v>
      </c>
      <c r="J5" s="328">
        <v>40405</v>
      </c>
      <c r="K5" s="336"/>
      <c r="L5" s="339">
        <v>99.992999999999995</v>
      </c>
      <c r="M5" s="333"/>
      <c r="AE5" s="18">
        <f t="shared" si="0"/>
        <v>0</v>
      </c>
    </row>
    <row r="6" spans="1:31" ht="15" customHeight="1" x14ac:dyDescent="0.25">
      <c r="A6" s="326">
        <v>100</v>
      </c>
      <c r="B6" s="337">
        <v>36996</v>
      </c>
      <c r="C6" s="328">
        <v>37245</v>
      </c>
      <c r="D6" s="328" t="s">
        <v>152</v>
      </c>
      <c r="E6" s="328" t="s">
        <v>163</v>
      </c>
      <c r="F6" s="329">
        <v>5.1249999999999997E-2</v>
      </c>
      <c r="G6" s="328">
        <v>43435</v>
      </c>
      <c r="H6" s="328">
        <v>40695</v>
      </c>
      <c r="I6" s="335">
        <v>100</v>
      </c>
      <c r="J6" s="328"/>
      <c r="K6" s="338"/>
      <c r="L6" s="339">
        <v>100.929</v>
      </c>
      <c r="M6" s="332"/>
      <c r="AE6" s="18">
        <f t="shared" si="0"/>
        <v>0</v>
      </c>
    </row>
    <row r="7" spans="1:31" ht="15" customHeight="1" x14ac:dyDescent="0.25">
      <c r="A7" s="326">
        <v>100</v>
      </c>
      <c r="B7" s="327">
        <v>35704</v>
      </c>
      <c r="C7" s="328">
        <v>37245</v>
      </c>
      <c r="D7" s="328" t="s">
        <v>152</v>
      </c>
      <c r="E7" s="328" t="s">
        <v>159</v>
      </c>
      <c r="F7" s="329">
        <v>0.05</v>
      </c>
      <c r="G7" s="328">
        <v>43661</v>
      </c>
      <c r="H7" s="328">
        <v>39278</v>
      </c>
      <c r="I7" s="335">
        <v>101</v>
      </c>
      <c r="J7" s="328">
        <v>39644</v>
      </c>
      <c r="K7" s="331"/>
      <c r="L7" s="332">
        <v>99.995999999999995</v>
      </c>
      <c r="M7" s="333"/>
      <c r="AE7" s="18">
        <f t="shared" si="0"/>
        <v>0</v>
      </c>
    </row>
    <row r="8" spans="1:31" ht="15" customHeight="1" x14ac:dyDescent="0.25">
      <c r="A8" s="326">
        <v>100</v>
      </c>
      <c r="B8" s="327">
        <v>37196</v>
      </c>
      <c r="C8" s="328">
        <v>37245</v>
      </c>
      <c r="D8" s="328" t="s">
        <v>152</v>
      </c>
      <c r="E8" s="328" t="s">
        <v>155</v>
      </c>
      <c r="F8" s="329">
        <v>0.05</v>
      </c>
      <c r="G8" s="328">
        <v>43936</v>
      </c>
      <c r="H8" s="328">
        <v>40648</v>
      </c>
      <c r="I8" s="335">
        <v>100</v>
      </c>
      <c r="J8" s="328"/>
      <c r="K8" s="336"/>
      <c r="L8" s="332">
        <v>99.399000000000001</v>
      </c>
      <c r="M8" s="332"/>
      <c r="AE8" s="18">
        <f t="shared" si="0"/>
        <v>0</v>
      </c>
    </row>
    <row r="9" spans="1:31" ht="15" customHeight="1" x14ac:dyDescent="0.25">
      <c r="A9" s="326">
        <v>100</v>
      </c>
      <c r="B9" s="327">
        <v>37226</v>
      </c>
      <c r="C9" s="328">
        <v>37252</v>
      </c>
      <c r="D9" s="328" t="s">
        <v>161</v>
      </c>
      <c r="E9" s="328" t="s">
        <v>162</v>
      </c>
      <c r="F9" s="329">
        <v>5.1249999999999997E-2</v>
      </c>
      <c r="G9" s="328">
        <v>44531</v>
      </c>
      <c r="H9" s="328">
        <v>41244</v>
      </c>
      <c r="I9" s="335">
        <v>100</v>
      </c>
      <c r="J9" s="328"/>
      <c r="K9" s="336"/>
      <c r="L9" s="339">
        <v>101.038</v>
      </c>
      <c r="M9" s="332"/>
      <c r="AE9" s="18">
        <f t="shared" si="0"/>
        <v>0</v>
      </c>
    </row>
    <row r="10" spans="1:31" ht="15" customHeight="1" x14ac:dyDescent="0.25">
      <c r="A10" s="326">
        <v>100</v>
      </c>
      <c r="B10" s="327">
        <v>37210</v>
      </c>
      <c r="C10" s="328">
        <v>37245</v>
      </c>
      <c r="D10" s="328" t="s">
        <v>152</v>
      </c>
      <c r="E10" s="328" t="s">
        <v>160</v>
      </c>
      <c r="F10" s="329">
        <v>0.05</v>
      </c>
      <c r="G10" s="328">
        <v>44562</v>
      </c>
      <c r="H10" s="328">
        <v>39083</v>
      </c>
      <c r="I10" s="335">
        <v>100</v>
      </c>
      <c r="J10" s="328"/>
      <c r="K10" s="331"/>
      <c r="L10" s="332">
        <v>98.751999999999995</v>
      </c>
      <c r="M10" s="339"/>
      <c r="AE10" s="18">
        <f t="shared" si="0"/>
        <v>0</v>
      </c>
    </row>
    <row r="11" spans="1:31" ht="15" customHeight="1" x14ac:dyDescent="0.25">
      <c r="A11" s="326">
        <v>100</v>
      </c>
      <c r="B11" s="337">
        <v>37135</v>
      </c>
      <c r="C11" s="328">
        <v>37245</v>
      </c>
      <c r="D11" s="328" t="s">
        <v>152</v>
      </c>
      <c r="E11" s="328" t="s">
        <v>156</v>
      </c>
      <c r="F11" s="329">
        <v>0.05</v>
      </c>
      <c r="G11" s="328">
        <v>44621</v>
      </c>
      <c r="H11" s="328">
        <v>40603</v>
      </c>
      <c r="I11" s="335">
        <v>100</v>
      </c>
      <c r="J11" s="328"/>
      <c r="K11" s="338"/>
      <c r="L11" s="332">
        <v>98.74</v>
      </c>
      <c r="M11" s="333"/>
      <c r="AE11" s="18">
        <f t="shared" si="0"/>
        <v>0</v>
      </c>
    </row>
    <row r="12" spans="1:31" ht="15" customHeight="1" x14ac:dyDescent="0.25">
      <c r="A12" s="326">
        <v>100</v>
      </c>
      <c r="B12" s="327">
        <v>37226</v>
      </c>
      <c r="C12" s="328">
        <v>37266</v>
      </c>
      <c r="D12" s="328" t="s">
        <v>152</v>
      </c>
      <c r="E12" s="328" t="s">
        <v>157</v>
      </c>
      <c r="F12" s="329">
        <v>5.2499999999999998E-2</v>
      </c>
      <c r="G12" s="328">
        <v>45292</v>
      </c>
      <c r="H12" s="328">
        <v>40909</v>
      </c>
      <c r="I12" s="335">
        <v>100</v>
      </c>
      <c r="J12" s="328"/>
      <c r="K12" s="331"/>
      <c r="L12" s="332">
        <v>100</v>
      </c>
      <c r="M12" s="339"/>
      <c r="AE12" s="18">
        <f t="shared" si="0"/>
        <v>0</v>
      </c>
    </row>
    <row r="13" spans="1:31" ht="15" customHeight="1" x14ac:dyDescent="0.25">
      <c r="A13" s="326"/>
      <c r="B13" s="337"/>
      <c r="C13" s="328"/>
      <c r="D13" s="328"/>
      <c r="E13" s="328"/>
      <c r="F13" s="329"/>
      <c r="G13" s="328"/>
      <c r="H13" s="328"/>
      <c r="I13" s="335"/>
      <c r="J13" s="328"/>
      <c r="K13" s="338"/>
      <c r="L13" s="332"/>
      <c r="M13" s="332"/>
      <c r="AE13" s="18">
        <f t="shared" si="0"/>
        <v>0</v>
      </c>
    </row>
    <row r="14" spans="1:31" ht="15" customHeight="1" x14ac:dyDescent="0.25">
      <c r="A14" s="326"/>
      <c r="B14" s="327"/>
      <c r="C14" s="328"/>
      <c r="D14" s="328"/>
      <c r="E14" s="328"/>
      <c r="F14" s="329"/>
      <c r="G14" s="328"/>
      <c r="H14" s="328"/>
      <c r="I14" s="335"/>
      <c r="J14" s="328"/>
      <c r="K14" s="331"/>
      <c r="L14" s="332"/>
      <c r="M14" s="339"/>
      <c r="AE14" s="18">
        <f t="shared" si="0"/>
        <v>0</v>
      </c>
    </row>
    <row r="15" spans="1:31" ht="15" customHeight="1" x14ac:dyDescent="0.25">
      <c r="A15" s="326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3"/>
      <c r="AE15" s="18">
        <f t="shared" si="0"/>
        <v>0</v>
      </c>
    </row>
    <row r="16" spans="1:31" ht="15" customHeight="1" x14ac:dyDescent="0.25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6"/>
      <c r="L16" s="332"/>
      <c r="M16" s="333"/>
      <c r="AE16" s="18">
        <f t="shared" si="0"/>
        <v>0</v>
      </c>
    </row>
    <row r="17" spans="1:31" ht="15" customHeight="1" x14ac:dyDescent="0.25">
      <c r="A17" s="326"/>
      <c r="B17" s="337"/>
      <c r="C17" s="328"/>
      <c r="D17" s="328"/>
      <c r="E17" s="328"/>
      <c r="F17" s="329"/>
      <c r="G17" s="328"/>
      <c r="H17" s="328"/>
      <c r="I17" s="335"/>
      <c r="J17" s="328"/>
      <c r="K17" s="338"/>
      <c r="L17" s="332"/>
      <c r="M17" s="333"/>
      <c r="AE17" s="18">
        <f t="shared" si="0"/>
        <v>0</v>
      </c>
    </row>
    <row r="18" spans="1:31" ht="15" customHeight="1" x14ac:dyDescent="0.25">
      <c r="A18" s="334"/>
      <c r="B18" s="327"/>
      <c r="C18" s="328"/>
      <c r="D18" s="328"/>
      <c r="E18" s="328"/>
      <c r="F18" s="329"/>
      <c r="G18" s="328"/>
      <c r="H18" s="328"/>
      <c r="I18" s="335"/>
      <c r="J18" s="328"/>
      <c r="K18" s="336"/>
      <c r="L18" s="332"/>
      <c r="M18" s="339"/>
      <c r="AE18" s="18">
        <f t="shared" si="0"/>
        <v>0</v>
      </c>
    </row>
    <row r="19" spans="1:31" ht="15" customHeight="1" x14ac:dyDescent="0.25">
      <c r="A19" s="326"/>
      <c r="B19" s="327"/>
      <c r="C19" s="328"/>
      <c r="D19" s="328"/>
      <c r="E19" s="328"/>
      <c r="F19" s="329"/>
      <c r="G19" s="328"/>
      <c r="H19" s="328"/>
      <c r="I19" s="335"/>
      <c r="J19" s="328"/>
      <c r="K19" s="331"/>
      <c r="L19" s="332"/>
      <c r="M19" s="333"/>
      <c r="AE19" s="18">
        <f t="shared" si="0"/>
        <v>0</v>
      </c>
    </row>
    <row r="20" spans="1:31" ht="15" customHeight="1" x14ac:dyDescent="0.25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6"/>
      <c r="L20" s="339"/>
      <c r="M20" s="333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1000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37245</v>
      </c>
      <c r="D27" s="143"/>
      <c r="E27" s="230" t="s">
        <v>164</v>
      </c>
      <c r="G27" s="231">
        <v>1.538</v>
      </c>
      <c r="L27" s="136" t="s">
        <v>128</v>
      </c>
      <c r="M27" s="232"/>
    </row>
    <row r="28" spans="1:31" ht="15" customHeight="1" x14ac:dyDescent="0.25">
      <c r="B28" s="143"/>
      <c r="C28" s="254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opLeftCell="A8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HS-E4369-ME PHILLIP ALLEN</v>
      </c>
      <c r="B5" s="355">
        <f ca="1">NOW()</f>
        <v>37242.440714583332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1000000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5.0503040264545815E-2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50500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998844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8209.375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1007053.375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18.107339136819942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10.771423051144433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5.055844556307091E-2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5.0497577671873663E-2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99.884399999999999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129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134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topLeftCell="K1" zoomScale="75" workbookViewId="0">
      <selection activeCell="B18" sqref="B18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138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149</v>
      </c>
      <c r="N4" s="315">
        <f>Enter!C27</f>
        <v>37245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133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100</v>
      </c>
      <c r="B7" s="236" t="str">
        <f>Enter!D3</f>
        <v>AAA/AAA</v>
      </c>
      <c r="C7" s="261" t="str">
        <f>Enter!E3</f>
        <v>NEW ORLEANS SWR</v>
      </c>
      <c r="D7" s="237">
        <f>Enter!F3</f>
        <v>0.05</v>
      </c>
      <c r="E7" s="238">
        <f>Enter!G3</f>
        <v>42522</v>
      </c>
      <c r="F7" s="238">
        <f>Enter!H3</f>
        <v>40695</v>
      </c>
      <c r="G7" s="218">
        <f>Enter!I3</f>
        <v>101</v>
      </c>
      <c r="H7" s="238">
        <f>Enter!J3</f>
        <v>41426</v>
      </c>
      <c r="I7" s="239">
        <f>Enter!K3</f>
        <v>0</v>
      </c>
      <c r="J7" s="239">
        <f>Enter!L3</f>
        <v>100</v>
      </c>
      <c r="K7" s="162">
        <f>IF(J7=100,0,IF(BG7=BC7,0,BG7))</f>
        <v>0</v>
      </c>
      <c r="L7" s="162">
        <f>IF(A7=0,0,IF(R7=TRUE,0,BC7))</f>
        <v>0.05</v>
      </c>
      <c r="M7" s="163">
        <f>IF(AG7=0,0,AH7)</f>
        <v>0.05</v>
      </c>
      <c r="N7" s="162">
        <f>IF(A7=0,0,IF(K7=0,L7*Enter!G$27,K7*Enter!G$27))</f>
        <v>7.690000000000001E-2</v>
      </c>
      <c r="R7" s="55" t="b">
        <f>IF(I7&gt;0,TRUE,FALSE)</f>
        <v>0</v>
      </c>
      <c r="S7" s="130">
        <f>IF(R7=TRUE,F7,E7)</f>
        <v>42522</v>
      </c>
      <c r="T7" s="69">
        <f>IF(R7=TRUE,G7*A7*10,100*A7)</f>
        <v>10000</v>
      </c>
      <c r="U7" s="53">
        <v>1</v>
      </c>
      <c r="V7" s="66">
        <f t="shared" ref="V7:V28" si="0">(A7*D7)*1000</f>
        <v>5000</v>
      </c>
      <c r="W7" s="61"/>
      <c r="X7" s="62">
        <f>Volatility!AS7/Volatility!AS$29</f>
        <v>0.10011573378825923</v>
      </c>
      <c r="Y7" s="67"/>
      <c r="Z7" s="84">
        <f>S7</f>
        <v>42522</v>
      </c>
      <c r="AA7" s="56">
        <f>DAYS360(Enter!C3,Z7)</f>
        <v>5201</v>
      </c>
      <c r="AB7" s="85">
        <f t="shared" ref="AB7:AB28" si="1">IF(A7=0,0,AA7)</f>
        <v>5201</v>
      </c>
      <c r="AC7" s="56">
        <f t="shared" ref="AC7:AC28" si="2">X7*AB7</f>
        <v>520.70193143273627</v>
      </c>
      <c r="AD7" s="62">
        <f t="shared" ref="AD7:AD28" si="3">IF(A7=0,0,AF7)</f>
        <v>5.005449996325506E-3</v>
      </c>
      <c r="AE7" s="86">
        <f t="shared" ref="AE7:AE28" si="4">BG7</f>
        <v>4.9996636961297532E-2</v>
      </c>
      <c r="AF7" s="86">
        <f t="shared" ref="AF7:AF28" si="5">AE7*X7</f>
        <v>5.005449996325506E-3</v>
      </c>
      <c r="AG7" s="55">
        <f t="shared" ref="AG7:AG28" si="6">IF(A7=0,0,D7)</f>
        <v>0.05</v>
      </c>
      <c r="AH7" s="87">
        <f t="shared" ref="AH7:AH28" si="7">D7/(J7/100)</f>
        <v>0.05</v>
      </c>
      <c r="AI7" s="62">
        <f t="shared" ref="AI7:AI28" si="8">A7*J7</f>
        <v>10000</v>
      </c>
      <c r="AJ7" s="56"/>
      <c r="AK7" s="56"/>
      <c r="AL7" s="56"/>
      <c r="AM7" s="88">
        <f t="shared" ref="AM7:AM28" si="9">(J7*10)*A7</f>
        <v>100000</v>
      </c>
      <c r="AN7" s="56"/>
      <c r="AO7" s="56"/>
      <c r="AP7" s="88">
        <f t="shared" ref="AP7:AP28" si="10">((D7/360)*180)*1000</f>
        <v>25</v>
      </c>
      <c r="AQ7" s="89">
        <f>DAYS360(Enter!C3,E7)/180</f>
        <v>28.894444444444446</v>
      </c>
      <c r="AR7" s="89">
        <f t="shared" ref="AR7:AR28" si="11">AQ7-INT(AQ7)</f>
        <v>0.89444444444444571</v>
      </c>
      <c r="AS7" s="90">
        <f>IF(AR7=0,0,AP7-(AP7)*AR7)</f>
        <v>2.6388888888888573</v>
      </c>
      <c r="AT7" s="91">
        <f>IF(DAYS360(Enter!B3,Enter!C3)&lt;180,0,AS7*A7)</f>
        <v>0</v>
      </c>
      <c r="AU7" s="69">
        <f>IF((DAYS360(Enter!B3,Enter!C3))&lt;180,(DAYS360(Enter!B3,Enter!C3))/180*AP7*A7,0)</f>
        <v>263.88888888888886</v>
      </c>
      <c r="AV7" s="89"/>
      <c r="AW7" s="89"/>
      <c r="AX7" s="56"/>
      <c r="AY7" s="62">
        <f t="shared" ref="AY7:AY28" si="12">X7*D7</f>
        <v>5.0057866894129624E-3</v>
      </c>
      <c r="AZ7" s="56"/>
      <c r="BA7" s="56"/>
      <c r="BB7" s="56"/>
      <c r="BC7" s="92">
        <f>IF(A7=0,0,IF(J7=100,D7,YIELD(Enter!C3,E7,D7,J7,100,2,0)))</f>
        <v>0.05</v>
      </c>
      <c r="BD7" s="94">
        <f>IF(A7=0,100,IF(F7=0,100,YIELD(Enter!C3,F7,D7,J7,G7,2,0)))</f>
        <v>5.0833779360502103E-2</v>
      </c>
      <c r="BE7" s="93">
        <f>IF(A7=0,1000,IF(H7=0,1000,YIELD(Enter!C3,H7,D7,J7,100,2,0)))</f>
        <v>4.9996636961297532E-2</v>
      </c>
      <c r="BF7" s="93"/>
      <c r="BG7" s="131">
        <f>IF(R7=TRUE,BD7,MIN(BC7:BE7))</f>
        <v>4.9996636961297532E-2</v>
      </c>
      <c r="BH7" s="120">
        <f>IF(R7=TRUE,F7,IF(J7=100,E7,IF(MIN(BC7:BE7)=BC7,E7,IF(MIN(BC7:BE7)=BD7,F7,H7))))</f>
        <v>42522</v>
      </c>
      <c r="BI7" s="75"/>
    </row>
    <row r="8" spans="1:61" ht="15.75" x14ac:dyDescent="0.25">
      <c r="A8" s="223">
        <f>Enter!A4</f>
        <v>100</v>
      </c>
      <c r="B8" s="216" t="str">
        <f>Enter!D4</f>
        <v>AAA/AAA</v>
      </c>
      <c r="C8" s="262" t="str">
        <f>Enter!E4</f>
        <v>LAFAYETTE IND PARK</v>
      </c>
      <c r="D8" s="217">
        <f>Enter!F4</f>
        <v>0.05</v>
      </c>
      <c r="E8" s="215">
        <f>Enter!G4</f>
        <v>42750</v>
      </c>
      <c r="F8" s="215">
        <f>Enter!H4</f>
        <v>40009</v>
      </c>
      <c r="G8" s="221">
        <f>Enter!I4</f>
        <v>101</v>
      </c>
      <c r="H8" s="215">
        <f>Enter!J4</f>
        <v>40739</v>
      </c>
      <c r="I8" s="222">
        <f>Enter!K4</f>
        <v>0</v>
      </c>
      <c r="J8" s="219">
        <f>Enter!L4</f>
        <v>99.997</v>
      </c>
      <c r="K8" s="162">
        <f t="shared" ref="K8:K28" si="13">IF(J8=100,0,IF(BG8=BC8,0,BG8))</f>
        <v>0</v>
      </c>
      <c r="L8" s="162">
        <f t="shared" ref="L8:L28" si="14">IF(A8=0,0,IF(R8=TRUE,0,BC8))</f>
        <v>5.0000202972481249E-2</v>
      </c>
      <c r="M8" s="162">
        <f t="shared" ref="M8:M28" si="15">IF(AG8=0,0,AH8)</f>
        <v>5.0001500045001354E-2</v>
      </c>
      <c r="N8" s="162">
        <f>IF(A8=0,0,IF(K8=0,L8*Enter!G$27,K8*Enter!G$27))</f>
        <v>7.6900312171676158E-2</v>
      </c>
      <c r="R8" s="55" t="b">
        <f>IF(I8&gt;0,TRUE,FALSE)</f>
        <v>0</v>
      </c>
      <c r="S8" s="68">
        <f t="shared" ref="S8:S28" si="16">IF(R8=TRUE,F8,E8)</f>
        <v>42750</v>
      </c>
      <c r="T8" s="69">
        <f t="shared" ref="T8:T28" si="17">IF(R8=TRUE,G8*A8*10,100*A8)</f>
        <v>10000</v>
      </c>
      <c r="U8" s="56">
        <v>2</v>
      </c>
      <c r="V8" s="66">
        <f t="shared" si="0"/>
        <v>5000</v>
      </c>
      <c r="W8" s="61"/>
      <c r="X8" s="62">
        <f>Volatility!AS8/Volatility!AS$29</f>
        <v>0.10011273031624558</v>
      </c>
      <c r="Y8" s="67"/>
      <c r="Z8" s="96">
        <f t="shared" ref="Z8:Z28" si="18">S8</f>
        <v>42750</v>
      </c>
      <c r="AA8" s="56">
        <f>DAYS360(Enter!C4,Z8)</f>
        <v>5418</v>
      </c>
      <c r="AB8" s="85">
        <f t="shared" si="1"/>
        <v>5418</v>
      </c>
      <c r="AC8" s="56">
        <f t="shared" si="2"/>
        <v>542.41077285341862</v>
      </c>
      <c r="AD8" s="62">
        <f t="shared" si="3"/>
        <v>5.0056568359415562E-3</v>
      </c>
      <c r="AE8" s="86">
        <f t="shared" si="4"/>
        <v>5.0000202972481249E-2</v>
      </c>
      <c r="AF8" s="86">
        <f t="shared" si="5"/>
        <v>5.0056568359415562E-3</v>
      </c>
      <c r="AG8" s="55">
        <f t="shared" si="6"/>
        <v>0.05</v>
      </c>
      <c r="AH8" s="87">
        <f t="shared" si="7"/>
        <v>5.0001500045001354E-2</v>
      </c>
      <c r="AI8" s="62">
        <f t="shared" si="8"/>
        <v>9999.7000000000007</v>
      </c>
      <c r="AJ8" s="56"/>
      <c r="AK8" s="56"/>
      <c r="AL8" s="56"/>
      <c r="AM8" s="88">
        <f t="shared" si="9"/>
        <v>99997</v>
      </c>
      <c r="AN8" s="56"/>
      <c r="AO8" s="56"/>
      <c r="AP8" s="88">
        <f t="shared" si="10"/>
        <v>25</v>
      </c>
      <c r="AQ8" s="89">
        <f>DAYS360(Enter!C4,E8)/180</f>
        <v>30.1</v>
      </c>
      <c r="AR8" s="89">
        <f t="shared" si="11"/>
        <v>0.10000000000000142</v>
      </c>
      <c r="AS8" s="97">
        <f t="shared" ref="AS8:AS28" si="19">IF(AR8=0,0,AP8-(AP8)*AR8)</f>
        <v>22.499999999999964</v>
      </c>
      <c r="AT8" s="91">
        <f>IF(DAYS360(Enter!B4,Enter!C4)&lt;180,0,AS8*A8)</f>
        <v>0</v>
      </c>
      <c r="AU8" s="69">
        <f>IF((DAYS360(Enter!B4,Enter!C4))&lt;180,(DAYS360(Enter!B4,Enter!C4))/180*AP8*A8,0)</f>
        <v>166.66666666666669</v>
      </c>
      <c r="AV8" s="89"/>
      <c r="AW8" s="89"/>
      <c r="AX8" s="56"/>
      <c r="AY8" s="62">
        <f t="shared" si="12"/>
        <v>5.0056365158122791E-3</v>
      </c>
      <c r="AZ8" s="56"/>
      <c r="BA8" s="56"/>
      <c r="BB8" s="56"/>
      <c r="BC8" s="92">
        <f>IF(A8=0,0,IF(J8=100,D8,YIELD(Enter!C4,E8,D8,J8,100,2,0)))</f>
        <v>5.0000202972481249E-2</v>
      </c>
      <c r="BD8" s="94">
        <f>IF(A8=0,100,IF(F8=0,100,YIELD(Enter!C4,F8,D8,J8,G8,2,0)))</f>
        <v>5.1102272120025223E-2</v>
      </c>
      <c r="BE8" s="94">
        <f>IF(A8=0,1000,IF(H8=0,1000,YIELD(Enter!C4,H8,D8,J8,100,2,0)))</f>
        <v>5.0000283083480986E-2</v>
      </c>
      <c r="BF8" s="94"/>
      <c r="BG8" s="87">
        <f>IF(R8=TRUE,BD8,MIN(BC8:BE8))</f>
        <v>5.0000202972481249E-2</v>
      </c>
      <c r="BH8" s="95">
        <f>IF(R8=TRUE,F8,IF(J8=100,E8,IF(MIN(BC8:BE8)=BC8,E8,IF(MIN(BC8:BE8)=BD8,F8,H8))))</f>
        <v>42750</v>
      </c>
      <c r="BI8" s="75"/>
    </row>
    <row r="9" spans="1:61" ht="15.75" x14ac:dyDescent="0.25">
      <c r="A9" s="223">
        <f>Enter!A5</f>
        <v>100</v>
      </c>
      <c r="B9" s="216" t="str">
        <f>Enter!D5</f>
        <v>AAA/AAA</v>
      </c>
      <c r="C9" s="262" t="str">
        <f>Enter!E5</f>
        <v>DALLAS TX CIVIC</v>
      </c>
      <c r="D9" s="217">
        <f>Enter!F5</f>
        <v>0.05</v>
      </c>
      <c r="E9" s="215">
        <f>Enter!G5</f>
        <v>43327</v>
      </c>
      <c r="F9" s="215">
        <f>Enter!H5</f>
        <v>39675</v>
      </c>
      <c r="G9" s="221">
        <f>Enter!I5</f>
        <v>101</v>
      </c>
      <c r="H9" s="215">
        <f>Enter!J5</f>
        <v>40405</v>
      </c>
      <c r="I9" s="222">
        <f>Enter!K5</f>
        <v>0</v>
      </c>
      <c r="J9" s="219">
        <f>Enter!L5</f>
        <v>99.992999999999995</v>
      </c>
      <c r="K9" s="162">
        <f t="shared" si="13"/>
        <v>0</v>
      </c>
      <c r="L9" s="162">
        <f t="shared" si="14"/>
        <v>5.0000392499969425E-2</v>
      </c>
      <c r="M9" s="162">
        <f t="shared" si="15"/>
        <v>5.0003500245017152E-2</v>
      </c>
      <c r="N9" s="162">
        <f>IF(A9=0,0,IF(K9=0,L9*Enter!G$27,K9*Enter!G$27))</f>
        <v>7.6900603664952979E-2</v>
      </c>
      <c r="R9" s="55" t="b">
        <f t="shared" ref="R9:R28" si="20">IF(I9&gt;0,TRUE,FALSE)</f>
        <v>0</v>
      </c>
      <c r="S9" s="68">
        <f t="shared" si="16"/>
        <v>43327</v>
      </c>
      <c r="T9" s="69">
        <f t="shared" si="17"/>
        <v>10000</v>
      </c>
      <c r="U9" s="56">
        <v>3</v>
      </c>
      <c r="V9" s="66">
        <f t="shared" si="0"/>
        <v>5000</v>
      </c>
      <c r="W9" s="61"/>
      <c r="X9" s="62">
        <f>Volatility!AS9/Volatility!AS$29</f>
        <v>0.10010872568689405</v>
      </c>
      <c r="Y9" s="67"/>
      <c r="Z9" s="96">
        <f t="shared" si="18"/>
        <v>43327</v>
      </c>
      <c r="AA9" s="56">
        <f>DAYS360(Enter!C5,Z9)</f>
        <v>5995</v>
      </c>
      <c r="AB9" s="85">
        <f t="shared" si="1"/>
        <v>5995</v>
      </c>
      <c r="AC9" s="56">
        <f t="shared" si="2"/>
        <v>600.15181049292983</v>
      </c>
      <c r="AD9" s="62">
        <f t="shared" si="3"/>
        <v>5.0054755770164742E-3</v>
      </c>
      <c r="AE9" s="86">
        <f t="shared" si="4"/>
        <v>5.0000392499969425E-2</v>
      </c>
      <c r="AF9" s="86">
        <f t="shared" si="5"/>
        <v>5.0054755770164742E-3</v>
      </c>
      <c r="AG9" s="55">
        <f t="shared" si="6"/>
        <v>0.05</v>
      </c>
      <c r="AH9" s="87">
        <f t="shared" si="7"/>
        <v>5.0003500245017152E-2</v>
      </c>
      <c r="AI9" s="62">
        <f t="shared" si="8"/>
        <v>9999.2999999999993</v>
      </c>
      <c r="AJ9" s="56"/>
      <c r="AK9" s="56"/>
      <c r="AL9" s="56"/>
      <c r="AM9" s="88">
        <f t="shared" si="9"/>
        <v>99993</v>
      </c>
      <c r="AN9" s="56"/>
      <c r="AO9" s="56"/>
      <c r="AP9" s="88">
        <f t="shared" si="10"/>
        <v>25</v>
      </c>
      <c r="AQ9" s="89">
        <f>DAYS360(Enter!C5,E9)/180</f>
        <v>33.305555555555557</v>
      </c>
      <c r="AR9" s="89">
        <f t="shared" si="11"/>
        <v>0.30555555555555713</v>
      </c>
      <c r="AS9" s="97">
        <f t="shared" si="19"/>
        <v>17.361111111111072</v>
      </c>
      <c r="AT9" s="91">
        <f>IF(DAYS360(Enter!B5,Enter!C5)&lt;180,0,AS9*A9)</f>
        <v>1736.1111111111072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5.0054362843447026E-3</v>
      </c>
      <c r="AZ9" s="56"/>
      <c r="BA9" s="56"/>
      <c r="BB9" s="56"/>
      <c r="BC9" s="92">
        <f>IF(A9=0,0,IF(J9=100,D9,YIELD(Enter!C5,E9,D9,J9,100,2,0)))</f>
        <v>5.0000392499969425E-2</v>
      </c>
      <c r="BD9" s="94">
        <f>IF(A9=0,100,IF(F9=0,100,YIELD(Enter!C5,F9,D9,J9,G9,2,0)))</f>
        <v>5.1280776072673818E-2</v>
      </c>
      <c r="BE9" s="94">
        <f>IF(A9=0,1000,IF(H9=0,1000,YIELD(Enter!C5,H9,D9,J9,100,2,0)))</f>
        <v>5.0000632732724211E-2</v>
      </c>
      <c r="BF9" s="94"/>
      <c r="BG9" s="87">
        <f>IF(R9=TRUE,BD9,MIN(BC9:BE9))</f>
        <v>5.0000392499969425E-2</v>
      </c>
      <c r="BH9" s="95">
        <f>IF(R9=TRUE,F9,IF(J9=100,E9,IF(MIN(BC9:BE9)=BC9,E9,IF(MIN(BC9:BE9)=BD9,F9,H9))))</f>
        <v>43327</v>
      </c>
      <c r="BI9" s="75"/>
    </row>
    <row r="10" spans="1:61" ht="15.75" x14ac:dyDescent="0.25">
      <c r="A10" s="223">
        <f>Enter!A6</f>
        <v>100</v>
      </c>
      <c r="B10" s="216" t="str">
        <f>Enter!D6</f>
        <v>AAA/AAA</v>
      </c>
      <c r="C10" s="262" t="str">
        <f>Enter!E6</f>
        <v>DENTON TX UTIL REV</v>
      </c>
      <c r="D10" s="217">
        <f>Enter!F6</f>
        <v>5.1249999999999997E-2</v>
      </c>
      <c r="E10" s="215">
        <f>Enter!G6</f>
        <v>43435</v>
      </c>
      <c r="F10" s="215">
        <f>Enter!H6</f>
        <v>40695</v>
      </c>
      <c r="G10" s="221">
        <f>Enter!I6</f>
        <v>100</v>
      </c>
      <c r="H10" s="215">
        <f>Enter!J6</f>
        <v>0</v>
      </c>
      <c r="I10" s="222">
        <f>Enter!K6</f>
        <v>0</v>
      </c>
      <c r="J10" s="219">
        <f>Enter!L6</f>
        <v>100.929</v>
      </c>
      <c r="K10" s="162">
        <f t="shared" si="13"/>
        <v>5.0000162813016336E-2</v>
      </c>
      <c r="L10" s="162">
        <f t="shared" si="14"/>
        <v>5.0425501060168597E-2</v>
      </c>
      <c r="M10" s="162">
        <f t="shared" si="15"/>
        <v>5.0778269872880935E-2</v>
      </c>
      <c r="N10" s="162">
        <f>IF(A10=0,0,IF(K10=0,L10*Enter!G$27,K10*Enter!G$27))</f>
        <v>7.6900250406419124E-2</v>
      </c>
      <c r="R10" s="55" t="b">
        <f t="shared" si="20"/>
        <v>0</v>
      </c>
      <c r="S10" s="68">
        <f t="shared" si="16"/>
        <v>43435</v>
      </c>
      <c r="T10" s="69">
        <f t="shared" si="17"/>
        <v>10000</v>
      </c>
      <c r="U10" s="56">
        <v>4</v>
      </c>
      <c r="V10" s="66">
        <f t="shared" si="0"/>
        <v>5125</v>
      </c>
      <c r="W10" s="61"/>
      <c r="X10" s="62">
        <f>Volatility!AS10/Volatility!AS$29</f>
        <v>0.10104580895515215</v>
      </c>
      <c r="Y10" s="67"/>
      <c r="Z10" s="96">
        <f t="shared" si="18"/>
        <v>43435</v>
      </c>
      <c r="AA10" s="56">
        <f>DAYS360(Enter!C6,Z10)</f>
        <v>6101</v>
      </c>
      <c r="AB10" s="85">
        <f t="shared" si="1"/>
        <v>6101</v>
      </c>
      <c r="AC10" s="56">
        <f t="shared" si="2"/>
        <v>616.48048043538324</v>
      </c>
      <c r="AD10" s="62">
        <f t="shared" si="3"/>
        <v>5.0523068993305513E-3</v>
      </c>
      <c r="AE10" s="86">
        <f t="shared" si="4"/>
        <v>5.0000162813016336E-2</v>
      </c>
      <c r="AF10" s="86">
        <f t="shared" si="5"/>
        <v>5.0523068993305513E-3</v>
      </c>
      <c r="AG10" s="55">
        <f t="shared" si="6"/>
        <v>5.1249999999999997E-2</v>
      </c>
      <c r="AH10" s="87">
        <f t="shared" si="7"/>
        <v>5.0778269872880935E-2</v>
      </c>
      <c r="AI10" s="62">
        <f t="shared" si="8"/>
        <v>10092.9</v>
      </c>
      <c r="AJ10" s="56"/>
      <c r="AK10" s="56"/>
      <c r="AL10" s="56"/>
      <c r="AM10" s="88">
        <f t="shared" si="9"/>
        <v>100929</v>
      </c>
      <c r="AN10" s="56"/>
      <c r="AO10" s="56"/>
      <c r="AP10" s="88">
        <f t="shared" si="10"/>
        <v>25.624999999999996</v>
      </c>
      <c r="AQ10" s="89">
        <f>DAYS360(Enter!C6,E10)/180</f>
        <v>33.894444444444446</v>
      </c>
      <c r="AR10" s="89">
        <f t="shared" si="11"/>
        <v>0.89444444444444571</v>
      </c>
      <c r="AS10" s="97">
        <f t="shared" si="19"/>
        <v>2.7048611111110787</v>
      </c>
      <c r="AT10" s="91">
        <f>IF(DAYS360(Enter!B6,Enter!C6)&lt;180,0,AS10*A10)</f>
        <v>270.4861111111079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5.1785977089515477E-3</v>
      </c>
      <c r="AZ10" s="56"/>
      <c r="BA10" s="56"/>
      <c r="BB10" s="56"/>
      <c r="BC10" s="92">
        <f>IF(A10=0,0,IF(J10=100,D10,YIELD(Enter!C6,E10,D10,J10,100,2,0)))</f>
        <v>5.0425501060168597E-2</v>
      </c>
      <c r="BD10" s="94">
        <f>IF(A10=0,100,IF(F10=0,100,YIELD(Enter!C6,F10,D10,J10,G10,2,0)))</f>
        <v>5.0000162813016336E-2</v>
      </c>
      <c r="BE10" s="94">
        <f>IF(A10=0,1000,IF(H10=0,1000,YIELD(Enter!C6,H10,D10,J10,100,2,0)))</f>
        <v>1000</v>
      </c>
      <c r="BF10" s="94"/>
      <c r="BG10" s="87">
        <f>IF(R10=TRUE,BD10,MIN(BC10:BE10))</f>
        <v>5.0000162813016336E-2</v>
      </c>
      <c r="BH10" s="95">
        <f>IF(R10=TRUE,F10,IF(J10=100,E10,IF(MIN(BC10:BE10)=BC10,E10,IF(MIN(BC10:BE10)=BD10,F10,H10))))</f>
        <v>40695</v>
      </c>
      <c r="BI10" s="75"/>
    </row>
    <row r="11" spans="1:61" ht="15.75" x14ac:dyDescent="0.25">
      <c r="A11" s="223">
        <f>Enter!A7</f>
        <v>100</v>
      </c>
      <c r="B11" s="216" t="str">
        <f>Enter!D7</f>
        <v>AAA/AAA</v>
      </c>
      <c r="C11" s="262" t="str">
        <f>Enter!E7</f>
        <v>TX WTR DEV BRD</v>
      </c>
      <c r="D11" s="217">
        <f>Enter!F7</f>
        <v>0.05</v>
      </c>
      <c r="E11" s="215">
        <f>Enter!G7</f>
        <v>43661</v>
      </c>
      <c r="F11" s="215">
        <f>Enter!H7</f>
        <v>39278</v>
      </c>
      <c r="G11" s="221">
        <f>Enter!I7</f>
        <v>101</v>
      </c>
      <c r="H11" s="215">
        <f>Enter!J7</f>
        <v>39644</v>
      </c>
      <c r="I11" s="222">
        <f>Enter!K7</f>
        <v>0</v>
      </c>
      <c r="J11" s="219">
        <f>Enter!L7</f>
        <v>99.995999999999995</v>
      </c>
      <c r="K11" s="162">
        <f t="shared" si="13"/>
        <v>0</v>
      </c>
      <c r="L11" s="162">
        <f t="shared" si="14"/>
        <v>5.0000256384661171E-2</v>
      </c>
      <c r="M11" s="162">
        <f t="shared" si="15"/>
        <v>5.0002000080003203E-2</v>
      </c>
      <c r="N11" s="162">
        <f>IF(A11=0,0,IF(K11=0,L11*Enter!G$27,K11*Enter!G$27))</f>
        <v>7.6900394319608878E-2</v>
      </c>
      <c r="R11" s="55" t="b">
        <f t="shared" si="20"/>
        <v>0</v>
      </c>
      <c r="S11" s="68">
        <f t="shared" si="16"/>
        <v>43661</v>
      </c>
      <c r="T11" s="69">
        <f t="shared" si="17"/>
        <v>10000</v>
      </c>
      <c r="U11" s="56">
        <v>5</v>
      </c>
      <c r="V11" s="66">
        <f t="shared" si="0"/>
        <v>5000</v>
      </c>
      <c r="W11" s="61"/>
      <c r="X11" s="62">
        <f>Volatility!AS11/Volatility!AS$29</f>
        <v>0.1001117291589077</v>
      </c>
      <c r="Y11" s="67"/>
      <c r="Z11" s="96">
        <f t="shared" si="18"/>
        <v>43661</v>
      </c>
      <c r="AA11" s="56">
        <f>DAYS360(Enter!C7,Z11)</f>
        <v>6325</v>
      </c>
      <c r="AB11" s="85">
        <f t="shared" si="1"/>
        <v>6325</v>
      </c>
      <c r="AC11" s="56">
        <f t="shared" si="2"/>
        <v>633.20668693009122</v>
      </c>
      <c r="AD11" s="62">
        <f t="shared" si="3"/>
        <v>5.0056121250571448E-3</v>
      </c>
      <c r="AE11" s="86">
        <f t="shared" si="4"/>
        <v>5.0000256384661171E-2</v>
      </c>
      <c r="AF11" s="86">
        <f t="shared" si="5"/>
        <v>5.0056121250571448E-3</v>
      </c>
      <c r="AG11" s="55">
        <f t="shared" si="6"/>
        <v>0.05</v>
      </c>
      <c r="AH11" s="87">
        <f t="shared" si="7"/>
        <v>5.0002000080003203E-2</v>
      </c>
      <c r="AI11" s="62">
        <f t="shared" si="8"/>
        <v>9999.6</v>
      </c>
      <c r="AJ11" s="56"/>
      <c r="AK11" s="56"/>
      <c r="AL11" s="56"/>
      <c r="AM11" s="88">
        <f t="shared" si="9"/>
        <v>99995.999999999985</v>
      </c>
      <c r="AN11" s="56"/>
      <c r="AO11" s="56"/>
      <c r="AP11" s="88">
        <f t="shared" si="10"/>
        <v>25</v>
      </c>
      <c r="AQ11" s="89">
        <f>DAYS360(Enter!C7,E11)/180</f>
        <v>35.138888888888886</v>
      </c>
      <c r="AR11" s="89">
        <f t="shared" si="11"/>
        <v>0.13888888888888573</v>
      </c>
      <c r="AS11" s="97">
        <f t="shared" si="19"/>
        <v>21.527777777777857</v>
      </c>
      <c r="AT11" s="91">
        <f>IF(DAYS360(Enter!B7,Enter!C7)&lt;180,0,AS11*A11)</f>
        <v>2152.7777777777856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5.0055864579453858E-3</v>
      </c>
      <c r="AZ11" s="56"/>
      <c r="BA11" s="56"/>
      <c r="BB11" s="56"/>
      <c r="BC11" s="92">
        <f>IF(A11=0,0,IF(J11=100,D11,YIELD(Enter!C7,E11,D11,J11,100,2,0)))</f>
        <v>5.0000256384661171E-2</v>
      </c>
      <c r="BD11" s="94">
        <f>IF(A11=0,100,IF(F11=0,100,YIELD(Enter!C7,F11,D11,J11,G11,2,0)))</f>
        <v>5.1573249191644466E-2</v>
      </c>
      <c r="BE11" s="94">
        <f>IF(A11=0,1000,IF(H11=0,1000,YIELD(Enter!C7,H11,D11,J11,100,2,0)))</f>
        <v>5.0000536888541974E-2</v>
      </c>
      <c r="BF11" s="94"/>
      <c r="BG11" s="87">
        <f t="shared" ref="BG11:BG28" si="21">IF(R11=TRUE,BD11,MIN(BC11:BE11))</f>
        <v>5.0000256384661171E-2</v>
      </c>
      <c r="BH11" s="95">
        <f t="shared" ref="BH11:BH28" si="22">IF(R11=TRUE,F11,IF(J11=100,E11,IF(MIN(BC11:BE11)=BC11,E11,IF(MIN(BC11:BE11)=BD11,F11,H11))))</f>
        <v>43661</v>
      </c>
      <c r="BI11" s="75"/>
    </row>
    <row r="12" spans="1:61" ht="15.75" x14ac:dyDescent="0.25">
      <c r="A12" s="223">
        <f>Enter!A8</f>
        <v>100</v>
      </c>
      <c r="B12" s="216" t="str">
        <f>Enter!D8</f>
        <v>AAA/AAA</v>
      </c>
      <c r="C12" s="262" t="str">
        <f>Enter!E8</f>
        <v>HOUSTON TX CCD REVS</v>
      </c>
      <c r="D12" s="217">
        <f>Enter!F8</f>
        <v>0.05</v>
      </c>
      <c r="E12" s="215">
        <f>Enter!G8</f>
        <v>43936</v>
      </c>
      <c r="F12" s="215">
        <f>Enter!H8</f>
        <v>40648</v>
      </c>
      <c r="G12" s="221">
        <f>Enter!I8</f>
        <v>100</v>
      </c>
      <c r="H12" s="215">
        <f>Enter!J8</f>
        <v>0</v>
      </c>
      <c r="I12" s="222">
        <f>Enter!K8</f>
        <v>0</v>
      </c>
      <c r="J12" s="219">
        <f>Enter!L8</f>
        <v>99.399000000000001</v>
      </c>
      <c r="K12" s="162">
        <f t="shared" si="13"/>
        <v>0</v>
      </c>
      <c r="L12" s="162">
        <f t="shared" si="14"/>
        <v>5.0500682833051209E-2</v>
      </c>
      <c r="M12" s="162">
        <f t="shared" si="15"/>
        <v>5.0302316924717552E-2</v>
      </c>
      <c r="N12" s="162">
        <f>IF(A12=0,0,IF(K12=0,L12*Enter!G$27,K12*Enter!G$27))</f>
        <v>7.7670050197232762E-2</v>
      </c>
      <c r="R12" s="55" t="b">
        <f t="shared" si="20"/>
        <v>0</v>
      </c>
      <c r="S12" s="68">
        <f t="shared" si="16"/>
        <v>43936</v>
      </c>
      <c r="T12" s="69">
        <f t="shared" si="17"/>
        <v>10000</v>
      </c>
      <c r="U12" s="56">
        <v>6</v>
      </c>
      <c r="V12" s="66">
        <f t="shared" si="0"/>
        <v>5000</v>
      </c>
      <c r="W12" s="61"/>
      <c r="X12" s="62">
        <f>Volatility!AS12/Volatility!AS$29</f>
        <v>9.9514038228191784E-2</v>
      </c>
      <c r="Y12" s="67"/>
      <c r="Z12" s="96">
        <f t="shared" si="18"/>
        <v>43936</v>
      </c>
      <c r="AA12" s="56">
        <f>DAYS360(Enter!C8,Z12)</f>
        <v>6595</v>
      </c>
      <c r="AB12" s="85">
        <f t="shared" si="1"/>
        <v>6595</v>
      </c>
      <c r="AC12" s="56">
        <f t="shared" si="2"/>
        <v>656.29508211492487</v>
      </c>
      <c r="AD12" s="62">
        <f t="shared" si="3"/>
        <v>5.0255268819980464E-3</v>
      </c>
      <c r="AE12" s="86">
        <f t="shared" si="4"/>
        <v>5.0500682833051209E-2</v>
      </c>
      <c r="AF12" s="86">
        <f t="shared" si="5"/>
        <v>5.0255268819980464E-3</v>
      </c>
      <c r="AG12" s="55">
        <f t="shared" si="6"/>
        <v>0.05</v>
      </c>
      <c r="AH12" s="87">
        <f t="shared" si="7"/>
        <v>5.0302316924717552E-2</v>
      </c>
      <c r="AI12" s="62">
        <f t="shared" si="8"/>
        <v>9939.9</v>
      </c>
      <c r="AJ12" s="56"/>
      <c r="AK12" s="56"/>
      <c r="AL12" s="56"/>
      <c r="AM12" s="88">
        <f t="shared" si="9"/>
        <v>99399</v>
      </c>
      <c r="AN12" s="56"/>
      <c r="AO12" s="56"/>
      <c r="AP12" s="88">
        <f t="shared" si="10"/>
        <v>25</v>
      </c>
      <c r="AQ12" s="89">
        <f>DAYS360(Enter!C8,E12)/180</f>
        <v>36.638888888888886</v>
      </c>
      <c r="AR12" s="89">
        <f t="shared" si="11"/>
        <v>0.63888888888888573</v>
      </c>
      <c r="AS12" s="97">
        <f t="shared" si="19"/>
        <v>9.0277777777778567</v>
      </c>
      <c r="AT12" s="91">
        <f>IF(DAYS360(Enter!B8,Enter!C8)&lt;180,0,AS12*A12)</f>
        <v>0</v>
      </c>
      <c r="AU12" s="69">
        <f>IF((DAYS360(Enter!B8,Enter!C8))&lt;180,(DAYS360(Enter!B8,Enter!C8))/180*AP12*A12,0)</f>
        <v>680.55555555555554</v>
      </c>
      <c r="AV12" s="89"/>
      <c r="AW12" s="89"/>
      <c r="AX12" s="56"/>
      <c r="AY12" s="62">
        <f t="shared" si="12"/>
        <v>4.9757019114095892E-3</v>
      </c>
      <c r="AZ12" s="56"/>
      <c r="BA12" s="56"/>
      <c r="BB12" s="56"/>
      <c r="BC12" s="92">
        <f>IF(A12=0,0,IF(J12=100,D12,YIELD(Enter!C8,E12,D12,J12,100,2,0)))</f>
        <v>5.0500682833051209E-2</v>
      </c>
      <c r="BD12" s="94">
        <f>IF(A12=0,100,IF(F12=0,100,YIELD(Enter!C8,F12,D12,J12,G12,2,0)))</f>
        <v>5.0807747531246457E-2</v>
      </c>
      <c r="BE12" s="94">
        <f>IF(A12=0,1000,IF(H12=0,1000,YIELD(Enter!C8,H12,D12,J12,100,2,0)))</f>
        <v>1000</v>
      </c>
      <c r="BF12" s="94"/>
      <c r="BG12" s="87">
        <f t="shared" si="21"/>
        <v>5.0500682833051209E-2</v>
      </c>
      <c r="BH12" s="95">
        <f t="shared" si="22"/>
        <v>43936</v>
      </c>
      <c r="BI12" s="75"/>
    </row>
    <row r="13" spans="1:61" ht="15.75" x14ac:dyDescent="0.25">
      <c r="A13" s="223">
        <f>Enter!A9</f>
        <v>100</v>
      </c>
      <c r="B13" s="216" t="str">
        <f>Enter!D9</f>
        <v xml:space="preserve">AAA/ </v>
      </c>
      <c r="C13" s="262" t="str">
        <f>Enter!E9</f>
        <v>BENBROOK TX W/S REV</v>
      </c>
      <c r="D13" s="217">
        <f>Enter!F9</f>
        <v>5.1249999999999997E-2</v>
      </c>
      <c r="E13" s="215">
        <f>Enter!G9</f>
        <v>44531</v>
      </c>
      <c r="F13" s="215">
        <f>Enter!H9</f>
        <v>41244</v>
      </c>
      <c r="G13" s="221">
        <f>Enter!I9</f>
        <v>100</v>
      </c>
      <c r="H13" s="215">
        <f>Enter!J9</f>
        <v>0</v>
      </c>
      <c r="I13" s="222">
        <f>Enter!K9</f>
        <v>0</v>
      </c>
      <c r="J13" s="219">
        <f>Enter!L9</f>
        <v>101.038</v>
      </c>
      <c r="K13" s="162">
        <f t="shared" si="13"/>
        <v>5.0000894983990206E-2</v>
      </c>
      <c r="L13" s="162">
        <f t="shared" si="14"/>
        <v>5.0415201759301788E-2</v>
      </c>
      <c r="M13" s="162">
        <f t="shared" si="15"/>
        <v>5.0723490172014482E-2</v>
      </c>
      <c r="N13" s="162">
        <f>IF(A13=0,0,IF(K13=0,L13*Enter!G$27,K13*Enter!G$27))</f>
        <v>7.690137648537694E-2</v>
      </c>
      <c r="R13" s="55" t="b">
        <f t="shared" si="20"/>
        <v>0</v>
      </c>
      <c r="S13" s="68">
        <f t="shared" si="16"/>
        <v>44531</v>
      </c>
      <c r="T13" s="69">
        <f t="shared" si="17"/>
        <v>10000</v>
      </c>
      <c r="U13" s="56">
        <v>7</v>
      </c>
      <c r="V13" s="66">
        <f t="shared" si="0"/>
        <v>5125</v>
      </c>
      <c r="W13" s="61"/>
      <c r="X13" s="62">
        <f>Volatility!AS13/Volatility!AS$29</f>
        <v>0.10115493510498136</v>
      </c>
      <c r="Y13" s="67"/>
      <c r="Z13" s="96">
        <f t="shared" si="18"/>
        <v>44531</v>
      </c>
      <c r="AA13" s="56">
        <f>DAYS360(Enter!C9,Z13)</f>
        <v>7174</v>
      </c>
      <c r="AB13" s="85">
        <f t="shared" si="1"/>
        <v>7174</v>
      </c>
      <c r="AC13" s="56">
        <f t="shared" si="2"/>
        <v>725.68550444313621</v>
      </c>
      <c r="AD13" s="62">
        <f t="shared" si="3"/>
        <v>5.0578372872965172E-3</v>
      </c>
      <c r="AE13" s="86">
        <f t="shared" si="4"/>
        <v>5.0000894983990206E-2</v>
      </c>
      <c r="AF13" s="86">
        <f t="shared" si="5"/>
        <v>5.0578372872965172E-3</v>
      </c>
      <c r="AG13" s="55">
        <f t="shared" si="6"/>
        <v>5.1249999999999997E-2</v>
      </c>
      <c r="AH13" s="87">
        <f t="shared" si="7"/>
        <v>5.0723490172014482E-2</v>
      </c>
      <c r="AI13" s="62">
        <f t="shared" si="8"/>
        <v>10103.799999999999</v>
      </c>
      <c r="AJ13" s="56"/>
      <c r="AK13" s="56"/>
      <c r="AL13" s="56"/>
      <c r="AM13" s="88">
        <f t="shared" si="9"/>
        <v>101038</v>
      </c>
      <c r="AN13" s="56"/>
      <c r="AO13" s="56"/>
      <c r="AP13" s="88">
        <f t="shared" si="10"/>
        <v>25.624999999999996</v>
      </c>
      <c r="AQ13" s="89">
        <f>DAYS360(Enter!C9,E13)/180</f>
        <v>39.855555555555554</v>
      </c>
      <c r="AR13" s="89">
        <f t="shared" si="11"/>
        <v>0.85555555555555429</v>
      </c>
      <c r="AS13" s="97">
        <f t="shared" si="19"/>
        <v>3.7013888888889213</v>
      </c>
      <c r="AT13" s="91">
        <f>IF(DAYS360(Enter!B9,Enter!C9)&lt;180,0,AS13*A13)</f>
        <v>0</v>
      </c>
      <c r="AU13" s="69">
        <f>IF((DAYS360(Enter!B9,Enter!C9))&lt;180,(DAYS360(Enter!B9,Enter!C9))/180*AP13*A13,0)</f>
        <v>370.1388888888888</v>
      </c>
      <c r="AV13" s="89"/>
      <c r="AW13" s="89"/>
      <c r="AX13" s="56"/>
      <c r="AY13" s="62">
        <f t="shared" si="12"/>
        <v>5.1841904241302942E-3</v>
      </c>
      <c r="AZ13" s="56"/>
      <c r="BA13" s="56"/>
      <c r="BB13" s="56"/>
      <c r="BC13" s="92">
        <f>IF(A13=0,0,IF(J13=100,D13,YIELD(Enter!C9,E13,D13,J13,100,2,0)))</f>
        <v>5.0415201759301788E-2</v>
      </c>
      <c r="BD13" s="94">
        <f>IF(A13=0,100,IF(F13=0,100,YIELD(Enter!C9,F13,D13,J13,G13,2,0)))</f>
        <v>5.0000894983990206E-2</v>
      </c>
      <c r="BE13" s="94">
        <f>IF(A13=0,1000,IF(H13=0,1000,YIELD(Enter!C9,H13,D13,J13,100,2,0)))</f>
        <v>1000</v>
      </c>
      <c r="BF13" s="94"/>
      <c r="BG13" s="87">
        <f t="shared" si="21"/>
        <v>5.0000894983990206E-2</v>
      </c>
      <c r="BH13" s="95">
        <f t="shared" si="22"/>
        <v>41244</v>
      </c>
      <c r="BI13" s="75"/>
    </row>
    <row r="14" spans="1:61" ht="15.75" x14ac:dyDescent="0.25">
      <c r="A14" s="223">
        <f>Enter!A10</f>
        <v>100</v>
      </c>
      <c r="B14" s="216" t="str">
        <f>Enter!D10</f>
        <v>AAA/AAA</v>
      </c>
      <c r="C14" s="262" t="str">
        <f>Enter!E10</f>
        <v>GRANT CO WASH PUD</v>
      </c>
      <c r="D14" s="217">
        <f>Enter!F10</f>
        <v>0.05</v>
      </c>
      <c r="E14" s="215">
        <f>Enter!G10</f>
        <v>44562</v>
      </c>
      <c r="F14" s="215">
        <f>Enter!H10</f>
        <v>39083</v>
      </c>
      <c r="G14" s="221">
        <f>Enter!I10</f>
        <v>100</v>
      </c>
      <c r="H14" s="215">
        <f>Enter!J10</f>
        <v>0</v>
      </c>
      <c r="I14" s="222">
        <f>Enter!K10</f>
        <v>0</v>
      </c>
      <c r="J14" s="219">
        <f>Enter!L10</f>
        <v>98.751999999999995</v>
      </c>
      <c r="K14" s="162">
        <f t="shared" si="13"/>
        <v>0</v>
      </c>
      <c r="L14" s="162">
        <f t="shared" si="14"/>
        <v>5.1000364829877895E-2</v>
      </c>
      <c r="M14" s="162">
        <f t="shared" si="15"/>
        <v>5.0631885936487368E-2</v>
      </c>
      <c r="N14" s="162">
        <f>IF(A14=0,0,IF(K14=0,L14*Enter!G$27,K14*Enter!G$27))</f>
        <v>7.8438561108352206E-2</v>
      </c>
      <c r="R14" s="55" t="b">
        <f t="shared" si="20"/>
        <v>0</v>
      </c>
      <c r="S14" s="68">
        <f t="shared" si="16"/>
        <v>44562</v>
      </c>
      <c r="T14" s="69">
        <f t="shared" si="17"/>
        <v>10000</v>
      </c>
      <c r="U14" s="56">
        <v>8</v>
      </c>
      <c r="V14" s="66">
        <f t="shared" si="0"/>
        <v>5000</v>
      </c>
      <c r="W14" s="61"/>
      <c r="X14" s="62">
        <f>Volatility!AS14/Volatility!AS$29</f>
        <v>9.8866289430581733E-2</v>
      </c>
      <c r="Y14" s="67"/>
      <c r="Z14" s="96">
        <f t="shared" si="18"/>
        <v>44562</v>
      </c>
      <c r="AA14" s="56">
        <f>DAYS360(Enter!C10,Z14)</f>
        <v>7211</v>
      </c>
      <c r="AB14" s="85">
        <f t="shared" si="1"/>
        <v>7211</v>
      </c>
      <c r="AC14" s="56">
        <f t="shared" si="2"/>
        <v>712.92481308392485</v>
      </c>
      <c r="AD14" s="62">
        <f t="shared" si="3"/>
        <v>5.0422168303359697E-3</v>
      </c>
      <c r="AE14" s="86">
        <f t="shared" si="4"/>
        <v>5.1000364829877895E-2</v>
      </c>
      <c r="AF14" s="86">
        <f t="shared" si="5"/>
        <v>5.0422168303359697E-3</v>
      </c>
      <c r="AG14" s="55">
        <f t="shared" si="6"/>
        <v>0.05</v>
      </c>
      <c r="AH14" s="87">
        <f t="shared" si="7"/>
        <v>5.0631885936487368E-2</v>
      </c>
      <c r="AI14" s="62">
        <f t="shared" si="8"/>
        <v>9875.1999999999989</v>
      </c>
      <c r="AJ14" s="56"/>
      <c r="AK14" s="56"/>
      <c r="AL14" s="56"/>
      <c r="AM14" s="88">
        <f t="shared" si="9"/>
        <v>98752</v>
      </c>
      <c r="AN14" s="56"/>
      <c r="AO14" s="56"/>
      <c r="AP14" s="88">
        <f t="shared" si="10"/>
        <v>25</v>
      </c>
      <c r="AQ14" s="89">
        <f>DAYS360(Enter!C10,E14)/180</f>
        <v>40.06111111111111</v>
      </c>
      <c r="AR14" s="89">
        <f t="shared" si="11"/>
        <v>6.1111111111110006E-2</v>
      </c>
      <c r="AS14" s="97">
        <f t="shared" si="19"/>
        <v>23.47222222222225</v>
      </c>
      <c r="AT14" s="91">
        <f>IF(DAYS360(Enter!B10,Enter!C10)&lt;180,0,AS14*A14)</f>
        <v>0</v>
      </c>
      <c r="AU14" s="69">
        <f>IF((DAYS360(Enter!B10,Enter!C10))&lt;180,(DAYS360(Enter!B10,Enter!C10))/180*AP14*A14,0)</f>
        <v>486.11111111111114</v>
      </c>
      <c r="AV14" s="89"/>
      <c r="AW14" s="89"/>
      <c r="AX14" s="56"/>
      <c r="AY14" s="62">
        <f t="shared" si="12"/>
        <v>4.9433144715290873E-3</v>
      </c>
      <c r="AZ14" s="56"/>
      <c r="BA14" s="56"/>
      <c r="BB14" s="56"/>
      <c r="BC14" s="92">
        <f>IF(A14=0,0,IF(J14=100,D14,YIELD(Enter!C10,E14,D14,J14,100,2,0)))</f>
        <v>5.1000364829877895E-2</v>
      </c>
      <c r="BD14" s="94">
        <f>IF(A14=0,100,IF(F14=0,100,YIELD(Enter!C10,F14,D14,J14,G14,2,0)))</f>
        <v>5.2853390771198765E-2</v>
      </c>
      <c r="BE14" s="94">
        <f>IF(A14=0,1000,IF(H14=0,1000,YIELD(Enter!C10,H14,D14,J14,100,2,0)))</f>
        <v>1000</v>
      </c>
      <c r="BF14" s="94"/>
      <c r="BG14" s="87">
        <f t="shared" si="21"/>
        <v>5.1000364829877895E-2</v>
      </c>
      <c r="BH14" s="95">
        <f t="shared" si="22"/>
        <v>44562</v>
      </c>
      <c r="BI14" s="75"/>
    </row>
    <row r="15" spans="1:61" ht="15.75" x14ac:dyDescent="0.25">
      <c r="A15" s="223">
        <f>Enter!A11</f>
        <v>100</v>
      </c>
      <c r="B15" s="216" t="str">
        <f>Enter!D11</f>
        <v>AAA/AAA</v>
      </c>
      <c r="C15" s="262" t="str">
        <f>Enter!E11</f>
        <v>HOUSTON TX G.O.</v>
      </c>
      <c r="D15" s="217">
        <f>Enter!F11</f>
        <v>0.05</v>
      </c>
      <c r="E15" s="215">
        <f>Enter!G11</f>
        <v>44621</v>
      </c>
      <c r="F15" s="215">
        <f>Enter!H11</f>
        <v>40603</v>
      </c>
      <c r="G15" s="221">
        <f>Enter!I11</f>
        <v>100</v>
      </c>
      <c r="H15" s="215">
        <f>Enter!J11</f>
        <v>0</v>
      </c>
      <c r="I15" s="222">
        <f>Enter!K11</f>
        <v>0</v>
      </c>
      <c r="J15" s="219">
        <f>Enter!L11</f>
        <v>98.74</v>
      </c>
      <c r="K15" s="162">
        <f t="shared" si="13"/>
        <v>0</v>
      </c>
      <c r="L15" s="162">
        <f t="shared" si="14"/>
        <v>5.1000613864775661E-2</v>
      </c>
      <c r="M15" s="162">
        <f t="shared" si="15"/>
        <v>5.0638039295118502E-2</v>
      </c>
      <c r="N15" s="162">
        <f>IF(A15=0,0,IF(K15=0,L15*Enter!G$27,K15*Enter!G$27))</f>
        <v>7.8438944124024967E-2</v>
      </c>
      <c r="R15" s="55" t="b">
        <f t="shared" si="20"/>
        <v>0</v>
      </c>
      <c r="S15" s="68">
        <f t="shared" si="16"/>
        <v>44621</v>
      </c>
      <c r="T15" s="69">
        <f t="shared" si="17"/>
        <v>10000</v>
      </c>
      <c r="U15" s="56">
        <v>9</v>
      </c>
      <c r="V15" s="66">
        <f t="shared" si="0"/>
        <v>5000</v>
      </c>
      <c r="W15" s="61"/>
      <c r="X15" s="62">
        <f>Volatility!AS15/Volatility!AS$29</f>
        <v>9.8854275542527167E-2</v>
      </c>
      <c r="Y15" s="67"/>
      <c r="Z15" s="96">
        <f t="shared" si="18"/>
        <v>44621</v>
      </c>
      <c r="AA15" s="56">
        <f>DAYS360(Enter!C11,Z15)</f>
        <v>7271</v>
      </c>
      <c r="AB15" s="85">
        <f t="shared" si="1"/>
        <v>7271</v>
      </c>
      <c r="AC15" s="56">
        <f t="shared" si="2"/>
        <v>718.76943746971506</v>
      </c>
      <c r="AD15" s="62">
        <f t="shared" si="3"/>
        <v>5.0416287358265649E-3</v>
      </c>
      <c r="AE15" s="86">
        <f t="shared" si="4"/>
        <v>5.1000613864775661E-2</v>
      </c>
      <c r="AF15" s="86">
        <f t="shared" si="5"/>
        <v>5.0416287358265649E-3</v>
      </c>
      <c r="AG15" s="55">
        <f t="shared" si="6"/>
        <v>0.05</v>
      </c>
      <c r="AH15" s="87">
        <f t="shared" si="7"/>
        <v>5.0638039295118502E-2</v>
      </c>
      <c r="AI15" s="62">
        <f t="shared" si="8"/>
        <v>9874</v>
      </c>
      <c r="AJ15" s="56"/>
      <c r="AK15" s="56"/>
      <c r="AL15" s="56"/>
      <c r="AM15" s="88">
        <f t="shared" si="9"/>
        <v>98740</v>
      </c>
      <c r="AN15" s="56"/>
      <c r="AO15" s="56"/>
      <c r="AP15" s="88">
        <f t="shared" si="10"/>
        <v>25</v>
      </c>
      <c r="AQ15" s="89">
        <f>DAYS360(Enter!C11,E15)/180</f>
        <v>40.394444444444446</v>
      </c>
      <c r="AR15" s="89">
        <f t="shared" si="11"/>
        <v>0.39444444444444571</v>
      </c>
      <c r="AS15" s="97">
        <f t="shared" si="19"/>
        <v>15.138888888888857</v>
      </c>
      <c r="AT15" s="91">
        <f>IF(DAYS360(Enter!B11,Enter!C11)&lt;180,0,AS15*A15)</f>
        <v>0</v>
      </c>
      <c r="AU15" s="69">
        <f>IF((DAYS360(Enter!B11,Enter!C11))&lt;180,(DAYS360(Enter!B11,Enter!C11))/180*AP15*A15,0)</f>
        <v>1513.8888888888887</v>
      </c>
      <c r="AV15" s="89"/>
      <c r="AW15" s="89"/>
      <c r="AX15" s="56"/>
      <c r="AY15" s="62">
        <f t="shared" si="12"/>
        <v>4.9427137771263585E-3</v>
      </c>
      <c r="AZ15" s="56"/>
      <c r="BA15" s="56"/>
      <c r="BB15" s="56"/>
      <c r="BC15" s="92">
        <f>IF(A15=0,0,IF(J15=100,D15,YIELD(Enter!C11,E15,D15,J15,100,2,0)))</f>
        <v>5.1000613864775661E-2</v>
      </c>
      <c r="BD15" s="94">
        <f>IF(A15=0,100,IF(F15=0,100,YIELD(Enter!C11,F15,D15,J15,G15,2,0)))</f>
        <v>5.1728396465577448E-2</v>
      </c>
      <c r="BE15" s="94">
        <f>IF(A15=0,1000,IF(H15=0,1000,YIELD(Enter!C11,H15,D15,J15,100,2,0)))</f>
        <v>1000</v>
      </c>
      <c r="BF15" s="94"/>
      <c r="BG15" s="87">
        <f t="shared" si="21"/>
        <v>5.1000613864775661E-2</v>
      </c>
      <c r="BH15" s="95">
        <f t="shared" si="22"/>
        <v>44621</v>
      </c>
      <c r="BI15" s="75"/>
    </row>
    <row r="16" spans="1:61" ht="15.75" x14ac:dyDescent="0.25">
      <c r="A16" s="223">
        <f>Enter!A12</f>
        <v>100</v>
      </c>
      <c r="B16" s="216" t="str">
        <f>Enter!D12</f>
        <v>AAA/AAA</v>
      </c>
      <c r="C16" s="262" t="str">
        <f>Enter!E12</f>
        <v>MICHIGAN PUB PWR</v>
      </c>
      <c r="D16" s="217">
        <f>Enter!F12</f>
        <v>5.2499999999999998E-2</v>
      </c>
      <c r="E16" s="215">
        <f>Enter!G12</f>
        <v>45292</v>
      </c>
      <c r="F16" s="215">
        <f>Enter!H12</f>
        <v>40909</v>
      </c>
      <c r="G16" s="221">
        <f>Enter!I12</f>
        <v>100</v>
      </c>
      <c r="H16" s="215">
        <f>Enter!J12</f>
        <v>0</v>
      </c>
      <c r="I16" s="222">
        <f>Enter!K12</f>
        <v>0</v>
      </c>
      <c r="J16" s="219">
        <f>Enter!L12</f>
        <v>100</v>
      </c>
      <c r="K16" s="162">
        <f t="shared" si="13"/>
        <v>0</v>
      </c>
      <c r="L16" s="162">
        <f t="shared" si="14"/>
        <v>5.2499999999999998E-2</v>
      </c>
      <c r="M16" s="162">
        <f t="shared" si="15"/>
        <v>5.2499999999999998E-2</v>
      </c>
      <c r="N16" s="162">
        <f>IF(A16=0,0,IF(K16=0,L16*Enter!G$27,K16*Enter!G$27))</f>
        <v>8.0744999999999997E-2</v>
      </c>
      <c r="R16" s="55" t="b">
        <f t="shared" si="20"/>
        <v>0</v>
      </c>
      <c r="S16" s="68">
        <f t="shared" si="16"/>
        <v>45292</v>
      </c>
      <c r="T16" s="69">
        <f t="shared" si="17"/>
        <v>10000</v>
      </c>
      <c r="U16" s="56">
        <v>10</v>
      </c>
      <c r="V16" s="66">
        <f t="shared" si="0"/>
        <v>5250</v>
      </c>
      <c r="W16" s="61"/>
      <c r="X16" s="62">
        <f>Volatility!AS16/Volatility!AS$29</f>
        <v>0.10011573378825923</v>
      </c>
      <c r="Y16" s="67"/>
      <c r="Z16" s="96">
        <f t="shared" si="18"/>
        <v>45292</v>
      </c>
      <c r="AA16" s="56">
        <f>DAYS360(Enter!C12,Z16)</f>
        <v>7911</v>
      </c>
      <c r="AB16" s="85">
        <f t="shared" si="1"/>
        <v>7911</v>
      </c>
      <c r="AC16" s="56">
        <f t="shared" si="2"/>
        <v>792.01556999891875</v>
      </c>
      <c r="AD16" s="62">
        <f t="shared" si="3"/>
        <v>5.2558665027453294E-3</v>
      </c>
      <c r="AE16" s="86">
        <f t="shared" si="4"/>
        <v>5.2497907210681552E-2</v>
      </c>
      <c r="AF16" s="86">
        <f t="shared" si="5"/>
        <v>5.2558665027453294E-3</v>
      </c>
      <c r="AG16" s="55">
        <f t="shared" si="6"/>
        <v>5.2499999999999998E-2</v>
      </c>
      <c r="AH16" s="87">
        <f t="shared" si="7"/>
        <v>5.2499999999999998E-2</v>
      </c>
      <c r="AI16" s="62">
        <f t="shared" si="8"/>
        <v>10000</v>
      </c>
      <c r="AJ16" s="56"/>
      <c r="AK16" s="56"/>
      <c r="AL16" s="56"/>
      <c r="AM16" s="88">
        <f t="shared" si="9"/>
        <v>100000</v>
      </c>
      <c r="AN16" s="56"/>
      <c r="AO16" s="56"/>
      <c r="AP16" s="88">
        <f t="shared" si="10"/>
        <v>26.249999999999996</v>
      </c>
      <c r="AQ16" s="89">
        <f>DAYS360(Enter!C12,E16)/180</f>
        <v>43.95</v>
      </c>
      <c r="AR16" s="89">
        <f t="shared" si="11"/>
        <v>0.95000000000000284</v>
      </c>
      <c r="AS16" s="97">
        <f t="shared" si="19"/>
        <v>1.3124999999999254</v>
      </c>
      <c r="AT16" s="91">
        <f>IF(DAYS360(Enter!B12,Enter!C12)&lt;180,0,AS16*A16)</f>
        <v>0</v>
      </c>
      <c r="AU16" s="69">
        <f>IF((DAYS360(Enter!B12,Enter!C12))&lt;180,(DAYS360(Enter!B12,Enter!C12))/180*AP16*A16,0)</f>
        <v>568.74999999999989</v>
      </c>
      <c r="AV16" s="89"/>
      <c r="AW16" s="89"/>
      <c r="AX16" s="56"/>
      <c r="AY16" s="62">
        <f t="shared" si="12"/>
        <v>5.2560760238836097E-3</v>
      </c>
      <c r="AZ16" s="56"/>
      <c r="BA16" s="56"/>
      <c r="BB16" s="56"/>
      <c r="BC16" s="92">
        <f>IF(A16=0,0,IF(J16=100,D16,YIELD(Enter!C12,E16,D16,J16,100,2,0)))</f>
        <v>5.2499999999999998E-2</v>
      </c>
      <c r="BD16" s="94">
        <f>IF(A16=0,100,IF(F16=0,100,YIELD(Enter!C12,F16,D16,J16,G16,2,0)))</f>
        <v>5.2497907210681552E-2</v>
      </c>
      <c r="BE16" s="94">
        <f>IF(A16=0,1000,IF(H16=0,1000,YIELD(Enter!C12,H16,D16,J16,100,2,0)))</f>
        <v>1000</v>
      </c>
      <c r="BF16" s="94"/>
      <c r="BG16" s="87">
        <f t="shared" si="21"/>
        <v>5.2497907210681552E-2</v>
      </c>
      <c r="BH16" s="95">
        <f t="shared" si="22"/>
        <v>45292</v>
      </c>
      <c r="BI16" s="75"/>
    </row>
    <row r="17" spans="1:61" ht="15.75" x14ac:dyDescent="0.25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75" x14ac:dyDescent="0.25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1000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50500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18.107339136819942</v>
      </c>
      <c r="AD29" s="56">
        <f>SUM(AD7:AD28)</f>
        <v>5.0497577671873663E-2</v>
      </c>
      <c r="AE29" s="56"/>
      <c r="AF29" s="56"/>
      <c r="AG29" s="56"/>
      <c r="AH29" s="56"/>
      <c r="AI29" s="56">
        <f>SUM(AI7:AI28)</f>
        <v>99884.4</v>
      </c>
      <c r="AJ29" s="56">
        <f>AI29/$A$29</f>
        <v>99.884399999999999</v>
      </c>
      <c r="AK29" s="56"/>
      <c r="AL29" s="56"/>
      <c r="AM29" s="91">
        <f>SUM(AM7:AM28)</f>
        <v>998844</v>
      </c>
      <c r="AN29" s="56"/>
      <c r="AO29" s="56"/>
      <c r="AP29" s="56"/>
      <c r="AQ29" s="56"/>
      <c r="AR29" s="56"/>
      <c r="AS29" s="56"/>
      <c r="AT29" s="91">
        <f>SUM(AT7:AT28)</f>
        <v>4159.3750000000009</v>
      </c>
      <c r="AU29" s="69">
        <f>SUM(AU7:AU28)</f>
        <v>4050</v>
      </c>
      <c r="AV29" s="113" t="s">
        <v>109</v>
      </c>
      <c r="AW29" s="91">
        <f>SUM(AT29:AV29)</f>
        <v>8209.375</v>
      </c>
      <c r="AX29" s="56"/>
      <c r="AY29" s="94">
        <f>SUM(AY7:AY28)</f>
        <v>5.0503040264545815E-2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135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131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130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>
      <selection activeCell="D27" sqref="D27"/>
    </sheetView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139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100</v>
      </c>
      <c r="B6" s="147" t="str">
        <f>Proposal!C7</f>
        <v>NEW ORLEANS SWR</v>
      </c>
      <c r="C6" s="255">
        <f>Proposal!D7</f>
        <v>0.05</v>
      </c>
      <c r="D6" s="258">
        <f>IF(Proposal!R7=TRUE,Proposal!F7,Proposal!E7)</f>
        <v>42522</v>
      </c>
      <c r="E6" s="148">
        <f t="shared" ref="E6:J15" si="0">IF(E$4=MONTH($D6),$A6*1000*$C6*0.5,0)+(IF(E$4+6=MONTH($D6),$A6*1000*$C6*0.5,0))</f>
        <v>0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2500</v>
      </c>
      <c r="K6" s="148">
        <f t="shared" ref="K6:P15" si="1">IF(K$4=MONTH($D6),$A6*1000*$C6*0.5,0)+(IF(K$4-6=MONTH($D6),$A6*1000*$C6*0.5,0))</f>
        <v>0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2500</v>
      </c>
      <c r="Q6" s="149">
        <f t="shared" ref="Q6:Q18" si="2">SUM(E6:P6)</f>
        <v>5000</v>
      </c>
      <c r="U6" s="62">
        <f t="shared" ref="U6:U27" si="3">YEAR(D6)</f>
        <v>2016</v>
      </c>
      <c r="V6" s="56" t="s">
        <v>40</v>
      </c>
      <c r="W6" s="116">
        <f>Income!E$28</f>
        <v>10125</v>
      </c>
    </row>
    <row r="7" spans="1:23" s="5" customFormat="1" ht="15.75" x14ac:dyDescent="0.25">
      <c r="A7" s="146">
        <f>Proposal!A8</f>
        <v>100</v>
      </c>
      <c r="B7" s="150" t="str">
        <f>Proposal!C8</f>
        <v>LAFAYETTE IND PARK</v>
      </c>
      <c r="C7" s="256">
        <f>Proposal!D8</f>
        <v>0.05</v>
      </c>
      <c r="D7" s="259">
        <f>IF(Proposal!R8=TRUE,Proposal!F8,Proposal!E8)</f>
        <v>42750</v>
      </c>
      <c r="E7" s="151">
        <f t="shared" si="0"/>
        <v>2500</v>
      </c>
      <c r="F7" s="151">
        <f t="shared" si="0"/>
        <v>0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2500</v>
      </c>
      <c r="L7" s="151">
        <f t="shared" si="1"/>
        <v>0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5000</v>
      </c>
      <c r="U7" s="62">
        <f t="shared" si="3"/>
        <v>2017</v>
      </c>
      <c r="V7" s="56" t="s">
        <v>41</v>
      </c>
      <c r="W7" s="116">
        <f>Income!F$28</f>
        <v>2500</v>
      </c>
    </row>
    <row r="8" spans="1:23" s="5" customFormat="1" ht="15.75" x14ac:dyDescent="0.25">
      <c r="A8" s="146">
        <f>Proposal!A9</f>
        <v>100</v>
      </c>
      <c r="B8" s="150" t="str">
        <f>Proposal!C9</f>
        <v>DALLAS TX CIVIC</v>
      </c>
      <c r="C8" s="256">
        <f>Proposal!D9</f>
        <v>0.05</v>
      </c>
      <c r="D8" s="259">
        <f>IF(Proposal!R9=TRUE,Proposal!F9,Proposal!E9)</f>
        <v>43327</v>
      </c>
      <c r="E8" s="151">
        <f t="shared" si="0"/>
        <v>0</v>
      </c>
      <c r="F8" s="151">
        <f t="shared" si="0"/>
        <v>2500</v>
      </c>
      <c r="G8" s="151">
        <f t="shared" si="0"/>
        <v>0</v>
      </c>
      <c r="H8" s="151">
        <f t="shared" si="0"/>
        <v>0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2500</v>
      </c>
      <c r="M8" s="151">
        <f t="shared" si="1"/>
        <v>0</v>
      </c>
      <c r="N8" s="151">
        <f t="shared" si="1"/>
        <v>0</v>
      </c>
      <c r="O8" s="151">
        <f t="shared" si="1"/>
        <v>0</v>
      </c>
      <c r="P8" s="151">
        <f t="shared" si="1"/>
        <v>0</v>
      </c>
      <c r="Q8" s="152">
        <f t="shared" si="2"/>
        <v>5000</v>
      </c>
      <c r="U8" s="62">
        <f t="shared" si="3"/>
        <v>2018</v>
      </c>
      <c r="V8" s="56" t="s">
        <v>42</v>
      </c>
      <c r="W8" s="116">
        <f>Income!G$28</f>
        <v>2500</v>
      </c>
    </row>
    <row r="9" spans="1:23" s="5" customFormat="1" ht="15.75" x14ac:dyDescent="0.25">
      <c r="A9" s="146">
        <f>Proposal!A10</f>
        <v>100</v>
      </c>
      <c r="B9" s="150" t="str">
        <f>Proposal!C10</f>
        <v>DENTON TX UTIL REV</v>
      </c>
      <c r="C9" s="256">
        <f>Proposal!D10</f>
        <v>5.1249999999999997E-2</v>
      </c>
      <c r="D9" s="259">
        <f>IF(Proposal!R10=TRUE,Proposal!F10,Proposal!E10)</f>
        <v>43435</v>
      </c>
      <c r="E9" s="151">
        <f t="shared" si="0"/>
        <v>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2562.5</v>
      </c>
      <c r="K9" s="151">
        <f t="shared" si="1"/>
        <v>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2562.5</v>
      </c>
      <c r="Q9" s="152">
        <f t="shared" si="2"/>
        <v>5125</v>
      </c>
      <c r="U9" s="62">
        <f t="shared" si="3"/>
        <v>2018</v>
      </c>
      <c r="V9" s="56" t="s">
        <v>43</v>
      </c>
      <c r="W9" s="116">
        <f>Income!H$28</f>
        <v>2500</v>
      </c>
    </row>
    <row r="10" spans="1:23" s="5" customFormat="1" ht="15.75" x14ac:dyDescent="0.25">
      <c r="A10" s="146">
        <f>Proposal!A11</f>
        <v>100</v>
      </c>
      <c r="B10" s="150" t="str">
        <f>Proposal!C11</f>
        <v>TX WTR DEV BRD</v>
      </c>
      <c r="C10" s="256">
        <f>Proposal!D11</f>
        <v>0.05</v>
      </c>
      <c r="D10" s="259">
        <f>IF(Proposal!R11=TRUE,Proposal!F11,Proposal!E11)</f>
        <v>43661</v>
      </c>
      <c r="E10" s="151">
        <f t="shared" si="0"/>
        <v>2500</v>
      </c>
      <c r="F10" s="151">
        <f t="shared" si="0"/>
        <v>0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2500</v>
      </c>
      <c r="L10" s="151">
        <f t="shared" si="1"/>
        <v>0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5000</v>
      </c>
      <c r="U10" s="62">
        <f t="shared" si="3"/>
        <v>2019</v>
      </c>
      <c r="V10" s="56" t="s">
        <v>44</v>
      </c>
      <c r="W10" s="116">
        <f>Income!I$28</f>
        <v>0</v>
      </c>
    </row>
    <row r="11" spans="1:23" s="5" customFormat="1" ht="15.75" x14ac:dyDescent="0.25">
      <c r="A11" s="146">
        <f>Proposal!A12</f>
        <v>100</v>
      </c>
      <c r="B11" s="150" t="str">
        <f>Proposal!C12</f>
        <v>HOUSTON TX CCD REVS</v>
      </c>
      <c r="C11" s="256">
        <f>Proposal!D12</f>
        <v>0.05</v>
      </c>
      <c r="D11" s="259">
        <f>IF(Proposal!R12=TRUE,Proposal!F12,Proposal!E12)</f>
        <v>43936</v>
      </c>
      <c r="E11" s="151">
        <f t="shared" si="0"/>
        <v>0</v>
      </c>
      <c r="F11" s="151">
        <f t="shared" si="0"/>
        <v>0</v>
      </c>
      <c r="G11" s="151">
        <f t="shared" si="0"/>
        <v>0</v>
      </c>
      <c r="H11" s="151">
        <f t="shared" si="0"/>
        <v>2500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0</v>
      </c>
      <c r="N11" s="151">
        <f t="shared" si="1"/>
        <v>2500</v>
      </c>
      <c r="O11" s="151">
        <f t="shared" si="1"/>
        <v>0</v>
      </c>
      <c r="P11" s="151">
        <f t="shared" si="1"/>
        <v>0</v>
      </c>
      <c r="Q11" s="152">
        <f t="shared" si="2"/>
        <v>5000</v>
      </c>
      <c r="U11" s="62">
        <f t="shared" si="3"/>
        <v>2020</v>
      </c>
      <c r="V11" s="56" t="s">
        <v>45</v>
      </c>
      <c r="W11" s="116">
        <f>Income!J$28</f>
        <v>7625</v>
      </c>
    </row>
    <row r="12" spans="1:23" s="5" customFormat="1" ht="15.75" x14ac:dyDescent="0.25">
      <c r="A12" s="146">
        <f>Proposal!A13</f>
        <v>100</v>
      </c>
      <c r="B12" s="150" t="str">
        <f>Proposal!C13</f>
        <v>BENBROOK TX W/S REV</v>
      </c>
      <c r="C12" s="256">
        <f>Proposal!D13</f>
        <v>5.1249999999999997E-2</v>
      </c>
      <c r="D12" s="259">
        <f>IF(Proposal!R13=TRUE,Proposal!F13,Proposal!E13)</f>
        <v>44531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2562.5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2562.5</v>
      </c>
      <c r="Q12" s="152">
        <f t="shared" si="2"/>
        <v>5125</v>
      </c>
      <c r="U12" s="62">
        <f t="shared" si="3"/>
        <v>2021</v>
      </c>
      <c r="V12" s="56" t="s">
        <v>46</v>
      </c>
      <c r="W12" s="116">
        <f>Income!K$28</f>
        <v>10125</v>
      </c>
    </row>
    <row r="13" spans="1:23" s="5" customFormat="1" ht="15.75" x14ac:dyDescent="0.25">
      <c r="A13" s="146">
        <f>Proposal!A14</f>
        <v>100</v>
      </c>
      <c r="B13" s="150" t="str">
        <f>Proposal!C14</f>
        <v>GRANT CO WASH PUD</v>
      </c>
      <c r="C13" s="256">
        <f>Proposal!D14</f>
        <v>0.05</v>
      </c>
      <c r="D13" s="259">
        <f>IF(Proposal!R14=TRUE,Proposal!F14,Proposal!E14)</f>
        <v>44562</v>
      </c>
      <c r="E13" s="151">
        <f t="shared" si="0"/>
        <v>2500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2500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5000</v>
      </c>
      <c r="U13" s="62">
        <f t="shared" si="3"/>
        <v>2022</v>
      </c>
      <c r="V13" s="56" t="s">
        <v>47</v>
      </c>
      <c r="W13" s="116">
        <f>Income!L$28</f>
        <v>2500</v>
      </c>
    </row>
    <row r="14" spans="1:23" s="5" customFormat="1" ht="15.75" x14ac:dyDescent="0.25">
      <c r="A14" s="146">
        <f>Proposal!A15</f>
        <v>100</v>
      </c>
      <c r="B14" s="150" t="str">
        <f>Proposal!C15</f>
        <v>HOUSTON TX G.O.</v>
      </c>
      <c r="C14" s="256">
        <f>Proposal!D15</f>
        <v>0.05</v>
      </c>
      <c r="D14" s="259">
        <f>IF(Proposal!R15=TRUE,Proposal!F15,Proposal!E15)</f>
        <v>44621</v>
      </c>
      <c r="E14" s="151">
        <f t="shared" si="0"/>
        <v>0</v>
      </c>
      <c r="F14" s="151">
        <f t="shared" si="0"/>
        <v>0</v>
      </c>
      <c r="G14" s="151">
        <f t="shared" si="0"/>
        <v>2500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2500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5000</v>
      </c>
      <c r="U14" s="62">
        <f t="shared" si="3"/>
        <v>2022</v>
      </c>
      <c r="V14" s="56" t="s">
        <v>48</v>
      </c>
      <c r="W14" s="116">
        <f>Income!M$28</f>
        <v>2500</v>
      </c>
    </row>
    <row r="15" spans="1:23" s="5" customFormat="1" ht="15.75" x14ac:dyDescent="0.25">
      <c r="A15" s="146">
        <f>Proposal!A16</f>
        <v>100</v>
      </c>
      <c r="B15" s="150" t="str">
        <f>Proposal!C16</f>
        <v>MICHIGAN PUB PWR</v>
      </c>
      <c r="C15" s="256">
        <f>Proposal!D16</f>
        <v>5.2499999999999998E-2</v>
      </c>
      <c r="D15" s="259">
        <f>IF(Proposal!R16=TRUE,Proposal!F16,Proposal!E16)</f>
        <v>45292</v>
      </c>
      <c r="E15" s="151">
        <f t="shared" si="0"/>
        <v>2625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2625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5250</v>
      </c>
      <c r="U15" s="62">
        <f t="shared" si="3"/>
        <v>2024</v>
      </c>
      <c r="V15" s="56" t="s">
        <v>49</v>
      </c>
      <c r="W15" s="116">
        <f>Income!N$28</f>
        <v>2500</v>
      </c>
    </row>
    <row r="16" spans="1:23" s="5" customFormat="1" ht="15.75" x14ac:dyDescent="0.25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75" x14ac:dyDescent="0.25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7625</v>
      </c>
    </row>
    <row r="18" spans="1:23" s="5" customFormat="1" ht="15.75" x14ac:dyDescent="0.25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1000</v>
      </c>
      <c r="B28" s="18" t="s">
        <v>52</v>
      </c>
      <c r="C28" s="158"/>
      <c r="D28" s="143"/>
      <c r="E28" s="159">
        <f t="shared" ref="E28:P28" si="9">SUM(E6:E27)</f>
        <v>10125</v>
      </c>
      <c r="F28" s="159">
        <f t="shared" si="9"/>
        <v>2500</v>
      </c>
      <c r="G28" s="159">
        <f t="shared" si="9"/>
        <v>2500</v>
      </c>
      <c r="H28" s="159">
        <f t="shared" si="9"/>
        <v>2500</v>
      </c>
      <c r="I28" s="159">
        <f t="shared" si="9"/>
        <v>0</v>
      </c>
      <c r="J28" s="159">
        <f t="shared" si="9"/>
        <v>7625</v>
      </c>
      <c r="K28" s="159">
        <f t="shared" si="9"/>
        <v>10125</v>
      </c>
      <c r="L28" s="159">
        <f t="shared" si="9"/>
        <v>2500</v>
      </c>
      <c r="M28" s="159">
        <f t="shared" si="9"/>
        <v>2500</v>
      </c>
      <c r="N28" s="159">
        <f t="shared" si="9"/>
        <v>2500</v>
      </c>
      <c r="O28" s="159">
        <f t="shared" si="9"/>
        <v>0</v>
      </c>
      <c r="P28" s="159">
        <f t="shared" si="9"/>
        <v>7625</v>
      </c>
      <c r="Q28" s="159">
        <f>SUM(E28:P28)</f>
        <v>50500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0.20049504950495051</v>
      </c>
      <c r="F29" s="161">
        <f t="shared" ref="F29:P29" si="10">F28/$Q$28</f>
        <v>4.9504950495049507E-2</v>
      </c>
      <c r="G29" s="161">
        <f t="shared" si="10"/>
        <v>4.9504950495049507E-2</v>
      </c>
      <c r="H29" s="161">
        <f t="shared" si="10"/>
        <v>4.9504950495049507E-2</v>
      </c>
      <c r="I29" s="161">
        <f t="shared" si="10"/>
        <v>0</v>
      </c>
      <c r="J29" s="161">
        <f t="shared" si="10"/>
        <v>0.15099009900990099</v>
      </c>
      <c r="K29" s="161">
        <f t="shared" si="10"/>
        <v>0.20049504950495051</v>
      </c>
      <c r="L29" s="161">
        <f t="shared" si="10"/>
        <v>4.9504950495049507E-2</v>
      </c>
      <c r="M29" s="161">
        <f t="shared" si="10"/>
        <v>4.9504950495049507E-2</v>
      </c>
      <c r="N29" s="161">
        <f t="shared" si="10"/>
        <v>4.9504950495049507E-2</v>
      </c>
      <c r="O29" s="161">
        <f t="shared" si="10"/>
        <v>0</v>
      </c>
      <c r="P29" s="161">
        <f t="shared" si="10"/>
        <v>0.15099009900990099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2016</v>
      </c>
      <c r="C61" s="38">
        <f t="shared" ref="C61:C78" si="12">A6/A$28</f>
        <v>0.1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2017</v>
      </c>
      <c r="C62" s="38">
        <f t="shared" si="12"/>
        <v>0.1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2018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2018</v>
      </c>
      <c r="C64" s="38">
        <f t="shared" si="12"/>
        <v>0.1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2019</v>
      </c>
      <c r="C65" s="38">
        <f t="shared" si="12"/>
        <v>0.1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2020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0.1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0.1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0.1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0.1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140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2016</v>
      </c>
      <c r="Q4" s="56">
        <f>IF(P4=1900,0,P4)</f>
        <v>2016</v>
      </c>
      <c r="R4" s="245">
        <f>IF(Proposal!I7="y",Proposal!A7*Proposal!G7*10,Proposal!A7*1000)</f>
        <v>100000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2017</v>
      </c>
      <c r="Q5" s="56">
        <f t="shared" ref="Q5:Q21" si="0">IF(P5=1900,0,P5)</f>
        <v>2017</v>
      </c>
      <c r="R5" s="245">
        <f>IF(Proposal!I8="y",Proposal!A8*Proposal!G8*10,Proposal!A8*1000)</f>
        <v>100000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2018</v>
      </c>
      <c r="Q6" s="56">
        <f t="shared" si="0"/>
        <v>2018</v>
      </c>
      <c r="R6" s="245">
        <f>IF(Proposal!I9="y",Proposal!A9*Proposal!G9*10,Proposal!A9*1000)</f>
        <v>100000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100</v>
      </c>
      <c r="I7" s="268">
        <f t="shared" si="2"/>
        <v>0.1</v>
      </c>
      <c r="J7" s="20"/>
      <c r="K7" s="5"/>
      <c r="L7" s="5"/>
      <c r="M7" s="5"/>
      <c r="N7" s="5"/>
      <c r="P7" s="62">
        <f>YEAR(Income!D9)</f>
        <v>2018</v>
      </c>
      <c r="Q7" s="56">
        <f t="shared" si="0"/>
        <v>2018</v>
      </c>
      <c r="R7" s="245">
        <f>IF(Proposal!I10="y",Proposal!A10*Proposal!G10*10,Proposal!A10*1000)</f>
        <v>100000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0</v>
      </c>
      <c r="D8" s="268">
        <f t="shared" si="1"/>
        <v>0</v>
      </c>
      <c r="E8" s="265"/>
      <c r="F8" s="265"/>
      <c r="G8" s="267">
        <v>2017</v>
      </c>
      <c r="H8" s="267">
        <f>DSUM($Q$3:$R$25,"Value",U15:U16)/1000</f>
        <v>100</v>
      </c>
      <c r="I8" s="268">
        <f t="shared" si="2"/>
        <v>0.1</v>
      </c>
      <c r="J8" s="20"/>
      <c r="K8" s="5"/>
      <c r="L8" s="5"/>
      <c r="M8" s="5"/>
      <c r="N8" s="5"/>
      <c r="P8" s="62">
        <f>YEAR(Income!D10)</f>
        <v>2019</v>
      </c>
      <c r="Q8" s="56">
        <f t="shared" si="0"/>
        <v>2019</v>
      </c>
      <c r="R8" s="245">
        <f>IF(Proposal!I11="y",Proposal!A11*Proposal!G11*10,Proposal!A11*1000)</f>
        <v>100000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0</v>
      </c>
      <c r="D9" s="268">
        <f t="shared" si="1"/>
        <v>0</v>
      </c>
      <c r="E9" s="265"/>
      <c r="F9" s="265"/>
      <c r="G9" s="267">
        <v>2018</v>
      </c>
      <c r="H9" s="267">
        <f>DSUM($Q$3:$R$25,"Value",U17:U18)/1000</f>
        <v>200</v>
      </c>
      <c r="I9" s="268">
        <f t="shared" si="2"/>
        <v>0.2</v>
      </c>
      <c r="J9" s="20"/>
      <c r="K9" s="5"/>
      <c r="L9" s="5"/>
      <c r="M9" s="5"/>
      <c r="N9" s="5"/>
      <c r="P9" s="62">
        <f>YEAR(Income!D11)</f>
        <v>2020</v>
      </c>
      <c r="Q9" s="56">
        <f t="shared" si="0"/>
        <v>2020</v>
      </c>
      <c r="R9" s="245">
        <f>IF(Proposal!I12="y",Proposal!A12*Proposal!G12*10,Proposal!A12*1000)</f>
        <v>100000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100</v>
      </c>
      <c r="I10" s="268">
        <f t="shared" si="2"/>
        <v>0.1</v>
      </c>
      <c r="J10" s="20"/>
      <c r="K10" s="5"/>
      <c r="L10" s="5"/>
      <c r="M10" s="5"/>
      <c r="N10" s="5"/>
      <c r="P10" s="62">
        <f>YEAR(Income!D12)</f>
        <v>2021</v>
      </c>
      <c r="Q10" s="56">
        <f t="shared" si="0"/>
        <v>2021</v>
      </c>
      <c r="R10" s="245">
        <f>IF(Proposal!I13="y",Proposal!A13*Proposal!G13*10,Proposal!A13*1000)</f>
        <v>100000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100</v>
      </c>
      <c r="I11" s="268">
        <f t="shared" si="2"/>
        <v>0.1</v>
      </c>
      <c r="J11" s="20"/>
      <c r="K11" s="5"/>
      <c r="L11" s="5"/>
      <c r="M11" s="5"/>
      <c r="N11" s="5"/>
      <c r="P11" s="62">
        <f>YEAR(Income!D13)</f>
        <v>2022</v>
      </c>
      <c r="Q11" s="56">
        <f t="shared" si="0"/>
        <v>2022</v>
      </c>
      <c r="R11" s="245">
        <f>IF(Proposal!I14="y",Proposal!A14*Proposal!G14*10,Proposal!A14*1000)</f>
        <v>100000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100</v>
      </c>
      <c r="I12" s="268">
        <f t="shared" si="2"/>
        <v>0.1</v>
      </c>
      <c r="J12" s="20"/>
      <c r="K12" s="5"/>
      <c r="L12" s="5"/>
      <c r="M12" s="5"/>
      <c r="N12" s="5"/>
      <c r="P12" s="62">
        <f>YEAR(Income!D14)</f>
        <v>2022</v>
      </c>
      <c r="Q12" s="56">
        <f t="shared" si="0"/>
        <v>2022</v>
      </c>
      <c r="R12" s="245">
        <f>IF(Proposal!I15="y",Proposal!A15*Proposal!G15*10,Proposal!A15*1000)</f>
        <v>100000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200</v>
      </c>
      <c r="I13" s="268">
        <f t="shared" si="2"/>
        <v>0.2</v>
      </c>
      <c r="J13" s="20"/>
      <c r="K13" s="5"/>
      <c r="L13" s="5"/>
      <c r="M13" s="5"/>
      <c r="N13" s="5"/>
      <c r="P13" s="62">
        <f>YEAR(Income!D15)</f>
        <v>2024</v>
      </c>
      <c r="Q13" s="56">
        <f t="shared" si="0"/>
        <v>2024</v>
      </c>
      <c r="R13" s="245">
        <f>IF(Proposal!I16="y",Proposal!A16*Proposal!G16*10,Proposal!A16*1000)</f>
        <v>100000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100</v>
      </c>
      <c r="I15" s="268">
        <f t="shared" si="2"/>
        <v>0.1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1000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L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141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136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137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100</v>
      </c>
      <c r="B7" s="18" t="str">
        <f>Proposal!B7</f>
        <v>AAA/AAA</v>
      </c>
      <c r="C7" s="42" t="str">
        <f>Proposal!C7</f>
        <v>NEW ORLEANS SWR</v>
      </c>
      <c r="D7" s="161">
        <f>Proposal!D7</f>
        <v>0.05</v>
      </c>
      <c r="E7" s="249">
        <f>Income!D6</f>
        <v>42522</v>
      </c>
      <c r="F7" s="248">
        <f>Proposal!BG7</f>
        <v>4.9996636961297532E-2</v>
      </c>
      <c r="G7" s="220">
        <f>Proposal!J7</f>
        <v>100</v>
      </c>
      <c r="H7" s="124">
        <f t="shared" ref="H7:H28" si="0">IF($T7=TRUE,0,S7)</f>
        <v>10.175378429506017</v>
      </c>
      <c r="I7" s="125">
        <f t="shared" ref="I7:I28" ca="1" si="1">IF($T7=TRUE,0,AD7)</f>
        <v>0.12834422378637789</v>
      </c>
      <c r="J7" s="125">
        <f t="shared" ref="J7:J28" ca="1" si="2">IF($T7=TRUE,0,AH7)</f>
        <v>9.1364075469959172E-2</v>
      </c>
      <c r="K7" s="125">
        <f t="shared" ref="K7:K28" ca="1" si="3">IF($T7=TRUE,0,Z7)</f>
        <v>5.0005077058294489E-2</v>
      </c>
      <c r="L7" s="125">
        <f t="shared" ref="L7:L28" ca="1" si="4">IF($T7=TRUE,0,AL7)</f>
        <v>2.8913828028998001E-3</v>
      </c>
      <c r="M7" s="125">
        <f t="shared" ref="M7:M28" ca="1" si="5">IF($T7=TRUE,0,AP7)</f>
        <v>-4.1459912283680733E-2</v>
      </c>
      <c r="N7" s="18"/>
      <c r="O7" s="18"/>
      <c r="P7" s="18"/>
      <c r="Q7" s="18"/>
      <c r="R7" s="17"/>
      <c r="S7" s="187">
        <f>MDURATION(BF7,Proposal!BH7,D7,F7,2,0)</f>
        <v>10.175378429506017</v>
      </c>
      <c r="T7" s="168" t="b">
        <f t="shared" ref="T7:T28" si="6">ISERR(S7)</f>
        <v>0</v>
      </c>
      <c r="U7" s="188">
        <f t="shared" ref="U7:U28" si="7">D7*A7*1000</f>
        <v>5000</v>
      </c>
      <c r="V7" s="189"/>
      <c r="W7" s="198">
        <f ca="1">IF(Proposal!$F7=0,1000,IF(DAYS360(Summary!$B$5,Proposal!$F7)&lt;360,1000,PRICE($BF7+360,Proposal!$F7,$D7,$F7,Proposal!$G7,2,0)))</f>
        <v>100.65856787953848</v>
      </c>
      <c r="X7" s="194">
        <f ca="1">IF(Proposal!$H7=0,1000,IF(DAYS360(Summary!$B$5,Proposal!$H7)&lt;360,1000,PRICE($BF7+360,Proposal!$H7,$D7,$F7,100,2,0)))</f>
        <v>100.00050770582943</v>
      </c>
      <c r="Y7" s="191">
        <f ca="1">IF($E7=0,1000,IF(DAYS360(Summary!$B$5,$E7)&lt;360,1000,PRICE($BF7+360,$E7,$D7,$F7,100,2,0)))</f>
        <v>100.00106023592626</v>
      </c>
      <c r="Z7" s="197">
        <f t="shared" ref="Z7:Z28" ca="1" si="8">IF(MIN(W7:Y7)=1000,0,(MIN(W7:Y7)*$A7*10+$U7)/($G7*$A7*10)-1)</f>
        <v>5.0005077058294489E-2</v>
      </c>
      <c r="AA7" s="198">
        <f ca="1">IF(Proposal!$F7=0,1000,IF(DAYS360(Summary!$B$5,Proposal!$F7)&lt;360,1000,PRICE($BF7+360,Proposal!$F7,$D7,$F7+AA$4,Proposal!$G7,2,0)))</f>
        <v>107.8344223786378</v>
      </c>
      <c r="AB7" s="194">
        <f ca="1">IF(Proposal!$H7=0,1000,IF(DAYS360(Summary!$B$5,Proposal!$H7)&lt;360,1000,PRICE($BF7+360,Proposal!$H7,$D7,$F7+AA$4,100,2,0)))</f>
        <v>108.4814050097973</v>
      </c>
      <c r="AC7" s="191">
        <f ca="1">IF($E7=0,1000,IF(DAYS360(Summary!$B$5,$E7)&lt;360,1000,PRICE($BF7+360,$E7,$D7,$F7+AA$4,100,2,0)))</f>
        <v>110.33279433762387</v>
      </c>
      <c r="AD7" s="169">
        <f t="shared" ref="AD7:AD28" ca="1" si="9">IF(MIN(AA7:AC7)=1000,0,(MIN(AA7:AC7)*$A7*10+$U7)/($G7*$A7*10)-1)</f>
        <v>0.12834422378637789</v>
      </c>
      <c r="AE7" s="198">
        <f ca="1">IF(Proposal!$F7=0,1000,IF(DAYS360(Summary!$B$5,Proposal!$F7)&lt;360,1000,PRICE($BF7+360,Proposal!$F7,$D7,$F7+AE$4,Proposal!$G7,2,0)))</f>
        <v>104.17289909035654</v>
      </c>
      <c r="AF7" s="194">
        <f ca="1">IF(Proposal!$H7=0,1000,IF(DAYS360(Summary!$B$5,Proposal!$H7)&lt;360,1000,PRICE($BF7+360,Proposal!$H7,$D7,$F7+AE$4,100,2,0)))</f>
        <v>104.13640754699593</v>
      </c>
      <c r="AG7" s="191">
        <f ca="1">IF($E7=0,1000,IF(DAYS360(Summary!$B$5,$E7)&lt;360,1000,PRICE($BF7+360,$E7,$D7,$F7+AE$4,100,2,0)))</f>
        <v>105.00880525260258</v>
      </c>
      <c r="AH7" s="169">
        <f t="shared" ref="AH7:AH28" ca="1" si="10">IF(MIN(AE7:AG7)=1000,0,(MIN(AE7:AG7)*$A7*10+$U7)/($G7*$A7*10)-1)</f>
        <v>9.1364075469959172E-2</v>
      </c>
      <c r="AI7" s="198">
        <f ca="1">IF(Proposal!$F7=0,1000,IF(DAYS360(Summary!$B$5,Proposal!$F7)&lt;360,1000,PRICE($BF7+360,Proposal!$F7,$D7,$F7+AI$4,Proposal!$G7,2,0)))</f>
        <v>97.284997103487456</v>
      </c>
      <c r="AJ7" s="194">
        <f ca="1">IF(Proposal!$H7=0,1000,IF(DAYS360(Summary!$B$5,Proposal!$H7)&lt;360,1000,PRICE($BF7+360,Proposal!$H7,$D7,$F7+AI$4,100,2,0)))</f>
        <v>96.062787128138083</v>
      </c>
      <c r="AK7" s="191">
        <f ca="1">IF($E7=0,1000,IF(DAYS360(Summary!$B$5,$E7)&lt;360,1000,PRICE($BF7+360,$E7,$D7,$F7+AI$4,100,2,0)))</f>
        <v>95.289138280289976</v>
      </c>
      <c r="AL7" s="169">
        <f t="shared" ref="AL7:AL28" ca="1" si="11">IF(MIN(AI7:AK7)=1000,0,(MIN(AI7:AK7)*$A7*10+$U7)/($G7*$A7*10)-1)</f>
        <v>2.8913828028998001E-3</v>
      </c>
      <c r="AM7" s="198">
        <f ca="1">IF(Proposal!$F7=0,1000,IF(DAYS360(Summary!$B$5,Proposal!$F7)&lt;360,1000,PRICE($BF7+360,Proposal!$F7,$D7,$F7+AM$4,Proposal!$G7,2,0)))</f>
        <v>94.046054159040125</v>
      </c>
      <c r="AN7" s="194">
        <f ca="1">IF(Proposal!$H7=0,1000,IF(DAYS360(Summary!$B$5,Proposal!$H7)&lt;360,1000,PRICE($BF7+360,Proposal!$H7,$D7,$F7+AM$4,100,2,0)))</f>
        <v>92.312930844733174</v>
      </c>
      <c r="AO7" s="191">
        <f ca="1">IF($E7=0,1000,IF(DAYS360(Summary!$B$5,$E7)&lt;360,1000,PRICE($BF7+360,$E7,$D7,$F7+AM$4,100,2,0)))</f>
        <v>90.854008771631925</v>
      </c>
      <c r="AP7" s="169">
        <f t="shared" ref="AP7:AP28" ca="1" si="12">IF(MIN(AM7:AO7)=1000,0,(MIN(AM7:AO7)*$A7*10+$U7)/($G7*$A7*10)-1)</f>
        <v>-4.1459912283680733E-2</v>
      </c>
      <c r="AQ7" s="168"/>
      <c r="AR7" s="170"/>
      <c r="AS7" s="189">
        <f t="shared" ref="AS7:AS28" si="13">A7*G7*10</f>
        <v>100000</v>
      </c>
      <c r="AT7" s="192">
        <f t="shared" ref="AT7:AT28" si="14">AS7*D7/AS$29</f>
        <v>5.0057866894129615E-3</v>
      </c>
      <c r="AU7" s="193">
        <f t="shared" ref="AU7:AU28" si="15">AS7*E7/AS$29</f>
        <v>4257.1212321443591</v>
      </c>
      <c r="AV7" s="193">
        <f>AS7*F7/AS$29</f>
        <v>5.005449996325506E-3</v>
      </c>
      <c r="AW7" s="190">
        <f>AS7*Proposal!M7/AS$29</f>
        <v>5.0057866894129615E-3</v>
      </c>
      <c r="AX7" s="194">
        <f>AS7*H7/AS$29</f>
        <v>1.0187154780432197</v>
      </c>
      <c r="AY7" s="168">
        <f t="shared" ref="AY7:AY28" ca="1" si="16">$A7*K7/$A$30</f>
        <v>5.0005077058294491E-3</v>
      </c>
      <c r="AZ7" s="168">
        <f ca="1">$A7*I7/$A$30</f>
        <v>1.2834422378637789E-2</v>
      </c>
      <c r="BA7" s="168">
        <f ca="1">$A7*J7/$A$30</f>
        <v>9.1364075469959165E-3</v>
      </c>
      <c r="BB7" s="168">
        <f ca="1">$A7*L7/$A$30</f>
        <v>2.8913828028998001E-4</v>
      </c>
      <c r="BC7" s="168">
        <f ca="1">$A7*M7/$A$30</f>
        <v>-4.1459912283680735E-3</v>
      </c>
      <c r="BD7" s="168"/>
      <c r="BE7" s="209">
        <f>Enter!B3</f>
        <v>37226</v>
      </c>
      <c r="BF7" s="209">
        <f>Enter!C3</f>
        <v>37245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100</v>
      </c>
      <c r="B8" s="18" t="str">
        <f>Proposal!B8</f>
        <v>AAA/AAA</v>
      </c>
      <c r="C8" s="42" t="str">
        <f>Proposal!C8</f>
        <v>LAFAYETTE IND PARK</v>
      </c>
      <c r="D8" s="161">
        <f>Proposal!D8</f>
        <v>0.05</v>
      </c>
      <c r="E8" s="249">
        <f>Income!D7</f>
        <v>42750</v>
      </c>
      <c r="F8" s="211">
        <f>Proposal!BG8</f>
        <v>5.0000202972481249E-2</v>
      </c>
      <c r="G8" s="220">
        <f>Proposal!J8</f>
        <v>99.997</v>
      </c>
      <c r="H8" s="126">
        <f t="shared" si="0"/>
        <v>10.258672835596414</v>
      </c>
      <c r="I8" s="127">
        <f t="shared" ca="1" si="1"/>
        <v>0.11494563074162767</v>
      </c>
      <c r="J8" s="127">
        <f t="shared" ca="1" si="2"/>
        <v>8.5210325285276722E-2</v>
      </c>
      <c r="K8" s="127">
        <f t="shared" ca="1" si="3"/>
        <v>4.9994961863726983E-2</v>
      </c>
      <c r="L8" s="127">
        <f t="shared" ca="1" si="4"/>
        <v>1.4659690492671018E-3</v>
      </c>
      <c r="M8" s="127">
        <f t="shared" ca="1" si="5"/>
        <v>-4.4109605097178428E-2</v>
      </c>
      <c r="N8" s="18"/>
      <c r="O8" s="18"/>
      <c r="P8" s="18"/>
      <c r="Q8" s="18"/>
      <c r="S8" s="195">
        <f>MDURATION(BF8,Proposal!BH8,D8,F8,2,0)</f>
        <v>10.258672835596414</v>
      </c>
      <c r="T8" s="168" t="b">
        <f t="shared" si="6"/>
        <v>0</v>
      </c>
      <c r="U8" s="196">
        <f t="shared" si="7"/>
        <v>5000</v>
      </c>
      <c r="V8" s="189"/>
      <c r="W8" s="198">
        <f ca="1">IF(Proposal!$F8=0,1000,IF(DAYS360(Summary!$B$5,Proposal!$F8)&lt;360,1000,PRICE($BF8+360,Proposal!$F8,$D8,$F8,Proposal!$G8,2,0)))</f>
        <v>100.71957128628152</v>
      </c>
      <c r="X8" s="194">
        <f ca="1">IF(Proposal!$H8=0,1000,IF(DAYS360(Summary!$B$5,Proposal!$H8)&lt;360,1000,PRICE($BF8+360,Proposal!$H8,$D8,$F8,100,2,0)))</f>
        <v>99.996409457654096</v>
      </c>
      <c r="Y8" s="191">
        <f ca="1">IF($E8=0,1000,IF(DAYS360(Summary!$B$5,$E8)&lt;360,1000,PRICE($BF8+360,$E8,$D8,$F8,100,2,0)))</f>
        <v>99.9963462014871</v>
      </c>
      <c r="Z8" s="197">
        <f t="shared" ca="1" si="8"/>
        <v>4.9994961863726983E-2</v>
      </c>
      <c r="AA8" s="198">
        <f ca="1">IF(Proposal!$F8=0,1000,IF(DAYS360(Summary!$B$5,Proposal!$F8)&lt;360,1000,PRICE($BF8+360,Proposal!$F8,$D8,$F8+AA$4,Proposal!$G8,2,0)))</f>
        <v>106.49121823727054</v>
      </c>
      <c r="AB8" s="194">
        <f ca="1">IF(Proposal!$H8=0,1000,IF(DAYS360(Summary!$B$5,Proposal!$H8)&lt;360,1000,PRICE($BF8+360,Proposal!$H8,$D8,$F8+AA$4,100,2,0)))</f>
        <v>107.18813795627727</v>
      </c>
      <c r="AC8" s="191">
        <f ca="1">IF($E8=0,1000,IF(DAYS360(Summary!$B$5,$E8)&lt;360,1000,PRICE($BF8+360,$E8,$D8,$F8+AA$4,100,2,0)))</f>
        <v>110.67392790269831</v>
      </c>
      <c r="AD8" s="169">
        <f t="shared" ca="1" si="9"/>
        <v>0.11494563074162767</v>
      </c>
      <c r="AE8" s="198">
        <f ca="1">IF(Proposal!$F8=0,1000,IF(DAYS360(Summary!$B$5,Proposal!$F8)&lt;360,1000,PRICE($BF8+360,Proposal!$F8,$D8,$F8+AE$4,Proposal!$G8,2,0)))</f>
        <v>103.55798894758138</v>
      </c>
      <c r="AF8" s="194">
        <f ca="1">IF(Proposal!$H8=0,1000,IF(DAYS360(Summary!$B$5,Proposal!$H8)&lt;360,1000,PRICE($BF8+360,Proposal!$H8,$D8,$F8+AE$4,100,2,0)))</f>
        <v>103.51777689755183</v>
      </c>
      <c r="AG8" s="191">
        <f ca="1">IF($E8=0,1000,IF(DAYS360(Summary!$B$5,$E8)&lt;360,1000,PRICE($BF8+360,$E8,$D8,$F8+AE$4,100,2,0)))</f>
        <v>105.16555060271757</v>
      </c>
      <c r="AH8" s="169">
        <f t="shared" ca="1" si="10"/>
        <v>8.5210325285276722E-2</v>
      </c>
      <c r="AI8" s="198">
        <f ca="1">IF(Proposal!$F8=0,1000,IF(DAYS360(Summary!$B$5,Proposal!$F8)&lt;360,1000,PRICE($BF8+360,Proposal!$F8,$D8,$F8+AI$4,Proposal!$G8,2,0)))</f>
        <v>97.972611396526048</v>
      </c>
      <c r="AJ8" s="194">
        <f ca="1">IF(Proposal!$H8=0,1000,IF(DAYS360(Summary!$B$5,Proposal!$H8)&lt;360,1000,PRICE($BF8+360,Proposal!$H8,$D8,$F8+AI$4,100,2,0)))</f>
        <v>96.617460938853213</v>
      </c>
      <c r="AK8" s="191">
        <f ca="1">IF($E8=0,1000,IF(DAYS360(Summary!$B$5,$E8)&lt;360,1000,PRICE($BF8+360,$E8,$D8,$F8+AI$4,100,2,0)))</f>
        <v>95.143592507019548</v>
      </c>
      <c r="AL8" s="169">
        <f t="shared" ca="1" si="11"/>
        <v>1.4659690492671018E-3</v>
      </c>
      <c r="AM8" s="198">
        <f ca="1">IF(Proposal!$F8=0,1000,IF(DAYS360(Summary!$B$5,Proposal!$F8)&lt;360,1000,PRICE($BF8+360,Proposal!$F8,$D8,$F8+AM$4,Proposal!$G8,2,0)))</f>
        <v>95.31388285362118</v>
      </c>
      <c r="AN8" s="194">
        <f ca="1">IF(Proposal!$H8=0,1000,IF(DAYS360(Summary!$B$5,Proposal!$H8)&lt;360,1000,PRICE($BF8+360,Proposal!$H8,$D8,$F8+AM$4,100,2,0)))</f>
        <v>93.374665274424544</v>
      </c>
      <c r="AO8" s="191">
        <f ca="1">IF($E8=0,1000,IF(DAYS360(Summary!$B$5,$E8)&lt;360,1000,PRICE($BF8+360,$E8,$D8,$F8+AM$4,100,2,0)))</f>
        <v>90.586171819097459</v>
      </c>
      <c r="AP8" s="169">
        <f t="shared" ca="1" si="12"/>
        <v>-4.4109605097178428E-2</v>
      </c>
      <c r="AQ8" s="168"/>
      <c r="AR8" s="170"/>
      <c r="AS8" s="189">
        <f t="shared" si="13"/>
        <v>99997</v>
      </c>
      <c r="AT8" s="192">
        <f t="shared" si="14"/>
        <v>5.0056365158122791E-3</v>
      </c>
      <c r="AU8" s="193">
        <f t="shared" si="15"/>
        <v>4279.8192210194984</v>
      </c>
      <c r="AV8" s="193">
        <f t="shared" ref="AV8:AV28" si="17">AS8*F8/AS$29</f>
        <v>5.0056568359415562E-3</v>
      </c>
      <c r="AW8" s="193">
        <f>AS8*Proposal!M8/AS$29</f>
        <v>5.0057866894129615E-3</v>
      </c>
      <c r="AX8" s="194">
        <f>AS8*H8/AS$29</f>
        <v>1.0270237469926582</v>
      </c>
      <c r="AY8" s="168">
        <f t="shared" ca="1" si="16"/>
        <v>4.9994961863726985E-3</v>
      </c>
      <c r="AZ8" s="168">
        <f t="shared" ref="AZ8:AZ28" ca="1" si="18">$A8*I8/$A$30</f>
        <v>1.1494563074162766E-2</v>
      </c>
      <c r="BA8" s="168">
        <f t="shared" ref="BA8:BA28" ca="1" si="19">$A8*J8/$A$30</f>
        <v>8.5210325285276726E-3</v>
      </c>
      <c r="BB8" s="168">
        <f t="shared" ref="BB8:BB28" ca="1" si="20">$A8*L8/$A$30</f>
        <v>1.4659690492671018E-4</v>
      </c>
      <c r="BC8" s="168">
        <f t="shared" ref="BC8:BC28" ca="1" si="21">$A8*M8/$A$30</f>
        <v>-4.4109605097178419E-3</v>
      </c>
      <c r="BD8" s="168"/>
      <c r="BE8" s="209">
        <f>Enter!B4</f>
        <v>37240</v>
      </c>
      <c r="BF8" s="209">
        <f>Enter!C4</f>
        <v>37252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100</v>
      </c>
      <c r="B9" s="18" t="str">
        <f>Proposal!B9</f>
        <v>AAA/AAA</v>
      </c>
      <c r="C9" s="42" t="str">
        <f>Proposal!C9</f>
        <v>DALLAS TX CIVIC</v>
      </c>
      <c r="D9" s="161">
        <f>Proposal!D9</f>
        <v>0.05</v>
      </c>
      <c r="E9" s="249">
        <f>Income!D8</f>
        <v>43327</v>
      </c>
      <c r="F9" s="211">
        <f>Proposal!BG9</f>
        <v>5.0000392499969425E-2</v>
      </c>
      <c r="G9" s="220">
        <f>Proposal!J9</f>
        <v>99.992999999999995</v>
      </c>
      <c r="H9" s="126">
        <f t="shared" si="0"/>
        <v>11.023124567523817</v>
      </c>
      <c r="I9" s="127">
        <f t="shared" ca="1" si="1"/>
        <v>0.1082672595439278</v>
      </c>
      <c r="J9" s="127">
        <f t="shared" ca="1" si="2"/>
        <v>8.2129766471176424E-2</v>
      </c>
      <c r="K9" s="127">
        <f t="shared" ca="1" si="3"/>
        <v>5.0000586834219707E-2</v>
      </c>
      <c r="L9" s="127">
        <f t="shared" ca="1" si="4"/>
        <v>-2.0639772595165695E-3</v>
      </c>
      <c r="M9" s="127">
        <f t="shared" ca="1" si="5"/>
        <v>-5.0675233775497763E-2</v>
      </c>
      <c r="N9" s="18"/>
      <c r="O9" s="18"/>
      <c r="P9" s="18"/>
      <c r="Q9" s="18"/>
      <c r="S9" s="195">
        <f>MDURATION(BF9,Proposal!BH9,D9,F9,2,0)</f>
        <v>11.023124567523817</v>
      </c>
      <c r="T9" s="168" t="b">
        <f t="shared" si="6"/>
        <v>0</v>
      </c>
      <c r="U9" s="196">
        <f t="shared" si="7"/>
        <v>5000</v>
      </c>
      <c r="V9" s="189"/>
      <c r="W9" s="198">
        <f ca="1">IF(Proposal!$F9=0,1000,IF(DAYS360(Summary!$B$5,Proposal!$F9)&lt;360,1000,PRICE($BF9+360,Proposal!$F9,$D9,$F9,Proposal!$G9,2,0)))</f>
        <v>100.74883570815811</v>
      </c>
      <c r="X9" s="194">
        <f ca="1">IF(Proposal!$H9=0,1000,IF(DAYS360(Summary!$B$5,Proposal!$H9)&lt;360,1000,PRICE($BF9+360,Proposal!$H9,$D9,$F9,100,2,0)))</f>
        <v>99.992884128781881</v>
      </c>
      <c r="Y9" s="191">
        <f ca="1">IF($E9=0,1000,IF(DAYS360(Summary!$B$5,$E9)&lt;360,1000,PRICE($BF9+360,$E9,$D9,$F9,100,2,0)))</f>
        <v>99.992708679314134</v>
      </c>
      <c r="Z9" s="197">
        <f t="shared" ca="1" si="8"/>
        <v>5.0000586834219707E-2</v>
      </c>
      <c r="AA9" s="198">
        <f ca="1">IF(Proposal!$F9=0,1000,IF(DAYS360(Summary!$B$5,Proposal!$F9)&lt;360,1000,PRICE($BF9+360,Proposal!$F9,$D9,$F9+AA$4,Proposal!$G9,2,0)))</f>
        <v>105.81896808357597</v>
      </c>
      <c r="AB9" s="194">
        <f ca="1">IF(Proposal!$H9=0,1000,IF(DAYS360(Summary!$B$5,Proposal!$H9)&lt;360,1000,PRICE($BF9+360,Proposal!$H9,$D9,$F9+AA$4,100,2,0)))</f>
        <v>106.54106809931929</v>
      </c>
      <c r="AC9" s="191">
        <f ca="1">IF($E9=0,1000,IF(DAYS360(Summary!$B$5,$E9)&lt;360,1000,PRICE($BF9+360,$E9,$D9,$F9+AA$4,100,2,0)))</f>
        <v>111.5518812416402</v>
      </c>
      <c r="AD9" s="169">
        <f t="shared" ca="1" si="9"/>
        <v>0.1082672595439278</v>
      </c>
      <c r="AE9" s="198">
        <f ca="1">IF(Proposal!$F9=0,1000,IF(DAYS360(Summary!$B$5,Proposal!$F9)&lt;360,1000,PRICE($BF9+360,Proposal!$F9,$D9,$F9+AE$4,Proposal!$G9,2,0)))</f>
        <v>103.24727984206915</v>
      </c>
      <c r="AF9" s="194">
        <f ca="1">IF(Proposal!$H9=0,1000,IF(DAYS360(Summary!$B$5,Proposal!$H9)&lt;360,1000,PRICE($BF9+360,Proposal!$H9,$D9,$F9+AE$4,100,2,0)))</f>
        <v>103.20540173875234</v>
      </c>
      <c r="AG9" s="191">
        <f ca="1">IF($E9=0,1000,IF(DAYS360(Summary!$B$5,$E9)&lt;360,1000,PRICE($BF9+360,$E9,$D9,$F9+AE$4,100,2,0)))</f>
        <v>105.57130518337733</v>
      </c>
      <c r="AH9" s="169">
        <f t="shared" ca="1" si="10"/>
        <v>8.2129766471176424E-2</v>
      </c>
      <c r="AI9" s="198">
        <f ca="1">IF(Proposal!$F9=0,1000,IF(DAYS360(Summary!$B$5,Proposal!$F9)&lt;360,1000,PRICE($BF9+360,Proposal!$F9,$D9,$F9+AI$4,Proposal!$G9,2,0)))</f>
        <v>98.321338576741255</v>
      </c>
      <c r="AJ9" s="194">
        <f ca="1">IF(Proposal!$H9=0,1000,IF(DAYS360(Summary!$B$5,Proposal!$H9)&lt;360,1000,PRICE($BF9+360,Proposal!$H9,$D9,$F9+AI$4,100,2,0)))</f>
        <v>96.898561414432919</v>
      </c>
      <c r="AK9" s="191">
        <f ca="1">IF($E9=0,1000,IF(DAYS360(Summary!$B$5,$E9)&lt;360,1000,PRICE($BF9+360,$E9,$D9,$F9+AI$4,100,2,0)))</f>
        <v>94.786616721889175</v>
      </c>
      <c r="AL9" s="169">
        <f t="shared" ca="1" si="11"/>
        <v>-2.0639772595165695E-3</v>
      </c>
      <c r="AM9" s="198">
        <f ca="1">IF(Proposal!$F9=0,1000,IF(DAYS360(Summary!$B$5,Proposal!$F9)&lt;360,1000,PRICE($BF9+360,Proposal!$F9,$D9,$F9+AM$4,Proposal!$G9,2,0)))</f>
        <v>95.962569256682002</v>
      </c>
      <c r="AN9" s="194">
        <f ca="1">IF(Proposal!$H9=0,1000,IF(DAYS360(Summary!$B$5,Proposal!$H9)&lt;360,1000,PRICE($BF9+360,Proposal!$H9,$D9,$F9+AM$4,100,2,0)))</f>
        <v>93.917692504962716</v>
      </c>
      <c r="AO9" s="191">
        <f ca="1">IF($E9=0,1000,IF(DAYS360(Summary!$B$5,$E9)&lt;360,1000,PRICE($BF9+360,$E9,$D9,$F9+AM$4,100,2,0)))</f>
        <v>89.92583134908665</v>
      </c>
      <c r="AP9" s="169">
        <f t="shared" ca="1" si="12"/>
        <v>-5.0675233775497763E-2</v>
      </c>
      <c r="AQ9" s="168"/>
      <c r="AR9" s="170"/>
      <c r="AS9" s="189">
        <f t="shared" si="13"/>
        <v>99993</v>
      </c>
      <c r="AT9" s="192">
        <f t="shared" si="14"/>
        <v>5.0054362843447034E-3</v>
      </c>
      <c r="AU9" s="193">
        <f t="shared" si="15"/>
        <v>4337.4107578360581</v>
      </c>
      <c r="AV9" s="193">
        <f t="shared" si="17"/>
        <v>5.0054755770164742E-3</v>
      </c>
      <c r="AW9" s="193">
        <f>AS9*Proposal!M9/AS$29</f>
        <v>5.0057866894129615E-3</v>
      </c>
      <c r="AX9" s="194">
        <f t="shared" ref="AX9:AX28" si="22">AS9*H9/AS$29</f>
        <v>1.1035109535427043</v>
      </c>
      <c r="AY9" s="168">
        <f t="shared" ca="1" si="16"/>
        <v>5.0000586834219709E-3</v>
      </c>
      <c r="AZ9" s="168">
        <f t="shared" ca="1" si="18"/>
        <v>1.0826725954392779E-2</v>
      </c>
      <c r="BA9" s="168">
        <f t="shared" ca="1" si="19"/>
        <v>8.2129766471176428E-3</v>
      </c>
      <c r="BB9" s="168">
        <f t="shared" ca="1" si="20"/>
        <v>-2.0639772595165695E-4</v>
      </c>
      <c r="BC9" s="168">
        <f t="shared" ca="1" si="21"/>
        <v>-5.0675233775497762E-3</v>
      </c>
      <c r="BD9" s="168"/>
      <c r="BE9" s="209">
        <f>Enter!B5</f>
        <v>35886</v>
      </c>
      <c r="BF9" s="209">
        <f>Enter!C5</f>
        <v>37245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100</v>
      </c>
      <c r="B10" s="18" t="str">
        <f>Proposal!B10</f>
        <v>AAA/AAA</v>
      </c>
      <c r="C10" s="42" t="str">
        <f>Proposal!C10</f>
        <v>DENTON TX UTIL REV</v>
      </c>
      <c r="D10" s="161">
        <f>Proposal!D10</f>
        <v>5.1249999999999997E-2</v>
      </c>
      <c r="E10" s="249">
        <f>Income!D9</f>
        <v>43435</v>
      </c>
      <c r="F10" s="211">
        <f>Proposal!BG10</f>
        <v>5.0000162813016336E-2</v>
      </c>
      <c r="G10" s="220">
        <f>Proposal!J10</f>
        <v>100.929</v>
      </c>
      <c r="H10" s="126">
        <f t="shared" si="0"/>
        <v>7.4103933231291261</v>
      </c>
      <c r="I10" s="127">
        <f t="shared" ca="1" si="1"/>
        <v>0.12089965884765208</v>
      </c>
      <c r="J10" s="127">
        <f t="shared" ca="1" si="2"/>
        <v>8.472927383458706E-2</v>
      </c>
      <c r="K10" s="127">
        <f t="shared" ca="1" si="3"/>
        <v>5.001021224315827E-2</v>
      </c>
      <c r="L10" s="127">
        <f t="shared" ca="1" si="4"/>
        <v>2.4084559600838773E-3</v>
      </c>
      <c r="M10" s="127">
        <f t="shared" ca="1" si="5"/>
        <v>-4.6705219739110237E-2</v>
      </c>
      <c r="N10" s="18"/>
      <c r="O10" s="18"/>
      <c r="P10" s="18"/>
      <c r="Q10" s="18"/>
      <c r="S10" s="195">
        <f>MDURATION(BF10,Proposal!BH10,D10,F10,2,0)</f>
        <v>7.4103933231291261</v>
      </c>
      <c r="T10" s="168" t="b">
        <f t="shared" si="6"/>
        <v>0</v>
      </c>
      <c r="U10" s="196">
        <f t="shared" si="7"/>
        <v>5125</v>
      </c>
      <c r="V10" s="189"/>
      <c r="W10" s="198">
        <f ca="1">IF(Proposal!$F10=0,1000,IF(DAYS360(Summary!$B$5,Proposal!$F10)&lt;360,1000,PRICE($BF10+360,Proposal!$F10,$D10,$F10,Proposal!$G10,2,0)))</f>
        <v>100.85148071148973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101.36095226811538</v>
      </c>
      <c r="Z10" s="197">
        <f t="shared" ca="1" si="8"/>
        <v>5.001021224315827E-2</v>
      </c>
      <c r="AA10" s="198">
        <f ca="1">IF(Proposal!$F10=0,1000,IF(DAYS360(Summary!$B$5,Proposal!$F10)&lt;360,1000,PRICE($BF10+360,Proposal!$F10,$D10,$F10+AA$4,Proposal!$G10,2,0)))</f>
        <v>108.00628166783466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113.1759134192136</v>
      </c>
      <c r="AD10" s="169">
        <f t="shared" ca="1" si="9"/>
        <v>0.12089965884765208</v>
      </c>
      <c r="AE10" s="198">
        <f ca="1">IF(Proposal!$F10=0,1000,IF(DAYS360(Summary!$B$5,Proposal!$F10)&lt;360,1000,PRICE($BF10+360,Proposal!$F10,$D10,$F10+AE$4,Proposal!$G10,2,0)))</f>
        <v>104.35564087885103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107.06023892472304</v>
      </c>
      <c r="AH10" s="169">
        <f t="shared" ca="1" si="10"/>
        <v>8.472927383458706E-2</v>
      </c>
      <c r="AI10" s="198">
        <f ca="1">IF(Proposal!$F10=0,1000,IF(DAYS360(Summary!$B$5,Proposal!$F10)&lt;360,1000,PRICE($BF10+360,Proposal!$F10,$D10,$F10+AI$4,Proposal!$G10,2,0)))</f>
        <v>97.487407037597478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96.047083051595308</v>
      </c>
      <c r="AL10" s="169">
        <f t="shared" ca="1" si="11"/>
        <v>2.4084559600838773E-3</v>
      </c>
      <c r="AM10" s="198">
        <f ca="1">IF(Proposal!$F10=0,1000,IF(DAYS360(Summary!$B$5,Proposal!$F10)&lt;360,1000,PRICE($BF10+360,Proposal!$F10,$D10,$F10+AM$4,Proposal!$G10,2,0)))</f>
        <v>94.257322838417679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91.090088876951341</v>
      </c>
      <c r="AP10" s="169">
        <f t="shared" ca="1" si="12"/>
        <v>-4.6705219739110237E-2</v>
      </c>
      <c r="AQ10" s="168"/>
      <c r="AR10" s="170"/>
      <c r="AS10" s="189">
        <f t="shared" si="13"/>
        <v>100929</v>
      </c>
      <c r="AT10" s="192">
        <f t="shared" si="14"/>
        <v>5.1785977089515477E-3</v>
      </c>
      <c r="AU10" s="193">
        <f t="shared" si="15"/>
        <v>4388.9247119670335</v>
      </c>
      <c r="AV10" s="193">
        <f t="shared" si="17"/>
        <v>5.0523068993305513E-3</v>
      </c>
      <c r="AW10" s="193">
        <f>AS10*Proposal!M10/AS$29</f>
        <v>5.1309313566482856E-3</v>
      </c>
      <c r="AX10" s="194">
        <f t="shared" si="22"/>
        <v>0.74878918801144079</v>
      </c>
      <c r="AY10" s="168">
        <f t="shared" ca="1" si="16"/>
        <v>5.0010212243158268E-3</v>
      </c>
      <c r="AZ10" s="168">
        <f t="shared" ca="1" si="18"/>
        <v>1.2089965884765208E-2</v>
      </c>
      <c r="BA10" s="168">
        <f t="shared" ca="1" si="19"/>
        <v>8.4729273834587074E-3</v>
      </c>
      <c r="BB10" s="168">
        <f t="shared" ca="1" si="20"/>
        <v>2.4084559600838772E-4</v>
      </c>
      <c r="BC10" s="168">
        <f t="shared" ca="1" si="21"/>
        <v>-4.6705219739110234E-3</v>
      </c>
      <c r="BD10" s="168"/>
      <c r="BE10" s="209">
        <f>Enter!B6</f>
        <v>36996</v>
      </c>
      <c r="BF10" s="209">
        <f>Enter!C6</f>
        <v>37245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100</v>
      </c>
      <c r="B11" s="18" t="str">
        <f>Proposal!B11</f>
        <v>AAA/AAA</v>
      </c>
      <c r="C11" s="42" t="str">
        <f>Proposal!C11</f>
        <v>TX WTR DEV BRD</v>
      </c>
      <c r="D11" s="161">
        <f>Proposal!D11</f>
        <v>0.05</v>
      </c>
      <c r="E11" s="249">
        <f>Income!D10</f>
        <v>43661</v>
      </c>
      <c r="F11" s="211">
        <f>Proposal!BG11</f>
        <v>5.0000256384661171E-2</v>
      </c>
      <c r="G11" s="220">
        <f>Proposal!J11</f>
        <v>99.995999999999995</v>
      </c>
      <c r="H11" s="126">
        <f t="shared" si="0"/>
        <v>11.358060199262368</v>
      </c>
      <c r="I11" s="127">
        <f t="shared" ca="1" si="1"/>
        <v>9.9604972086065668E-2</v>
      </c>
      <c r="J11" s="127">
        <f t="shared" ca="1" si="2"/>
        <v>7.4447752994923899E-2</v>
      </c>
      <c r="K11" s="127">
        <f t="shared" ca="1" si="3"/>
        <v>4.9996146230068206E-2</v>
      </c>
      <c r="L11" s="127">
        <f t="shared" ca="1" si="4"/>
        <v>-3.9496827176990212E-3</v>
      </c>
      <c r="M11" s="127">
        <f t="shared" ca="1" si="5"/>
        <v>-5.4153900295578317E-2</v>
      </c>
      <c r="N11" s="18"/>
      <c r="O11" s="18"/>
      <c r="P11" s="18"/>
      <c r="Q11" s="18"/>
      <c r="S11" s="195">
        <f>MDURATION(BF11,Proposal!BH11,D11,F11,2,0)</f>
        <v>11.358060199262368</v>
      </c>
      <c r="T11" s="168" t="b">
        <f t="shared" si="6"/>
        <v>0</v>
      </c>
      <c r="U11" s="196">
        <f t="shared" si="7"/>
        <v>5000</v>
      </c>
      <c r="V11" s="189"/>
      <c r="W11" s="198">
        <f ca="1">IF(Proposal!$F11=0,1000,IF(DAYS360(Summary!$B$5,Proposal!$F11)&lt;360,1000,PRICE($BF11+360,Proposal!$F11,$D11,$F11,Proposal!$G11,2,0)))</f>
        <v>100.79303634169425</v>
      </c>
      <c r="X11" s="194">
        <f ca="1">IF(Proposal!$H11=0,1000,IF(DAYS360(Summary!$B$5,Proposal!$H11)&lt;360,1000,PRICE($BF11+360,Proposal!$H11,$D11,$F11,100,2,0)))</f>
        <v>99.995577765214961</v>
      </c>
      <c r="Y11" s="191">
        <f ca="1">IF($E11=0,1000,IF(DAYS360(Summary!$B$5,$E11)&lt;360,1000,PRICE($BF11+360,$E11,$D11,$F11,100,2,0)))</f>
        <v>99.995414638421906</v>
      </c>
      <c r="Z11" s="197">
        <f t="shared" ca="1" si="8"/>
        <v>4.9996146230068206E-2</v>
      </c>
      <c r="AA11" s="198">
        <f ca="1">IF(Proposal!$F11=0,1000,IF(DAYS360(Summary!$B$5,Proposal!$F11)&lt;360,1000,PRICE($BF11+360,Proposal!$F11,$D11,$F11+AA$4,Proposal!$G11,2,0)))</f>
        <v>104.98048870542193</v>
      </c>
      <c r="AB11" s="194">
        <f ca="1">IF(Proposal!$H11=0,1000,IF(DAYS360(Summary!$B$5,Proposal!$H11)&lt;360,1000,PRICE($BF11+360,Proposal!$H11,$D11,$F11+AA$4,100,2,0)))</f>
        <v>104.95609878871822</v>
      </c>
      <c r="AC11" s="191">
        <f ca="1">IF($E11=0,1000,IF(DAYS360(Summary!$B$5,$E11)&lt;360,1000,PRICE($BF11+360,$E11,$D11,$F11+AA$4,100,2,0)))</f>
        <v>112.03335832490426</v>
      </c>
      <c r="AD11" s="169">
        <f t="shared" ca="1" si="9"/>
        <v>9.9604972086065668E-2</v>
      </c>
      <c r="AE11" s="198">
        <f ca="1">IF(Proposal!$F11=0,1000,IF(DAYS360(Summary!$B$5,Proposal!$F11)&lt;360,1000,PRICE($BF11+360,Proposal!$F11,$D11,$F11+AE$4,Proposal!$G11,2,0)))</f>
        <v>102.86160310712454</v>
      </c>
      <c r="AF11" s="194">
        <f ca="1">IF(Proposal!$H11=0,1000,IF(DAYS360(Summary!$B$5,Proposal!$H11)&lt;360,1000,PRICE($BF11+360,Proposal!$H11,$D11,$F11+AE$4,100,2,0)))</f>
        <v>102.44047750848041</v>
      </c>
      <c r="AG11" s="191">
        <f ca="1">IF($E11=0,1000,IF(DAYS360(Summary!$B$5,$E11)&lt;360,1000,PRICE($BF11+360,$E11,$D11,$F11+AE$4,100,2,0)))</f>
        <v>105.79493737768598</v>
      </c>
      <c r="AH11" s="169">
        <f t="shared" ca="1" si="10"/>
        <v>7.4447752994923899E-2</v>
      </c>
      <c r="AI11" s="198">
        <f ca="1">IF(Proposal!$F11=0,1000,IF(DAYS360(Summary!$B$5,Proposal!$F11)&lt;360,1000,PRICE($BF11+360,Proposal!$F11,$D11,$F11+AI$4,Proposal!$G11,2,0)))</f>
        <v>98.773457288014967</v>
      </c>
      <c r="AJ11" s="194">
        <f ca="1">IF(Proposal!$H11=0,1000,IF(DAYS360(Summary!$B$5,Proposal!$H11)&lt;360,1000,PRICE($BF11+360,Proposal!$H11,$D11,$F11+AI$4,100,2,0)))</f>
        <v>97.619208489029859</v>
      </c>
      <c r="AK11" s="191">
        <f ca="1">IF($E11=0,1000,IF(DAYS360(Summary!$B$5,$E11)&lt;360,1000,PRICE($BF11+360,$E11,$D11,$F11+AI$4,100,2,0)))</f>
        <v>94.601047526960969</v>
      </c>
      <c r="AL11" s="169">
        <f t="shared" ca="1" si="11"/>
        <v>-3.9496827176990212E-3</v>
      </c>
      <c r="AM11" s="198">
        <f ca="1">IF(Proposal!$F11=0,1000,IF(DAYS360(Summary!$B$5,Proposal!$F11)&lt;360,1000,PRICE($BF11+360,Proposal!$F11,$D11,$F11+AM$4,Proposal!$G11,2,0)))</f>
        <v>96.801573354922581</v>
      </c>
      <c r="AN11" s="194">
        <f ca="1">IF(Proposal!$H11=0,1000,IF(DAYS360(Summary!$B$5,Proposal!$H11)&lt;360,1000,PRICE($BF11+360,Proposal!$H11,$D11,$F11+AM$4,100,2,0)))</f>
        <v>95.309252085105399</v>
      </c>
      <c r="AO11" s="191">
        <f ca="1">IF($E11=0,1000,IF(DAYS360(Summary!$B$5,$E11)&lt;360,1000,PRICE($BF11+360,$E11,$D11,$F11+AM$4,100,2,0)))</f>
        <v>89.580826586043358</v>
      </c>
      <c r="AP11" s="169">
        <f t="shared" ca="1" si="12"/>
        <v>-5.4153900295578317E-2</v>
      </c>
      <c r="AQ11" s="168"/>
      <c r="AR11" s="170"/>
      <c r="AS11" s="189">
        <f t="shared" si="13"/>
        <v>99996</v>
      </c>
      <c r="AT11" s="192">
        <f t="shared" si="14"/>
        <v>5.005586457945385E-3</v>
      </c>
      <c r="AU11" s="193">
        <f t="shared" si="15"/>
        <v>4370.978206807069</v>
      </c>
      <c r="AV11" s="193">
        <f t="shared" si="17"/>
        <v>5.0056121250571439E-3</v>
      </c>
      <c r="AW11" s="193">
        <f>AS11*Proposal!M11/AS$29</f>
        <v>5.0057866894129615E-3</v>
      </c>
      <c r="AX11" s="194">
        <f t="shared" si="22"/>
        <v>1.1370750464391233</v>
      </c>
      <c r="AY11" s="168">
        <f t="shared" ca="1" si="16"/>
        <v>4.9996146230068209E-3</v>
      </c>
      <c r="AZ11" s="168">
        <f t="shared" ca="1" si="18"/>
        <v>9.9604972086065665E-3</v>
      </c>
      <c r="BA11" s="168">
        <f t="shared" ca="1" si="19"/>
        <v>7.4447752994923899E-3</v>
      </c>
      <c r="BB11" s="168">
        <f t="shared" ca="1" si="20"/>
        <v>-3.9496827176990215E-4</v>
      </c>
      <c r="BC11" s="168">
        <f t="shared" ca="1" si="21"/>
        <v>-5.4153900295578318E-3</v>
      </c>
      <c r="BD11" s="168"/>
      <c r="BE11" s="209">
        <f>Enter!B7</f>
        <v>35704</v>
      </c>
      <c r="BF11" s="209">
        <f>Enter!C7</f>
        <v>37245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100</v>
      </c>
      <c r="B12" s="18" t="str">
        <f>Proposal!B12</f>
        <v>AAA/AAA</v>
      </c>
      <c r="C12" s="42" t="str">
        <f>Proposal!C12</f>
        <v>HOUSTON TX CCD REVS</v>
      </c>
      <c r="D12" s="161">
        <f>Proposal!D12</f>
        <v>0.05</v>
      </c>
      <c r="E12" s="249">
        <f>Income!D11</f>
        <v>43936</v>
      </c>
      <c r="F12" s="211">
        <f>Proposal!BG12</f>
        <v>5.0500682833051209E-2</v>
      </c>
      <c r="G12" s="220">
        <f>Proposal!J12</f>
        <v>99.399000000000001</v>
      </c>
      <c r="H12" s="126">
        <f t="shared" si="0"/>
        <v>11.779458873079914</v>
      </c>
      <c r="I12" s="127">
        <f t="shared" ca="1" si="1"/>
        <v>0.12331674065332576</v>
      </c>
      <c r="J12" s="127">
        <f t="shared" ca="1" si="2"/>
        <v>8.7389884133352691E-2</v>
      </c>
      <c r="K12" s="127">
        <f t="shared" ca="1" si="3"/>
        <v>5.0506645763963798E-2</v>
      </c>
      <c r="L12" s="127">
        <f t="shared" ca="1" si="4"/>
        <v>-4.8332058694160462E-3</v>
      </c>
      <c r="M12" s="127">
        <f t="shared" ca="1" si="5"/>
        <v>-5.6203893139755268E-2</v>
      </c>
      <c r="N12" s="18"/>
      <c r="O12" s="18"/>
      <c r="P12" s="18"/>
      <c r="Q12" s="18"/>
      <c r="S12" s="195">
        <f>MDURATION(BF12,Proposal!BH12,D12,F12,2,0)</f>
        <v>11.779458873079914</v>
      </c>
      <c r="T12" s="168" t="b">
        <f t="shared" si="6"/>
        <v>0</v>
      </c>
      <c r="U12" s="196">
        <f t="shared" si="7"/>
        <v>5000</v>
      </c>
      <c r="V12" s="189"/>
      <c r="W12" s="198">
        <f ca="1">IF(Proposal!$F12=0,1000,IF(DAYS360(Summary!$B$5,Proposal!$F12)&lt;360,1000,PRICE($BF12+360,Proposal!$F12,$D12,$F12,Proposal!$G12,2,0)))</f>
        <v>99.655929697175608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99.419310082292256</v>
      </c>
      <c r="Z12" s="197">
        <f t="shared" ca="1" si="8"/>
        <v>5.0506645763963798E-2</v>
      </c>
      <c r="AA12" s="198">
        <f ca="1">IF(Proposal!$F12=0,1000,IF(DAYS360(Summary!$B$5,Proposal!$F12)&lt;360,1000,PRICE($BF12+360,Proposal!$F12,$D12,$F12+AA$4,Proposal!$G12,2,0)))</f>
        <v>106.6565607041999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111.74348116943523</v>
      </c>
      <c r="AD12" s="169">
        <f t="shared" ca="1" si="9"/>
        <v>0.12331674065332576</v>
      </c>
      <c r="AE12" s="198">
        <f ca="1">IF(Proposal!$F12=0,1000,IF(DAYS360(Summary!$B$5,Proposal!$F12)&lt;360,1000,PRICE($BF12+360,Proposal!$F12,$D12,$F12+AE$4,Proposal!$G12,2,0)))</f>
        <v>103.08546709297111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105.34856896877551</v>
      </c>
      <c r="AH12" s="169">
        <f t="shared" ca="1" si="10"/>
        <v>8.7389884133352691E-2</v>
      </c>
      <c r="AI12" s="198">
        <f ca="1">IF(Proposal!$F12=0,1000,IF(DAYS360(Summary!$B$5,Proposal!$F12)&lt;360,1000,PRICE($BF12+360,Proposal!$F12,$D12,$F12+AI$4,Proposal!$G12,2,0)))</f>
        <v>96.361845068494915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93.918584169785916</v>
      </c>
      <c r="AL12" s="169">
        <f t="shared" ca="1" si="11"/>
        <v>-4.8332058694160462E-3</v>
      </c>
      <c r="AM12" s="198">
        <f ca="1">IF(Proposal!$F12=0,1000,IF(DAYS360(Summary!$B$5,Proposal!$F12)&lt;360,1000,PRICE($BF12+360,Proposal!$F12,$D12,$F12+AM$4,Proposal!$G12,2,0)))</f>
        <v>93.197389952345546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88.812389225801468</v>
      </c>
      <c r="AP12" s="169">
        <f t="shared" ca="1" si="12"/>
        <v>-5.6203893139755268E-2</v>
      </c>
      <c r="AQ12" s="168"/>
      <c r="AR12" s="170"/>
      <c r="AS12" s="189">
        <f t="shared" si="13"/>
        <v>99399</v>
      </c>
      <c r="AT12" s="192">
        <f t="shared" si="14"/>
        <v>4.9757019114095901E-3</v>
      </c>
      <c r="AU12" s="193">
        <f t="shared" si="15"/>
        <v>4372.2487835938346</v>
      </c>
      <c r="AV12" s="193">
        <f t="shared" si="17"/>
        <v>5.0255268819980464E-3</v>
      </c>
      <c r="AW12" s="193">
        <f>AS12*Proposal!M12/AS$29</f>
        <v>5.0057866894129615E-3</v>
      </c>
      <c r="AX12" s="194">
        <f t="shared" si="22"/>
        <v>1.1722215206030875</v>
      </c>
      <c r="AY12" s="168">
        <f t="shared" ca="1" si="16"/>
        <v>5.0506645763963801E-3</v>
      </c>
      <c r="AZ12" s="168">
        <f t="shared" ca="1" si="18"/>
        <v>1.2331674065332577E-2</v>
      </c>
      <c r="BA12" s="168">
        <f t="shared" ca="1" si="19"/>
        <v>8.7389884133352684E-3</v>
      </c>
      <c r="BB12" s="168">
        <f t="shared" ca="1" si="20"/>
        <v>-4.8332058694160461E-4</v>
      </c>
      <c r="BC12" s="168">
        <f t="shared" ca="1" si="21"/>
        <v>-5.6203893139755269E-3</v>
      </c>
      <c r="BD12" s="168"/>
      <c r="BE12" s="209">
        <f>Enter!B8</f>
        <v>37196</v>
      </c>
      <c r="BF12" s="209">
        <f>Enter!C8</f>
        <v>37245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100</v>
      </c>
      <c r="B13" s="18" t="str">
        <f>Proposal!B13</f>
        <v xml:space="preserve">AAA/ </v>
      </c>
      <c r="C13" s="42" t="str">
        <f>Proposal!C13</f>
        <v>BENBROOK TX W/S REV</v>
      </c>
      <c r="D13" s="161">
        <f>Proposal!D13</f>
        <v>5.1249999999999997E-2</v>
      </c>
      <c r="E13" s="249">
        <f>Income!D12</f>
        <v>44531</v>
      </c>
      <c r="F13" s="211">
        <f>Proposal!BG13</f>
        <v>5.0000894983990206E-2</v>
      </c>
      <c r="G13" s="220">
        <f>Proposal!J13</f>
        <v>101.038</v>
      </c>
      <c r="H13" s="126">
        <f t="shared" si="0"/>
        <v>8.2784742768681348</v>
      </c>
      <c r="I13" s="127">
        <f t="shared" ca="1" si="1"/>
        <v>0.13101533158313639</v>
      </c>
      <c r="J13" s="127">
        <f t="shared" ca="1" si="2"/>
        <v>8.9559018815025926E-2</v>
      </c>
      <c r="K13" s="127">
        <f t="shared" ca="1" si="3"/>
        <v>5.0010614182881552E-2</v>
      </c>
      <c r="L13" s="127">
        <f t="shared" ca="1" si="4"/>
        <v>-2.9303980548364139E-3</v>
      </c>
      <c r="M13" s="127">
        <f t="shared" ca="1" si="5"/>
        <v>-5.6829040694483912E-2</v>
      </c>
      <c r="N13" s="18"/>
      <c r="O13" s="18"/>
      <c r="P13" s="18"/>
      <c r="Q13" s="18"/>
      <c r="S13" s="195">
        <f>MDURATION(BF13,Proposal!BH13,D13,F13,2,0)</f>
        <v>8.2784742768681348</v>
      </c>
      <c r="T13" s="168" t="b">
        <f t="shared" si="6"/>
        <v>0</v>
      </c>
      <c r="U13" s="196">
        <f t="shared" si="7"/>
        <v>5125</v>
      </c>
      <c r="V13" s="189"/>
      <c r="W13" s="198">
        <f ca="1">IF(Proposal!$F13=0,1000,IF(DAYS360(Summary!$B$5,Proposal!$F13)&lt;360,1000,PRICE($BF13+360,Proposal!$F13,$D13,$F13,Proposal!$G13,2,0)))</f>
        <v>100.96597243580999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101.51461690850201</v>
      </c>
      <c r="Z13" s="197">
        <f t="shared" ca="1" si="8"/>
        <v>5.0010614182881552E-2</v>
      </c>
      <c r="AA13" s="198">
        <f ca="1">IF(Proposal!$F13=0,1000,IF(DAYS360(Summary!$B$5,Proposal!$F13)&lt;360,1000,PRICE($BF13+360,Proposal!$F13,$D13,$F13+AA$4,Proposal!$G13,2,0)))</f>
        <v>109.15052707249694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114.83830819288602</v>
      </c>
      <c r="AD13" s="169">
        <f t="shared" ca="1" si="9"/>
        <v>0.13101533158313639</v>
      </c>
      <c r="AE13" s="198">
        <f ca="1">IF(Proposal!$F13=0,1000,IF(DAYS360(Summary!$B$5,Proposal!$F13)&lt;360,1000,PRICE($BF13+360,Proposal!$F13,$D13,$F13+AE$4,Proposal!$G13,2,0)))</f>
        <v>104.96186414303259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107.90631476109584</v>
      </c>
      <c r="AH13" s="169">
        <f t="shared" ca="1" si="10"/>
        <v>8.9559018815025926E-2</v>
      </c>
      <c r="AI13" s="198">
        <f ca="1">IF(Proposal!$F13=0,1000,IF(DAYS360(Summary!$B$5,Proposal!$F13)&lt;360,1000,PRICE($BF13+360,Proposal!$F13,$D13,$F13+AI$4,Proposal!$G13,2,0)))</f>
        <v>97.153216999824224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95.616918441335429</v>
      </c>
      <c r="AL13" s="169">
        <f t="shared" ca="1" si="11"/>
        <v>-2.9303980548364139E-3</v>
      </c>
      <c r="AM13" s="198">
        <f ca="1">IF(Proposal!$F13=0,1000,IF(DAYS360(Summary!$B$5,Proposal!$F13)&lt;360,1000,PRICE($BF13+360,Proposal!$F13,$D13,$F13+AM$4,Proposal!$G13,2,0)))</f>
        <v>93.514473286015786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90.171107386310723</v>
      </c>
      <c r="AP13" s="169">
        <f t="shared" ca="1" si="12"/>
        <v>-5.6829040694483912E-2</v>
      </c>
      <c r="AQ13" s="168"/>
      <c r="AR13" s="170"/>
      <c r="AS13" s="189">
        <f t="shared" si="13"/>
        <v>101038</v>
      </c>
      <c r="AT13" s="192">
        <f t="shared" si="14"/>
        <v>5.1841904241302942E-3</v>
      </c>
      <c r="AU13" s="193">
        <f t="shared" si="15"/>
        <v>4504.5304151599248</v>
      </c>
      <c r="AV13" s="193">
        <f t="shared" si="17"/>
        <v>5.0578372872965172E-3</v>
      </c>
      <c r="AW13" s="193">
        <f>AS13*Proposal!M13/AS$29</f>
        <v>5.1309313566482847E-3</v>
      </c>
      <c r="AX13" s="194">
        <f t="shared" si="22"/>
        <v>0.83740852824485368</v>
      </c>
      <c r="AY13" s="168">
        <f t="shared" ca="1" si="16"/>
        <v>5.0010614182881552E-3</v>
      </c>
      <c r="AZ13" s="168">
        <f t="shared" ca="1" si="18"/>
        <v>1.310153315831364E-2</v>
      </c>
      <c r="BA13" s="168">
        <f t="shared" ca="1" si="19"/>
        <v>8.9559018815025919E-3</v>
      </c>
      <c r="BB13" s="168">
        <f t="shared" ca="1" si="20"/>
        <v>-2.9303980548364141E-4</v>
      </c>
      <c r="BC13" s="168">
        <f t="shared" ca="1" si="21"/>
        <v>-5.6829040694483905E-3</v>
      </c>
      <c r="BD13" s="168"/>
      <c r="BE13" s="209">
        <f>Enter!B9</f>
        <v>37226</v>
      </c>
      <c r="BF13" s="209">
        <f>Enter!C9</f>
        <v>37252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100</v>
      </c>
      <c r="B14" s="18" t="str">
        <f>Proposal!B14</f>
        <v>AAA/AAA</v>
      </c>
      <c r="C14" s="42" t="str">
        <f>Proposal!C14</f>
        <v>GRANT CO WASH PUD</v>
      </c>
      <c r="D14" s="161">
        <f>Proposal!D14</f>
        <v>0.05</v>
      </c>
      <c r="E14" s="249">
        <f>Income!D13</f>
        <v>44562</v>
      </c>
      <c r="F14" s="211">
        <f>Proposal!BG14</f>
        <v>5.1000364829877895E-2</v>
      </c>
      <c r="G14" s="220">
        <f>Proposal!J14</f>
        <v>98.751999999999995</v>
      </c>
      <c r="H14" s="126">
        <f t="shared" si="0"/>
        <v>12.218737021300944</v>
      </c>
      <c r="I14" s="127">
        <f t="shared" ca="1" si="1"/>
        <v>9.6897367578493654E-2</v>
      </c>
      <c r="J14" s="127">
        <f t="shared" ca="1" si="2"/>
        <v>7.8039226957173469E-2</v>
      </c>
      <c r="K14" s="127">
        <f t="shared" ca="1" si="3"/>
        <v>5.0993137457940874E-2</v>
      </c>
      <c r="L14" s="127">
        <f t="shared" ca="1" si="4"/>
        <v>-7.3620942349209573E-3</v>
      </c>
      <c r="M14" s="127">
        <f t="shared" ca="1" si="5"/>
        <v>-6.1224100438475704E-2</v>
      </c>
      <c r="N14" s="18"/>
      <c r="O14" s="18"/>
      <c r="P14" s="18"/>
      <c r="Q14" s="18"/>
      <c r="S14" s="195">
        <f>MDURATION(BF14,Proposal!BH14,D14,F14,2,0)</f>
        <v>12.218737021300944</v>
      </c>
      <c r="T14" s="168" t="b">
        <f t="shared" si="6"/>
        <v>0</v>
      </c>
      <c r="U14" s="196">
        <f t="shared" si="7"/>
        <v>5000</v>
      </c>
      <c r="V14" s="189"/>
      <c r="W14" s="198">
        <f ca="1">IF(Proposal!$F14=0,1000,IF(DAYS360(Summary!$B$5,Proposal!$F14)&lt;360,1000,PRICE($BF14+360,Proposal!$F14,$D14,$F14,Proposal!$G14,2,0)))</f>
        <v>99.635982778338956</v>
      </c>
      <c r="X14" s="194">
        <f>IF(Proposal!$H14=0,1000,IF(DAYS360(Summary!$B$5,Proposal!$H14)&lt;360,1000,PRICE($BF14+360,Proposal!$H14,$D14,$F14,100,2,0)))</f>
        <v>1000</v>
      </c>
      <c r="Y14" s="191">
        <f ca="1">IF($E14=0,1000,IF(DAYS360(Summary!$B$5,$E14)&lt;360,1000,PRICE($BF14+360,$E14,$D14,$F14,100,2,0)))</f>
        <v>98.787674310246558</v>
      </c>
      <c r="Z14" s="197">
        <f t="shared" ca="1" si="8"/>
        <v>5.0993137457940874E-2</v>
      </c>
      <c r="AA14" s="198">
        <f ca="1">IF(Proposal!$F14=0,1000,IF(DAYS360(Summary!$B$5,Proposal!$F14)&lt;360,1000,PRICE($BF14+360,Proposal!$F14,$D14,$F14+AA$4,Proposal!$G14,2,0)))</f>
        <v>103.32080884311139</v>
      </c>
      <c r="AB14" s="194">
        <f>IF(Proposal!$H14=0,1000,IF(DAYS360(Summary!$B$5,Proposal!$H14)&lt;360,1000,PRICE($BF14+360,Proposal!$H14,$D14,$F14+AA$4,100,2,0)))</f>
        <v>1000</v>
      </c>
      <c r="AC14" s="191">
        <f ca="1">IF($E14=0,1000,IF(DAYS360(Summary!$B$5,$E14)&lt;360,1000,PRICE($BF14+360,$E14,$D14,$F14+AA$4,100,2,0)))</f>
        <v>111.81464357361165</v>
      </c>
      <c r="AD14" s="169">
        <f t="shared" ca="1" si="9"/>
        <v>9.6897367578493654E-2</v>
      </c>
      <c r="AE14" s="198">
        <f ca="1">IF(Proposal!$F14=0,1000,IF(DAYS360(Summary!$B$5,Proposal!$F14)&lt;360,1000,PRICE($BF14+360,Proposal!$F14,$D14,$F14+AE$4,Proposal!$G14,2,0)))</f>
        <v>101.45852974047477</v>
      </c>
      <c r="AF14" s="194">
        <f>IF(Proposal!$H14=0,1000,IF(DAYS360(Summary!$B$5,Proposal!$H14)&lt;360,1000,PRICE($BF14+360,Proposal!$H14,$D14,$F14+AE$4,100,2,0)))</f>
        <v>1000</v>
      </c>
      <c r="AG14" s="191">
        <f ca="1">IF($E14=0,1000,IF(DAYS360(Summary!$B$5,$E14)&lt;360,1000,PRICE($BF14+360,$E14,$D14,$F14+AE$4,100,2,0)))</f>
        <v>105.03565539241373</v>
      </c>
      <c r="AH14" s="169">
        <f t="shared" ca="1" si="10"/>
        <v>7.8039226957173469E-2</v>
      </c>
      <c r="AI14" s="198">
        <f ca="1">IF(Proposal!$F14=0,1000,IF(DAYS360(Summary!$B$5,Proposal!$F14)&lt;360,1000,PRICE($BF14+360,Proposal!$F14,$D14,$F14+AI$4,Proposal!$G14,2,0)))</f>
        <v>97.852215582351391</v>
      </c>
      <c r="AJ14" s="194">
        <f>IF(Proposal!$H14=0,1000,IF(DAYS360(Summary!$B$5,Proposal!$H14)&lt;360,1000,PRICE($BF14+360,Proposal!$H14,$D14,$F14+AI$4,100,2,0)))</f>
        <v>1000</v>
      </c>
      <c r="AK14" s="191">
        <f ca="1">IF($E14=0,1000,IF(DAYS360(Summary!$B$5,$E14)&lt;360,1000,PRICE($BF14+360,$E14,$D14,$F14+AI$4,100,2,0)))</f>
        <v>93.024978470113069</v>
      </c>
      <c r="AL14" s="169">
        <f t="shared" ca="1" si="11"/>
        <v>-7.3620942349209573E-3</v>
      </c>
      <c r="AM14" s="198">
        <f ca="1">IF(Proposal!$F14=0,1000,IF(DAYS360(Summary!$B$5,Proposal!$F14)&lt;360,1000,PRICE($BF14+360,Proposal!$F14,$D14,$F14+AM$4,Proposal!$G14,2,0)))</f>
        <v>96.106300955364077</v>
      </c>
      <c r="AN14" s="194">
        <f>IF(Proposal!$H14=0,1000,IF(DAYS360(Summary!$B$5,Proposal!$H14)&lt;360,1000,PRICE($BF14+360,Proposal!$H14,$D14,$F14+AM$4,100,2,0)))</f>
        <v>1000</v>
      </c>
      <c r="AO14" s="191">
        <f ca="1">IF($E14=0,1000,IF(DAYS360(Summary!$B$5,$E14)&lt;360,1000,PRICE($BF14+360,$E14,$D14,$F14+AM$4,100,2,0)))</f>
        <v>87.705997633499635</v>
      </c>
      <c r="AP14" s="169">
        <f t="shared" ca="1" si="12"/>
        <v>-6.1224100438475704E-2</v>
      </c>
      <c r="AQ14" s="168"/>
      <c r="AR14" s="170"/>
      <c r="AS14" s="189">
        <f t="shared" si="13"/>
        <v>98751.999999999985</v>
      </c>
      <c r="AT14" s="192">
        <f t="shared" si="14"/>
        <v>4.9433144715290873E-3</v>
      </c>
      <c r="AU14" s="193">
        <f t="shared" si="15"/>
        <v>4405.6795896055828</v>
      </c>
      <c r="AV14" s="193">
        <f t="shared" si="17"/>
        <v>5.0422168303359697E-3</v>
      </c>
      <c r="AW14" s="193">
        <f>AS14*Proposal!M14/AS$29</f>
        <v>5.0057866894129615E-3</v>
      </c>
      <c r="AX14" s="194">
        <f t="shared" si="22"/>
        <v>1.2080211908241032</v>
      </c>
      <c r="AY14" s="168">
        <f t="shared" ca="1" si="16"/>
        <v>5.0993137457940874E-3</v>
      </c>
      <c r="AZ14" s="168">
        <f t="shared" ca="1" si="18"/>
        <v>9.6897367578493657E-3</v>
      </c>
      <c r="BA14" s="168">
        <f t="shared" ca="1" si="19"/>
        <v>7.803922695717347E-3</v>
      </c>
      <c r="BB14" s="168">
        <f t="shared" ca="1" si="20"/>
        <v>-7.3620942349209571E-4</v>
      </c>
      <c r="BC14" s="168">
        <f t="shared" ca="1" si="21"/>
        <v>-6.1224100438475705E-3</v>
      </c>
      <c r="BD14" s="168"/>
      <c r="BE14" s="209">
        <f>Enter!B10</f>
        <v>37210</v>
      </c>
      <c r="BF14" s="209">
        <f>Enter!C10</f>
        <v>37245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100</v>
      </c>
      <c r="B15" s="18" t="str">
        <f>Proposal!B15</f>
        <v>AAA/AAA</v>
      </c>
      <c r="C15" s="42" t="str">
        <f>Proposal!C15</f>
        <v>HOUSTON TX G.O.</v>
      </c>
      <c r="D15" s="161">
        <f>Proposal!D15</f>
        <v>0.05</v>
      </c>
      <c r="E15" s="249">
        <f>Income!D14</f>
        <v>44621</v>
      </c>
      <c r="F15" s="211">
        <f>Proposal!BG15</f>
        <v>5.1000613864775661E-2</v>
      </c>
      <c r="G15" s="220">
        <f>Proposal!J15</f>
        <v>98.74</v>
      </c>
      <c r="H15" s="126">
        <f t="shared" si="0"/>
        <v>12.381245292232023</v>
      </c>
      <c r="I15" s="127">
        <f t="shared" ca="1" si="1"/>
        <v>0.12633746932329593</v>
      </c>
      <c r="J15" s="127">
        <f t="shared" ca="1" si="2"/>
        <v>9.0768583382117463E-2</v>
      </c>
      <c r="K15" s="127">
        <f t="shared" ca="1" si="3"/>
        <v>5.1002282643799468E-2</v>
      </c>
      <c r="L15" s="127">
        <f t="shared" ca="1" si="4"/>
        <v>-7.6484970957918508E-3</v>
      </c>
      <c r="M15" s="127">
        <f t="shared" ca="1" si="5"/>
        <v>-6.1754036918977961E-2</v>
      </c>
      <c r="N15" s="18"/>
      <c r="O15" s="18"/>
      <c r="P15" s="18"/>
      <c r="Q15" s="18"/>
      <c r="S15" s="195">
        <f>MDURATION(BF15,Proposal!BH15,D15,F15,2,0)</f>
        <v>12.381245292232023</v>
      </c>
      <c r="T15" s="168" t="b">
        <f t="shared" si="6"/>
        <v>0</v>
      </c>
      <c r="U15" s="196">
        <f t="shared" si="7"/>
        <v>5000</v>
      </c>
      <c r="V15" s="189"/>
      <c r="W15" s="198">
        <f ca="1">IF(Proposal!$F15=0,1000,IF(DAYS360(Summary!$B$5,Proposal!$F15)&lt;360,1000,PRICE($BF15+360,Proposal!$F15,$D15,$F15,Proposal!$G15,2,0)))</f>
        <v>99.327833368957286</v>
      </c>
      <c r="X15" s="194">
        <f>IF(Proposal!$H15=0,1000,IF(DAYS360(Summary!$B$5,Proposal!$H15)&lt;360,1000,PRICE($BF15+360,Proposal!$H15,$D15,$F15,100,2,0)))</f>
        <v>1000</v>
      </c>
      <c r="Y15" s="191">
        <f ca="1">IF($E15=0,1000,IF(DAYS360(Summary!$B$5,$E15)&lt;360,1000,PRICE($BF15+360,$E15,$D15,$F15,100,2,0)))</f>
        <v>98.775965388248778</v>
      </c>
      <c r="Z15" s="197">
        <f t="shared" ca="1" si="8"/>
        <v>5.1002282643799468E-2</v>
      </c>
      <c r="AA15" s="198">
        <f ca="1">IF(Proposal!$F15=0,1000,IF(DAYS360(Summary!$B$5,Proposal!$F15)&lt;360,1000,PRICE($BF15+360,Proposal!$F15,$D15,$F15+AA$4,Proposal!$G15,2,0)))</f>
        <v>106.21456172098223</v>
      </c>
      <c r="AB15" s="194">
        <f>IF(Proposal!$H15=0,1000,IF(DAYS360(Summary!$B$5,Proposal!$H15)&lt;360,1000,PRICE($BF15+360,Proposal!$H15,$D15,$F15+AA$4,100,2,0)))</f>
        <v>1000</v>
      </c>
      <c r="AC15" s="191">
        <f ca="1">IF($E15=0,1000,IF(DAYS360(Summary!$B$5,$E15)&lt;360,1000,PRICE($BF15+360,$E15,$D15,$F15+AA$4,100,2,0)))</f>
        <v>111.87847262001706</v>
      </c>
      <c r="AD15" s="169">
        <f t="shared" ca="1" si="9"/>
        <v>0.12633746932329593</v>
      </c>
      <c r="AE15" s="198">
        <f ca="1">IF(Proposal!$F15=0,1000,IF(DAYS360(Summary!$B$5,Proposal!$F15)&lt;360,1000,PRICE($BF15+360,Proposal!$F15,$D15,$F15+AE$4,Proposal!$G15,2,0)))</f>
        <v>102.70248992315028</v>
      </c>
      <c r="AF15" s="194">
        <f>IF(Proposal!$H15=0,1000,IF(DAYS360(Summary!$B$5,Proposal!$H15)&lt;360,1000,PRICE($BF15+360,Proposal!$H15,$D15,$F15+AE$4,100,2,0)))</f>
        <v>1000</v>
      </c>
      <c r="AG15" s="191">
        <f ca="1">IF($E15=0,1000,IF(DAYS360(Summary!$B$5,$E15)&lt;360,1000,PRICE($BF15+360,$E15,$D15,$F15+AE$4,100,2,0)))</f>
        <v>105.05831403922369</v>
      </c>
      <c r="AH15" s="169">
        <f t="shared" ca="1" si="10"/>
        <v>9.0768583382117463E-2</v>
      </c>
      <c r="AI15" s="198">
        <f ca="1">IF(Proposal!$F15=0,1000,IF(DAYS360(Summary!$B$5,Proposal!$F15)&lt;360,1000,PRICE($BF15+360,Proposal!$F15,$D15,$F15+AI$4,Proposal!$G15,2,0)))</f>
        <v>96.084741677164075</v>
      </c>
      <c r="AJ15" s="194">
        <f>IF(Proposal!$H15=0,1000,IF(DAYS360(Summary!$B$5,Proposal!$H15)&lt;360,1000,PRICE($BF15+360,Proposal!$H15,$D15,$F15+AI$4,100,2,0)))</f>
        <v>1000</v>
      </c>
      <c r="AK15" s="191">
        <f ca="1">IF($E15=0,1000,IF(DAYS360(Summary!$B$5,$E15)&lt;360,1000,PRICE($BF15+360,$E15,$D15,$F15+AI$4,100,2,0)))</f>
        <v>92.984787396761519</v>
      </c>
      <c r="AL15" s="169">
        <f t="shared" ca="1" si="11"/>
        <v>-7.6484970957918508E-3</v>
      </c>
      <c r="AM15" s="198">
        <f ca="1">IF(Proposal!$F15=0,1000,IF(DAYS360(Summary!$B$5,Proposal!$F15)&lt;360,1000,PRICE($BF15+360,Proposal!$F15,$D15,$F15+AM$4,Proposal!$G15,2,0)))</f>
        <v>92.967629796224415</v>
      </c>
      <c r="AN15" s="194">
        <f>IF(Proposal!$H15=0,1000,IF(DAYS360(Summary!$B$5,Proposal!$H15)&lt;360,1000,PRICE($BF15+360,Proposal!$H15,$D15,$F15+AM$4,100,2,0)))</f>
        <v>1000</v>
      </c>
      <c r="AO15" s="191">
        <f ca="1">IF($E15=0,1000,IF(DAYS360(Summary!$B$5,$E15)&lt;360,1000,PRICE($BF15+360,$E15,$D15,$F15+AM$4,100,2,0)))</f>
        <v>87.642406394620124</v>
      </c>
      <c r="AP15" s="169">
        <f t="shared" ca="1" si="12"/>
        <v>-6.1754036918977961E-2</v>
      </c>
      <c r="AQ15" s="168"/>
      <c r="AR15" s="170"/>
      <c r="AS15" s="189">
        <f t="shared" si="13"/>
        <v>98740</v>
      </c>
      <c r="AT15" s="192">
        <f t="shared" si="14"/>
        <v>4.9427137771263577E-3</v>
      </c>
      <c r="AU15" s="193">
        <f t="shared" si="15"/>
        <v>4410.9766289831041</v>
      </c>
      <c r="AV15" s="193">
        <f t="shared" si="17"/>
        <v>5.041628735826564E-3</v>
      </c>
      <c r="AW15" s="193">
        <f>AS15*Proposal!M15/AS$29</f>
        <v>5.0057866894129624E-3</v>
      </c>
      <c r="AX15" s="194">
        <f t="shared" si="22"/>
        <v>1.2239390336779217</v>
      </c>
      <c r="AY15" s="168">
        <f t="shared" ca="1" si="16"/>
        <v>5.1002282643799468E-3</v>
      </c>
      <c r="AZ15" s="168">
        <f t="shared" ca="1" si="18"/>
        <v>1.2633746932329593E-2</v>
      </c>
      <c r="BA15" s="168">
        <f t="shared" ca="1" si="19"/>
        <v>9.076858338211747E-3</v>
      </c>
      <c r="BB15" s="168">
        <f t="shared" ca="1" si="20"/>
        <v>-7.6484970957918508E-4</v>
      </c>
      <c r="BC15" s="168">
        <f t="shared" ca="1" si="21"/>
        <v>-6.1754036918977963E-3</v>
      </c>
      <c r="BD15" s="168"/>
      <c r="BE15" s="209">
        <f>Enter!B11</f>
        <v>37135</v>
      </c>
      <c r="BF15" s="209">
        <f>Enter!C11</f>
        <v>37245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100</v>
      </c>
      <c r="B16" s="18" t="str">
        <f>Proposal!B16</f>
        <v>AAA/AAA</v>
      </c>
      <c r="C16" s="42" t="str">
        <f>Proposal!C16</f>
        <v>MICHIGAN PUB PWR</v>
      </c>
      <c r="D16" s="161">
        <f>Proposal!D16</f>
        <v>5.2499999999999998E-2</v>
      </c>
      <c r="E16" s="249">
        <f>Income!D15</f>
        <v>45292</v>
      </c>
      <c r="F16" s="211">
        <f>Proposal!BG16</f>
        <v>5.2497907210681552E-2</v>
      </c>
      <c r="G16" s="220">
        <f>Proposal!J16</f>
        <v>100</v>
      </c>
      <c r="H16" s="126">
        <f t="shared" si="0"/>
        <v>12.932216703356513</v>
      </c>
      <c r="I16" s="127">
        <f t="shared" ca="1" si="1"/>
        <v>0.12657769825010257</v>
      </c>
      <c r="J16" s="127">
        <f t="shared" ca="1" si="2"/>
        <v>8.8746024156046932E-2</v>
      </c>
      <c r="K16" s="127">
        <f t="shared" ca="1" si="3"/>
        <v>5.2507485653757735E-2</v>
      </c>
      <c r="L16" s="127">
        <f t="shared" ca="1" si="4"/>
        <v>-7.9820089935092042E-3</v>
      </c>
      <c r="M16" s="127">
        <f t="shared" ca="1" si="5"/>
        <v>-6.351908258354122E-2</v>
      </c>
      <c r="N16" s="18"/>
      <c r="O16" s="18"/>
      <c r="P16" s="18"/>
      <c r="Q16" s="18"/>
      <c r="S16" s="195">
        <f>MDURATION(BF16,Proposal!BH16,D16,F16,2,0)</f>
        <v>12.932216703356513</v>
      </c>
      <c r="T16" s="168" t="b">
        <f t="shared" si="6"/>
        <v>0</v>
      </c>
      <c r="U16" s="196">
        <f t="shared" si="7"/>
        <v>5250</v>
      </c>
      <c r="V16" s="189"/>
      <c r="W16" s="198">
        <f ca="1">IF(Proposal!$F16=0,1000,IF(DAYS360(Summary!$B$5,Proposal!$F16)&lt;360,1000,PRICE($BF16+360,Proposal!$F16,$D16,$F16,Proposal!$G16,2,0)))</f>
        <v>100.00074856537577</v>
      </c>
      <c r="X16" s="194">
        <f>IF(Proposal!$H16=0,1000,IF(DAYS360(Summary!$B$5,Proposal!$H16)&lt;360,1000,PRICE($BF16+360,Proposal!$H16,$D16,$F16,100,2,0)))</f>
        <v>1000</v>
      </c>
      <c r="Y16" s="191">
        <f ca="1">IF($E16=0,1000,IF(DAYS360(Summary!$B$5,$E16)&lt;360,1000,PRICE($BF16+360,$E16,$D16,$F16,100,2,0)))</f>
        <v>100.00190710680161</v>
      </c>
      <c r="Z16" s="197">
        <f t="shared" ca="1" si="8"/>
        <v>5.2507485653757735E-2</v>
      </c>
      <c r="AA16" s="198">
        <f ca="1">IF(Proposal!$F16=0,1000,IF(DAYS360(Summary!$B$5,Proposal!$F16)&lt;360,1000,PRICE($BF16+360,Proposal!$F16,$D16,$F16+AA$4,Proposal!$G16,2,0)))</f>
        <v>107.40776982501026</v>
      </c>
      <c r="AB16" s="194">
        <f>IF(Proposal!$H16=0,1000,IF(DAYS360(Summary!$B$5,Proposal!$H16)&lt;360,1000,PRICE($BF16+360,Proposal!$H16,$D16,$F16+AA$4,100,2,0)))</f>
        <v>1000</v>
      </c>
      <c r="AC16" s="191">
        <f ca="1">IF($E16=0,1000,IF(DAYS360(Summary!$B$5,$E16)&lt;360,1000,PRICE($BF16+360,$E16,$D16,$F16+AA$4,100,2,0)))</f>
        <v>113.79850577015644</v>
      </c>
      <c r="AD16" s="169">
        <f t="shared" ca="1" si="9"/>
        <v>0.12657769825010257</v>
      </c>
      <c r="AE16" s="198">
        <f ca="1">IF(Proposal!$F16=0,1000,IF(DAYS360(Summary!$B$5,Proposal!$F16)&lt;360,1000,PRICE($BF16+360,Proposal!$F16,$D16,$F16+AE$4,Proposal!$G16,2,0)))</f>
        <v>103.6246024156047</v>
      </c>
      <c r="AF16" s="194">
        <f>IF(Proposal!$H16=0,1000,IF(DAYS360(Summary!$B$5,Proposal!$H16)&lt;360,1000,PRICE($BF16+360,Proposal!$H16,$D16,$F16+AE$4,100,2,0)))</f>
        <v>1000</v>
      </c>
      <c r="AG16" s="191">
        <f ca="1">IF($E16=0,1000,IF(DAYS360(Summary!$B$5,$E16)&lt;360,1000,PRICE($BF16+360,$E16,$D16,$F16+AE$4,100,2,0)))</f>
        <v>106.59884013842179</v>
      </c>
      <c r="AH16" s="169">
        <f t="shared" ca="1" si="10"/>
        <v>8.8746024156046932E-2</v>
      </c>
      <c r="AI16" s="198">
        <f ca="1">IF(Proposal!$F16=0,1000,IF(DAYS360(Summary!$B$5,Proposal!$F16)&lt;360,1000,PRICE($BF16+360,Proposal!$F16,$D16,$F16+AI$4,Proposal!$G16,2,0)))</f>
        <v>96.528908626380286</v>
      </c>
      <c r="AJ16" s="194">
        <f>IF(Proposal!$H16=0,1000,IF(DAYS360(Summary!$B$5,Proposal!$H16)&lt;360,1000,PRICE($BF16+360,Proposal!$H16,$D16,$F16+AI$4,100,2,0)))</f>
        <v>1000</v>
      </c>
      <c r="AK16" s="191">
        <f ca="1">IF($E16=0,1000,IF(DAYS360(Summary!$B$5,$E16)&lt;360,1000,PRICE($BF16+360,$E16,$D16,$F16+AI$4,100,2,0)))</f>
        <v>93.951799100649069</v>
      </c>
      <c r="AL16" s="169">
        <f t="shared" ca="1" si="11"/>
        <v>-7.9820089935092042E-3</v>
      </c>
      <c r="AM16" s="198">
        <f ca="1">IF(Proposal!$F16=0,1000,IF(DAYS360(Summary!$B$5,Proposal!$F16)&lt;360,1000,PRICE($BF16+360,Proposal!$F16,$D16,$F16+AM$4,Proposal!$G16,2,0)))</f>
        <v>93.202138505209007</v>
      </c>
      <c r="AN16" s="194">
        <f>IF(Proposal!$H16=0,1000,IF(DAYS360(Summary!$B$5,Proposal!$H16)&lt;360,1000,PRICE($BF16+360,Proposal!$H16,$D16,$F16+AM$4,100,2,0)))</f>
        <v>1000</v>
      </c>
      <c r="AO16" s="191">
        <f ca="1">IF($E16=0,1000,IF(DAYS360(Summary!$B$5,$E16)&lt;360,1000,PRICE($BF16+360,$E16,$D16,$F16+AM$4,100,2,0)))</f>
        <v>88.398091741645885</v>
      </c>
      <c r="AP16" s="169">
        <f t="shared" ca="1" si="12"/>
        <v>-6.351908258354122E-2</v>
      </c>
      <c r="AQ16" s="168"/>
      <c r="AR16" s="170"/>
      <c r="AS16" s="189">
        <f t="shared" si="13"/>
        <v>100000</v>
      </c>
      <c r="AT16" s="192">
        <f t="shared" si="14"/>
        <v>5.2560760238836097E-3</v>
      </c>
      <c r="AU16" s="193">
        <f t="shared" si="15"/>
        <v>4534.4418147378374</v>
      </c>
      <c r="AV16" s="193">
        <f t="shared" si="17"/>
        <v>5.2558665027453285E-3</v>
      </c>
      <c r="AW16" s="193">
        <f>AS16*Proposal!M16/AS$29</f>
        <v>5.2560760238836097E-3</v>
      </c>
      <c r="AX16" s="194">
        <f t="shared" si="22"/>
        <v>1.29471836476532</v>
      </c>
      <c r="AY16" s="168">
        <f t="shared" ca="1" si="16"/>
        <v>5.2507485653757735E-3</v>
      </c>
      <c r="AZ16" s="168">
        <f t="shared" ca="1" si="18"/>
        <v>1.2657769825010256E-2</v>
      </c>
      <c r="BA16" s="168">
        <f t="shared" ca="1" si="19"/>
        <v>8.8746024156046936E-3</v>
      </c>
      <c r="BB16" s="168">
        <f t="shared" ca="1" si="20"/>
        <v>-7.9820089935092044E-4</v>
      </c>
      <c r="BC16" s="168">
        <f t="shared" ca="1" si="21"/>
        <v>-6.3519082583541218E-3</v>
      </c>
      <c r="BD16" s="168"/>
      <c r="BE16" s="209">
        <f>Enter!B12</f>
        <v>37226</v>
      </c>
      <c r="BF16" s="209">
        <f>Enter!C12</f>
        <v>37266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25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25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25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25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25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998844</v>
      </c>
      <c r="AT29" s="208">
        <f>SUM(AT7:AT28)</f>
        <v>5.0503040264545815E-2</v>
      </c>
      <c r="AU29" s="209">
        <f>INT(SUM(AU7:AU28))</f>
        <v>43862</v>
      </c>
      <c r="AV29" s="208">
        <f>SUM(AV7:AV28)</f>
        <v>5.0497577671873663E-2</v>
      </c>
      <c r="AW29" s="208">
        <f>SUM(AW7:AW28)</f>
        <v>5.055844556307091E-2</v>
      </c>
      <c r="AX29" s="194">
        <f t="shared" ref="AX29:BC29" si="23">SUM(AX7:AX28)</f>
        <v>10.771423051144433</v>
      </c>
      <c r="AY29" s="208">
        <f t="shared" ca="1" si="23"/>
        <v>5.0502714993181111E-2</v>
      </c>
      <c r="AZ29" s="208">
        <f t="shared" ca="1" si="23"/>
        <v>0.11762063523940054</v>
      </c>
      <c r="BA29" s="208">
        <f t="shared" ca="1" si="23"/>
        <v>8.5238393149963981E-2</v>
      </c>
      <c r="BB29" s="208">
        <f t="shared" ca="1" si="23"/>
        <v>-3.0004056413439283E-3</v>
      </c>
      <c r="BC29" s="208">
        <f t="shared" ca="1" si="23"/>
        <v>-5.366340249662796E-2</v>
      </c>
      <c r="BD29" s="168"/>
      <c r="BE29" s="168"/>
      <c r="BF29" s="168"/>
      <c r="BG29" s="171"/>
    </row>
    <row r="30" spans="1:67" x14ac:dyDescent="0.25">
      <c r="A30" s="223">
        <f>SUM(A7:A29)</f>
        <v>1000</v>
      </c>
      <c r="B30" s="143"/>
      <c r="C30" s="143"/>
      <c r="D30" s="211">
        <f>AT29</f>
        <v>5.0503040264545815E-2</v>
      </c>
      <c r="E30" s="254">
        <f>AU29</f>
        <v>43862</v>
      </c>
      <c r="F30" s="211">
        <f>AV29</f>
        <v>5.0497577671873663E-2</v>
      </c>
      <c r="G30" s="220"/>
      <c r="H30" s="219">
        <f>AX29</f>
        <v>10.771423051144433</v>
      </c>
      <c r="I30" s="127">
        <f ca="1">AZ29</f>
        <v>0.11762063523940054</v>
      </c>
      <c r="J30" s="127">
        <f ca="1">BA29</f>
        <v>8.5238393149963981E-2</v>
      </c>
      <c r="K30" s="127">
        <f ca="1">AY29</f>
        <v>5.0502714993181111E-2</v>
      </c>
      <c r="L30" s="127">
        <f ca="1">BB29</f>
        <v>-3.0004056413439283E-3</v>
      </c>
      <c r="M30" s="127">
        <f ca="1">BC29</f>
        <v>-5.366340249662796E-2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topLeftCell="M1" zoomScale="60" workbookViewId="0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">
      <c r="D2" s="381" t="s">
        <v>143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149</v>
      </c>
      <c r="Q2" s="322">
        <f>Enter!C27</f>
        <v>37245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HS-E4369-ME PHILLIP ALLEN</v>
      </c>
      <c r="B4" s="374">
        <f ca="1">NOW()</f>
        <v>37242.440714236109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100</v>
      </c>
      <c r="E5" s="279" t="str">
        <f>Proposal!B7</f>
        <v>AAA/AAA</v>
      </c>
      <c r="F5" s="280" t="str">
        <f>Proposal!C7</f>
        <v>NEW ORLEANS SWR</v>
      </c>
      <c r="G5" s="281">
        <f>Proposal!D7</f>
        <v>0.05</v>
      </c>
      <c r="H5" s="282">
        <f>Proposal!E7</f>
        <v>42522</v>
      </c>
      <c r="I5" s="282">
        <f>Proposal!F7</f>
        <v>40695</v>
      </c>
      <c r="J5" s="283">
        <f>Proposal!G7</f>
        <v>101</v>
      </c>
      <c r="K5" s="282">
        <f>Proposal!H7</f>
        <v>41426</v>
      </c>
      <c r="L5" s="284">
        <f>Proposal!I7</f>
        <v>0</v>
      </c>
      <c r="M5" s="284">
        <f>Proposal!J7</f>
        <v>100</v>
      </c>
      <c r="N5" s="285">
        <f>Proposal!K7</f>
        <v>0</v>
      </c>
      <c r="O5" s="285">
        <f>Proposal!L7</f>
        <v>0.05</v>
      </c>
      <c r="P5" s="286">
        <f>Proposal!M7</f>
        <v>0.05</v>
      </c>
      <c r="Q5" s="285">
        <f>Proposal!N7</f>
        <v>7.690000000000001E-2</v>
      </c>
    </row>
    <row r="6" spans="1:17" ht="16.5" x14ac:dyDescent="0.25">
      <c r="C6" s="288"/>
      <c r="D6" s="289">
        <f>Proposal!A8</f>
        <v>100</v>
      </c>
      <c r="E6" s="290" t="str">
        <f>Proposal!B8</f>
        <v>AAA/AAA</v>
      </c>
      <c r="F6" s="291" t="str">
        <f>Proposal!C8</f>
        <v>LAFAYETTE IND PARK</v>
      </c>
      <c r="G6" s="292">
        <f>Proposal!D8</f>
        <v>0.05</v>
      </c>
      <c r="H6" s="293">
        <f>Proposal!E8</f>
        <v>42750</v>
      </c>
      <c r="I6" s="293">
        <f>Proposal!F8</f>
        <v>40009</v>
      </c>
      <c r="J6" s="294">
        <f>Proposal!G8</f>
        <v>101</v>
      </c>
      <c r="K6" s="293">
        <f>Proposal!H8</f>
        <v>40739</v>
      </c>
      <c r="L6" s="295">
        <f>Proposal!I8</f>
        <v>0</v>
      </c>
      <c r="M6" s="296">
        <f>Proposal!J8</f>
        <v>99.997</v>
      </c>
      <c r="N6" s="285">
        <f>Proposal!K8</f>
        <v>0</v>
      </c>
      <c r="O6" s="285">
        <f>Proposal!L8</f>
        <v>5.0000202972481249E-2</v>
      </c>
      <c r="P6" s="285">
        <f>Proposal!M8</f>
        <v>5.0001500045001354E-2</v>
      </c>
      <c r="Q6" s="285">
        <f>Proposal!N8</f>
        <v>7.6900312171676158E-2</v>
      </c>
    </row>
    <row r="7" spans="1:17" ht="16.5" x14ac:dyDescent="0.25">
      <c r="A7" s="320"/>
      <c r="C7" s="288"/>
      <c r="D7" s="289">
        <f>Proposal!A9</f>
        <v>100</v>
      </c>
      <c r="E7" s="290" t="str">
        <f>Proposal!B9</f>
        <v>AAA/AAA</v>
      </c>
      <c r="F7" s="291" t="str">
        <f>Proposal!C9</f>
        <v>DALLAS TX CIVIC</v>
      </c>
      <c r="G7" s="292">
        <f>Proposal!D9</f>
        <v>0.05</v>
      </c>
      <c r="H7" s="293">
        <f>Proposal!E9</f>
        <v>43327</v>
      </c>
      <c r="I7" s="293">
        <f>Proposal!F9</f>
        <v>39675</v>
      </c>
      <c r="J7" s="294">
        <f>Proposal!G9</f>
        <v>101</v>
      </c>
      <c r="K7" s="293">
        <f>Proposal!H9</f>
        <v>40405</v>
      </c>
      <c r="L7" s="295">
        <f>Proposal!I9</f>
        <v>0</v>
      </c>
      <c r="M7" s="296">
        <f>Proposal!J9</f>
        <v>99.992999999999995</v>
      </c>
      <c r="N7" s="285">
        <f>Proposal!K9</f>
        <v>0</v>
      </c>
      <c r="O7" s="285">
        <f>Proposal!L9</f>
        <v>5.0000392499969425E-2</v>
      </c>
      <c r="P7" s="285">
        <f>Proposal!M9</f>
        <v>5.0003500245017152E-2</v>
      </c>
      <c r="Q7" s="285">
        <f>Proposal!N9</f>
        <v>7.6900603664952979E-2</v>
      </c>
    </row>
    <row r="8" spans="1:17" ht="16.5" x14ac:dyDescent="0.25">
      <c r="A8" s="320"/>
      <c r="B8" s="322"/>
      <c r="C8" s="298"/>
      <c r="D8" s="289">
        <f>Proposal!A10</f>
        <v>100</v>
      </c>
      <c r="E8" s="290" t="str">
        <f>Proposal!B10</f>
        <v>AAA/AAA</v>
      </c>
      <c r="F8" s="291" t="str">
        <f>Proposal!C10</f>
        <v>DENTON TX UTIL REV</v>
      </c>
      <c r="G8" s="292">
        <f>Proposal!D10</f>
        <v>5.1249999999999997E-2</v>
      </c>
      <c r="H8" s="293">
        <f>Proposal!E10</f>
        <v>43435</v>
      </c>
      <c r="I8" s="293">
        <f>Proposal!F10</f>
        <v>40695</v>
      </c>
      <c r="J8" s="294">
        <f>Proposal!G10</f>
        <v>100</v>
      </c>
      <c r="K8" s="293">
        <f>Proposal!H10</f>
        <v>0</v>
      </c>
      <c r="L8" s="295">
        <f>Proposal!I10</f>
        <v>0</v>
      </c>
      <c r="M8" s="296">
        <f>Proposal!J10</f>
        <v>100.929</v>
      </c>
      <c r="N8" s="285">
        <f>Proposal!K10</f>
        <v>5.0000162813016336E-2</v>
      </c>
      <c r="O8" s="285">
        <f>Proposal!L10</f>
        <v>5.0425501060168597E-2</v>
      </c>
      <c r="P8" s="285">
        <f>Proposal!M10</f>
        <v>5.0778269872880935E-2</v>
      </c>
      <c r="Q8" s="285">
        <f>Proposal!N10</f>
        <v>7.6900250406419124E-2</v>
      </c>
    </row>
    <row r="9" spans="1:17" ht="19.5" x14ac:dyDescent="0.3">
      <c r="A9" s="381" t="s">
        <v>142</v>
      </c>
      <c r="B9" s="381"/>
      <c r="C9" s="277"/>
      <c r="D9" s="289">
        <f>Proposal!A11</f>
        <v>100</v>
      </c>
      <c r="E9" s="290" t="str">
        <f>Proposal!B11</f>
        <v>AAA/AAA</v>
      </c>
      <c r="F9" s="291" t="str">
        <f>Proposal!C11</f>
        <v>TX WTR DEV BRD</v>
      </c>
      <c r="G9" s="292">
        <f>Proposal!D11</f>
        <v>0.05</v>
      </c>
      <c r="H9" s="293">
        <f>Proposal!E11</f>
        <v>43661</v>
      </c>
      <c r="I9" s="293">
        <f>Proposal!F11</f>
        <v>39278</v>
      </c>
      <c r="J9" s="294">
        <f>Proposal!G11</f>
        <v>101</v>
      </c>
      <c r="K9" s="293">
        <f>Proposal!H11</f>
        <v>39644</v>
      </c>
      <c r="L9" s="295">
        <f>Proposal!I11</f>
        <v>0</v>
      </c>
      <c r="M9" s="296">
        <f>Proposal!J11</f>
        <v>99.995999999999995</v>
      </c>
      <c r="N9" s="285">
        <f>Proposal!K11</f>
        <v>0</v>
      </c>
      <c r="O9" s="285">
        <f>Proposal!L11</f>
        <v>5.0000256384661171E-2</v>
      </c>
      <c r="P9" s="285">
        <f>Proposal!M11</f>
        <v>5.0002000080003203E-2</v>
      </c>
      <c r="Q9" s="285">
        <f>Proposal!N11</f>
        <v>7.6900394319608878E-2</v>
      </c>
    </row>
    <row r="10" spans="1:17" ht="16.5" x14ac:dyDescent="0.25">
      <c r="C10" s="277"/>
      <c r="D10" s="289">
        <f>Proposal!A12</f>
        <v>100</v>
      </c>
      <c r="E10" s="290" t="str">
        <f>Proposal!B12</f>
        <v>AAA/AAA</v>
      </c>
      <c r="F10" s="291" t="str">
        <f>Proposal!C12</f>
        <v>HOUSTON TX CCD REVS</v>
      </c>
      <c r="G10" s="292">
        <f>Proposal!D12</f>
        <v>0.05</v>
      </c>
      <c r="H10" s="293">
        <f>Proposal!E12</f>
        <v>43936</v>
      </c>
      <c r="I10" s="293">
        <f>Proposal!F12</f>
        <v>40648</v>
      </c>
      <c r="J10" s="294">
        <f>Proposal!G12</f>
        <v>100</v>
      </c>
      <c r="K10" s="293">
        <f>Proposal!H12</f>
        <v>0</v>
      </c>
      <c r="L10" s="295">
        <f>Proposal!I12</f>
        <v>0</v>
      </c>
      <c r="M10" s="296">
        <f>Proposal!J12</f>
        <v>99.399000000000001</v>
      </c>
      <c r="N10" s="285">
        <f>Proposal!K12</f>
        <v>0</v>
      </c>
      <c r="O10" s="285">
        <f>Proposal!L12</f>
        <v>5.0500682833051209E-2</v>
      </c>
      <c r="P10" s="285">
        <f>Proposal!M12</f>
        <v>5.0302316924717552E-2</v>
      </c>
      <c r="Q10" s="285">
        <f>Proposal!N12</f>
        <v>7.7670050197232762E-2</v>
      </c>
    </row>
    <row r="11" spans="1:17" ht="16.5" x14ac:dyDescent="0.25">
      <c r="A11" s="275" t="str">
        <f>Summary!A11</f>
        <v xml:space="preserve">Par Amount </v>
      </c>
      <c r="B11" s="276">
        <f>Summary!B11</f>
        <v>1000000</v>
      </c>
      <c r="C11" s="277"/>
      <c r="D11" s="289">
        <f>Proposal!A13</f>
        <v>100</v>
      </c>
      <c r="E11" s="290" t="str">
        <f>Proposal!B13</f>
        <v xml:space="preserve">AAA/ </v>
      </c>
      <c r="F11" s="291" t="str">
        <f>Proposal!C13</f>
        <v>BENBROOK TX W/S REV</v>
      </c>
      <c r="G11" s="292">
        <f>Proposal!D13</f>
        <v>5.1249999999999997E-2</v>
      </c>
      <c r="H11" s="293">
        <f>Proposal!E13</f>
        <v>44531</v>
      </c>
      <c r="I11" s="293">
        <f>Proposal!F13</f>
        <v>41244</v>
      </c>
      <c r="J11" s="294">
        <f>Proposal!G13</f>
        <v>100</v>
      </c>
      <c r="K11" s="293">
        <f>Proposal!H13</f>
        <v>0</v>
      </c>
      <c r="L11" s="295">
        <f>Proposal!I13</f>
        <v>0</v>
      </c>
      <c r="M11" s="296">
        <f>Proposal!J13</f>
        <v>101.038</v>
      </c>
      <c r="N11" s="285">
        <f>Proposal!K13</f>
        <v>5.0000894983990206E-2</v>
      </c>
      <c r="O11" s="285">
        <f>Proposal!L13</f>
        <v>5.0415201759301788E-2</v>
      </c>
      <c r="P11" s="285">
        <f>Proposal!M13</f>
        <v>5.0723490172014482E-2</v>
      </c>
      <c r="Q11" s="285">
        <f>Proposal!N13</f>
        <v>7.690137648537694E-2</v>
      </c>
    </row>
    <row r="12" spans="1:17" ht="16.5" x14ac:dyDescent="0.25">
      <c r="A12" s="275" t="str">
        <f>Summary!A12</f>
        <v>Average Coupon</v>
      </c>
      <c r="B12" s="287">
        <f>Summary!B12</f>
        <v>5.0503040264545815E-2</v>
      </c>
      <c r="C12" s="277"/>
      <c r="D12" s="289">
        <f>Proposal!A14</f>
        <v>100</v>
      </c>
      <c r="E12" s="290" t="str">
        <f>Proposal!B14</f>
        <v>AAA/AAA</v>
      </c>
      <c r="F12" s="291" t="str">
        <f>Proposal!C14</f>
        <v>GRANT CO WASH PUD</v>
      </c>
      <c r="G12" s="292">
        <f>Proposal!D14</f>
        <v>0.05</v>
      </c>
      <c r="H12" s="293">
        <f>Proposal!E14</f>
        <v>44562</v>
      </c>
      <c r="I12" s="293">
        <f>Proposal!F14</f>
        <v>39083</v>
      </c>
      <c r="J12" s="294">
        <f>Proposal!G14</f>
        <v>100</v>
      </c>
      <c r="K12" s="293">
        <f>Proposal!H14</f>
        <v>0</v>
      </c>
      <c r="L12" s="295">
        <f>Proposal!I14</f>
        <v>0</v>
      </c>
      <c r="M12" s="296">
        <f>Proposal!J14</f>
        <v>98.751999999999995</v>
      </c>
      <c r="N12" s="285">
        <f>Proposal!K14</f>
        <v>0</v>
      </c>
      <c r="O12" s="285">
        <f>Proposal!L14</f>
        <v>5.1000364829877895E-2</v>
      </c>
      <c r="P12" s="285">
        <f>Proposal!M14</f>
        <v>5.0631885936487368E-2</v>
      </c>
      <c r="Q12" s="285">
        <f>Proposal!N14</f>
        <v>7.8438561108352206E-2</v>
      </c>
    </row>
    <row r="13" spans="1:17" ht="16.5" x14ac:dyDescent="0.25">
      <c r="A13" s="275" t="str">
        <f>Summary!A13</f>
        <v>Projected Annual Income</v>
      </c>
      <c r="B13" s="276">
        <f>Summary!B13</f>
        <v>50500</v>
      </c>
      <c r="C13" s="277"/>
      <c r="D13" s="289">
        <f>Proposal!A15</f>
        <v>100</v>
      </c>
      <c r="E13" s="290" t="str">
        <f>Proposal!B15</f>
        <v>AAA/AAA</v>
      </c>
      <c r="F13" s="291" t="str">
        <f>Proposal!C15</f>
        <v>HOUSTON TX G.O.</v>
      </c>
      <c r="G13" s="292">
        <f>Proposal!D15</f>
        <v>0.05</v>
      </c>
      <c r="H13" s="293">
        <f>Proposal!E15</f>
        <v>44621</v>
      </c>
      <c r="I13" s="293">
        <f>Proposal!F15</f>
        <v>40603</v>
      </c>
      <c r="J13" s="294">
        <f>Proposal!G15</f>
        <v>100</v>
      </c>
      <c r="K13" s="293">
        <f>Proposal!H15</f>
        <v>0</v>
      </c>
      <c r="L13" s="295">
        <f>Proposal!I15</f>
        <v>0</v>
      </c>
      <c r="M13" s="296">
        <f>Proposal!J15</f>
        <v>98.74</v>
      </c>
      <c r="N13" s="285">
        <f>Proposal!K15</f>
        <v>0</v>
      </c>
      <c r="O13" s="285">
        <f>Proposal!L15</f>
        <v>5.1000613864775661E-2</v>
      </c>
      <c r="P13" s="285">
        <f>Proposal!M15</f>
        <v>5.0638039295118502E-2</v>
      </c>
      <c r="Q13" s="285">
        <f>Proposal!N15</f>
        <v>7.8438944124024967E-2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100</v>
      </c>
      <c r="E14" s="290" t="str">
        <f>Proposal!B16</f>
        <v>AAA/AAA</v>
      </c>
      <c r="F14" s="291" t="str">
        <f>Proposal!C16</f>
        <v>MICHIGAN PUB PWR</v>
      </c>
      <c r="G14" s="292">
        <f>Proposal!D16</f>
        <v>5.2499999999999998E-2</v>
      </c>
      <c r="H14" s="293">
        <f>Proposal!E16</f>
        <v>45292</v>
      </c>
      <c r="I14" s="293">
        <f>Proposal!F16</f>
        <v>40909</v>
      </c>
      <c r="J14" s="294">
        <f>Proposal!G16</f>
        <v>100</v>
      </c>
      <c r="K14" s="293">
        <f>Proposal!H16</f>
        <v>0</v>
      </c>
      <c r="L14" s="295">
        <f>Proposal!I16</f>
        <v>0</v>
      </c>
      <c r="M14" s="296">
        <f>Proposal!J16</f>
        <v>100</v>
      </c>
      <c r="N14" s="285">
        <f>Proposal!K16</f>
        <v>0</v>
      </c>
      <c r="O14" s="285">
        <f>Proposal!L16</f>
        <v>5.2499999999999998E-2</v>
      </c>
      <c r="P14" s="285">
        <f>Proposal!M16</f>
        <v>5.2499999999999998E-2</v>
      </c>
      <c r="Q14" s="285">
        <f>Proposal!N16</f>
        <v>8.0744999999999997E-2</v>
      </c>
    </row>
    <row r="15" spans="1:17" ht="16.5" x14ac:dyDescent="0.25">
      <c r="A15" s="275" t="str">
        <f>Summary!A15</f>
        <v>Estimated Market Value</v>
      </c>
      <c r="B15" s="276">
        <f>Summary!B15</f>
        <v>998844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5" x14ac:dyDescent="0.25">
      <c r="A16" s="275" t="str">
        <f>Summary!A16</f>
        <v>Accrued Interest</v>
      </c>
      <c r="B16" s="276">
        <f>Summary!B16</f>
        <v>8209.375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5" x14ac:dyDescent="0.25">
      <c r="A17" s="275" t="str">
        <f>Summary!A17</f>
        <v>Total Market Value</v>
      </c>
      <c r="B17" s="276">
        <f>Summary!B17</f>
        <v>1007053.375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5" x14ac:dyDescent="0.25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5" x14ac:dyDescent="0.25">
      <c r="A19" s="275" t="str">
        <f>Summary!A19</f>
        <v>Average Maturity ( Years )</v>
      </c>
      <c r="B19" s="299">
        <f>Summary!B19</f>
        <v>18.107339136819942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5" x14ac:dyDescent="0.25">
      <c r="A20" s="275" t="str">
        <f>Summary!A20</f>
        <v>Average Duration ( Modified )</v>
      </c>
      <c r="B20" s="299">
        <f>Summary!B20</f>
        <v>10.771423051144433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5" x14ac:dyDescent="0.25">
      <c r="A21" s="275" t="str">
        <f>Summary!A21</f>
        <v>Average Current Yield</v>
      </c>
      <c r="B21" s="300">
        <f>Summary!B21</f>
        <v>5.055844556307091E-2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5" x14ac:dyDescent="0.25">
      <c r="A22" s="275" t="str">
        <f>Summary!A22</f>
        <v>Average Market Yield</v>
      </c>
      <c r="B22" s="300">
        <f>Summary!B22</f>
        <v>5.0497577671873663E-2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5" x14ac:dyDescent="0.25">
      <c r="A23" s="275" t="str">
        <f>Summary!A23</f>
        <v>Average Cost</v>
      </c>
      <c r="B23" s="276">
        <f>Summary!B23</f>
        <v>99.884399999999999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1000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150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151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">
      <c r="A31" s="381" t="s">
        <v>144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140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100</v>
      </c>
      <c r="Q37" s="324">
        <f>Maturity!I7</f>
        <v>0.1</v>
      </c>
    </row>
    <row r="38" spans="11:17" ht="15.75" x14ac:dyDescent="0.25">
      <c r="K38" s="320">
        <f>Maturity!B8</f>
        <v>2002</v>
      </c>
      <c r="L38" s="320">
        <f>Maturity!C8</f>
        <v>0</v>
      </c>
      <c r="M38" s="324">
        <f>Maturity!D8</f>
        <v>0</v>
      </c>
      <c r="N38" s="320"/>
      <c r="O38" s="320">
        <f>Maturity!G8</f>
        <v>2017</v>
      </c>
      <c r="P38" s="320">
        <f>Maturity!H8</f>
        <v>100</v>
      </c>
      <c r="Q38" s="324">
        <f>Maturity!I8</f>
        <v>0.1</v>
      </c>
    </row>
    <row r="39" spans="11:17" ht="15.75" x14ac:dyDescent="0.25">
      <c r="K39" s="320">
        <f>Maturity!B9</f>
        <v>2003</v>
      </c>
      <c r="L39" s="320">
        <f>Maturity!C9</f>
        <v>0</v>
      </c>
      <c r="M39" s="324">
        <f>Maturity!D9</f>
        <v>0</v>
      </c>
      <c r="N39" s="320"/>
      <c r="O39" s="320">
        <f>Maturity!G9</f>
        <v>2018</v>
      </c>
      <c r="P39" s="320">
        <f>Maturity!H9</f>
        <v>200</v>
      </c>
      <c r="Q39" s="324">
        <f>Maturity!I9</f>
        <v>0.2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100</v>
      </c>
      <c r="Q40" s="324">
        <f>Maturity!I10</f>
        <v>0.1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100</v>
      </c>
      <c r="Q41" s="324">
        <f>Maturity!I11</f>
        <v>0.1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100</v>
      </c>
      <c r="Q42" s="324">
        <f>Maturity!I12</f>
        <v>0.1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200</v>
      </c>
      <c r="Q43" s="324">
        <f>Maturity!I13</f>
        <v>0.2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100</v>
      </c>
      <c r="Q45" s="324">
        <f>Maturity!I15</f>
        <v>0.1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75" x14ac:dyDescent="0.25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75" x14ac:dyDescent="0.25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145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146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147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148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2001-12-17T16:29:19Z</cp:lastPrinted>
  <dcterms:created xsi:type="dcterms:W3CDTF">1999-01-15T20:16:09Z</dcterms:created>
  <dcterms:modified xsi:type="dcterms:W3CDTF">2023-09-17T12:07:53Z</dcterms:modified>
</cp:coreProperties>
</file>