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8DE1DC-1F52-49BD-9FE8-0BE0DBC2ECCC}" xr6:coauthVersionLast="47" xr6:coauthVersionMax="47" xr10:uidLastSave="{00000000-0000-0000-0000-000000000000}"/>
  <bookViews>
    <workbookView xWindow="-120" yWindow="-120" windowWidth="38640" windowHeight="15720"/>
  </bookViews>
  <sheets>
    <sheet name="WEST MAP" sheetId="1" r:id="rId1"/>
  </sheets>
  <externalReferences>
    <externalReference r:id="rId2"/>
    <externalReference r:id="rId3"/>
  </externalReferences>
  <definedNames>
    <definedName name="Data">[1]Data!$A$1:$X$3001</definedName>
    <definedName name="Data2">[1]Data!$AB$2:$DF$24</definedName>
    <definedName name="DDE_LINK2" localSheetId="0">'WEST MAP'!$G$66:$G$66</definedName>
    <definedName name="_xlnm.Print_Area" localSheetId="0">'WEST MAP'!$A$1:$AG$100</definedName>
    <definedName name="TABLE" localSheetId="0">'WEST MAP'!$G$66:$G$67</definedName>
  </definedNames>
  <calcPr calcId="0"/>
</workbook>
</file>

<file path=xl/calcChain.xml><?xml version="1.0" encoding="utf-8"?>
<calcChain xmlns="http://schemas.openxmlformats.org/spreadsheetml/2006/main">
  <c r="AK1" i="1" l="1"/>
  <c r="B2" i="1"/>
  <c r="AK2" i="1"/>
  <c r="B3" i="1"/>
  <c r="C3" i="1"/>
  <c r="B4" i="1"/>
  <c r="C4" i="1"/>
  <c r="R5" i="1"/>
  <c r="S5" i="1"/>
  <c r="J6" i="1"/>
  <c r="K6" i="1"/>
  <c r="L6" i="1"/>
  <c r="R6" i="1"/>
  <c r="S6" i="1"/>
  <c r="B7" i="1"/>
  <c r="C7" i="1"/>
  <c r="D7" i="1"/>
  <c r="E7" i="1"/>
  <c r="J7" i="1"/>
  <c r="K7" i="1"/>
  <c r="L7" i="1"/>
  <c r="S7" i="1"/>
  <c r="B8" i="1"/>
  <c r="C8" i="1"/>
  <c r="D8" i="1"/>
  <c r="E8" i="1"/>
  <c r="K8" i="1"/>
  <c r="N8" i="1"/>
  <c r="O8" i="1"/>
  <c r="R8" i="1"/>
  <c r="S8" i="1"/>
  <c r="C9" i="1"/>
  <c r="D9" i="1"/>
  <c r="E9" i="1"/>
  <c r="J9" i="1"/>
  <c r="K9" i="1"/>
  <c r="L9" i="1"/>
  <c r="N9" i="1"/>
  <c r="O9" i="1"/>
  <c r="R9" i="1"/>
  <c r="S9" i="1"/>
  <c r="Z9" i="1"/>
  <c r="B10" i="1"/>
  <c r="E10" i="1"/>
  <c r="J10" i="1"/>
  <c r="K10" i="1"/>
  <c r="L10" i="1"/>
  <c r="R10" i="1"/>
  <c r="S10" i="1"/>
  <c r="B11" i="1"/>
  <c r="E11" i="1"/>
  <c r="J11" i="1"/>
  <c r="K11" i="1"/>
  <c r="L11" i="1"/>
  <c r="P11" i="1"/>
  <c r="Q11" i="1"/>
  <c r="S11" i="1"/>
  <c r="B12" i="1"/>
  <c r="E12" i="1"/>
  <c r="P12" i="1"/>
  <c r="Q12" i="1"/>
  <c r="R12" i="1"/>
  <c r="S12" i="1"/>
  <c r="E13" i="1"/>
  <c r="H14" i="1"/>
  <c r="I14" i="1"/>
  <c r="J14" i="1"/>
  <c r="K14" i="1"/>
  <c r="H15" i="1"/>
  <c r="I15" i="1"/>
  <c r="H16" i="1"/>
  <c r="I16" i="1"/>
  <c r="F17" i="1"/>
  <c r="G17" i="1"/>
  <c r="H17" i="1"/>
  <c r="I17" i="1"/>
  <c r="N17" i="1"/>
  <c r="O17" i="1"/>
  <c r="S17" i="1"/>
  <c r="T17" i="1"/>
  <c r="F18" i="1"/>
  <c r="G18" i="1"/>
  <c r="N18" i="1"/>
  <c r="O18" i="1"/>
  <c r="S18" i="1"/>
  <c r="T18" i="1"/>
  <c r="G19" i="1"/>
  <c r="T19" i="1"/>
  <c r="F20" i="1"/>
  <c r="G20" i="1"/>
  <c r="K20" i="1"/>
  <c r="L20" i="1"/>
  <c r="S20" i="1"/>
  <c r="T20" i="1"/>
  <c r="F21" i="1"/>
  <c r="G21" i="1"/>
  <c r="K21" i="1"/>
  <c r="L21" i="1"/>
  <c r="S21" i="1"/>
  <c r="T21" i="1"/>
  <c r="F22" i="1"/>
  <c r="G22" i="1"/>
  <c r="L22" i="1"/>
  <c r="Q22" i="1"/>
  <c r="R22" i="1"/>
  <c r="S22" i="1"/>
  <c r="T22" i="1"/>
  <c r="K23" i="1"/>
  <c r="L23" i="1"/>
  <c r="Q23" i="1"/>
  <c r="R23" i="1"/>
  <c r="K24" i="1"/>
  <c r="L24" i="1"/>
  <c r="S24" i="1"/>
  <c r="T24" i="1"/>
  <c r="F25" i="1"/>
  <c r="G25" i="1"/>
  <c r="K25" i="1"/>
  <c r="L25" i="1"/>
  <c r="Q25" i="1"/>
  <c r="R25" i="1"/>
  <c r="Q26" i="1"/>
  <c r="R26" i="1"/>
  <c r="H27" i="1"/>
  <c r="I27" i="1"/>
  <c r="H28" i="1"/>
  <c r="I28" i="1"/>
  <c r="K28" i="1"/>
  <c r="L28" i="1"/>
  <c r="I29" i="1"/>
  <c r="H30" i="1"/>
  <c r="I30" i="1"/>
  <c r="H31" i="1"/>
  <c r="I31" i="1"/>
  <c r="N31" i="1"/>
  <c r="O31" i="1"/>
  <c r="P31" i="1"/>
  <c r="Q31" i="1"/>
  <c r="H32" i="1"/>
  <c r="N32" i="1"/>
  <c r="O32" i="1"/>
  <c r="P32" i="1"/>
  <c r="Q32" i="1"/>
  <c r="I33" i="1"/>
  <c r="O33" i="1"/>
  <c r="Q33" i="1"/>
  <c r="I34" i="1"/>
  <c r="N34" i="1"/>
  <c r="O34" i="1"/>
  <c r="P34" i="1"/>
  <c r="Q34" i="1"/>
  <c r="H35" i="1"/>
  <c r="I35" i="1"/>
  <c r="N35" i="1"/>
  <c r="O35" i="1"/>
  <c r="P35" i="1"/>
  <c r="Q35" i="1"/>
  <c r="N36" i="1"/>
  <c r="O36" i="1"/>
  <c r="P36" i="1"/>
  <c r="Q36" i="1"/>
  <c r="L40" i="1"/>
  <c r="M40" i="1"/>
  <c r="L41" i="1"/>
  <c r="M41" i="1"/>
  <c r="J43" i="1"/>
  <c r="K43" i="1"/>
  <c r="V43" i="1"/>
  <c r="W43" i="1"/>
  <c r="J44" i="1"/>
  <c r="K44" i="1"/>
  <c r="V44" i="1"/>
  <c r="W44" i="1"/>
  <c r="K45" i="1"/>
  <c r="W45" i="1"/>
  <c r="J46" i="1"/>
  <c r="K46" i="1"/>
  <c r="S46" i="1"/>
  <c r="T46" i="1"/>
  <c r="V46" i="1"/>
  <c r="W46" i="1"/>
  <c r="J47" i="1"/>
  <c r="K47" i="1"/>
  <c r="Q47" i="1"/>
  <c r="R47" i="1"/>
  <c r="S47" i="1"/>
  <c r="T47" i="1"/>
  <c r="V47" i="1"/>
  <c r="J48" i="1"/>
  <c r="K48" i="1"/>
  <c r="O48" i="1"/>
  <c r="P48" i="1"/>
  <c r="Q48" i="1"/>
  <c r="R48" i="1"/>
  <c r="T48" i="1"/>
  <c r="V48" i="1"/>
  <c r="O49" i="1"/>
  <c r="P49" i="1"/>
  <c r="S49" i="1"/>
  <c r="T49" i="1"/>
  <c r="P50" i="1"/>
  <c r="S50" i="1"/>
  <c r="T50" i="1"/>
  <c r="G51" i="1"/>
  <c r="H51" i="1"/>
  <c r="O51" i="1"/>
  <c r="P51" i="1"/>
  <c r="S51" i="1"/>
  <c r="T51" i="1"/>
  <c r="G52" i="1"/>
  <c r="H52" i="1"/>
  <c r="O52" i="1"/>
  <c r="P52" i="1"/>
  <c r="W52" i="1"/>
  <c r="X52" i="1"/>
  <c r="H53" i="1"/>
  <c r="O53" i="1"/>
  <c r="P53" i="1"/>
  <c r="W53" i="1"/>
  <c r="X53" i="1"/>
  <c r="AL53" i="1"/>
  <c r="AM53" i="1"/>
  <c r="AN53" i="1"/>
  <c r="AO53" i="1"/>
  <c r="G54" i="1"/>
  <c r="H54" i="1"/>
  <c r="S54" i="1"/>
  <c r="T54" i="1"/>
  <c r="X54" i="1"/>
  <c r="AL54" i="1"/>
  <c r="AM54" i="1"/>
  <c r="AN54" i="1"/>
  <c r="AO54" i="1"/>
  <c r="G55" i="1"/>
  <c r="H55" i="1"/>
  <c r="W55" i="1"/>
  <c r="X55" i="1"/>
  <c r="AM55" i="1"/>
  <c r="AN55" i="1"/>
  <c r="AO55" i="1"/>
  <c r="G56" i="1"/>
  <c r="H56" i="1"/>
  <c r="O56" i="1"/>
  <c r="P56" i="1"/>
  <c r="W56" i="1"/>
  <c r="X56" i="1"/>
  <c r="AL56" i="1"/>
  <c r="W57" i="1"/>
  <c r="X57" i="1"/>
  <c r="AL57" i="1"/>
  <c r="I59" i="1"/>
  <c r="J59" i="1"/>
  <c r="P59" i="1"/>
  <c r="Q59" i="1"/>
  <c r="W59" i="1"/>
  <c r="X59" i="1"/>
  <c r="I60" i="1"/>
  <c r="J60" i="1"/>
  <c r="P60" i="1"/>
  <c r="Q60" i="1"/>
  <c r="J61" i="1"/>
  <c r="Q61" i="1"/>
  <c r="I62" i="1"/>
  <c r="J62" i="1"/>
  <c r="P62" i="1"/>
  <c r="Q62" i="1"/>
  <c r="I63" i="1"/>
  <c r="J63" i="1"/>
  <c r="P63" i="1"/>
  <c r="S63" i="1"/>
  <c r="T63" i="1"/>
  <c r="V63" i="1"/>
  <c r="W63" i="1"/>
  <c r="E64" i="1"/>
  <c r="F64" i="1"/>
  <c r="I64" i="1"/>
  <c r="J64" i="1"/>
  <c r="P64" i="1"/>
  <c r="S64" i="1"/>
  <c r="T64" i="1"/>
  <c r="V64" i="1"/>
  <c r="W64" i="1"/>
  <c r="E65" i="1"/>
  <c r="F65" i="1"/>
  <c r="J65" i="1"/>
  <c r="S65" i="1"/>
  <c r="T65" i="1"/>
  <c r="V65" i="1"/>
  <c r="W65" i="1"/>
  <c r="F66" i="1"/>
  <c r="T66" i="1"/>
  <c r="W66" i="1"/>
  <c r="X66" i="1"/>
  <c r="Y66" i="1"/>
  <c r="E67" i="1"/>
  <c r="F67" i="1"/>
  <c r="X67" i="1"/>
  <c r="Y67" i="1"/>
  <c r="E68" i="1"/>
  <c r="F68" i="1"/>
  <c r="H68" i="1"/>
  <c r="I68" i="1"/>
  <c r="Y68" i="1"/>
  <c r="Z68" i="1"/>
  <c r="AA68" i="1"/>
  <c r="E69" i="1"/>
  <c r="F69" i="1"/>
  <c r="H69" i="1"/>
  <c r="I69" i="1"/>
  <c r="X69" i="1"/>
  <c r="Y69" i="1"/>
  <c r="Z69" i="1"/>
  <c r="AA69" i="1"/>
  <c r="AF69" i="1"/>
  <c r="AG69" i="1"/>
  <c r="I70" i="1"/>
  <c r="X70" i="1"/>
  <c r="AA70" i="1"/>
  <c r="AF70" i="1"/>
  <c r="AG70" i="1"/>
  <c r="E71" i="1"/>
  <c r="F71" i="1"/>
  <c r="H71" i="1"/>
  <c r="I71" i="1"/>
  <c r="Z71" i="1"/>
  <c r="AA71" i="1"/>
  <c r="AF71" i="1"/>
  <c r="AG71" i="1"/>
  <c r="H72" i="1"/>
  <c r="I72" i="1"/>
  <c r="O72" i="1"/>
  <c r="P72" i="1"/>
  <c r="Z72" i="1"/>
  <c r="AF72" i="1"/>
  <c r="AG72" i="1"/>
  <c r="H73" i="1"/>
  <c r="I73" i="1"/>
  <c r="O73" i="1"/>
  <c r="P73" i="1"/>
  <c r="Z73" i="1"/>
  <c r="AF73" i="1"/>
  <c r="AG73" i="1"/>
  <c r="O74" i="1"/>
  <c r="P74" i="1"/>
  <c r="R74" i="1"/>
  <c r="S74" i="1"/>
  <c r="AF74" i="1"/>
  <c r="AG74" i="1"/>
  <c r="P75" i="1"/>
  <c r="R75" i="1"/>
  <c r="S75" i="1"/>
  <c r="AF75" i="1"/>
  <c r="AG75" i="1"/>
  <c r="R76" i="1"/>
  <c r="S76" i="1"/>
  <c r="Z76" i="1"/>
  <c r="AA76" i="1"/>
  <c r="AF76" i="1"/>
  <c r="AG76" i="1"/>
  <c r="L77" i="1"/>
  <c r="M77" i="1"/>
  <c r="S77" i="1"/>
  <c r="AF77" i="1"/>
  <c r="AG77" i="1"/>
  <c r="L78" i="1"/>
  <c r="M78" i="1"/>
  <c r="AF78" i="1"/>
  <c r="AG78" i="1"/>
  <c r="L79" i="1"/>
  <c r="M79" i="1"/>
  <c r="W79" i="1"/>
  <c r="X79" i="1"/>
  <c r="Y79" i="1"/>
  <c r="Z79" i="1"/>
  <c r="L80" i="1"/>
  <c r="M80" i="1"/>
  <c r="W80" i="1"/>
  <c r="X80" i="1"/>
  <c r="Y80" i="1"/>
  <c r="Z80" i="1"/>
  <c r="AB80" i="1"/>
  <c r="AC80" i="1"/>
  <c r="X81" i="1"/>
  <c r="AB81" i="1"/>
  <c r="AC81" i="1"/>
  <c r="Q82" i="1"/>
  <c r="R82" i="1"/>
  <c r="W82" i="1"/>
  <c r="X82" i="1"/>
  <c r="Y82" i="1"/>
  <c r="AC82" i="1"/>
  <c r="Q83" i="1"/>
  <c r="R83" i="1"/>
  <c r="W83" i="1"/>
  <c r="Y83" i="1"/>
  <c r="AA83" i="1"/>
  <c r="AB83" i="1"/>
  <c r="AC83" i="1"/>
  <c r="J84" i="1"/>
  <c r="K84" i="1"/>
  <c r="R84" i="1"/>
  <c r="W84" i="1"/>
  <c r="AB84" i="1"/>
  <c r="AC84" i="1"/>
  <c r="J85" i="1"/>
  <c r="K85" i="1"/>
  <c r="Q85" i="1"/>
  <c r="AB85" i="1"/>
  <c r="AC85" i="1"/>
  <c r="K86" i="1"/>
  <c r="Q86" i="1"/>
  <c r="AE86" i="1"/>
  <c r="AF86" i="1"/>
  <c r="AG86" i="1"/>
  <c r="J87" i="1"/>
  <c r="R87" i="1"/>
  <c r="AE87" i="1"/>
  <c r="AF87" i="1"/>
  <c r="AG87" i="1"/>
  <c r="J88" i="1"/>
  <c r="AF88" i="1"/>
  <c r="AG88" i="1"/>
  <c r="K89" i="1"/>
  <c r="AE89" i="1"/>
  <c r="AE90" i="1"/>
  <c r="X91" i="1"/>
  <c r="Y91" i="1"/>
  <c r="Z91" i="1"/>
  <c r="AA91" i="1"/>
  <c r="AF91" i="1"/>
  <c r="AG91" i="1"/>
  <c r="K92" i="1"/>
  <c r="L92" i="1"/>
  <c r="R92" i="1"/>
  <c r="S92" i="1"/>
  <c r="X92" i="1"/>
  <c r="Y92" i="1"/>
  <c r="Z92" i="1"/>
  <c r="AA92" i="1"/>
  <c r="K93" i="1"/>
  <c r="L93" i="1"/>
  <c r="R93" i="1"/>
  <c r="S93" i="1"/>
  <c r="Y93" i="1"/>
  <c r="Z93" i="1"/>
  <c r="AA93" i="1"/>
  <c r="L94" i="1"/>
  <c r="S94" i="1"/>
  <c r="X94" i="1"/>
  <c r="AD94" i="1"/>
  <c r="AE94" i="1"/>
  <c r="AF94" i="1"/>
  <c r="AG94" i="1"/>
  <c r="K95" i="1"/>
  <c r="R95" i="1"/>
  <c r="X95" i="1"/>
  <c r="AD95" i="1"/>
  <c r="AE95" i="1"/>
  <c r="AF95" i="1"/>
  <c r="AG95" i="1"/>
  <c r="K96" i="1"/>
  <c r="R96" i="1"/>
  <c r="Y96" i="1"/>
  <c r="Z96" i="1"/>
  <c r="AA96" i="1"/>
  <c r="AD96" i="1"/>
  <c r="AE96" i="1"/>
  <c r="AG96" i="1"/>
  <c r="L97" i="1"/>
  <c r="S97" i="1"/>
  <c r="AD97" i="1"/>
  <c r="AF97" i="1"/>
  <c r="AD98" i="1"/>
  <c r="AF98" i="1"/>
  <c r="C102" i="1"/>
  <c r="D102" i="1"/>
  <c r="F102" i="1"/>
  <c r="G102" i="1"/>
  <c r="I102" i="1"/>
  <c r="J102" i="1"/>
  <c r="L102" i="1"/>
  <c r="M102" i="1"/>
  <c r="Q102" i="1"/>
  <c r="S102" i="1"/>
  <c r="W102" i="1"/>
  <c r="X102" i="1"/>
  <c r="I103" i="1"/>
  <c r="J103" i="1"/>
  <c r="P103" i="1"/>
  <c r="R103" i="1"/>
  <c r="T103" i="1"/>
  <c r="E104" i="1"/>
  <c r="I104" i="1"/>
  <c r="J104" i="1"/>
  <c r="P104" i="1"/>
  <c r="R104" i="1"/>
  <c r="T104" i="1"/>
  <c r="E105" i="1"/>
  <c r="I105" i="1"/>
  <c r="J105" i="1"/>
  <c r="P105" i="1"/>
  <c r="R105" i="1"/>
  <c r="T105" i="1"/>
  <c r="E106" i="1"/>
  <c r="I106" i="1"/>
  <c r="J106" i="1"/>
  <c r="P106" i="1"/>
  <c r="R106" i="1"/>
  <c r="T106" i="1"/>
  <c r="E107" i="1"/>
  <c r="I107" i="1"/>
  <c r="J107" i="1"/>
  <c r="P107" i="1"/>
  <c r="R107" i="1"/>
  <c r="T107" i="1"/>
  <c r="E108" i="1"/>
  <c r="I108" i="1"/>
  <c r="J108" i="1"/>
  <c r="L108" i="1"/>
  <c r="M108" i="1"/>
  <c r="E109" i="1"/>
  <c r="E110" i="1"/>
  <c r="C111" i="1"/>
  <c r="D111" i="1"/>
  <c r="E111" i="1"/>
  <c r="F112" i="1"/>
  <c r="G112" i="1"/>
</calcChain>
</file>

<file path=xl/comments1.xml><?xml version="1.0" encoding="utf-8"?>
<comments xmlns="http://schemas.openxmlformats.org/spreadsheetml/2006/main">
  <authors>
    <author>sbrodeu</author>
  </authors>
  <commentList>
    <comment ref="X7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USED TO BE MAR 21</t>
        </r>
      </text>
    </comment>
    <comment ref="Y7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USED TO BE MAR 23</t>
        </r>
      </text>
    </comment>
  </commentList>
</comments>
</file>

<file path=xl/sharedStrings.xml><?xml version="1.0" encoding="utf-8"?>
<sst xmlns="http://schemas.openxmlformats.org/spreadsheetml/2006/main" count="234" uniqueCount="154">
  <si>
    <t>NWP / PGT GAS FLOW MAP</t>
  </si>
  <si>
    <t>BEGIN</t>
  </si>
  <si>
    <t>END</t>
  </si>
  <si>
    <t>KINGSGATE</t>
  </si>
  <si>
    <t>JACKSON PRAIRIE</t>
  </si>
  <si>
    <t>BALANCE</t>
  </si>
  <si>
    <t>OUTAGE SCHEDULE</t>
  </si>
  <si>
    <t>Available</t>
  </si>
  <si>
    <t xml:space="preserve">Impact </t>
  </si>
  <si>
    <t>SUMAS</t>
  </si>
  <si>
    <t>SIPI</t>
  </si>
  <si>
    <t>TOTAL</t>
  </si>
  <si>
    <t>Plant</t>
  </si>
  <si>
    <t>Location</t>
  </si>
  <si>
    <t>Start Date</t>
  </si>
  <si>
    <t>End Date</t>
  </si>
  <si>
    <t>%</t>
  </si>
  <si>
    <t>mmscf</t>
  </si>
  <si>
    <t xml:space="preserve">Details </t>
  </si>
  <si>
    <t>Shippers/Producers affected</t>
  </si>
  <si>
    <t>STARR ROAD Receipt</t>
  </si>
  <si>
    <t>MTD</t>
  </si>
  <si>
    <t>Ft. Nelson</t>
  </si>
  <si>
    <t>20" Pointed Mountain</t>
  </si>
  <si>
    <t>Pigging Barrel Replacement</t>
  </si>
  <si>
    <t>Amoco, Anderson, Wascana, AEC</t>
  </si>
  <si>
    <t>-</t>
  </si>
  <si>
    <t>24" Beaver River</t>
  </si>
  <si>
    <t>Announced Unplanned Outage</t>
  </si>
  <si>
    <t>Amoco, Anderson, AEC West</t>
  </si>
  <si>
    <t xml:space="preserve">Muddy Creek </t>
  </si>
  <si>
    <t xml:space="preserve">Muddy Creek Supply Restricted to 310 </t>
  </si>
  <si>
    <t xml:space="preserve">       RATHDRUM</t>
  </si>
  <si>
    <t>(On Capacity of 400 North, 360 South)</t>
  </si>
  <si>
    <t>CAPACITY</t>
  </si>
  <si>
    <t>CAPACITY - Inj. 430</t>
  </si>
  <si>
    <t>Others ****</t>
  </si>
  <si>
    <t xml:space="preserve">                    - With.  559</t>
  </si>
  <si>
    <t>CHEHALIS</t>
  </si>
  <si>
    <t>Others*</t>
  </si>
  <si>
    <t>SPOKANE (NWP)</t>
  </si>
  <si>
    <t>ROOSEVELT</t>
  </si>
  <si>
    <t>Others***</t>
  </si>
  <si>
    <t>South Capacity</t>
  </si>
  <si>
    <t>North Capacity</t>
  </si>
  <si>
    <t>Fuel</t>
  </si>
  <si>
    <t>WASHOUGAL DLVY + COMPR.</t>
  </si>
  <si>
    <t>NWP STANFIELD</t>
  </si>
  <si>
    <t>(North Flow)</t>
  </si>
  <si>
    <t>(South Flow)</t>
  </si>
  <si>
    <t>Del. Capacity</t>
  </si>
  <si>
    <t>Rec. Capacity</t>
  </si>
  <si>
    <t>To Oregon City</t>
  </si>
  <si>
    <t>CAPACITY - REC. 511</t>
  </si>
  <si>
    <t xml:space="preserve">                    - DEL. 200</t>
  </si>
  <si>
    <t xml:space="preserve">         PLYMOUTH</t>
  </si>
  <si>
    <t>S. HERMISTON</t>
  </si>
  <si>
    <t>SHUTE CREEK PLANT</t>
  </si>
  <si>
    <t>KEMMERER</t>
  </si>
  <si>
    <t>Others**</t>
  </si>
  <si>
    <t>MEACHAM</t>
  </si>
  <si>
    <t>COYOTE SPRINGS</t>
  </si>
  <si>
    <t>OPAL GAS PLANT</t>
  </si>
  <si>
    <t>RECEIPT</t>
  </si>
  <si>
    <t>DELIVERY</t>
  </si>
  <si>
    <t>NET</t>
  </si>
  <si>
    <t>Station 14</t>
  </si>
  <si>
    <t>RENO LAT.</t>
  </si>
  <si>
    <t>MEDFORD</t>
  </si>
  <si>
    <t>CIG</t>
  </si>
  <si>
    <t>PAINTER</t>
  </si>
  <si>
    <t>Muddy Creek - Kern</t>
  </si>
  <si>
    <t>MALIN</t>
  </si>
  <si>
    <t>MUDDY CREEK - NWPL</t>
  </si>
  <si>
    <t>Cap.</t>
  </si>
  <si>
    <t>TUSCARORA</t>
  </si>
  <si>
    <t>GREEN RIVER</t>
  </si>
  <si>
    <t>Kern River P/L</t>
  </si>
  <si>
    <t>Ignacio</t>
  </si>
  <si>
    <t>FILLMORE</t>
  </si>
  <si>
    <t>Bondad</t>
  </si>
  <si>
    <t>LaMaquina</t>
  </si>
  <si>
    <t>ANSCHUTZ</t>
  </si>
  <si>
    <t>Red Cedar</t>
  </si>
  <si>
    <t>Milagro</t>
  </si>
  <si>
    <t>Burlington</t>
  </si>
  <si>
    <t>GOODSPRINGS</t>
  </si>
  <si>
    <t>Kutz</t>
  </si>
  <si>
    <t>CLAY BASIN</t>
  </si>
  <si>
    <t>Chaco-Blanco</t>
  </si>
  <si>
    <t>NWPL</t>
  </si>
  <si>
    <t>Balance</t>
  </si>
  <si>
    <t>QUESTAR</t>
  </si>
  <si>
    <t>LA PLATA B</t>
  </si>
  <si>
    <t>EOC N</t>
  </si>
  <si>
    <t>LEGEND</t>
  </si>
  <si>
    <t xml:space="preserve">       To: Ehrenberg, Mojave, PG&amp;E, SoCal</t>
  </si>
  <si>
    <t>Topock</t>
  </si>
  <si>
    <t xml:space="preserve">    Permian Basin</t>
  </si>
  <si>
    <t>Compressor St.</t>
  </si>
  <si>
    <t>(+) South Flow</t>
  </si>
  <si>
    <t>Plains Station</t>
  </si>
  <si>
    <t>(-) North Flow</t>
  </si>
  <si>
    <t>N/A</t>
  </si>
  <si>
    <t>CAPACITY - Inj. 339</t>
  </si>
  <si>
    <t>North</t>
  </si>
  <si>
    <t>South</t>
  </si>
  <si>
    <t xml:space="preserve">                    - With.  330</t>
  </si>
  <si>
    <t>Capacity</t>
  </si>
  <si>
    <t>Del/Rec Point</t>
  </si>
  <si>
    <t>(+) Received into Pipeline</t>
  </si>
  <si>
    <t>(-) Delivered off of System</t>
  </si>
  <si>
    <t>Window Rock</t>
  </si>
  <si>
    <t>Storage Field</t>
  </si>
  <si>
    <t>(+) Withdrawal from Storage</t>
  </si>
  <si>
    <t>SJ West</t>
  </si>
  <si>
    <t>SJ Total</t>
  </si>
  <si>
    <t>SJ East</t>
  </si>
  <si>
    <t>(-) Injection into Storage</t>
  </si>
  <si>
    <t>Ehrenberg</t>
  </si>
  <si>
    <t>EOC S</t>
  </si>
  <si>
    <t>Gas Plant</t>
  </si>
  <si>
    <t>SoCal</t>
  </si>
  <si>
    <t>KEYSTONE W.</t>
  </si>
  <si>
    <t>WAHA</t>
  </si>
  <si>
    <t>Kern</t>
  </si>
  <si>
    <t xml:space="preserve">Capacity </t>
  </si>
  <si>
    <t>Operationnally Available</t>
  </si>
  <si>
    <t>Utilized</t>
  </si>
  <si>
    <t xml:space="preserve">GREEN RIVER DELIVERY               </t>
  </si>
  <si>
    <t>PALOUSE</t>
  </si>
  <si>
    <t xml:space="preserve">RIVER ROAD                         </t>
  </si>
  <si>
    <t>Anschutz Plant Comp.</t>
  </si>
  <si>
    <t xml:space="preserve">FINLEY PLANT                       </t>
  </si>
  <si>
    <t>MICA</t>
  </si>
  <si>
    <t xml:space="preserve">DEER ISLAND                        </t>
  </si>
  <si>
    <t>Painter Plant Comp.</t>
  </si>
  <si>
    <t xml:space="preserve">BURBANK HEIGHTS                    </t>
  </si>
  <si>
    <t>BEND</t>
  </si>
  <si>
    <t xml:space="preserve">SOUTH LONGVIEW FIBRE               </t>
  </si>
  <si>
    <t>Goodsprings Comp.</t>
  </si>
  <si>
    <t xml:space="preserve">LEWISTON PFI                       </t>
  </si>
  <si>
    <t>KLAMATH FALLS</t>
  </si>
  <si>
    <t xml:space="preserve">KELSO/BEAVER                       </t>
  </si>
  <si>
    <t>Fillmore Comp.</t>
  </si>
  <si>
    <t xml:space="preserve">STANFIELD DELIVERY                 </t>
  </si>
  <si>
    <t>OTHERS</t>
  </si>
  <si>
    <t>Muddy Creek Comp.</t>
  </si>
  <si>
    <t xml:space="preserve">SPOKANE MEAD                       </t>
  </si>
  <si>
    <t>STARR ROAD</t>
  </si>
  <si>
    <r>
      <t xml:space="preserve">* Others Include: </t>
    </r>
    <r>
      <rPr>
        <b/>
        <u/>
        <sz val="8"/>
        <rFont val="Arial"/>
        <family val="2"/>
      </rPr>
      <t>(Meacham to Roosevelt)</t>
    </r>
  </si>
  <si>
    <r>
      <t xml:space="preserve">** Others Include: </t>
    </r>
    <r>
      <rPr>
        <b/>
        <u/>
        <sz val="8"/>
        <rFont val="Arial"/>
        <family val="2"/>
      </rPr>
      <t>(Kemmerer to Meacham)</t>
    </r>
  </si>
  <si>
    <r>
      <t>*** Others Include:</t>
    </r>
    <r>
      <rPr>
        <b/>
        <u/>
        <sz val="8"/>
        <rFont val="Arial"/>
        <family val="2"/>
      </rPr>
      <t xml:space="preserve"> (Kingsgate to Malin)</t>
    </r>
  </si>
  <si>
    <r>
      <t xml:space="preserve">**** Others Include: </t>
    </r>
    <r>
      <rPr>
        <b/>
        <u/>
        <sz val="8"/>
        <rFont val="Arial"/>
        <family val="2"/>
      </rPr>
      <t>(Chehalis to Roosevelt)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</si>
</sst>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0_);[Red]\(0\)"/>
    <numFmt numFmtId="199" formatCode="&quot;VS&quot;\ mmm\-yy"/>
  </numFmts>
  <fonts count="2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u/>
      <sz val="8"/>
      <name val="Arial"/>
      <family val="2"/>
    </font>
    <font>
      <u/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 applyFill="1" applyBorder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0" borderId="2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/>
    </xf>
    <xf numFmtId="15" fontId="6" fillId="0" borderId="4" xfId="0" applyNumberFormat="1" applyFont="1" applyFill="1" applyBorder="1" applyAlignment="1">
      <alignment horizontal="center"/>
    </xf>
    <xf numFmtId="38" fontId="6" fillId="0" borderId="5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5" fontId="10" fillId="0" borderId="0" xfId="0" applyNumberFormat="1" applyFont="1" applyAlignment="1">
      <alignment horizontal="center"/>
    </xf>
    <xf numFmtId="9" fontId="10" fillId="0" borderId="0" xfId="2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3" fontId="6" fillId="0" borderId="0" xfId="0" applyNumberFormat="1" applyFont="1" applyFill="1" applyBorder="1" applyAlignment="1">
      <alignment horizontal="center"/>
    </xf>
    <xf numFmtId="0" fontId="6" fillId="0" borderId="2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0" xfId="0" applyFont="1"/>
    <xf numFmtId="15" fontId="0" fillId="0" borderId="0" xfId="0" applyNumberFormat="1" applyAlignment="1">
      <alignment horizontal="center"/>
    </xf>
    <xf numFmtId="9" fontId="1" fillId="0" borderId="0" xfId="2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Fill="1" applyBorder="1" applyAlignment="1">
      <alignment horizontal="center"/>
    </xf>
    <xf numFmtId="17" fontId="6" fillId="0" borderId="4" xfId="0" applyNumberFormat="1" applyFont="1" applyFill="1" applyBorder="1" applyAlignment="1">
      <alignment horizontal="center"/>
    </xf>
    <xf numFmtId="38" fontId="6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38" fontId="7" fillId="0" borderId="5" xfId="0" applyNumberFormat="1" applyFont="1" applyFill="1" applyBorder="1" applyAlignment="1">
      <alignment horizontal="center"/>
    </xf>
    <xf numFmtId="3" fontId="6" fillId="0" borderId="5" xfId="0" applyNumberFormat="1" applyFont="1" applyFill="1" applyBorder="1" applyAlignment="1">
      <alignment horizontal="center"/>
    </xf>
    <xf numFmtId="15" fontId="6" fillId="0" borderId="6" xfId="0" applyNumberFormat="1" applyFont="1" applyFill="1" applyBorder="1" applyAlignment="1">
      <alignment horizontal="center"/>
    </xf>
    <xf numFmtId="38" fontId="6" fillId="0" borderId="7" xfId="0" applyNumberFormat="1" applyFont="1" applyFill="1" applyBorder="1" applyAlignment="1">
      <alignment horizontal="center"/>
    </xf>
    <xf numFmtId="0" fontId="5" fillId="0" borderId="0" xfId="0" applyFont="1" applyBorder="1"/>
    <xf numFmtId="15" fontId="0" fillId="0" borderId="0" xfId="0" applyNumberFormat="1" applyBorder="1" applyAlignment="1">
      <alignment horizontal="center"/>
    </xf>
    <xf numFmtId="9" fontId="1" fillId="0" borderId="0" xfId="2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3" fillId="0" borderId="5" xfId="0" applyFont="1" applyFill="1" applyBorder="1" applyAlignment="1">
      <alignment horizontal="center"/>
    </xf>
    <xf numFmtId="38" fontId="3" fillId="0" borderId="8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7" fontId="6" fillId="0" borderId="6" xfId="0" applyNumberFormat="1" applyFont="1" applyFill="1" applyBorder="1" applyAlignment="1">
      <alignment horizontal="center"/>
    </xf>
    <xf numFmtId="0" fontId="6" fillId="0" borderId="5" xfId="0" applyFont="1" applyFill="1" applyBorder="1"/>
    <xf numFmtId="3" fontId="6" fillId="0" borderId="9" xfId="0" applyNumberFormat="1" applyFont="1" applyFill="1" applyBorder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left"/>
    </xf>
    <xf numFmtId="0" fontId="1" fillId="0" borderId="10" xfId="0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99" fontId="3" fillId="0" borderId="0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1" fillId="0" borderId="6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7" xfId="0" applyFont="1" applyFill="1" applyBorder="1"/>
    <xf numFmtId="15" fontId="3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5" fontId="3" fillId="0" borderId="0" xfId="0" applyNumberFormat="1" applyFont="1" applyFill="1" applyBorder="1"/>
    <xf numFmtId="0" fontId="11" fillId="0" borderId="0" xfId="0" applyFont="1" applyFill="1" applyBorder="1"/>
    <xf numFmtId="17" fontId="6" fillId="0" borderId="0" xfId="0" applyNumberFormat="1" applyFont="1" applyFill="1" applyBorder="1"/>
    <xf numFmtId="167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7" fontId="1" fillId="0" borderId="11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167" fontId="3" fillId="0" borderId="7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Continuous"/>
    </xf>
    <xf numFmtId="0" fontId="6" fillId="2" borderId="1" xfId="0" applyFont="1" applyFill="1" applyBorder="1"/>
    <xf numFmtId="0" fontId="13" fillId="2" borderId="2" xfId="0" applyFont="1" applyFill="1" applyBorder="1" applyAlignment="1">
      <alignment horizontal="right"/>
    </xf>
    <xf numFmtId="0" fontId="6" fillId="2" borderId="4" xfId="0" applyFont="1" applyFill="1" applyBorder="1"/>
    <xf numFmtId="0" fontId="1" fillId="2" borderId="5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15" fontId="6" fillId="2" borderId="4" xfId="0" applyNumberFormat="1" applyFont="1" applyFill="1" applyBorder="1" applyAlignment="1">
      <alignment horizontal="center"/>
    </xf>
    <xf numFmtId="38" fontId="6" fillId="2" borderId="5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7" fontId="6" fillId="2" borderId="4" xfId="0" applyNumberFormat="1" applyFont="1" applyFill="1" applyBorder="1" applyAlignment="1">
      <alignment horizontal="center"/>
    </xf>
    <xf numFmtId="17" fontId="6" fillId="2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6" fillId="2" borderId="7" xfId="0" applyFont="1" applyFill="1" applyBorder="1"/>
    <xf numFmtId="0" fontId="13" fillId="0" borderId="0" xfId="0" applyFont="1" applyFill="1" applyBorder="1"/>
    <xf numFmtId="0" fontId="3" fillId="0" borderId="1" xfId="0" applyFont="1" applyFill="1" applyBorder="1"/>
    <xf numFmtId="0" fontId="3" fillId="0" borderId="4" xfId="0" applyFont="1" applyFill="1" applyBorder="1"/>
    <xf numFmtId="15" fontId="3" fillId="0" borderId="4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" fontId="3" fillId="0" borderId="4" xfId="0" applyNumberFormat="1" applyFont="1" applyFill="1" applyBorder="1" applyAlignment="1">
      <alignment horizontal="center"/>
    </xf>
    <xf numFmtId="0" fontId="3" fillId="0" borderId="5" xfId="0" applyFont="1" applyFill="1" applyBorder="1"/>
    <xf numFmtId="17" fontId="3" fillId="0" borderId="6" xfId="0" applyNumberFormat="1" applyFont="1" applyFill="1" applyBorder="1" applyAlignment="1">
      <alignment horizontal="center"/>
    </xf>
    <xf numFmtId="0" fontId="3" fillId="0" borderId="9" xfId="0" applyFont="1" applyFill="1" applyBorder="1"/>
    <xf numFmtId="0" fontId="3" fillId="0" borderId="7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5" fillId="0" borderId="0" xfId="0" applyFont="1" applyFill="1" applyBorder="1"/>
    <xf numFmtId="15" fontId="6" fillId="0" borderId="5" xfId="0" applyNumberFormat="1" applyFont="1" applyFill="1" applyBorder="1" applyAlignment="1">
      <alignment horizontal="center"/>
    </xf>
    <xf numFmtId="16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16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17" fontId="3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16" fontId="3" fillId="0" borderId="0" xfId="0" applyNumberFormat="1" applyFont="1" applyFill="1" applyBorder="1"/>
    <xf numFmtId="38" fontId="5" fillId="0" borderId="11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38" fontId="3" fillId="0" borderId="0" xfId="0" applyNumberFormat="1" applyFont="1" applyFill="1" applyBorder="1"/>
    <xf numFmtId="38" fontId="7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left"/>
    </xf>
    <xf numFmtId="38" fontId="17" fillId="0" borderId="0" xfId="0" applyNumberFormat="1" applyFont="1" applyFill="1" applyBorder="1"/>
    <xf numFmtId="37" fontId="3" fillId="0" borderId="0" xfId="0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right"/>
    </xf>
    <xf numFmtId="0" fontId="1" fillId="0" borderId="13" xfId="0" applyFont="1" applyFill="1" applyBorder="1"/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/>
    <xf numFmtId="0" fontId="3" fillId="0" borderId="0" xfId="0" applyFont="1" applyFill="1" applyBorder="1" applyAlignment="1">
      <alignment horizontal="right"/>
    </xf>
    <xf numFmtId="10" fontId="7" fillId="0" borderId="0" xfId="2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38" fontId="3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0" borderId="16" xfId="0" applyFont="1" applyFill="1" applyBorder="1"/>
    <xf numFmtId="0" fontId="6" fillId="0" borderId="17" xfId="0" applyFont="1" applyFill="1" applyBorder="1"/>
    <xf numFmtId="0" fontId="6" fillId="0" borderId="17" xfId="0" applyFont="1" applyFill="1" applyBorder="1" applyAlignment="1">
      <alignment horizontal="center"/>
    </xf>
    <xf numFmtId="0" fontId="8" fillId="0" borderId="9" xfId="0" applyFont="1" applyFill="1" applyBorder="1"/>
    <xf numFmtId="15" fontId="3" fillId="0" borderId="3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3" xfId="0" applyFont="1" applyFill="1" applyBorder="1"/>
    <xf numFmtId="0" fontId="8" fillId="0" borderId="4" xfId="0" applyFont="1" applyFill="1" applyBorder="1"/>
    <xf numFmtId="0" fontId="0" fillId="0" borderId="4" xfId="0" applyBorder="1"/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/>
    <xf numFmtId="38" fontId="0" fillId="0" borderId="18" xfId="0" applyNumberFormat="1" applyBorder="1" applyAlignment="1">
      <alignment horizontal="center"/>
    </xf>
    <xf numFmtId="0" fontId="6" fillId="0" borderId="4" xfId="0" applyFont="1" applyFill="1" applyBorder="1"/>
    <xf numFmtId="38" fontId="19" fillId="0" borderId="0" xfId="0" applyNumberFormat="1" applyFont="1" applyFill="1" applyBorder="1" applyAlignment="1">
      <alignment horizontal="center"/>
    </xf>
    <xf numFmtId="38" fontId="17" fillId="0" borderId="0" xfId="0" applyNumberFormat="1" applyFont="1" applyBorder="1" applyAlignment="1">
      <alignment horizontal="center"/>
    </xf>
    <xf numFmtId="38" fontId="17" fillId="0" borderId="5" xfId="0" applyNumberFormat="1" applyFont="1" applyBorder="1" applyAlignment="1">
      <alignment horizontal="center"/>
    </xf>
    <xf numFmtId="0" fontId="3" fillId="0" borderId="6" xfId="0" applyFont="1" applyFill="1" applyBorder="1"/>
    <xf numFmtId="38" fontId="3" fillId="0" borderId="9" xfId="0" applyNumberFormat="1" applyFont="1" applyFill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38" fontId="17" fillId="0" borderId="0" xfId="0" applyNumberFormat="1" applyFont="1" applyFill="1" applyBorder="1" applyAlignment="1">
      <alignment horizontal="center"/>
    </xf>
    <xf numFmtId="38" fontId="17" fillId="0" borderId="5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0" fillId="0" borderId="0" xfId="0" applyAlignment="1">
      <alignment horizontal="right"/>
    </xf>
    <xf numFmtId="38" fontId="0" fillId="0" borderId="0" xfId="0" applyNumberForma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" fontId="5" fillId="0" borderId="0" xfId="0" quotePrefix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19050</xdr:rowOff>
    </xdr:from>
    <xdr:to>
      <xdr:col>5</xdr:col>
      <xdr:colOff>438150</xdr:colOff>
      <xdr:row>11</xdr:row>
      <xdr:rowOff>57150</xdr:rowOff>
    </xdr:to>
    <xdr:sp macro="" textlink="">
      <xdr:nvSpPr>
        <xdr:cNvPr id="1025" name="Oval 1">
          <a:extLst>
            <a:ext uri="{FF2B5EF4-FFF2-40B4-BE49-F238E27FC236}">
              <a16:creationId xmlns:a16="http://schemas.microsoft.com/office/drawing/2014/main" id="{DE57B56F-21DE-1520-D2C7-19D7553531F1}"/>
            </a:ext>
          </a:extLst>
        </xdr:cNvPr>
        <xdr:cNvSpPr>
          <a:spLocks noChangeArrowheads="1"/>
        </xdr:cNvSpPr>
      </xdr:nvSpPr>
      <xdr:spPr bwMode="auto">
        <a:xfrm>
          <a:off x="3771900" y="170497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7</xdr:row>
      <xdr:rowOff>47625</xdr:rowOff>
    </xdr:from>
    <xdr:to>
      <xdr:col>17</xdr:col>
      <xdr:colOff>133350</xdr:colOff>
      <xdr:row>9</xdr:row>
      <xdr:rowOff>85725</xdr:rowOff>
    </xdr:to>
    <xdr:sp macro="" textlink="">
      <xdr:nvSpPr>
        <xdr:cNvPr id="1026" name="Oval 2">
          <a:extLst>
            <a:ext uri="{FF2B5EF4-FFF2-40B4-BE49-F238E27FC236}">
              <a16:creationId xmlns:a16="http://schemas.microsoft.com/office/drawing/2014/main" id="{0857B27E-1BA7-A39E-B7A9-5B759F57DAE8}"/>
            </a:ext>
          </a:extLst>
        </xdr:cNvPr>
        <xdr:cNvSpPr>
          <a:spLocks noChangeArrowheads="1"/>
        </xdr:cNvSpPr>
      </xdr:nvSpPr>
      <xdr:spPr bwMode="auto">
        <a:xfrm>
          <a:off x="13706475" y="137160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676275</xdr:colOff>
      <xdr:row>22</xdr:row>
      <xdr:rowOff>38100</xdr:rowOff>
    </xdr:from>
    <xdr:to>
      <xdr:col>9</xdr:col>
      <xdr:colOff>190500</xdr:colOff>
      <xdr:row>24</xdr:row>
      <xdr:rowOff>76200</xdr:rowOff>
    </xdr:to>
    <xdr:sp macro="" textlink="">
      <xdr:nvSpPr>
        <xdr:cNvPr id="1027" name="Oval 3">
          <a:extLst>
            <a:ext uri="{FF2B5EF4-FFF2-40B4-BE49-F238E27FC236}">
              <a16:creationId xmlns:a16="http://schemas.microsoft.com/office/drawing/2014/main" id="{0985AB37-1EDB-032E-F2EA-957D73013123}"/>
            </a:ext>
          </a:extLst>
        </xdr:cNvPr>
        <xdr:cNvSpPr>
          <a:spLocks noChangeArrowheads="1"/>
        </xdr:cNvSpPr>
      </xdr:nvSpPr>
      <xdr:spPr bwMode="auto">
        <a:xfrm>
          <a:off x="6905625" y="40862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676275</xdr:colOff>
      <xdr:row>39</xdr:row>
      <xdr:rowOff>142875</xdr:rowOff>
    </xdr:from>
    <xdr:to>
      <xdr:col>14</xdr:col>
      <xdr:colOff>190500</xdr:colOff>
      <xdr:row>42</xdr:row>
      <xdr:rowOff>9525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A453954F-AABB-3C06-119D-5023EE0D9D8C}"/>
            </a:ext>
          </a:extLst>
        </xdr:cNvPr>
        <xdr:cNvSpPr>
          <a:spLocks noChangeArrowheads="1"/>
        </xdr:cNvSpPr>
      </xdr:nvSpPr>
      <xdr:spPr bwMode="auto">
        <a:xfrm>
          <a:off x="11220450" y="7277100"/>
          <a:ext cx="36195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50</xdr:row>
      <xdr:rowOff>161925</xdr:rowOff>
    </xdr:from>
    <xdr:to>
      <xdr:col>17</xdr:col>
      <xdr:colOff>342900</xdr:colOff>
      <xdr:row>52</xdr:row>
      <xdr:rowOff>171450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D7733C03-DAA0-1E00-8FBC-D7E52F4FCDDE}"/>
            </a:ext>
          </a:extLst>
        </xdr:cNvPr>
        <xdr:cNvSpPr>
          <a:spLocks noChangeArrowheads="1"/>
        </xdr:cNvSpPr>
      </xdr:nvSpPr>
      <xdr:spPr bwMode="auto">
        <a:xfrm>
          <a:off x="13916025" y="928687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13</xdr:row>
      <xdr:rowOff>123825</xdr:rowOff>
    </xdr:from>
    <xdr:to>
      <xdr:col>9</xdr:col>
      <xdr:colOff>342900</xdr:colOff>
      <xdr:row>15</xdr:row>
      <xdr:rowOff>104775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309A2D0-C065-CA11-4EC5-C25856E8099A}"/>
            </a:ext>
          </a:extLst>
        </xdr:cNvPr>
        <xdr:cNvSpPr>
          <a:spLocks noChangeArrowheads="1"/>
        </xdr:cNvSpPr>
      </xdr:nvSpPr>
      <xdr:spPr bwMode="auto">
        <a:xfrm>
          <a:off x="7096125" y="2533650"/>
          <a:ext cx="3238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790575</xdr:colOff>
      <xdr:row>36</xdr:row>
      <xdr:rowOff>161925</xdr:rowOff>
    </xdr:from>
    <xdr:to>
      <xdr:col>17</xdr:col>
      <xdr:colOff>161925</xdr:colOff>
      <xdr:row>51</xdr:row>
      <xdr:rowOff>142875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88D01B4D-5AC9-F37D-B126-036B692064A5}"/>
            </a:ext>
          </a:extLst>
        </xdr:cNvPr>
        <xdr:cNvSpPr>
          <a:spLocks noChangeShapeType="1"/>
        </xdr:cNvSpPr>
      </xdr:nvSpPr>
      <xdr:spPr bwMode="auto">
        <a:xfrm>
          <a:off x="10487025" y="6753225"/>
          <a:ext cx="3609975" cy="270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47625</xdr:colOff>
      <xdr:row>8</xdr:row>
      <xdr:rowOff>19050</xdr:rowOff>
    </xdr:from>
    <xdr:to>
      <xdr:col>16</xdr:col>
      <xdr:colOff>781050</xdr:colOff>
      <xdr:row>40</xdr:row>
      <xdr:rowOff>161925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FA6760A5-7344-B641-7180-2D79B89CEF66}"/>
            </a:ext>
          </a:extLst>
        </xdr:cNvPr>
        <xdr:cNvSpPr>
          <a:spLocks noChangeShapeType="1"/>
        </xdr:cNvSpPr>
      </xdr:nvSpPr>
      <xdr:spPr bwMode="auto">
        <a:xfrm flipH="1">
          <a:off x="11439525" y="1524000"/>
          <a:ext cx="2428875" cy="5953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495300</xdr:colOff>
      <xdr:row>52</xdr:row>
      <xdr:rowOff>28575</xdr:rowOff>
    </xdr:from>
    <xdr:to>
      <xdr:col>17</xdr:col>
      <xdr:colOff>95250</xdr:colOff>
      <xdr:row>56</xdr:row>
      <xdr:rowOff>161925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7BEA6109-5F24-FDF0-2278-CC9CFE04F7E3}"/>
            </a:ext>
          </a:extLst>
        </xdr:cNvPr>
        <xdr:cNvSpPr>
          <a:spLocks noChangeShapeType="1"/>
        </xdr:cNvSpPr>
      </xdr:nvSpPr>
      <xdr:spPr bwMode="auto">
        <a:xfrm flipH="1">
          <a:off x="13582650" y="9544050"/>
          <a:ext cx="447675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32</xdr:row>
      <xdr:rowOff>0</xdr:rowOff>
    </xdr:from>
    <xdr:to>
      <xdr:col>6</xdr:col>
      <xdr:colOff>733425</xdr:colOff>
      <xdr:row>34</xdr:row>
      <xdr:rowOff>85725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6971A234-90D1-D705-5259-4B2520C028F9}"/>
            </a:ext>
          </a:extLst>
        </xdr:cNvPr>
        <xdr:cNvSpPr>
          <a:spLocks noChangeShapeType="1"/>
        </xdr:cNvSpPr>
      </xdr:nvSpPr>
      <xdr:spPr bwMode="auto">
        <a:xfrm flipV="1">
          <a:off x="4791075" y="5867400"/>
          <a:ext cx="476250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314325</xdr:colOff>
      <xdr:row>15</xdr:row>
      <xdr:rowOff>76200</xdr:rowOff>
    </xdr:from>
    <xdr:to>
      <xdr:col>9</xdr:col>
      <xdr:colOff>142875</xdr:colOff>
      <xdr:row>20</xdr:row>
      <xdr:rowOff>133350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87DAB8B9-150D-C89C-AF53-FFC9B4C2CD26}"/>
            </a:ext>
          </a:extLst>
        </xdr:cNvPr>
        <xdr:cNvSpPr>
          <a:spLocks noChangeShapeType="1"/>
        </xdr:cNvSpPr>
      </xdr:nvSpPr>
      <xdr:spPr bwMode="auto">
        <a:xfrm flipH="1">
          <a:off x="6543675" y="2847975"/>
          <a:ext cx="676275" cy="971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314325</xdr:colOff>
      <xdr:row>16</xdr:row>
      <xdr:rowOff>47625</xdr:rowOff>
    </xdr:from>
    <xdr:to>
      <xdr:col>17</xdr:col>
      <xdr:colOff>676275</xdr:colOff>
      <xdr:row>18</xdr:row>
      <xdr:rowOff>85725</xdr:rowOff>
    </xdr:to>
    <xdr:sp macro="" textlink="">
      <xdr:nvSpPr>
        <xdr:cNvPr id="1036" name="Oval 12">
          <a:extLst>
            <a:ext uri="{FF2B5EF4-FFF2-40B4-BE49-F238E27FC236}">
              <a16:creationId xmlns:a16="http://schemas.microsoft.com/office/drawing/2014/main" id="{DBC031BF-3414-BAC3-E2BC-8E8F70BFBCDA}"/>
            </a:ext>
          </a:extLst>
        </xdr:cNvPr>
        <xdr:cNvSpPr>
          <a:spLocks noChangeArrowheads="1"/>
        </xdr:cNvSpPr>
      </xdr:nvSpPr>
      <xdr:spPr bwMode="auto">
        <a:xfrm>
          <a:off x="14249400" y="300990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17</xdr:row>
      <xdr:rowOff>104775</xdr:rowOff>
    </xdr:from>
    <xdr:to>
      <xdr:col>17</xdr:col>
      <xdr:colOff>285750</xdr:colOff>
      <xdr:row>17</xdr:row>
      <xdr:rowOff>104775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56CEB74E-5D13-561B-DE14-642F3D747449}"/>
            </a:ext>
          </a:extLst>
        </xdr:cNvPr>
        <xdr:cNvSpPr>
          <a:spLocks noChangeShapeType="1"/>
        </xdr:cNvSpPr>
      </xdr:nvSpPr>
      <xdr:spPr bwMode="auto">
        <a:xfrm>
          <a:off x="13163550" y="32480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44</xdr:row>
      <xdr:rowOff>114300</xdr:rowOff>
    </xdr:from>
    <xdr:to>
      <xdr:col>11</xdr:col>
      <xdr:colOff>381000</xdr:colOff>
      <xdr:row>46</xdr:row>
      <xdr:rowOff>152400</xdr:rowOff>
    </xdr:to>
    <xdr:sp macro="" textlink="">
      <xdr:nvSpPr>
        <xdr:cNvPr id="1038" name="Oval 14">
          <a:extLst>
            <a:ext uri="{FF2B5EF4-FFF2-40B4-BE49-F238E27FC236}">
              <a16:creationId xmlns:a16="http://schemas.microsoft.com/office/drawing/2014/main" id="{7D8D3C6A-EFB2-38E0-5212-DCD80878C366}"/>
            </a:ext>
          </a:extLst>
        </xdr:cNvPr>
        <xdr:cNvSpPr>
          <a:spLocks noChangeArrowheads="1"/>
        </xdr:cNvSpPr>
      </xdr:nvSpPr>
      <xdr:spPr bwMode="auto">
        <a:xfrm>
          <a:off x="8791575" y="815340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304800</xdr:colOff>
      <xdr:row>46</xdr:row>
      <xdr:rowOff>28575</xdr:rowOff>
    </xdr:from>
    <xdr:to>
      <xdr:col>12</xdr:col>
      <xdr:colOff>95250</xdr:colOff>
      <xdr:row>46</xdr:row>
      <xdr:rowOff>28575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9D032FAB-9ABC-B96F-8E7F-4D70A127C630}"/>
            </a:ext>
          </a:extLst>
        </xdr:cNvPr>
        <xdr:cNvSpPr>
          <a:spLocks noChangeShapeType="1"/>
        </xdr:cNvSpPr>
      </xdr:nvSpPr>
      <xdr:spPr bwMode="auto">
        <a:xfrm flipH="1" flipV="1">
          <a:off x="9077325" y="8429625"/>
          <a:ext cx="714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54</xdr:row>
      <xdr:rowOff>19050</xdr:rowOff>
    </xdr:from>
    <xdr:to>
      <xdr:col>9</xdr:col>
      <xdr:colOff>161925</xdr:colOff>
      <xdr:row>54</xdr:row>
      <xdr:rowOff>19050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BC0D4ABA-7D0F-7390-04F9-C13C8358F2D1}"/>
            </a:ext>
          </a:extLst>
        </xdr:cNvPr>
        <xdr:cNvSpPr>
          <a:spLocks noChangeShapeType="1"/>
        </xdr:cNvSpPr>
      </xdr:nvSpPr>
      <xdr:spPr bwMode="auto">
        <a:xfrm flipH="1" flipV="1">
          <a:off x="6486525" y="9896475"/>
          <a:ext cx="752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53</xdr:row>
      <xdr:rowOff>0</xdr:rowOff>
    </xdr:from>
    <xdr:to>
      <xdr:col>8</xdr:col>
      <xdr:colOff>390525</xdr:colOff>
      <xdr:row>55</xdr:row>
      <xdr:rowOff>38100</xdr:rowOff>
    </xdr:to>
    <xdr:sp macro="" textlink="">
      <xdr:nvSpPr>
        <xdr:cNvPr id="1041" name="Oval 17">
          <a:extLst>
            <a:ext uri="{FF2B5EF4-FFF2-40B4-BE49-F238E27FC236}">
              <a16:creationId xmlns:a16="http://schemas.microsoft.com/office/drawing/2014/main" id="{4BAFDA29-8772-23A0-F8E8-8527C88E0A9E}"/>
            </a:ext>
          </a:extLst>
        </xdr:cNvPr>
        <xdr:cNvSpPr>
          <a:spLocks noChangeArrowheads="1"/>
        </xdr:cNvSpPr>
      </xdr:nvSpPr>
      <xdr:spPr bwMode="auto">
        <a:xfrm>
          <a:off x="6257925" y="969645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495300</xdr:colOff>
      <xdr:row>15</xdr:row>
      <xdr:rowOff>66675</xdr:rowOff>
    </xdr:from>
    <xdr:to>
      <xdr:col>8</xdr:col>
      <xdr:colOff>676275</xdr:colOff>
      <xdr:row>16</xdr:row>
      <xdr:rowOff>161925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CBCA4DA1-EACA-1510-08BB-A18D29739EF8}"/>
            </a:ext>
          </a:extLst>
        </xdr:cNvPr>
        <xdr:cNvSpPr>
          <a:spLocks noChangeShapeType="1"/>
        </xdr:cNvSpPr>
      </xdr:nvSpPr>
      <xdr:spPr bwMode="auto">
        <a:xfrm flipH="1">
          <a:off x="6724650" y="2838450"/>
          <a:ext cx="18097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66675</xdr:colOff>
      <xdr:row>17</xdr:row>
      <xdr:rowOff>161925</xdr:rowOff>
    </xdr:from>
    <xdr:to>
      <xdr:col>7</xdr:col>
      <xdr:colOff>438150</xdr:colOff>
      <xdr:row>19</xdr:row>
      <xdr:rowOff>76200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6F7C26A5-F25E-E0F9-EAE5-17A2735316E2}"/>
            </a:ext>
          </a:extLst>
        </xdr:cNvPr>
        <xdr:cNvSpPr>
          <a:spLocks noChangeShapeType="1"/>
        </xdr:cNvSpPr>
      </xdr:nvSpPr>
      <xdr:spPr bwMode="auto">
        <a:xfrm>
          <a:off x="5448300" y="3305175"/>
          <a:ext cx="3714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504825</xdr:colOff>
      <xdr:row>24</xdr:row>
      <xdr:rowOff>123825</xdr:rowOff>
    </xdr:from>
    <xdr:to>
      <xdr:col>9</xdr:col>
      <xdr:colOff>790575</xdr:colOff>
      <xdr:row>25</xdr:row>
      <xdr:rowOff>133350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0A23D3B4-53E6-679B-522C-250DDDA5450E}"/>
            </a:ext>
          </a:extLst>
        </xdr:cNvPr>
        <xdr:cNvSpPr>
          <a:spLocks noChangeShapeType="1"/>
        </xdr:cNvSpPr>
      </xdr:nvSpPr>
      <xdr:spPr bwMode="auto">
        <a:xfrm flipH="1" flipV="1">
          <a:off x="7581900" y="4533900"/>
          <a:ext cx="2857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12</xdr:row>
      <xdr:rowOff>123825</xdr:rowOff>
    </xdr:from>
    <xdr:to>
      <xdr:col>6</xdr:col>
      <xdr:colOff>561975</xdr:colOff>
      <xdr:row>14</xdr:row>
      <xdr:rowOff>104775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1469D59B-01BF-7D5B-0E9B-F8C144AD3AB0}"/>
            </a:ext>
          </a:extLst>
        </xdr:cNvPr>
        <xdr:cNvSpPr>
          <a:spLocks noChangeArrowheads="1"/>
        </xdr:cNvSpPr>
      </xdr:nvSpPr>
      <xdr:spPr bwMode="auto">
        <a:xfrm>
          <a:off x="4752975" y="2352675"/>
          <a:ext cx="34290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457200</xdr:colOff>
      <xdr:row>28</xdr:row>
      <xdr:rowOff>0</xdr:rowOff>
    </xdr:from>
    <xdr:to>
      <xdr:col>10</xdr:col>
      <xdr:colOff>790575</xdr:colOff>
      <xdr:row>29</xdr:row>
      <xdr:rowOff>152400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AE980583-7E9F-5D71-053A-A13CFAB23CB6}"/>
            </a:ext>
          </a:extLst>
        </xdr:cNvPr>
        <xdr:cNvSpPr>
          <a:spLocks noChangeArrowheads="1"/>
        </xdr:cNvSpPr>
      </xdr:nvSpPr>
      <xdr:spPr bwMode="auto">
        <a:xfrm>
          <a:off x="8382000" y="513397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219075</xdr:colOff>
      <xdr:row>44</xdr:row>
      <xdr:rowOff>19050</xdr:rowOff>
    </xdr:from>
    <xdr:to>
      <xdr:col>15</xdr:col>
      <xdr:colOff>552450</xdr:colOff>
      <xdr:row>46</xdr:row>
      <xdr:rowOff>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E8C098D4-9158-C5A3-E53D-03FE30530012}"/>
            </a:ext>
          </a:extLst>
        </xdr:cNvPr>
        <xdr:cNvSpPr>
          <a:spLocks noChangeArrowheads="1"/>
        </xdr:cNvSpPr>
      </xdr:nvSpPr>
      <xdr:spPr bwMode="auto">
        <a:xfrm>
          <a:off x="12458700" y="8058150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638175</xdr:colOff>
      <xdr:row>54</xdr:row>
      <xdr:rowOff>0</xdr:rowOff>
    </xdr:from>
    <xdr:to>
      <xdr:col>19</xdr:col>
      <xdr:colOff>123825</xdr:colOff>
      <xdr:row>55</xdr:row>
      <xdr:rowOff>161925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5AE1A0A2-22C1-5421-4BED-CAE992566EDE}"/>
            </a:ext>
          </a:extLst>
        </xdr:cNvPr>
        <xdr:cNvSpPr>
          <a:spLocks noChangeArrowheads="1"/>
        </xdr:cNvSpPr>
      </xdr:nvSpPr>
      <xdr:spPr bwMode="auto">
        <a:xfrm>
          <a:off x="15392400" y="987742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695325</xdr:colOff>
      <xdr:row>43</xdr:row>
      <xdr:rowOff>0</xdr:rowOff>
    </xdr:from>
    <xdr:to>
      <xdr:col>15</xdr:col>
      <xdr:colOff>180975</xdr:colOff>
      <xdr:row>44</xdr:row>
      <xdr:rowOff>47625</xdr:rowOff>
    </xdr:to>
    <xdr:sp macro="" textlink="">
      <xdr:nvSpPr>
        <xdr:cNvPr id="1049" name="Freeform 25">
          <a:extLst>
            <a:ext uri="{FF2B5EF4-FFF2-40B4-BE49-F238E27FC236}">
              <a16:creationId xmlns:a16="http://schemas.microsoft.com/office/drawing/2014/main" id="{58A31079-5DBB-7785-AF8F-BFC462321971}"/>
            </a:ext>
          </a:extLst>
        </xdr:cNvPr>
        <xdr:cNvSpPr>
          <a:spLocks/>
        </xdr:cNvSpPr>
      </xdr:nvSpPr>
      <xdr:spPr bwMode="auto">
        <a:xfrm>
          <a:off x="12087225" y="7858125"/>
          <a:ext cx="333375" cy="22860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638175</xdr:colOff>
      <xdr:row>53</xdr:row>
      <xdr:rowOff>95250</xdr:rowOff>
    </xdr:from>
    <xdr:to>
      <xdr:col>18</xdr:col>
      <xdr:colOff>161925</xdr:colOff>
      <xdr:row>54</xdr:row>
      <xdr:rowOff>47625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7B42CBE6-51C8-2720-45A9-F7DC1B528056}"/>
            </a:ext>
          </a:extLst>
        </xdr:cNvPr>
        <xdr:cNvSpPr>
          <a:spLocks noChangeShapeType="1"/>
        </xdr:cNvSpPr>
      </xdr:nvSpPr>
      <xdr:spPr bwMode="auto">
        <a:xfrm flipH="1" flipV="1">
          <a:off x="14573250" y="9791700"/>
          <a:ext cx="3429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38</xdr:row>
      <xdr:rowOff>38100</xdr:rowOff>
    </xdr:from>
    <xdr:to>
      <xdr:col>14</xdr:col>
      <xdr:colOff>390525</xdr:colOff>
      <xdr:row>40</xdr:row>
      <xdr:rowOff>57150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529DCDAA-F2AC-0C2C-5516-CEBC17F45907}"/>
            </a:ext>
          </a:extLst>
        </xdr:cNvPr>
        <xdr:cNvSpPr>
          <a:spLocks noChangeShapeType="1"/>
        </xdr:cNvSpPr>
      </xdr:nvSpPr>
      <xdr:spPr bwMode="auto">
        <a:xfrm flipH="1">
          <a:off x="11630025" y="6991350"/>
          <a:ext cx="1524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40</xdr:row>
      <xdr:rowOff>76200</xdr:rowOff>
    </xdr:from>
    <xdr:to>
      <xdr:col>14</xdr:col>
      <xdr:colOff>533400</xdr:colOff>
      <xdr:row>41</xdr:row>
      <xdr:rowOff>85725</xdr:rowOff>
    </xdr:to>
    <xdr:sp macro="" textlink="">
      <xdr:nvSpPr>
        <xdr:cNvPr id="1052" name="Line 28">
          <a:extLst>
            <a:ext uri="{FF2B5EF4-FFF2-40B4-BE49-F238E27FC236}">
              <a16:creationId xmlns:a16="http://schemas.microsoft.com/office/drawing/2014/main" id="{EE41269F-5D67-C60D-E2CB-8A2D325038DB}"/>
            </a:ext>
          </a:extLst>
        </xdr:cNvPr>
        <xdr:cNvSpPr>
          <a:spLocks noChangeShapeType="1"/>
        </xdr:cNvSpPr>
      </xdr:nvSpPr>
      <xdr:spPr bwMode="auto">
        <a:xfrm>
          <a:off x="11630025" y="7391400"/>
          <a:ext cx="2952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361950</xdr:colOff>
      <xdr:row>16</xdr:row>
      <xdr:rowOff>152400</xdr:rowOff>
    </xdr:from>
    <xdr:to>
      <xdr:col>16</xdr:col>
      <xdr:colOff>733425</xdr:colOff>
      <xdr:row>16</xdr:row>
      <xdr:rowOff>152400</xdr:rowOff>
    </xdr:to>
    <xdr:sp macro="" textlink="">
      <xdr:nvSpPr>
        <xdr:cNvPr id="1053" name="Line 29">
          <a:extLst>
            <a:ext uri="{FF2B5EF4-FFF2-40B4-BE49-F238E27FC236}">
              <a16:creationId xmlns:a16="http://schemas.microsoft.com/office/drawing/2014/main" id="{442466D9-00AE-D0C8-9234-58694E8F0AE5}"/>
            </a:ext>
          </a:extLst>
        </xdr:cNvPr>
        <xdr:cNvSpPr>
          <a:spLocks noChangeShapeType="1"/>
        </xdr:cNvSpPr>
      </xdr:nvSpPr>
      <xdr:spPr bwMode="auto">
        <a:xfrm>
          <a:off x="13449300" y="31146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647700</xdr:colOff>
      <xdr:row>54</xdr:row>
      <xdr:rowOff>0</xdr:rowOff>
    </xdr:from>
    <xdr:to>
      <xdr:col>16</xdr:col>
      <xdr:colOff>838200</xdr:colOff>
      <xdr:row>56</xdr:row>
      <xdr:rowOff>0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6551A063-BBC7-91AE-A58D-EA703DE5734C}"/>
            </a:ext>
          </a:extLst>
        </xdr:cNvPr>
        <xdr:cNvSpPr>
          <a:spLocks noChangeShapeType="1"/>
        </xdr:cNvSpPr>
      </xdr:nvSpPr>
      <xdr:spPr bwMode="auto">
        <a:xfrm flipH="1">
          <a:off x="13735050" y="9877425"/>
          <a:ext cx="1905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504825</xdr:colOff>
      <xdr:row>45</xdr:row>
      <xdr:rowOff>114300</xdr:rowOff>
    </xdr:from>
    <xdr:to>
      <xdr:col>11</xdr:col>
      <xdr:colOff>828675</xdr:colOff>
      <xdr:row>45</xdr:row>
      <xdr:rowOff>114300</xdr:rowOff>
    </xdr:to>
    <xdr:sp macro="" textlink="">
      <xdr:nvSpPr>
        <xdr:cNvPr id="1055" name="Line 31">
          <a:extLst>
            <a:ext uri="{FF2B5EF4-FFF2-40B4-BE49-F238E27FC236}">
              <a16:creationId xmlns:a16="http://schemas.microsoft.com/office/drawing/2014/main" id="{F48A13ED-CC5A-488E-E0E5-735D3287E93F}"/>
            </a:ext>
          </a:extLst>
        </xdr:cNvPr>
        <xdr:cNvSpPr>
          <a:spLocks noChangeShapeType="1"/>
        </xdr:cNvSpPr>
      </xdr:nvSpPr>
      <xdr:spPr bwMode="auto">
        <a:xfrm flipH="1" flipV="1">
          <a:off x="9277350" y="8334375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523875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1D7EBA94-695C-E0B2-1614-1D3FC5777B0A}"/>
            </a:ext>
          </a:extLst>
        </xdr:cNvPr>
        <xdr:cNvSpPr>
          <a:spLocks noChangeShapeType="1"/>
        </xdr:cNvSpPr>
      </xdr:nvSpPr>
      <xdr:spPr bwMode="auto">
        <a:xfrm flipH="1" flipV="1">
          <a:off x="6753225" y="9810750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28575</xdr:rowOff>
    </xdr:from>
    <xdr:to>
      <xdr:col>6</xdr:col>
      <xdr:colOff>714375</xdr:colOff>
      <xdr:row>60</xdr:row>
      <xdr:rowOff>28575</xdr:rowOff>
    </xdr:to>
    <xdr:sp macro="" textlink="">
      <xdr:nvSpPr>
        <xdr:cNvPr id="1057" name="Line 33">
          <a:extLst>
            <a:ext uri="{FF2B5EF4-FFF2-40B4-BE49-F238E27FC236}">
              <a16:creationId xmlns:a16="http://schemas.microsoft.com/office/drawing/2014/main" id="{3543B484-EBF8-CA6D-B616-B9BAAF04640F}"/>
            </a:ext>
          </a:extLst>
        </xdr:cNvPr>
        <xdr:cNvSpPr>
          <a:spLocks noChangeShapeType="1"/>
        </xdr:cNvSpPr>
      </xdr:nvSpPr>
      <xdr:spPr bwMode="auto">
        <a:xfrm flipH="1">
          <a:off x="4610100" y="11001375"/>
          <a:ext cx="638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59</xdr:row>
      <xdr:rowOff>0</xdr:rowOff>
    </xdr:from>
    <xdr:to>
      <xdr:col>6</xdr:col>
      <xdr:colOff>76200</xdr:colOff>
      <xdr:row>61</xdr:row>
      <xdr:rowOff>47625</xdr:rowOff>
    </xdr:to>
    <xdr:sp macro="" textlink="">
      <xdr:nvSpPr>
        <xdr:cNvPr id="1058" name="Oval 34">
          <a:extLst>
            <a:ext uri="{FF2B5EF4-FFF2-40B4-BE49-F238E27FC236}">
              <a16:creationId xmlns:a16="http://schemas.microsoft.com/office/drawing/2014/main" id="{1A508E31-89E1-D933-65CE-0F484437E09D}"/>
            </a:ext>
          </a:extLst>
        </xdr:cNvPr>
        <xdr:cNvSpPr>
          <a:spLocks noChangeArrowheads="1"/>
        </xdr:cNvSpPr>
      </xdr:nvSpPr>
      <xdr:spPr bwMode="auto">
        <a:xfrm>
          <a:off x="4248150" y="107823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61</xdr:row>
      <xdr:rowOff>123825</xdr:rowOff>
    </xdr:from>
    <xdr:to>
      <xdr:col>7</xdr:col>
      <xdr:colOff>171450</xdr:colOff>
      <xdr:row>65</xdr:row>
      <xdr:rowOff>190500</xdr:rowOff>
    </xdr:to>
    <xdr:sp macro="" textlink="">
      <xdr:nvSpPr>
        <xdr:cNvPr id="1059" name="Line 35">
          <a:extLst>
            <a:ext uri="{FF2B5EF4-FFF2-40B4-BE49-F238E27FC236}">
              <a16:creationId xmlns:a16="http://schemas.microsoft.com/office/drawing/2014/main" id="{865BF4F6-CB2B-3F60-FD00-32F12D7B047A}"/>
            </a:ext>
          </a:extLst>
        </xdr:cNvPr>
        <xdr:cNvSpPr>
          <a:spLocks noChangeShapeType="1"/>
        </xdr:cNvSpPr>
      </xdr:nvSpPr>
      <xdr:spPr bwMode="auto">
        <a:xfrm>
          <a:off x="4895850" y="11277600"/>
          <a:ext cx="657225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74</xdr:row>
      <xdr:rowOff>142875</xdr:rowOff>
    </xdr:from>
    <xdr:to>
      <xdr:col>8</xdr:col>
      <xdr:colOff>571500</xdr:colOff>
      <xdr:row>77</xdr:row>
      <xdr:rowOff>0</xdr:rowOff>
    </xdr:to>
    <xdr:sp macro="" textlink="">
      <xdr:nvSpPr>
        <xdr:cNvPr id="1060" name="Oval 36">
          <a:extLst>
            <a:ext uri="{FF2B5EF4-FFF2-40B4-BE49-F238E27FC236}">
              <a16:creationId xmlns:a16="http://schemas.microsoft.com/office/drawing/2014/main" id="{420535A6-FB7D-E238-F8EC-8F3E663702DD}"/>
            </a:ext>
          </a:extLst>
        </xdr:cNvPr>
        <xdr:cNvSpPr>
          <a:spLocks noChangeArrowheads="1"/>
        </xdr:cNvSpPr>
      </xdr:nvSpPr>
      <xdr:spPr bwMode="auto">
        <a:xfrm>
          <a:off x="6438900" y="13658850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542925</xdr:colOff>
      <xdr:row>130</xdr:row>
      <xdr:rowOff>9525</xdr:rowOff>
    </xdr:from>
    <xdr:to>
      <xdr:col>21</xdr:col>
      <xdr:colOff>828675</xdr:colOff>
      <xdr:row>130</xdr:row>
      <xdr:rowOff>9525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EB3E024B-4AE8-96D7-9964-C032E4927C87}"/>
            </a:ext>
          </a:extLst>
        </xdr:cNvPr>
        <xdr:cNvSpPr>
          <a:spLocks noChangeShapeType="1"/>
        </xdr:cNvSpPr>
      </xdr:nvSpPr>
      <xdr:spPr bwMode="auto">
        <a:xfrm flipH="1" flipV="1">
          <a:off x="17173575" y="23107650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542925</xdr:colOff>
      <xdr:row>126</xdr:row>
      <xdr:rowOff>9525</xdr:rowOff>
    </xdr:from>
    <xdr:to>
      <xdr:col>25</xdr:col>
      <xdr:colOff>819150</xdr:colOff>
      <xdr:row>126</xdr:row>
      <xdr:rowOff>9525</xdr:rowOff>
    </xdr:to>
    <xdr:sp macro="" textlink="">
      <xdr:nvSpPr>
        <xdr:cNvPr id="1062" name="Line 38">
          <a:extLst>
            <a:ext uri="{FF2B5EF4-FFF2-40B4-BE49-F238E27FC236}">
              <a16:creationId xmlns:a16="http://schemas.microsoft.com/office/drawing/2014/main" id="{7D0FC95E-F2DD-825B-8F2C-3239B50C340E}"/>
            </a:ext>
          </a:extLst>
        </xdr:cNvPr>
        <xdr:cNvSpPr>
          <a:spLocks noChangeShapeType="1"/>
        </xdr:cNvSpPr>
      </xdr:nvSpPr>
      <xdr:spPr bwMode="auto">
        <a:xfrm flipH="1" flipV="1">
          <a:off x="20593050" y="224599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485775</xdr:colOff>
      <xdr:row>129</xdr:row>
      <xdr:rowOff>9525</xdr:rowOff>
    </xdr:from>
    <xdr:to>
      <xdr:col>27</xdr:col>
      <xdr:colOff>504825</xdr:colOff>
      <xdr:row>129</xdr:row>
      <xdr:rowOff>9525</xdr:rowOff>
    </xdr:to>
    <xdr:sp macro="" textlink="">
      <xdr:nvSpPr>
        <xdr:cNvPr id="1063" name="Line 39">
          <a:extLst>
            <a:ext uri="{FF2B5EF4-FFF2-40B4-BE49-F238E27FC236}">
              <a16:creationId xmlns:a16="http://schemas.microsoft.com/office/drawing/2014/main" id="{C5F9B966-C96D-FE8F-B22A-B7347CB4DA27}"/>
            </a:ext>
          </a:extLst>
        </xdr:cNvPr>
        <xdr:cNvSpPr>
          <a:spLocks noChangeShapeType="1"/>
        </xdr:cNvSpPr>
      </xdr:nvSpPr>
      <xdr:spPr bwMode="auto">
        <a:xfrm flipH="1" flipV="1">
          <a:off x="21955125" y="22945725"/>
          <a:ext cx="19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542925</xdr:colOff>
      <xdr:row>123</xdr:row>
      <xdr:rowOff>9525</xdr:rowOff>
    </xdr:from>
    <xdr:to>
      <xdr:col>24</xdr:col>
      <xdr:colOff>828675</xdr:colOff>
      <xdr:row>123</xdr:row>
      <xdr:rowOff>9525</xdr:rowOff>
    </xdr:to>
    <xdr:sp macro="" textlink="">
      <xdr:nvSpPr>
        <xdr:cNvPr id="1064" name="Line 40">
          <a:extLst>
            <a:ext uri="{FF2B5EF4-FFF2-40B4-BE49-F238E27FC236}">
              <a16:creationId xmlns:a16="http://schemas.microsoft.com/office/drawing/2014/main" id="{C6B27BDF-2ED7-E69E-8547-BF4EB45F9AC5}"/>
            </a:ext>
          </a:extLst>
        </xdr:cNvPr>
        <xdr:cNvSpPr>
          <a:spLocks noChangeShapeType="1"/>
        </xdr:cNvSpPr>
      </xdr:nvSpPr>
      <xdr:spPr bwMode="auto">
        <a:xfrm flipH="1" flipV="1">
          <a:off x="19716750" y="219741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542925</xdr:colOff>
      <xdr:row>127</xdr:row>
      <xdr:rowOff>9525</xdr:rowOff>
    </xdr:from>
    <xdr:to>
      <xdr:col>24</xdr:col>
      <xdr:colOff>828675</xdr:colOff>
      <xdr:row>127</xdr:row>
      <xdr:rowOff>9525</xdr:rowOff>
    </xdr:to>
    <xdr:sp macro="" textlink="">
      <xdr:nvSpPr>
        <xdr:cNvPr id="1065" name="Line 41">
          <a:extLst>
            <a:ext uri="{FF2B5EF4-FFF2-40B4-BE49-F238E27FC236}">
              <a16:creationId xmlns:a16="http://schemas.microsoft.com/office/drawing/2014/main" id="{81BA4D6A-937E-CDF4-8A02-8CD4F3747A44}"/>
            </a:ext>
          </a:extLst>
        </xdr:cNvPr>
        <xdr:cNvSpPr>
          <a:spLocks noChangeShapeType="1"/>
        </xdr:cNvSpPr>
      </xdr:nvSpPr>
      <xdr:spPr bwMode="auto">
        <a:xfrm flipH="1" flipV="1">
          <a:off x="19716750" y="226218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314325</xdr:colOff>
      <xdr:row>61</xdr:row>
      <xdr:rowOff>95250</xdr:rowOff>
    </xdr:from>
    <xdr:to>
      <xdr:col>6</xdr:col>
      <xdr:colOff>533400</xdr:colOff>
      <xdr:row>62</xdr:row>
      <xdr:rowOff>114300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35753463-1BC2-846E-D58C-63AF885FA145}"/>
            </a:ext>
          </a:extLst>
        </xdr:cNvPr>
        <xdr:cNvSpPr>
          <a:spLocks noChangeShapeType="1"/>
        </xdr:cNvSpPr>
      </xdr:nvSpPr>
      <xdr:spPr bwMode="auto">
        <a:xfrm flipH="1">
          <a:off x="4848225" y="11249025"/>
          <a:ext cx="219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733425</xdr:colOff>
      <xdr:row>63</xdr:row>
      <xdr:rowOff>161925</xdr:rowOff>
    </xdr:from>
    <xdr:to>
      <xdr:col>7</xdr:col>
      <xdr:colOff>114300</xdr:colOff>
      <xdr:row>64</xdr:row>
      <xdr:rowOff>142875</xdr:rowOff>
    </xdr:to>
    <xdr:sp macro="" textlink="">
      <xdr:nvSpPr>
        <xdr:cNvPr id="1067" name="Line 43">
          <a:extLst>
            <a:ext uri="{FF2B5EF4-FFF2-40B4-BE49-F238E27FC236}">
              <a16:creationId xmlns:a16="http://schemas.microsoft.com/office/drawing/2014/main" id="{05673043-5343-C2B2-917F-8BD148A259A3}"/>
            </a:ext>
          </a:extLst>
        </xdr:cNvPr>
        <xdr:cNvSpPr>
          <a:spLocks noChangeShapeType="1"/>
        </xdr:cNvSpPr>
      </xdr:nvSpPr>
      <xdr:spPr bwMode="auto">
        <a:xfrm>
          <a:off x="5267325" y="11687175"/>
          <a:ext cx="2286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59</xdr:row>
      <xdr:rowOff>114300</xdr:rowOff>
    </xdr:from>
    <xdr:to>
      <xdr:col>6</xdr:col>
      <xdr:colOff>457200</xdr:colOff>
      <xdr:row>59</xdr:row>
      <xdr:rowOff>114300</xdr:rowOff>
    </xdr:to>
    <xdr:sp macro="" textlink="">
      <xdr:nvSpPr>
        <xdr:cNvPr id="1068" name="Line 44">
          <a:extLst>
            <a:ext uri="{FF2B5EF4-FFF2-40B4-BE49-F238E27FC236}">
              <a16:creationId xmlns:a16="http://schemas.microsoft.com/office/drawing/2014/main" id="{37102426-19F4-0E53-B51D-514F326CB766}"/>
            </a:ext>
          </a:extLst>
        </xdr:cNvPr>
        <xdr:cNvSpPr>
          <a:spLocks noChangeShapeType="1"/>
        </xdr:cNvSpPr>
      </xdr:nvSpPr>
      <xdr:spPr bwMode="auto">
        <a:xfrm flipH="1">
          <a:off x="4705350" y="10896600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82</xdr:row>
      <xdr:rowOff>38100</xdr:rowOff>
    </xdr:from>
    <xdr:to>
      <xdr:col>1</xdr:col>
      <xdr:colOff>790575</xdr:colOff>
      <xdr:row>84</xdr:row>
      <xdr:rowOff>19050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69216C11-4B21-6D7F-3AC1-CB101A20F1C1}"/>
            </a:ext>
          </a:extLst>
        </xdr:cNvPr>
        <xdr:cNvSpPr>
          <a:spLocks noChangeArrowheads="1"/>
        </xdr:cNvSpPr>
      </xdr:nvSpPr>
      <xdr:spPr bwMode="auto">
        <a:xfrm>
          <a:off x="457200" y="15011400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409575</xdr:colOff>
      <xdr:row>85</xdr:row>
      <xdr:rowOff>76200</xdr:rowOff>
    </xdr:from>
    <xdr:to>
      <xdr:col>1</xdr:col>
      <xdr:colOff>771525</xdr:colOff>
      <xdr:row>87</xdr:row>
      <xdr:rowOff>114300</xdr:rowOff>
    </xdr:to>
    <xdr:sp macro="" textlink="">
      <xdr:nvSpPr>
        <xdr:cNvPr id="1070" name="Oval 46">
          <a:extLst>
            <a:ext uri="{FF2B5EF4-FFF2-40B4-BE49-F238E27FC236}">
              <a16:creationId xmlns:a16="http://schemas.microsoft.com/office/drawing/2014/main" id="{61754176-7C89-40FB-E05C-641687A938FF}"/>
            </a:ext>
          </a:extLst>
        </xdr:cNvPr>
        <xdr:cNvSpPr>
          <a:spLocks noChangeArrowheads="1"/>
        </xdr:cNvSpPr>
      </xdr:nvSpPr>
      <xdr:spPr bwMode="auto">
        <a:xfrm>
          <a:off x="409575" y="155924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438150</xdr:colOff>
      <xdr:row>88</xdr:row>
      <xdr:rowOff>104775</xdr:rowOff>
    </xdr:from>
    <xdr:to>
      <xdr:col>1</xdr:col>
      <xdr:colOff>762000</xdr:colOff>
      <xdr:row>90</xdr:row>
      <xdr:rowOff>85725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CA5E5244-22A8-9DA5-76A6-8C9AEDDB8C78}"/>
            </a:ext>
          </a:extLst>
        </xdr:cNvPr>
        <xdr:cNvSpPr>
          <a:spLocks noChangeArrowheads="1"/>
        </xdr:cNvSpPr>
      </xdr:nvSpPr>
      <xdr:spPr bwMode="auto">
        <a:xfrm>
          <a:off x="438150" y="16163925"/>
          <a:ext cx="3238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28575</xdr:colOff>
      <xdr:row>43</xdr:row>
      <xdr:rowOff>0</xdr:rowOff>
    </xdr:from>
    <xdr:to>
      <xdr:col>13</xdr:col>
      <xdr:colOff>447675</xdr:colOff>
      <xdr:row>44</xdr:row>
      <xdr:rowOff>66675</xdr:rowOff>
    </xdr:to>
    <xdr:sp macro="" textlink="">
      <xdr:nvSpPr>
        <xdr:cNvPr id="1072" name="Line 48">
          <a:extLst>
            <a:ext uri="{FF2B5EF4-FFF2-40B4-BE49-F238E27FC236}">
              <a16:creationId xmlns:a16="http://schemas.microsoft.com/office/drawing/2014/main" id="{89BC566D-3134-EEEC-2040-2D88A519EDE5}"/>
            </a:ext>
          </a:extLst>
        </xdr:cNvPr>
        <xdr:cNvSpPr>
          <a:spLocks noChangeShapeType="1"/>
        </xdr:cNvSpPr>
      </xdr:nvSpPr>
      <xdr:spPr bwMode="auto">
        <a:xfrm flipH="1">
          <a:off x="10572750" y="7858125"/>
          <a:ext cx="41910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600075</xdr:colOff>
      <xdr:row>58</xdr:row>
      <xdr:rowOff>47625</xdr:rowOff>
    </xdr:from>
    <xdr:to>
      <xdr:col>24</xdr:col>
      <xdr:colOff>28575</xdr:colOff>
      <xdr:row>59</xdr:row>
      <xdr:rowOff>95250</xdr:rowOff>
    </xdr:to>
    <xdr:sp macro="" textlink="">
      <xdr:nvSpPr>
        <xdr:cNvPr id="1073" name="AutoShape 49">
          <a:extLst>
            <a:ext uri="{FF2B5EF4-FFF2-40B4-BE49-F238E27FC236}">
              <a16:creationId xmlns:a16="http://schemas.microsoft.com/office/drawing/2014/main" id="{D7330903-E795-FAF9-3BD2-9A7CB8F52CD5}"/>
            </a:ext>
          </a:extLst>
        </xdr:cNvPr>
        <xdr:cNvSpPr>
          <a:spLocks noChangeArrowheads="1"/>
        </xdr:cNvSpPr>
      </xdr:nvSpPr>
      <xdr:spPr bwMode="auto">
        <a:xfrm>
          <a:off x="18926175" y="10648950"/>
          <a:ext cx="276225" cy="2286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542925</xdr:colOff>
      <xdr:row>59</xdr:row>
      <xdr:rowOff>76200</xdr:rowOff>
    </xdr:from>
    <xdr:to>
      <xdr:col>23</xdr:col>
      <xdr:colOff>704850</xdr:colOff>
      <xdr:row>60</xdr:row>
      <xdr:rowOff>152400</xdr:rowOff>
    </xdr:to>
    <xdr:sp macro="" textlink="">
      <xdr:nvSpPr>
        <xdr:cNvPr id="1074" name="Line 50">
          <a:extLst>
            <a:ext uri="{FF2B5EF4-FFF2-40B4-BE49-F238E27FC236}">
              <a16:creationId xmlns:a16="http://schemas.microsoft.com/office/drawing/2014/main" id="{358AB68D-31FD-991C-4AEE-5AF4282A066E}"/>
            </a:ext>
          </a:extLst>
        </xdr:cNvPr>
        <xdr:cNvSpPr>
          <a:spLocks noChangeShapeType="1"/>
        </xdr:cNvSpPr>
      </xdr:nvSpPr>
      <xdr:spPr bwMode="auto">
        <a:xfrm flipV="1">
          <a:off x="18869025" y="10858500"/>
          <a:ext cx="161925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28575</xdr:colOff>
      <xdr:row>61</xdr:row>
      <xdr:rowOff>66675</xdr:rowOff>
    </xdr:from>
    <xdr:to>
      <xdr:col>24</xdr:col>
      <xdr:colOff>361950</xdr:colOff>
      <xdr:row>63</xdr:row>
      <xdr:rowOff>0</xdr:rowOff>
    </xdr:to>
    <xdr:sp macro="" textlink="">
      <xdr:nvSpPr>
        <xdr:cNvPr id="1075" name="AutoShape 51">
          <a:extLst>
            <a:ext uri="{FF2B5EF4-FFF2-40B4-BE49-F238E27FC236}">
              <a16:creationId xmlns:a16="http://schemas.microsoft.com/office/drawing/2014/main" id="{9414EEDD-1F6D-11FE-DA8E-2912CB2FCB05}"/>
            </a:ext>
          </a:extLst>
        </xdr:cNvPr>
        <xdr:cNvSpPr>
          <a:spLocks noChangeArrowheads="1"/>
        </xdr:cNvSpPr>
      </xdr:nvSpPr>
      <xdr:spPr bwMode="auto">
        <a:xfrm>
          <a:off x="19202400" y="1122045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638175</xdr:colOff>
      <xdr:row>64</xdr:row>
      <xdr:rowOff>19050</xdr:rowOff>
    </xdr:from>
    <xdr:to>
      <xdr:col>26</xdr:col>
      <xdr:colOff>142875</xdr:colOff>
      <xdr:row>65</xdr:row>
      <xdr:rowOff>142875</xdr:rowOff>
    </xdr:to>
    <xdr:sp macro="" textlink="">
      <xdr:nvSpPr>
        <xdr:cNvPr id="1076" name="AutoShape 52">
          <a:extLst>
            <a:ext uri="{FF2B5EF4-FFF2-40B4-BE49-F238E27FC236}">
              <a16:creationId xmlns:a16="http://schemas.microsoft.com/office/drawing/2014/main" id="{CD061659-AA31-6D0F-B4D4-10806CAF161E}"/>
            </a:ext>
          </a:extLst>
        </xdr:cNvPr>
        <xdr:cNvSpPr>
          <a:spLocks noChangeArrowheads="1"/>
        </xdr:cNvSpPr>
      </xdr:nvSpPr>
      <xdr:spPr bwMode="auto">
        <a:xfrm>
          <a:off x="20688300" y="11706225"/>
          <a:ext cx="32385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647700</xdr:colOff>
      <xdr:row>60</xdr:row>
      <xdr:rowOff>0</xdr:rowOff>
    </xdr:from>
    <xdr:to>
      <xdr:col>23</xdr:col>
      <xdr:colOff>733425</xdr:colOff>
      <xdr:row>61</xdr:row>
      <xdr:rowOff>19050</xdr:rowOff>
    </xdr:to>
    <xdr:sp macro="" textlink="">
      <xdr:nvSpPr>
        <xdr:cNvPr id="1077" name="Line 53">
          <a:extLst>
            <a:ext uri="{FF2B5EF4-FFF2-40B4-BE49-F238E27FC236}">
              <a16:creationId xmlns:a16="http://schemas.microsoft.com/office/drawing/2014/main" id="{C5DF0036-5C25-E8A7-7964-2FBAFCD85AF7}"/>
            </a:ext>
          </a:extLst>
        </xdr:cNvPr>
        <xdr:cNvSpPr>
          <a:spLocks noChangeShapeType="1"/>
        </xdr:cNvSpPr>
      </xdr:nvSpPr>
      <xdr:spPr bwMode="auto">
        <a:xfrm flipH="1">
          <a:off x="18973800" y="10972800"/>
          <a:ext cx="8572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209550</xdr:colOff>
      <xdr:row>63</xdr:row>
      <xdr:rowOff>0</xdr:rowOff>
    </xdr:from>
    <xdr:to>
      <xdr:col>25</xdr:col>
      <xdr:colOff>514350</xdr:colOff>
      <xdr:row>63</xdr:row>
      <xdr:rowOff>133350</xdr:rowOff>
    </xdr:to>
    <xdr:sp macro="" textlink="">
      <xdr:nvSpPr>
        <xdr:cNvPr id="1078" name="Line 54">
          <a:extLst>
            <a:ext uri="{FF2B5EF4-FFF2-40B4-BE49-F238E27FC236}">
              <a16:creationId xmlns:a16="http://schemas.microsoft.com/office/drawing/2014/main" id="{4053A37A-D111-BDC7-C7F1-C68F1AED46CF}"/>
            </a:ext>
          </a:extLst>
        </xdr:cNvPr>
        <xdr:cNvSpPr>
          <a:spLocks noChangeShapeType="1"/>
        </xdr:cNvSpPr>
      </xdr:nvSpPr>
      <xdr:spPr bwMode="auto">
        <a:xfrm flipH="1" flipV="1">
          <a:off x="20259675" y="11525250"/>
          <a:ext cx="3048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590550</xdr:colOff>
      <xdr:row>58</xdr:row>
      <xdr:rowOff>66675</xdr:rowOff>
    </xdr:from>
    <xdr:to>
      <xdr:col>22</xdr:col>
      <xdr:colOff>76200</xdr:colOff>
      <xdr:row>59</xdr:row>
      <xdr:rowOff>28575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BC2E9007-3972-1A75-FC7A-DEE5480A7E7E}"/>
            </a:ext>
          </a:extLst>
        </xdr:cNvPr>
        <xdr:cNvSpPr>
          <a:spLocks noChangeShapeType="1"/>
        </xdr:cNvSpPr>
      </xdr:nvSpPr>
      <xdr:spPr bwMode="auto">
        <a:xfrm flipH="1" flipV="1">
          <a:off x="17221200" y="10668000"/>
          <a:ext cx="333375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571500</xdr:colOff>
      <xdr:row>69</xdr:row>
      <xdr:rowOff>76200</xdr:rowOff>
    </xdr:from>
    <xdr:to>
      <xdr:col>28</xdr:col>
      <xdr:colOff>76200</xdr:colOff>
      <xdr:row>71</xdr:row>
      <xdr:rowOff>28575</xdr:rowOff>
    </xdr:to>
    <xdr:sp macro="" textlink="">
      <xdr:nvSpPr>
        <xdr:cNvPr id="1080" name="Line 56">
          <a:extLst>
            <a:ext uri="{FF2B5EF4-FFF2-40B4-BE49-F238E27FC236}">
              <a16:creationId xmlns:a16="http://schemas.microsoft.com/office/drawing/2014/main" id="{4579E74E-8355-B5CD-F0C3-BBA81A9F8AF7}"/>
            </a:ext>
          </a:extLst>
        </xdr:cNvPr>
        <xdr:cNvSpPr>
          <a:spLocks noChangeShapeType="1"/>
        </xdr:cNvSpPr>
      </xdr:nvSpPr>
      <xdr:spPr bwMode="auto">
        <a:xfrm flipH="1" flipV="1">
          <a:off x="22040850" y="12687300"/>
          <a:ext cx="857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438150</xdr:colOff>
      <xdr:row>91</xdr:row>
      <xdr:rowOff>95250</xdr:rowOff>
    </xdr:from>
    <xdr:to>
      <xdr:col>1</xdr:col>
      <xdr:colOff>752475</xdr:colOff>
      <xdr:row>93</xdr:row>
      <xdr:rowOff>66675</xdr:rowOff>
    </xdr:to>
    <xdr:sp macro="" textlink="">
      <xdr:nvSpPr>
        <xdr:cNvPr id="1081" name="AutoShape 57">
          <a:extLst>
            <a:ext uri="{FF2B5EF4-FFF2-40B4-BE49-F238E27FC236}">
              <a16:creationId xmlns:a16="http://schemas.microsoft.com/office/drawing/2014/main" id="{DFAC474A-3732-7D8A-A534-BB4EB21C3A17}"/>
            </a:ext>
          </a:extLst>
        </xdr:cNvPr>
        <xdr:cNvSpPr>
          <a:spLocks noChangeArrowheads="1"/>
        </xdr:cNvSpPr>
      </xdr:nvSpPr>
      <xdr:spPr bwMode="auto">
        <a:xfrm>
          <a:off x="438150" y="16697325"/>
          <a:ext cx="314325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800100</xdr:colOff>
      <xdr:row>37</xdr:row>
      <xdr:rowOff>142875</xdr:rowOff>
    </xdr:from>
    <xdr:to>
      <xdr:col>14</xdr:col>
      <xdr:colOff>85725</xdr:colOff>
      <xdr:row>39</xdr:row>
      <xdr:rowOff>85725</xdr:rowOff>
    </xdr:to>
    <xdr:sp macro="" textlink="">
      <xdr:nvSpPr>
        <xdr:cNvPr id="1082" name="Line 58">
          <a:extLst>
            <a:ext uri="{FF2B5EF4-FFF2-40B4-BE49-F238E27FC236}">
              <a16:creationId xmlns:a16="http://schemas.microsoft.com/office/drawing/2014/main" id="{3EEA8E7E-4ED4-01D3-41F1-F90D2EF6EDC6}"/>
            </a:ext>
          </a:extLst>
        </xdr:cNvPr>
        <xdr:cNvSpPr>
          <a:spLocks noChangeShapeType="1"/>
        </xdr:cNvSpPr>
      </xdr:nvSpPr>
      <xdr:spPr bwMode="auto">
        <a:xfrm flipH="1">
          <a:off x="11344275" y="6915150"/>
          <a:ext cx="13335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447675</xdr:colOff>
      <xdr:row>38</xdr:row>
      <xdr:rowOff>28575</xdr:rowOff>
    </xdr:from>
    <xdr:to>
      <xdr:col>13</xdr:col>
      <xdr:colOff>781050</xdr:colOff>
      <xdr:row>39</xdr:row>
      <xdr:rowOff>85725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6C688083-D5EF-E089-420D-E4E58FA468F3}"/>
            </a:ext>
          </a:extLst>
        </xdr:cNvPr>
        <xdr:cNvSpPr>
          <a:spLocks noChangeShapeType="1"/>
        </xdr:cNvSpPr>
      </xdr:nvSpPr>
      <xdr:spPr bwMode="auto">
        <a:xfrm flipH="1" flipV="1">
          <a:off x="10991850" y="6981825"/>
          <a:ext cx="3333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238125</xdr:colOff>
      <xdr:row>51</xdr:row>
      <xdr:rowOff>28575</xdr:rowOff>
    </xdr:from>
    <xdr:to>
      <xdr:col>21</xdr:col>
      <xdr:colOff>314325</xdr:colOff>
      <xdr:row>57</xdr:row>
      <xdr:rowOff>0</xdr:rowOff>
    </xdr:to>
    <xdr:sp macro="" textlink="">
      <xdr:nvSpPr>
        <xdr:cNvPr id="1084" name="Line 60">
          <a:extLst>
            <a:ext uri="{FF2B5EF4-FFF2-40B4-BE49-F238E27FC236}">
              <a16:creationId xmlns:a16="http://schemas.microsoft.com/office/drawing/2014/main" id="{CEED4A09-4334-F62E-1459-536758A58FDE}"/>
            </a:ext>
          </a:extLst>
        </xdr:cNvPr>
        <xdr:cNvSpPr>
          <a:spLocks noChangeShapeType="1"/>
        </xdr:cNvSpPr>
      </xdr:nvSpPr>
      <xdr:spPr bwMode="auto">
        <a:xfrm flipV="1">
          <a:off x="16868775" y="9344025"/>
          <a:ext cx="76200" cy="1076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161925</xdr:colOff>
      <xdr:row>49</xdr:row>
      <xdr:rowOff>76200</xdr:rowOff>
    </xdr:from>
    <xdr:to>
      <xdr:col>21</xdr:col>
      <xdr:colOff>504825</xdr:colOff>
      <xdr:row>51</xdr:row>
      <xdr:rowOff>28575</xdr:rowOff>
    </xdr:to>
    <xdr:sp macro="" textlink="">
      <xdr:nvSpPr>
        <xdr:cNvPr id="1085" name="AutoShape 61">
          <a:extLst>
            <a:ext uri="{FF2B5EF4-FFF2-40B4-BE49-F238E27FC236}">
              <a16:creationId xmlns:a16="http://schemas.microsoft.com/office/drawing/2014/main" id="{CE6FA778-66DC-78EA-EF9D-2C6478B2C719}"/>
            </a:ext>
          </a:extLst>
        </xdr:cNvPr>
        <xdr:cNvSpPr>
          <a:spLocks noChangeArrowheads="1"/>
        </xdr:cNvSpPr>
      </xdr:nvSpPr>
      <xdr:spPr bwMode="auto">
        <a:xfrm>
          <a:off x="16792575" y="9020175"/>
          <a:ext cx="342900" cy="32385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28</xdr:col>
      <xdr:colOff>171450</xdr:colOff>
      <xdr:row>75</xdr:row>
      <xdr:rowOff>0</xdr:rowOff>
    </xdr:from>
    <xdr:to>
      <xdr:col>28</xdr:col>
      <xdr:colOff>590550</xdr:colOff>
      <xdr:row>76</xdr:row>
      <xdr:rowOff>161925</xdr:rowOff>
    </xdr:to>
    <xdr:sp macro="" textlink="">
      <xdr:nvSpPr>
        <xdr:cNvPr id="1086" name="Rectangle 62">
          <a:extLst>
            <a:ext uri="{FF2B5EF4-FFF2-40B4-BE49-F238E27FC236}">
              <a16:creationId xmlns:a16="http://schemas.microsoft.com/office/drawing/2014/main" id="{EDBC4A4A-3BAD-9E39-4998-CB3B4738AC7F}"/>
            </a:ext>
          </a:extLst>
        </xdr:cNvPr>
        <xdr:cNvSpPr>
          <a:spLocks noChangeArrowheads="1"/>
        </xdr:cNvSpPr>
      </xdr:nvSpPr>
      <xdr:spPr bwMode="auto">
        <a:xfrm>
          <a:off x="22221825" y="13696950"/>
          <a:ext cx="4191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742950</xdr:colOff>
      <xdr:row>75</xdr:row>
      <xdr:rowOff>123825</xdr:rowOff>
    </xdr:from>
    <xdr:to>
      <xdr:col>28</xdr:col>
      <xdr:colOff>171450</xdr:colOff>
      <xdr:row>77</xdr:row>
      <xdr:rowOff>47625</xdr:rowOff>
    </xdr:to>
    <xdr:sp macro="" textlink="">
      <xdr:nvSpPr>
        <xdr:cNvPr id="1087" name="Line 63">
          <a:extLst>
            <a:ext uri="{FF2B5EF4-FFF2-40B4-BE49-F238E27FC236}">
              <a16:creationId xmlns:a16="http://schemas.microsoft.com/office/drawing/2014/main" id="{98511C14-B361-DD0C-1736-D1B405B71081}"/>
            </a:ext>
          </a:extLst>
        </xdr:cNvPr>
        <xdr:cNvSpPr>
          <a:spLocks noChangeShapeType="1"/>
        </xdr:cNvSpPr>
      </xdr:nvSpPr>
      <xdr:spPr bwMode="auto">
        <a:xfrm flipV="1">
          <a:off x="20793075" y="13820775"/>
          <a:ext cx="142875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352425</xdr:colOff>
      <xdr:row>53</xdr:row>
      <xdr:rowOff>0</xdr:rowOff>
    </xdr:from>
    <xdr:to>
      <xdr:col>21</xdr:col>
      <xdr:colOff>381000</xdr:colOff>
      <xdr:row>54</xdr:row>
      <xdr:rowOff>123825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BDD9649A-C78F-7084-CF5C-C82B21283907}"/>
            </a:ext>
          </a:extLst>
        </xdr:cNvPr>
        <xdr:cNvSpPr>
          <a:spLocks noChangeShapeType="1"/>
        </xdr:cNvSpPr>
      </xdr:nvSpPr>
      <xdr:spPr bwMode="auto">
        <a:xfrm flipH="1">
          <a:off x="16983075" y="9696450"/>
          <a:ext cx="285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62</xdr:row>
      <xdr:rowOff>76200</xdr:rowOff>
    </xdr:from>
    <xdr:to>
      <xdr:col>24</xdr:col>
      <xdr:colOff>114300</xdr:colOff>
      <xdr:row>84</xdr:row>
      <xdr:rowOff>19050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305C9689-DFB2-1DE1-658D-3867FBF30ABE}"/>
            </a:ext>
          </a:extLst>
        </xdr:cNvPr>
        <xdr:cNvSpPr>
          <a:spLocks noChangeShapeType="1"/>
        </xdr:cNvSpPr>
      </xdr:nvSpPr>
      <xdr:spPr bwMode="auto">
        <a:xfrm flipH="1">
          <a:off x="5734050" y="11410950"/>
          <a:ext cx="13554075" cy="394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66675</xdr:colOff>
      <xdr:row>60</xdr:row>
      <xdr:rowOff>95250</xdr:rowOff>
    </xdr:from>
    <xdr:to>
      <xdr:col>25</xdr:col>
      <xdr:colOff>304800</xdr:colOff>
      <xdr:row>61</xdr:row>
      <xdr:rowOff>123825</xdr:rowOff>
    </xdr:to>
    <xdr:sp macro="" textlink="">
      <xdr:nvSpPr>
        <xdr:cNvPr id="1090" name="Line 66">
          <a:extLst>
            <a:ext uri="{FF2B5EF4-FFF2-40B4-BE49-F238E27FC236}">
              <a16:creationId xmlns:a16="http://schemas.microsoft.com/office/drawing/2014/main" id="{E240612E-DD44-7270-2B10-051B3CDF625D}"/>
            </a:ext>
          </a:extLst>
        </xdr:cNvPr>
        <xdr:cNvSpPr>
          <a:spLocks noChangeShapeType="1"/>
        </xdr:cNvSpPr>
      </xdr:nvSpPr>
      <xdr:spPr bwMode="auto">
        <a:xfrm flipV="1">
          <a:off x="19240500" y="11068050"/>
          <a:ext cx="1114425" cy="2095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123825</xdr:colOff>
      <xdr:row>74</xdr:row>
      <xdr:rowOff>0</xdr:rowOff>
    </xdr:from>
    <xdr:to>
      <xdr:col>8</xdr:col>
      <xdr:colOff>295275</xdr:colOff>
      <xdr:row>75</xdr:row>
      <xdr:rowOff>57150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5EEF95D3-BF7A-1FC7-9513-282A74D22AEA}"/>
            </a:ext>
          </a:extLst>
        </xdr:cNvPr>
        <xdr:cNvSpPr>
          <a:spLocks noChangeShapeType="1"/>
        </xdr:cNvSpPr>
      </xdr:nvSpPr>
      <xdr:spPr bwMode="auto">
        <a:xfrm>
          <a:off x="6353175" y="13515975"/>
          <a:ext cx="1714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400050</xdr:colOff>
      <xdr:row>22</xdr:row>
      <xdr:rowOff>19050</xdr:rowOff>
    </xdr:from>
    <xdr:to>
      <xdr:col>19</xdr:col>
      <xdr:colOff>485775</xdr:colOff>
      <xdr:row>24</xdr:row>
      <xdr:rowOff>38100</xdr:rowOff>
    </xdr:to>
    <xdr:sp macro="" textlink="">
      <xdr:nvSpPr>
        <xdr:cNvPr id="1092" name="Line 68">
          <a:extLst>
            <a:ext uri="{FF2B5EF4-FFF2-40B4-BE49-F238E27FC236}">
              <a16:creationId xmlns:a16="http://schemas.microsoft.com/office/drawing/2014/main" id="{142D9C52-A223-4261-DFF5-6259F528867D}"/>
            </a:ext>
          </a:extLst>
        </xdr:cNvPr>
        <xdr:cNvSpPr>
          <a:spLocks noChangeShapeType="1"/>
        </xdr:cNvSpPr>
      </xdr:nvSpPr>
      <xdr:spPr bwMode="auto">
        <a:xfrm flipV="1">
          <a:off x="16002000" y="4067175"/>
          <a:ext cx="85725" cy="381000"/>
        </a:xfrm>
        <a:prstGeom prst="line">
          <a:avLst/>
        </a:prstGeom>
        <a:noFill/>
        <a:ln w="38100">
          <a:solidFill>
            <a:srgbClr val="DDDDDD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504825</xdr:colOff>
      <xdr:row>57</xdr:row>
      <xdr:rowOff>161925</xdr:rowOff>
    </xdr:from>
    <xdr:to>
      <xdr:col>8</xdr:col>
      <xdr:colOff>66675</xdr:colOff>
      <xdr:row>59</xdr:row>
      <xdr:rowOff>142875</xdr:rowOff>
    </xdr:to>
    <xdr:sp macro="" textlink="">
      <xdr:nvSpPr>
        <xdr:cNvPr id="1093" name="AutoShape 69">
          <a:extLst>
            <a:ext uri="{FF2B5EF4-FFF2-40B4-BE49-F238E27FC236}">
              <a16:creationId xmlns:a16="http://schemas.microsoft.com/office/drawing/2014/main" id="{0E3C08E9-DF97-153D-6CD8-16F35F6B4887}"/>
            </a:ext>
          </a:extLst>
        </xdr:cNvPr>
        <xdr:cNvSpPr>
          <a:spLocks noChangeArrowheads="1"/>
        </xdr:cNvSpPr>
      </xdr:nvSpPr>
      <xdr:spPr bwMode="auto">
        <a:xfrm>
          <a:off x="5886450" y="10582275"/>
          <a:ext cx="4095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161925</xdr:colOff>
      <xdr:row>44</xdr:row>
      <xdr:rowOff>76200</xdr:rowOff>
    </xdr:from>
    <xdr:to>
      <xdr:col>17</xdr:col>
      <xdr:colOff>409575</xdr:colOff>
      <xdr:row>48</xdr:row>
      <xdr:rowOff>9525</xdr:rowOff>
    </xdr:to>
    <xdr:sp macro="" textlink="">
      <xdr:nvSpPr>
        <xdr:cNvPr id="1094" name="Rectangle 70">
          <a:extLst>
            <a:ext uri="{FF2B5EF4-FFF2-40B4-BE49-F238E27FC236}">
              <a16:creationId xmlns:a16="http://schemas.microsoft.com/office/drawing/2014/main" id="{0693DBD2-181F-4EA5-F2DB-A00A2C35A46D}"/>
            </a:ext>
          </a:extLst>
        </xdr:cNvPr>
        <xdr:cNvSpPr>
          <a:spLocks noChangeArrowheads="1"/>
        </xdr:cNvSpPr>
      </xdr:nvSpPr>
      <xdr:spPr bwMode="auto">
        <a:xfrm>
          <a:off x="13249275" y="8115300"/>
          <a:ext cx="1095375" cy="657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457200</xdr:colOff>
      <xdr:row>8</xdr:row>
      <xdr:rowOff>161925</xdr:rowOff>
    </xdr:from>
    <xdr:to>
      <xdr:col>13</xdr:col>
      <xdr:colOff>790575</xdr:colOff>
      <xdr:row>31</xdr:row>
      <xdr:rowOff>161925</xdr:rowOff>
    </xdr:to>
    <xdr:sp macro="" textlink="">
      <xdr:nvSpPr>
        <xdr:cNvPr id="1095" name="Line 71">
          <a:extLst>
            <a:ext uri="{FF2B5EF4-FFF2-40B4-BE49-F238E27FC236}">
              <a16:creationId xmlns:a16="http://schemas.microsoft.com/office/drawing/2014/main" id="{BF5EE4B7-904E-7E38-082D-FBDCB010ACB4}"/>
            </a:ext>
          </a:extLst>
        </xdr:cNvPr>
        <xdr:cNvSpPr>
          <a:spLocks noChangeShapeType="1"/>
        </xdr:cNvSpPr>
      </xdr:nvSpPr>
      <xdr:spPr bwMode="auto">
        <a:xfrm flipV="1">
          <a:off x="9229725" y="1666875"/>
          <a:ext cx="2105025" cy="418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685800</xdr:colOff>
      <xdr:row>15</xdr:row>
      <xdr:rowOff>161925</xdr:rowOff>
    </xdr:from>
    <xdr:to>
      <xdr:col>13</xdr:col>
      <xdr:colOff>95250</xdr:colOff>
      <xdr:row>16</xdr:row>
      <xdr:rowOff>104775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390028AF-A56B-D4EB-9C2F-6BA47E449D71}"/>
            </a:ext>
          </a:extLst>
        </xdr:cNvPr>
        <xdr:cNvSpPr>
          <a:spLocks noChangeShapeType="1"/>
        </xdr:cNvSpPr>
      </xdr:nvSpPr>
      <xdr:spPr bwMode="auto">
        <a:xfrm flipH="1" flipV="1">
          <a:off x="10382250" y="2933700"/>
          <a:ext cx="25717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371475</xdr:colOff>
      <xdr:row>10</xdr:row>
      <xdr:rowOff>9525</xdr:rowOff>
    </xdr:from>
    <xdr:to>
      <xdr:col>13</xdr:col>
      <xdr:colOff>600075</xdr:colOff>
      <xdr:row>12</xdr:row>
      <xdr:rowOff>114300</xdr:rowOff>
    </xdr:to>
    <xdr:sp macro="" textlink="">
      <xdr:nvSpPr>
        <xdr:cNvPr id="1097" name="Line 73">
          <a:extLst>
            <a:ext uri="{FF2B5EF4-FFF2-40B4-BE49-F238E27FC236}">
              <a16:creationId xmlns:a16="http://schemas.microsoft.com/office/drawing/2014/main" id="{992DE2FA-22A3-5A63-8C2E-982F0F0DC730}"/>
            </a:ext>
          </a:extLst>
        </xdr:cNvPr>
        <xdr:cNvSpPr>
          <a:spLocks noChangeShapeType="1"/>
        </xdr:cNvSpPr>
      </xdr:nvSpPr>
      <xdr:spPr bwMode="auto">
        <a:xfrm flipH="1">
          <a:off x="10915650" y="1876425"/>
          <a:ext cx="228600" cy="466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161925</xdr:colOff>
      <xdr:row>15</xdr:row>
      <xdr:rowOff>28575</xdr:rowOff>
    </xdr:from>
    <xdr:to>
      <xdr:col>14</xdr:col>
      <xdr:colOff>409575</xdr:colOff>
      <xdr:row>18</xdr:row>
      <xdr:rowOff>9525</xdr:rowOff>
    </xdr:to>
    <xdr:sp macro="" textlink="">
      <xdr:nvSpPr>
        <xdr:cNvPr id="1098" name="Rectangle 74">
          <a:extLst>
            <a:ext uri="{FF2B5EF4-FFF2-40B4-BE49-F238E27FC236}">
              <a16:creationId xmlns:a16="http://schemas.microsoft.com/office/drawing/2014/main" id="{039402F5-6451-679E-00CB-2046EB670F8C}"/>
            </a:ext>
          </a:extLst>
        </xdr:cNvPr>
        <xdr:cNvSpPr>
          <a:spLocks noChangeArrowheads="1"/>
        </xdr:cNvSpPr>
      </xdr:nvSpPr>
      <xdr:spPr bwMode="auto">
        <a:xfrm>
          <a:off x="10706100" y="2800350"/>
          <a:ext cx="1095375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828675</xdr:colOff>
      <xdr:row>18</xdr:row>
      <xdr:rowOff>19050</xdr:rowOff>
    </xdr:from>
    <xdr:to>
      <xdr:col>13</xdr:col>
      <xdr:colOff>247650</xdr:colOff>
      <xdr:row>18</xdr:row>
      <xdr:rowOff>161925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B886429D-BA13-29EF-F183-CF72F3BEB042}"/>
            </a:ext>
          </a:extLst>
        </xdr:cNvPr>
        <xdr:cNvSpPr>
          <a:spLocks noChangeShapeType="1"/>
        </xdr:cNvSpPr>
      </xdr:nvSpPr>
      <xdr:spPr bwMode="auto">
        <a:xfrm>
          <a:off x="10525125" y="3343275"/>
          <a:ext cx="2667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352425</xdr:colOff>
      <xdr:row>48</xdr:row>
      <xdr:rowOff>19050</xdr:rowOff>
    </xdr:from>
    <xdr:to>
      <xdr:col>16</xdr:col>
      <xdr:colOff>523875</xdr:colOff>
      <xdr:row>49</xdr:row>
      <xdr:rowOff>38100</xdr:rowOff>
    </xdr:to>
    <xdr:sp macro="" textlink="">
      <xdr:nvSpPr>
        <xdr:cNvPr id="1100" name="Freeform 76">
          <a:extLst>
            <a:ext uri="{FF2B5EF4-FFF2-40B4-BE49-F238E27FC236}">
              <a16:creationId xmlns:a16="http://schemas.microsoft.com/office/drawing/2014/main" id="{D4EB0E92-3A1F-EEA3-377D-EAF49550FC54}"/>
            </a:ext>
          </a:extLst>
        </xdr:cNvPr>
        <xdr:cNvSpPr>
          <a:spLocks/>
        </xdr:cNvSpPr>
      </xdr:nvSpPr>
      <xdr:spPr bwMode="auto">
        <a:xfrm flipH="1">
          <a:off x="13439775" y="8782050"/>
          <a:ext cx="171450" cy="2000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123825</xdr:colOff>
      <xdr:row>19</xdr:row>
      <xdr:rowOff>161925</xdr:rowOff>
    </xdr:from>
    <xdr:to>
      <xdr:col>17</xdr:col>
      <xdr:colOff>409575</xdr:colOff>
      <xdr:row>26</xdr:row>
      <xdr:rowOff>76200</xdr:rowOff>
    </xdr:to>
    <xdr:sp macro="" textlink="">
      <xdr:nvSpPr>
        <xdr:cNvPr id="1101" name="Rectangle 77">
          <a:extLst>
            <a:ext uri="{FF2B5EF4-FFF2-40B4-BE49-F238E27FC236}">
              <a16:creationId xmlns:a16="http://schemas.microsoft.com/office/drawing/2014/main" id="{9097521A-BDDF-3BF6-7513-D274B91BF2E4}"/>
            </a:ext>
          </a:extLst>
        </xdr:cNvPr>
        <xdr:cNvSpPr>
          <a:spLocks noChangeArrowheads="1"/>
        </xdr:cNvSpPr>
      </xdr:nvSpPr>
      <xdr:spPr bwMode="auto">
        <a:xfrm>
          <a:off x="13211175" y="3667125"/>
          <a:ext cx="11334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685800</xdr:colOff>
      <xdr:row>20</xdr:row>
      <xdr:rowOff>152400</xdr:rowOff>
    </xdr:from>
    <xdr:to>
      <xdr:col>16</xdr:col>
      <xdr:colOff>57150</xdr:colOff>
      <xdr:row>21</xdr:row>
      <xdr:rowOff>104775</xdr:rowOff>
    </xdr:to>
    <xdr:sp macro="" textlink="">
      <xdr:nvSpPr>
        <xdr:cNvPr id="1102" name="Line 78">
          <a:extLst>
            <a:ext uri="{FF2B5EF4-FFF2-40B4-BE49-F238E27FC236}">
              <a16:creationId xmlns:a16="http://schemas.microsoft.com/office/drawing/2014/main" id="{21E8CFC9-F646-7797-AF92-1BBCC8BDBF3B}"/>
            </a:ext>
          </a:extLst>
        </xdr:cNvPr>
        <xdr:cNvSpPr>
          <a:spLocks noChangeShapeType="1"/>
        </xdr:cNvSpPr>
      </xdr:nvSpPr>
      <xdr:spPr bwMode="auto">
        <a:xfrm>
          <a:off x="12925425" y="3838575"/>
          <a:ext cx="21907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12</xdr:row>
      <xdr:rowOff>0</xdr:rowOff>
    </xdr:from>
    <xdr:to>
      <xdr:col>8</xdr:col>
      <xdr:colOff>466725</xdr:colOff>
      <xdr:row>16</xdr:row>
      <xdr:rowOff>0</xdr:rowOff>
    </xdr:to>
    <xdr:sp macro="" textlink="">
      <xdr:nvSpPr>
        <xdr:cNvPr id="1103" name="Rectangle 79">
          <a:extLst>
            <a:ext uri="{FF2B5EF4-FFF2-40B4-BE49-F238E27FC236}">
              <a16:creationId xmlns:a16="http://schemas.microsoft.com/office/drawing/2014/main" id="{7599824E-425B-007E-005E-72B8D8A1FF5C}"/>
            </a:ext>
          </a:extLst>
        </xdr:cNvPr>
        <xdr:cNvSpPr>
          <a:spLocks noChangeArrowheads="1"/>
        </xdr:cNvSpPr>
      </xdr:nvSpPr>
      <xdr:spPr bwMode="auto">
        <a:xfrm>
          <a:off x="5505450" y="2228850"/>
          <a:ext cx="1190625" cy="733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590550</xdr:colOff>
      <xdr:row>16</xdr:row>
      <xdr:rowOff>161925</xdr:rowOff>
    </xdr:from>
    <xdr:to>
      <xdr:col>7</xdr:col>
      <xdr:colOff>800100</xdr:colOff>
      <xdr:row>18</xdr:row>
      <xdr:rowOff>66675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881F0D1C-ABE9-4196-7B3E-975304065FCA}"/>
            </a:ext>
          </a:extLst>
        </xdr:cNvPr>
        <xdr:cNvSpPr>
          <a:spLocks noChangeShapeType="1"/>
        </xdr:cNvSpPr>
      </xdr:nvSpPr>
      <xdr:spPr bwMode="auto">
        <a:xfrm flipV="1">
          <a:off x="5972175" y="3124200"/>
          <a:ext cx="20955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23</xdr:row>
      <xdr:rowOff>142875</xdr:rowOff>
    </xdr:from>
    <xdr:to>
      <xdr:col>8</xdr:col>
      <xdr:colOff>723900</xdr:colOff>
      <xdr:row>25</xdr:row>
      <xdr:rowOff>0</xdr:rowOff>
    </xdr:to>
    <xdr:sp macro="" textlink="">
      <xdr:nvSpPr>
        <xdr:cNvPr id="1105" name="Line 81">
          <a:extLst>
            <a:ext uri="{FF2B5EF4-FFF2-40B4-BE49-F238E27FC236}">
              <a16:creationId xmlns:a16="http://schemas.microsoft.com/office/drawing/2014/main" id="{1C786F96-28F3-023A-A8B1-4755BD1888B4}"/>
            </a:ext>
          </a:extLst>
        </xdr:cNvPr>
        <xdr:cNvSpPr>
          <a:spLocks noChangeShapeType="1"/>
        </xdr:cNvSpPr>
      </xdr:nvSpPr>
      <xdr:spPr bwMode="auto">
        <a:xfrm flipV="1">
          <a:off x="6724650" y="4371975"/>
          <a:ext cx="2286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10</xdr:row>
      <xdr:rowOff>142875</xdr:rowOff>
    </xdr:from>
    <xdr:to>
      <xdr:col>9</xdr:col>
      <xdr:colOff>838200</xdr:colOff>
      <xdr:row>26</xdr:row>
      <xdr:rowOff>123825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83AA8453-A03F-7472-47B8-C886C6D25344}"/>
            </a:ext>
          </a:extLst>
        </xdr:cNvPr>
        <xdr:cNvSpPr>
          <a:spLocks noChangeShapeType="1"/>
        </xdr:cNvSpPr>
      </xdr:nvSpPr>
      <xdr:spPr bwMode="auto">
        <a:xfrm>
          <a:off x="4095750" y="2009775"/>
          <a:ext cx="3819525" cy="2886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276225</xdr:colOff>
      <xdr:row>23</xdr:row>
      <xdr:rowOff>142875</xdr:rowOff>
    </xdr:from>
    <xdr:to>
      <xdr:col>8</xdr:col>
      <xdr:colOff>485775</xdr:colOff>
      <xdr:row>24</xdr:row>
      <xdr:rowOff>152400</xdr:rowOff>
    </xdr:to>
    <xdr:sp macro="" textlink="">
      <xdr:nvSpPr>
        <xdr:cNvPr id="1107" name="Line 83">
          <a:extLst>
            <a:ext uri="{FF2B5EF4-FFF2-40B4-BE49-F238E27FC236}">
              <a16:creationId xmlns:a16="http://schemas.microsoft.com/office/drawing/2014/main" id="{CB91D2E3-7A05-A8A4-8D6C-0C6C0DAD5C9D}"/>
            </a:ext>
          </a:extLst>
        </xdr:cNvPr>
        <xdr:cNvSpPr>
          <a:spLocks noChangeShapeType="1"/>
        </xdr:cNvSpPr>
      </xdr:nvSpPr>
      <xdr:spPr bwMode="auto">
        <a:xfrm flipH="1">
          <a:off x="6505575" y="4371975"/>
          <a:ext cx="2095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276225</xdr:colOff>
      <xdr:row>31</xdr:row>
      <xdr:rowOff>114300</xdr:rowOff>
    </xdr:from>
    <xdr:to>
      <xdr:col>6</xdr:col>
      <xdr:colOff>666750</xdr:colOff>
      <xdr:row>33</xdr:row>
      <xdr:rowOff>104775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4CD5F342-BA28-B2C1-92F8-C8CC68069A62}"/>
            </a:ext>
          </a:extLst>
        </xdr:cNvPr>
        <xdr:cNvSpPr>
          <a:spLocks noChangeShapeType="1"/>
        </xdr:cNvSpPr>
      </xdr:nvSpPr>
      <xdr:spPr bwMode="auto">
        <a:xfrm flipH="1">
          <a:off x="4810125" y="5800725"/>
          <a:ext cx="39052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27</xdr:row>
      <xdr:rowOff>9525</xdr:rowOff>
    </xdr:from>
    <xdr:to>
      <xdr:col>13</xdr:col>
      <xdr:colOff>38100</xdr:colOff>
      <xdr:row>37</xdr:row>
      <xdr:rowOff>66675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9013DBE6-FA81-1537-86A6-C4BA01046646}"/>
            </a:ext>
          </a:extLst>
        </xdr:cNvPr>
        <xdr:cNvSpPr>
          <a:spLocks noChangeShapeType="1"/>
        </xdr:cNvSpPr>
      </xdr:nvSpPr>
      <xdr:spPr bwMode="auto">
        <a:xfrm>
          <a:off x="7972425" y="4962525"/>
          <a:ext cx="2609850" cy="1876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733425</xdr:colOff>
      <xdr:row>25</xdr:row>
      <xdr:rowOff>9525</xdr:rowOff>
    </xdr:from>
    <xdr:to>
      <xdr:col>9</xdr:col>
      <xdr:colOff>114300</xdr:colOff>
      <xdr:row>34</xdr:row>
      <xdr:rowOff>19050</xdr:rowOff>
    </xdr:to>
    <xdr:sp macro="" textlink="">
      <xdr:nvSpPr>
        <xdr:cNvPr id="1110" name="Rectangle 86">
          <a:extLst>
            <a:ext uri="{FF2B5EF4-FFF2-40B4-BE49-F238E27FC236}">
              <a16:creationId xmlns:a16="http://schemas.microsoft.com/office/drawing/2014/main" id="{F4947256-09D6-0E40-56A3-564FD3AEF48D}"/>
            </a:ext>
          </a:extLst>
        </xdr:cNvPr>
        <xdr:cNvSpPr>
          <a:spLocks noChangeArrowheads="1"/>
        </xdr:cNvSpPr>
      </xdr:nvSpPr>
      <xdr:spPr bwMode="auto">
        <a:xfrm>
          <a:off x="5267325" y="4600575"/>
          <a:ext cx="1924050" cy="1647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66675</xdr:colOff>
      <xdr:row>32</xdr:row>
      <xdr:rowOff>9525</xdr:rowOff>
    </xdr:from>
    <xdr:to>
      <xdr:col>8</xdr:col>
      <xdr:colOff>638175</xdr:colOff>
      <xdr:row>32</xdr:row>
      <xdr:rowOff>9525</xdr:rowOff>
    </xdr:to>
    <xdr:sp macro="" textlink="">
      <xdr:nvSpPr>
        <xdr:cNvPr id="1111" name="Line 87">
          <a:extLst>
            <a:ext uri="{FF2B5EF4-FFF2-40B4-BE49-F238E27FC236}">
              <a16:creationId xmlns:a16="http://schemas.microsoft.com/office/drawing/2014/main" id="{DBE888A4-A0DF-8B2F-94E1-497F6CCC250A}"/>
            </a:ext>
          </a:extLst>
        </xdr:cNvPr>
        <xdr:cNvSpPr>
          <a:spLocks noChangeShapeType="1"/>
        </xdr:cNvSpPr>
      </xdr:nvSpPr>
      <xdr:spPr bwMode="auto">
        <a:xfrm>
          <a:off x="5448300" y="5876925"/>
          <a:ext cx="1419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238125</xdr:colOff>
      <xdr:row>61</xdr:row>
      <xdr:rowOff>0</xdr:rowOff>
    </xdr:from>
    <xdr:to>
      <xdr:col>22</xdr:col>
      <xdr:colOff>600075</xdr:colOff>
      <xdr:row>66</xdr:row>
      <xdr:rowOff>47625</xdr:rowOff>
    </xdr:to>
    <xdr:sp macro="" textlink="">
      <xdr:nvSpPr>
        <xdr:cNvPr id="1112" name="Rectangle 88">
          <a:extLst>
            <a:ext uri="{FF2B5EF4-FFF2-40B4-BE49-F238E27FC236}">
              <a16:creationId xmlns:a16="http://schemas.microsoft.com/office/drawing/2014/main" id="{7CDE09DE-77D6-AACE-433F-58A9418DA7A8}"/>
            </a:ext>
          </a:extLst>
        </xdr:cNvPr>
        <xdr:cNvSpPr>
          <a:spLocks noChangeArrowheads="1"/>
        </xdr:cNvSpPr>
      </xdr:nvSpPr>
      <xdr:spPr bwMode="auto">
        <a:xfrm>
          <a:off x="16868775" y="11153775"/>
          <a:ext cx="1209675" cy="962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695325</xdr:colOff>
      <xdr:row>65</xdr:row>
      <xdr:rowOff>142875</xdr:rowOff>
    </xdr:from>
    <xdr:to>
      <xdr:col>21</xdr:col>
      <xdr:colOff>66675</xdr:colOff>
      <xdr:row>66</xdr:row>
      <xdr:rowOff>95250</xdr:rowOff>
    </xdr:to>
    <xdr:sp macro="" textlink="">
      <xdr:nvSpPr>
        <xdr:cNvPr id="1113" name="Line 89">
          <a:extLst>
            <a:ext uri="{FF2B5EF4-FFF2-40B4-BE49-F238E27FC236}">
              <a16:creationId xmlns:a16="http://schemas.microsoft.com/office/drawing/2014/main" id="{F8C036EB-35C0-FD66-719B-B83B1783D032}"/>
            </a:ext>
          </a:extLst>
        </xdr:cNvPr>
        <xdr:cNvSpPr>
          <a:spLocks noChangeShapeType="1"/>
        </xdr:cNvSpPr>
      </xdr:nvSpPr>
      <xdr:spPr bwMode="auto">
        <a:xfrm flipH="1">
          <a:off x="16297275" y="12011025"/>
          <a:ext cx="40005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13</xdr:row>
      <xdr:rowOff>76200</xdr:rowOff>
    </xdr:from>
    <xdr:to>
      <xdr:col>16</xdr:col>
      <xdr:colOff>323850</xdr:colOff>
      <xdr:row>14</xdr:row>
      <xdr:rowOff>66675</xdr:rowOff>
    </xdr:to>
    <xdr:sp macro="" textlink="">
      <xdr:nvSpPr>
        <xdr:cNvPr id="1114" name="Line 90">
          <a:extLst>
            <a:ext uri="{FF2B5EF4-FFF2-40B4-BE49-F238E27FC236}">
              <a16:creationId xmlns:a16="http://schemas.microsoft.com/office/drawing/2014/main" id="{EEA9FE44-DEA0-4DB9-9FE0-E6A9F3C6CDF3}"/>
            </a:ext>
          </a:extLst>
        </xdr:cNvPr>
        <xdr:cNvSpPr>
          <a:spLocks noChangeShapeType="1"/>
        </xdr:cNvSpPr>
      </xdr:nvSpPr>
      <xdr:spPr bwMode="auto">
        <a:xfrm>
          <a:off x="13096875" y="2486025"/>
          <a:ext cx="3143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11</xdr:row>
      <xdr:rowOff>152400</xdr:rowOff>
    </xdr:from>
    <xdr:to>
      <xdr:col>16</xdr:col>
      <xdr:colOff>0</xdr:colOff>
      <xdr:row>14</xdr:row>
      <xdr:rowOff>9525</xdr:rowOff>
    </xdr:to>
    <xdr:sp macro="" textlink="">
      <xdr:nvSpPr>
        <xdr:cNvPr id="1115" name="Oval 91">
          <a:extLst>
            <a:ext uri="{FF2B5EF4-FFF2-40B4-BE49-F238E27FC236}">
              <a16:creationId xmlns:a16="http://schemas.microsoft.com/office/drawing/2014/main" id="{B842E970-1357-0530-D72C-E1BDBCE746DD}"/>
            </a:ext>
          </a:extLst>
        </xdr:cNvPr>
        <xdr:cNvSpPr>
          <a:spLocks noChangeArrowheads="1"/>
        </xdr:cNvSpPr>
      </xdr:nvSpPr>
      <xdr:spPr bwMode="auto">
        <a:xfrm>
          <a:off x="12725400" y="220027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9</xdr:row>
      <xdr:rowOff>0</xdr:rowOff>
    </xdr:from>
    <xdr:to>
      <xdr:col>16</xdr:col>
      <xdr:colOff>304800</xdr:colOff>
      <xdr:row>11</xdr:row>
      <xdr:rowOff>171450</xdr:rowOff>
    </xdr:to>
    <xdr:sp macro="" textlink="">
      <xdr:nvSpPr>
        <xdr:cNvPr id="1116" name="Rectangle 92">
          <a:extLst>
            <a:ext uri="{FF2B5EF4-FFF2-40B4-BE49-F238E27FC236}">
              <a16:creationId xmlns:a16="http://schemas.microsoft.com/office/drawing/2014/main" id="{6B22C190-480B-0200-E141-BE5F9DB6833F}"/>
            </a:ext>
          </a:extLst>
        </xdr:cNvPr>
        <xdr:cNvSpPr>
          <a:spLocks noChangeArrowheads="1"/>
        </xdr:cNvSpPr>
      </xdr:nvSpPr>
      <xdr:spPr bwMode="auto">
        <a:xfrm>
          <a:off x="12344400" y="1685925"/>
          <a:ext cx="1047750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257175</xdr:colOff>
      <xdr:row>13</xdr:row>
      <xdr:rowOff>95250</xdr:rowOff>
    </xdr:to>
    <xdr:sp macro="" textlink="">
      <xdr:nvSpPr>
        <xdr:cNvPr id="1117" name="Line 93">
          <a:extLst>
            <a:ext uri="{FF2B5EF4-FFF2-40B4-BE49-F238E27FC236}">
              <a16:creationId xmlns:a16="http://schemas.microsoft.com/office/drawing/2014/main" id="{0C595C60-A096-C24F-A24A-B82DB0797F6B}"/>
            </a:ext>
          </a:extLst>
        </xdr:cNvPr>
        <xdr:cNvSpPr>
          <a:spLocks noChangeShapeType="1"/>
        </xdr:cNvSpPr>
      </xdr:nvSpPr>
      <xdr:spPr bwMode="auto">
        <a:xfrm flipH="1" flipV="1">
          <a:off x="13163550" y="2409825"/>
          <a:ext cx="1809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142875</xdr:colOff>
      <xdr:row>38</xdr:row>
      <xdr:rowOff>0</xdr:rowOff>
    </xdr:from>
    <xdr:to>
      <xdr:col>12</xdr:col>
      <xdr:colOff>381000</xdr:colOff>
      <xdr:row>41</xdr:row>
      <xdr:rowOff>28575</xdr:rowOff>
    </xdr:to>
    <xdr:sp macro="" textlink="">
      <xdr:nvSpPr>
        <xdr:cNvPr id="1118" name="Rectangle 94">
          <a:extLst>
            <a:ext uri="{FF2B5EF4-FFF2-40B4-BE49-F238E27FC236}">
              <a16:creationId xmlns:a16="http://schemas.microsoft.com/office/drawing/2014/main" id="{6CDA4E27-32B6-52BC-F1AF-A06F7A8A3BE8}"/>
            </a:ext>
          </a:extLst>
        </xdr:cNvPr>
        <xdr:cNvSpPr>
          <a:spLocks noChangeArrowheads="1"/>
        </xdr:cNvSpPr>
      </xdr:nvSpPr>
      <xdr:spPr bwMode="auto">
        <a:xfrm>
          <a:off x="8915400" y="6953250"/>
          <a:ext cx="1162050" cy="571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295275</xdr:colOff>
      <xdr:row>34</xdr:row>
      <xdr:rowOff>142875</xdr:rowOff>
    </xdr:from>
    <xdr:to>
      <xdr:col>12</xdr:col>
      <xdr:colOff>657225</xdr:colOff>
      <xdr:row>37</xdr:row>
      <xdr:rowOff>9525</xdr:rowOff>
    </xdr:to>
    <xdr:sp macro="" textlink="">
      <xdr:nvSpPr>
        <xdr:cNvPr id="1119" name="Oval 95">
          <a:extLst>
            <a:ext uri="{FF2B5EF4-FFF2-40B4-BE49-F238E27FC236}">
              <a16:creationId xmlns:a16="http://schemas.microsoft.com/office/drawing/2014/main" id="{D41B4083-6BAB-F7B3-6DB9-85A676C8288E}"/>
            </a:ext>
          </a:extLst>
        </xdr:cNvPr>
        <xdr:cNvSpPr>
          <a:spLocks noChangeArrowheads="1"/>
        </xdr:cNvSpPr>
      </xdr:nvSpPr>
      <xdr:spPr bwMode="auto">
        <a:xfrm>
          <a:off x="9991725" y="6372225"/>
          <a:ext cx="36195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47625</xdr:colOff>
      <xdr:row>36</xdr:row>
      <xdr:rowOff>66675</xdr:rowOff>
    </xdr:from>
    <xdr:to>
      <xdr:col>12</xdr:col>
      <xdr:colOff>228600</xdr:colOff>
      <xdr:row>37</xdr:row>
      <xdr:rowOff>152400</xdr:rowOff>
    </xdr:to>
    <xdr:sp macro="" textlink="">
      <xdr:nvSpPr>
        <xdr:cNvPr id="1120" name="Line 96">
          <a:extLst>
            <a:ext uri="{FF2B5EF4-FFF2-40B4-BE49-F238E27FC236}">
              <a16:creationId xmlns:a16="http://schemas.microsoft.com/office/drawing/2014/main" id="{FAAB895F-8CD0-BE3D-3A6D-F7E72BCCDCC1}"/>
            </a:ext>
          </a:extLst>
        </xdr:cNvPr>
        <xdr:cNvSpPr>
          <a:spLocks noChangeShapeType="1"/>
        </xdr:cNvSpPr>
      </xdr:nvSpPr>
      <xdr:spPr bwMode="auto">
        <a:xfrm flipH="1">
          <a:off x="9744075" y="6657975"/>
          <a:ext cx="180975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542925</xdr:colOff>
      <xdr:row>77</xdr:row>
      <xdr:rowOff>28575</xdr:rowOff>
    </xdr:from>
    <xdr:to>
      <xdr:col>29</xdr:col>
      <xdr:colOff>28575</xdr:colOff>
      <xdr:row>79</xdr:row>
      <xdr:rowOff>9525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C24EB16D-FD3E-7F8F-ED0F-07CFCC472C4B}"/>
            </a:ext>
          </a:extLst>
        </xdr:cNvPr>
        <xdr:cNvSpPr>
          <a:spLocks noChangeArrowheads="1"/>
        </xdr:cNvSpPr>
      </xdr:nvSpPr>
      <xdr:spPr bwMode="auto">
        <a:xfrm>
          <a:off x="22593300" y="1408747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28575</xdr:colOff>
      <xdr:row>78</xdr:row>
      <xdr:rowOff>19050</xdr:rowOff>
    </xdr:from>
    <xdr:to>
      <xdr:col>28</xdr:col>
      <xdr:colOff>628650</xdr:colOff>
      <xdr:row>86</xdr:row>
      <xdr:rowOff>0</xdr:rowOff>
    </xdr:to>
    <xdr:sp macro="" textlink="">
      <xdr:nvSpPr>
        <xdr:cNvPr id="1122" name="Rectangle 98">
          <a:extLst>
            <a:ext uri="{FF2B5EF4-FFF2-40B4-BE49-F238E27FC236}">
              <a16:creationId xmlns:a16="http://schemas.microsoft.com/office/drawing/2014/main" id="{16CB678E-ABA1-1C0D-695C-7C09E439E173}"/>
            </a:ext>
          </a:extLst>
        </xdr:cNvPr>
        <xdr:cNvSpPr>
          <a:spLocks noChangeArrowheads="1"/>
        </xdr:cNvSpPr>
      </xdr:nvSpPr>
      <xdr:spPr bwMode="auto">
        <a:xfrm>
          <a:off x="21497925" y="14258925"/>
          <a:ext cx="1181100" cy="1438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0</xdr:colOff>
      <xdr:row>77</xdr:row>
      <xdr:rowOff>19050</xdr:rowOff>
    </xdr:from>
    <xdr:to>
      <xdr:col>25</xdr:col>
      <xdr:colOff>714375</xdr:colOff>
      <xdr:row>86</xdr:row>
      <xdr:rowOff>19050</xdr:rowOff>
    </xdr:to>
    <xdr:sp macro="" textlink="">
      <xdr:nvSpPr>
        <xdr:cNvPr id="1123" name="Rectangle 99">
          <a:extLst>
            <a:ext uri="{FF2B5EF4-FFF2-40B4-BE49-F238E27FC236}">
              <a16:creationId xmlns:a16="http://schemas.microsoft.com/office/drawing/2014/main" id="{997DF254-1293-A601-A9DE-6787B5ACFDD1}"/>
            </a:ext>
          </a:extLst>
        </xdr:cNvPr>
        <xdr:cNvSpPr>
          <a:spLocks noChangeArrowheads="1"/>
        </xdr:cNvSpPr>
      </xdr:nvSpPr>
      <xdr:spPr bwMode="auto">
        <a:xfrm>
          <a:off x="17478375" y="14077950"/>
          <a:ext cx="3286125" cy="1638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314325</xdr:colOff>
      <xdr:row>77</xdr:row>
      <xdr:rowOff>28575</xdr:rowOff>
    </xdr:from>
    <xdr:to>
      <xdr:col>28</xdr:col>
      <xdr:colOff>400050</xdr:colOff>
      <xdr:row>78</xdr:row>
      <xdr:rowOff>19050</xdr:rowOff>
    </xdr:to>
    <xdr:sp macro="" textlink="">
      <xdr:nvSpPr>
        <xdr:cNvPr id="1124" name="Line 100">
          <a:extLst>
            <a:ext uri="{FF2B5EF4-FFF2-40B4-BE49-F238E27FC236}">
              <a16:creationId xmlns:a16="http://schemas.microsoft.com/office/drawing/2014/main" id="{3364725E-A6DC-A089-E2B6-32FD151E9463}"/>
            </a:ext>
          </a:extLst>
        </xdr:cNvPr>
        <xdr:cNvSpPr>
          <a:spLocks noChangeShapeType="1"/>
        </xdr:cNvSpPr>
      </xdr:nvSpPr>
      <xdr:spPr bwMode="auto">
        <a:xfrm>
          <a:off x="22364700" y="14087475"/>
          <a:ext cx="857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400050</xdr:colOff>
      <xdr:row>65</xdr:row>
      <xdr:rowOff>28575</xdr:rowOff>
    </xdr:from>
    <xdr:to>
      <xdr:col>27</xdr:col>
      <xdr:colOff>142875</xdr:colOff>
      <xdr:row>65</xdr:row>
      <xdr:rowOff>161925</xdr:rowOff>
    </xdr:to>
    <xdr:sp macro="" textlink="">
      <xdr:nvSpPr>
        <xdr:cNvPr id="1125" name="Line 101">
          <a:extLst>
            <a:ext uri="{FF2B5EF4-FFF2-40B4-BE49-F238E27FC236}">
              <a16:creationId xmlns:a16="http://schemas.microsoft.com/office/drawing/2014/main" id="{A37E2B64-5D81-035B-BF92-407E5F81F793}"/>
            </a:ext>
          </a:extLst>
        </xdr:cNvPr>
        <xdr:cNvSpPr>
          <a:spLocks noChangeShapeType="1"/>
        </xdr:cNvSpPr>
      </xdr:nvSpPr>
      <xdr:spPr bwMode="auto">
        <a:xfrm flipH="1" flipV="1">
          <a:off x="21269325" y="11896725"/>
          <a:ext cx="3429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41</xdr:row>
      <xdr:rowOff>19050</xdr:rowOff>
    </xdr:from>
    <xdr:to>
      <xdr:col>14</xdr:col>
      <xdr:colOff>19050</xdr:colOff>
      <xdr:row>62</xdr:row>
      <xdr:rowOff>95250</xdr:rowOff>
    </xdr:to>
    <xdr:sp macro="" textlink="">
      <xdr:nvSpPr>
        <xdr:cNvPr id="1126" name="Freeform 102">
          <a:extLst>
            <a:ext uri="{FF2B5EF4-FFF2-40B4-BE49-F238E27FC236}">
              <a16:creationId xmlns:a16="http://schemas.microsoft.com/office/drawing/2014/main" id="{B94B9EB5-D459-CFBC-E083-2CBD0013DBA2}"/>
            </a:ext>
          </a:extLst>
        </xdr:cNvPr>
        <xdr:cNvSpPr>
          <a:spLocks/>
        </xdr:cNvSpPr>
      </xdr:nvSpPr>
      <xdr:spPr bwMode="auto">
        <a:xfrm>
          <a:off x="4724400" y="7515225"/>
          <a:ext cx="6686550" cy="3914775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123825</xdr:colOff>
      <xdr:row>51</xdr:row>
      <xdr:rowOff>76200</xdr:rowOff>
    </xdr:from>
    <xdr:to>
      <xdr:col>27</xdr:col>
      <xdr:colOff>314325</xdr:colOff>
      <xdr:row>66</xdr:row>
      <xdr:rowOff>114300</xdr:rowOff>
    </xdr:to>
    <xdr:sp macro="" textlink="">
      <xdr:nvSpPr>
        <xdr:cNvPr id="1127" name="Line 103">
          <a:extLst>
            <a:ext uri="{FF2B5EF4-FFF2-40B4-BE49-F238E27FC236}">
              <a16:creationId xmlns:a16="http://schemas.microsoft.com/office/drawing/2014/main" id="{50E76EAD-1EE0-0941-7D5C-684F500E4372}"/>
            </a:ext>
          </a:extLst>
        </xdr:cNvPr>
        <xdr:cNvSpPr>
          <a:spLocks noChangeShapeType="1"/>
        </xdr:cNvSpPr>
      </xdr:nvSpPr>
      <xdr:spPr bwMode="auto">
        <a:xfrm>
          <a:off x="14058900" y="9391650"/>
          <a:ext cx="7724775" cy="2790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314325</xdr:colOff>
      <xdr:row>66</xdr:row>
      <xdr:rowOff>142875</xdr:rowOff>
    </xdr:from>
    <xdr:to>
      <xdr:col>28</xdr:col>
      <xdr:colOff>457200</xdr:colOff>
      <xdr:row>78</xdr:row>
      <xdr:rowOff>28575</xdr:rowOff>
    </xdr:to>
    <xdr:sp macro="" textlink="">
      <xdr:nvSpPr>
        <xdr:cNvPr id="1128" name="Line 104">
          <a:extLst>
            <a:ext uri="{FF2B5EF4-FFF2-40B4-BE49-F238E27FC236}">
              <a16:creationId xmlns:a16="http://schemas.microsoft.com/office/drawing/2014/main" id="{E6C81E39-D3A6-5F56-DD34-82EAC3283C30}"/>
            </a:ext>
          </a:extLst>
        </xdr:cNvPr>
        <xdr:cNvSpPr>
          <a:spLocks noChangeShapeType="1"/>
        </xdr:cNvSpPr>
      </xdr:nvSpPr>
      <xdr:spPr bwMode="auto">
        <a:xfrm>
          <a:off x="21783675" y="12211050"/>
          <a:ext cx="723900" cy="2057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64</xdr:row>
      <xdr:rowOff>19050</xdr:rowOff>
    </xdr:from>
    <xdr:to>
      <xdr:col>6</xdr:col>
      <xdr:colOff>95250</xdr:colOff>
      <xdr:row>75</xdr:row>
      <xdr:rowOff>76200</xdr:rowOff>
    </xdr:to>
    <xdr:sp macro="" textlink="">
      <xdr:nvSpPr>
        <xdr:cNvPr id="1129" name="Line 105">
          <a:extLst>
            <a:ext uri="{FF2B5EF4-FFF2-40B4-BE49-F238E27FC236}">
              <a16:creationId xmlns:a16="http://schemas.microsoft.com/office/drawing/2014/main" id="{0B99095A-1DBF-C91D-C6A8-999A3D960CC3}"/>
            </a:ext>
          </a:extLst>
        </xdr:cNvPr>
        <xdr:cNvSpPr>
          <a:spLocks noChangeShapeType="1"/>
        </xdr:cNvSpPr>
      </xdr:nvSpPr>
      <xdr:spPr bwMode="auto">
        <a:xfrm flipH="1">
          <a:off x="4524375" y="11706225"/>
          <a:ext cx="104775" cy="2066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75</xdr:row>
      <xdr:rowOff>47625</xdr:rowOff>
    </xdr:from>
    <xdr:to>
      <xdr:col>7</xdr:col>
      <xdr:colOff>314325</xdr:colOff>
      <xdr:row>84</xdr:row>
      <xdr:rowOff>19050</xdr:rowOff>
    </xdr:to>
    <xdr:sp macro="" textlink="">
      <xdr:nvSpPr>
        <xdr:cNvPr id="1130" name="Line 106">
          <a:extLst>
            <a:ext uri="{FF2B5EF4-FFF2-40B4-BE49-F238E27FC236}">
              <a16:creationId xmlns:a16="http://schemas.microsoft.com/office/drawing/2014/main" id="{635C98E3-69EA-21E3-5606-16F00CDFC04D}"/>
            </a:ext>
          </a:extLst>
        </xdr:cNvPr>
        <xdr:cNvSpPr>
          <a:spLocks noChangeShapeType="1"/>
        </xdr:cNvSpPr>
      </xdr:nvSpPr>
      <xdr:spPr bwMode="auto">
        <a:xfrm>
          <a:off x="4524375" y="13744575"/>
          <a:ext cx="1171575" cy="1609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361950</xdr:colOff>
      <xdr:row>84</xdr:row>
      <xdr:rowOff>47625</xdr:rowOff>
    </xdr:from>
    <xdr:to>
      <xdr:col>9</xdr:col>
      <xdr:colOff>504825</xdr:colOff>
      <xdr:row>86</xdr:row>
      <xdr:rowOff>28575</xdr:rowOff>
    </xdr:to>
    <xdr:sp macro="" textlink="">
      <xdr:nvSpPr>
        <xdr:cNvPr id="1131" name="Line 107">
          <a:extLst>
            <a:ext uri="{FF2B5EF4-FFF2-40B4-BE49-F238E27FC236}">
              <a16:creationId xmlns:a16="http://schemas.microsoft.com/office/drawing/2014/main" id="{0834AB93-9893-FF68-5027-DFFB574B85BA}"/>
            </a:ext>
          </a:extLst>
        </xdr:cNvPr>
        <xdr:cNvSpPr>
          <a:spLocks noChangeShapeType="1"/>
        </xdr:cNvSpPr>
      </xdr:nvSpPr>
      <xdr:spPr bwMode="auto">
        <a:xfrm>
          <a:off x="5743575" y="15382875"/>
          <a:ext cx="183832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66675</xdr:colOff>
      <xdr:row>84</xdr:row>
      <xdr:rowOff>66675</xdr:rowOff>
    </xdr:from>
    <xdr:to>
      <xdr:col>10</xdr:col>
      <xdr:colOff>171450</xdr:colOff>
      <xdr:row>94</xdr:row>
      <xdr:rowOff>0</xdr:rowOff>
    </xdr:to>
    <xdr:sp macro="" textlink="">
      <xdr:nvSpPr>
        <xdr:cNvPr id="1132" name="Freeform 108">
          <a:extLst>
            <a:ext uri="{FF2B5EF4-FFF2-40B4-BE49-F238E27FC236}">
              <a16:creationId xmlns:a16="http://schemas.microsoft.com/office/drawing/2014/main" id="{5AED2BD3-8974-9D51-F103-70FEA78B1E4A}"/>
            </a:ext>
          </a:extLst>
        </xdr:cNvPr>
        <xdr:cNvSpPr>
          <a:spLocks/>
        </xdr:cNvSpPr>
      </xdr:nvSpPr>
      <xdr:spPr bwMode="auto">
        <a:xfrm>
          <a:off x="5448300" y="15401925"/>
          <a:ext cx="2647950" cy="1752600"/>
        </a:xfrm>
        <a:custGeom>
          <a:avLst/>
          <a:gdLst>
            <a:gd name="T0" fmla="*/ 223 w 278"/>
            <a:gd name="T1" fmla="*/ 34 h 184"/>
            <a:gd name="T2" fmla="*/ 194 w 278"/>
            <a:gd name="T3" fmla="*/ 44 h 184"/>
            <a:gd name="T4" fmla="*/ 165 w 278"/>
            <a:gd name="T5" fmla="*/ 34 h 184"/>
            <a:gd name="T6" fmla="*/ 130 w 278"/>
            <a:gd name="T7" fmla="*/ 5 h 184"/>
            <a:gd name="T8" fmla="*/ 55 w 278"/>
            <a:gd name="T9" fmla="*/ 6 h 184"/>
            <a:gd name="T10" fmla="*/ 33 w 278"/>
            <a:gd name="T11" fmla="*/ 17 h 184"/>
            <a:gd name="T12" fmla="*/ 0 w 278"/>
            <a:gd name="T13" fmla="*/ 58 h 184"/>
            <a:gd name="T14" fmla="*/ 30 w 278"/>
            <a:gd name="T15" fmla="*/ 124 h 184"/>
            <a:gd name="T16" fmla="*/ 100 w 278"/>
            <a:gd name="T17" fmla="*/ 131 h 184"/>
            <a:gd name="T18" fmla="*/ 160 w 278"/>
            <a:gd name="T19" fmla="*/ 139 h 184"/>
            <a:gd name="T20" fmla="*/ 221 w 278"/>
            <a:gd name="T21" fmla="*/ 160 h 184"/>
            <a:gd name="T22" fmla="*/ 241 w 278"/>
            <a:gd name="T23" fmla="*/ 172 h 184"/>
            <a:gd name="T24" fmla="*/ 278 w 278"/>
            <a:gd name="T25" fmla="*/ 184 h 1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278" h="184">
              <a:moveTo>
                <a:pt x="223" y="34"/>
              </a:moveTo>
              <a:cubicBezTo>
                <a:pt x="213" y="39"/>
                <a:pt x="204" y="44"/>
                <a:pt x="194" y="44"/>
              </a:cubicBezTo>
              <a:cubicBezTo>
                <a:pt x="184" y="44"/>
                <a:pt x="176" y="40"/>
                <a:pt x="165" y="34"/>
              </a:cubicBezTo>
              <a:cubicBezTo>
                <a:pt x="154" y="28"/>
                <a:pt x="148" y="10"/>
                <a:pt x="130" y="5"/>
              </a:cubicBezTo>
              <a:cubicBezTo>
                <a:pt x="112" y="0"/>
                <a:pt x="71" y="4"/>
                <a:pt x="55" y="6"/>
              </a:cubicBezTo>
              <a:cubicBezTo>
                <a:pt x="39" y="8"/>
                <a:pt x="42" y="8"/>
                <a:pt x="33" y="17"/>
              </a:cubicBezTo>
              <a:cubicBezTo>
                <a:pt x="24" y="26"/>
                <a:pt x="0" y="40"/>
                <a:pt x="0" y="58"/>
              </a:cubicBezTo>
              <a:cubicBezTo>
                <a:pt x="0" y="76"/>
                <a:pt x="13" y="112"/>
                <a:pt x="30" y="124"/>
              </a:cubicBezTo>
              <a:cubicBezTo>
                <a:pt x="47" y="136"/>
                <a:pt x="78" y="128"/>
                <a:pt x="100" y="131"/>
              </a:cubicBezTo>
              <a:cubicBezTo>
                <a:pt x="122" y="134"/>
                <a:pt x="140" y="134"/>
                <a:pt x="160" y="139"/>
              </a:cubicBezTo>
              <a:cubicBezTo>
                <a:pt x="180" y="144"/>
                <a:pt x="208" y="155"/>
                <a:pt x="221" y="160"/>
              </a:cubicBezTo>
              <a:cubicBezTo>
                <a:pt x="234" y="165"/>
                <a:pt x="232" y="168"/>
                <a:pt x="241" y="172"/>
              </a:cubicBezTo>
              <a:cubicBezTo>
                <a:pt x="250" y="176"/>
                <a:pt x="272" y="182"/>
                <a:pt x="278" y="18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47625</xdr:colOff>
      <xdr:row>94</xdr:row>
      <xdr:rowOff>0</xdr:rowOff>
    </xdr:from>
    <xdr:to>
      <xdr:col>33</xdr:col>
      <xdr:colOff>0</xdr:colOff>
      <xdr:row>95</xdr:row>
      <xdr:rowOff>66675</xdr:rowOff>
    </xdr:to>
    <xdr:sp macro="" textlink="">
      <xdr:nvSpPr>
        <xdr:cNvPr id="1133" name="Freeform 109">
          <a:extLst>
            <a:ext uri="{FF2B5EF4-FFF2-40B4-BE49-F238E27FC236}">
              <a16:creationId xmlns:a16="http://schemas.microsoft.com/office/drawing/2014/main" id="{DAB8F960-01D4-AAAB-C27F-FD0F7C76CE4D}"/>
            </a:ext>
          </a:extLst>
        </xdr:cNvPr>
        <xdr:cNvSpPr>
          <a:spLocks/>
        </xdr:cNvSpPr>
      </xdr:nvSpPr>
      <xdr:spPr bwMode="auto">
        <a:xfrm>
          <a:off x="7972425" y="17154525"/>
          <a:ext cx="17811750" cy="228600"/>
        </a:xfrm>
        <a:custGeom>
          <a:avLst/>
          <a:gdLst>
            <a:gd name="T0" fmla="*/ 0 w 1904"/>
            <a:gd name="T1" fmla="*/ 0 h 24"/>
            <a:gd name="T2" fmla="*/ 803 w 1904"/>
            <a:gd name="T3" fmla="*/ 3 h 24"/>
            <a:gd name="T4" fmla="*/ 1904 w 1904"/>
            <a:gd name="T5" fmla="*/ 24 h 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04" h="24">
              <a:moveTo>
                <a:pt x="0" y="0"/>
              </a:moveTo>
              <a:lnTo>
                <a:pt x="803" y="3"/>
              </a:lnTo>
              <a:lnTo>
                <a:pt x="1904" y="24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209550</xdr:colOff>
      <xdr:row>78</xdr:row>
      <xdr:rowOff>28575</xdr:rowOff>
    </xdr:from>
    <xdr:to>
      <xdr:col>24</xdr:col>
      <xdr:colOff>685800</xdr:colOff>
      <xdr:row>80</xdr:row>
      <xdr:rowOff>28575</xdr:rowOff>
    </xdr:to>
    <xdr:sp macro="" textlink="">
      <xdr:nvSpPr>
        <xdr:cNvPr id="1134" name="Rectangle 110">
          <a:extLst>
            <a:ext uri="{FF2B5EF4-FFF2-40B4-BE49-F238E27FC236}">
              <a16:creationId xmlns:a16="http://schemas.microsoft.com/office/drawing/2014/main" id="{D77CF5F3-F9C5-EABB-0937-2BB4D41F9DCC}"/>
            </a:ext>
          </a:extLst>
        </xdr:cNvPr>
        <xdr:cNvSpPr>
          <a:spLocks noChangeArrowheads="1"/>
        </xdr:cNvSpPr>
      </xdr:nvSpPr>
      <xdr:spPr bwMode="auto">
        <a:xfrm>
          <a:off x="19383375" y="14268450"/>
          <a:ext cx="4762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504825</xdr:colOff>
      <xdr:row>86</xdr:row>
      <xdr:rowOff>19050</xdr:rowOff>
    </xdr:from>
    <xdr:to>
      <xdr:col>32</xdr:col>
      <xdr:colOff>790575</xdr:colOff>
      <xdr:row>91</xdr:row>
      <xdr:rowOff>19050</xdr:rowOff>
    </xdr:to>
    <xdr:sp macro="" textlink="">
      <xdr:nvSpPr>
        <xdr:cNvPr id="1135" name="Line 111">
          <a:extLst>
            <a:ext uri="{FF2B5EF4-FFF2-40B4-BE49-F238E27FC236}">
              <a16:creationId xmlns:a16="http://schemas.microsoft.com/office/drawing/2014/main" id="{F9F0F250-D087-4F67-7E3F-A50CA7BBBD70}"/>
            </a:ext>
          </a:extLst>
        </xdr:cNvPr>
        <xdr:cNvSpPr>
          <a:spLocks noChangeShapeType="1"/>
        </xdr:cNvSpPr>
      </xdr:nvSpPr>
      <xdr:spPr bwMode="auto">
        <a:xfrm>
          <a:off x="7581900" y="15716250"/>
          <a:ext cx="18202275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285750</xdr:colOff>
      <xdr:row>86</xdr:row>
      <xdr:rowOff>0</xdr:rowOff>
    </xdr:from>
    <xdr:to>
      <xdr:col>28</xdr:col>
      <xdr:colOff>228600</xdr:colOff>
      <xdr:row>90</xdr:row>
      <xdr:rowOff>19050</xdr:rowOff>
    </xdr:to>
    <xdr:sp macro="" textlink="">
      <xdr:nvSpPr>
        <xdr:cNvPr id="1136" name="Line 112">
          <a:extLst>
            <a:ext uri="{FF2B5EF4-FFF2-40B4-BE49-F238E27FC236}">
              <a16:creationId xmlns:a16="http://schemas.microsoft.com/office/drawing/2014/main" id="{C1CFDFEC-4112-EF15-259A-C3B6252BB4E9}"/>
            </a:ext>
          </a:extLst>
        </xdr:cNvPr>
        <xdr:cNvSpPr>
          <a:spLocks noChangeShapeType="1"/>
        </xdr:cNvSpPr>
      </xdr:nvSpPr>
      <xdr:spPr bwMode="auto">
        <a:xfrm flipH="1">
          <a:off x="21755100" y="15697200"/>
          <a:ext cx="523875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66675</xdr:rowOff>
    </xdr:from>
    <xdr:to>
      <xdr:col>6</xdr:col>
      <xdr:colOff>295275</xdr:colOff>
      <xdr:row>64</xdr:row>
      <xdr:rowOff>19050</xdr:rowOff>
    </xdr:to>
    <xdr:sp macro="" textlink="">
      <xdr:nvSpPr>
        <xdr:cNvPr id="1137" name="AutoShape 113">
          <a:extLst>
            <a:ext uri="{FF2B5EF4-FFF2-40B4-BE49-F238E27FC236}">
              <a16:creationId xmlns:a16="http://schemas.microsoft.com/office/drawing/2014/main" id="{B2638381-9DE2-1874-A523-57FD9697C8D1}"/>
            </a:ext>
          </a:extLst>
        </xdr:cNvPr>
        <xdr:cNvSpPr>
          <a:spLocks noChangeArrowheads="1"/>
        </xdr:cNvSpPr>
      </xdr:nvSpPr>
      <xdr:spPr bwMode="auto">
        <a:xfrm>
          <a:off x="4533900" y="11401425"/>
          <a:ext cx="2952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47625</xdr:colOff>
      <xdr:row>88</xdr:row>
      <xdr:rowOff>38100</xdr:rowOff>
    </xdr:from>
    <xdr:to>
      <xdr:col>27</xdr:col>
      <xdr:colOff>0</xdr:colOff>
      <xdr:row>96</xdr:row>
      <xdr:rowOff>19050</xdr:rowOff>
    </xdr:to>
    <xdr:sp macro="" textlink="">
      <xdr:nvSpPr>
        <xdr:cNvPr id="1138" name="Rectangle 114">
          <a:extLst>
            <a:ext uri="{FF2B5EF4-FFF2-40B4-BE49-F238E27FC236}">
              <a16:creationId xmlns:a16="http://schemas.microsoft.com/office/drawing/2014/main" id="{3BEB6694-60E4-1865-7119-1499D2DC4FF2}"/>
            </a:ext>
          </a:extLst>
        </xdr:cNvPr>
        <xdr:cNvSpPr>
          <a:spLocks noChangeArrowheads="1"/>
        </xdr:cNvSpPr>
      </xdr:nvSpPr>
      <xdr:spPr bwMode="auto">
        <a:xfrm>
          <a:off x="18373725" y="16097250"/>
          <a:ext cx="3095625" cy="1419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28575</xdr:colOff>
      <xdr:row>88</xdr:row>
      <xdr:rowOff>161925</xdr:rowOff>
    </xdr:from>
    <xdr:to>
      <xdr:col>27</xdr:col>
      <xdr:colOff>352425</xdr:colOff>
      <xdr:row>90</xdr:row>
      <xdr:rowOff>76200</xdr:rowOff>
    </xdr:to>
    <xdr:sp macro="" textlink="">
      <xdr:nvSpPr>
        <xdr:cNvPr id="1139" name="AutoShape 115">
          <a:extLst>
            <a:ext uri="{FF2B5EF4-FFF2-40B4-BE49-F238E27FC236}">
              <a16:creationId xmlns:a16="http://schemas.microsoft.com/office/drawing/2014/main" id="{42766A13-3AC7-EB33-6958-22BF436D7060}"/>
            </a:ext>
          </a:extLst>
        </xdr:cNvPr>
        <xdr:cNvSpPr>
          <a:spLocks noChangeArrowheads="1"/>
        </xdr:cNvSpPr>
      </xdr:nvSpPr>
      <xdr:spPr bwMode="auto">
        <a:xfrm>
          <a:off x="21497925" y="16221075"/>
          <a:ext cx="323850" cy="2762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85</xdr:row>
      <xdr:rowOff>76200</xdr:rowOff>
    </xdr:from>
    <xdr:to>
      <xdr:col>9</xdr:col>
      <xdr:colOff>314325</xdr:colOff>
      <xdr:row>87</xdr:row>
      <xdr:rowOff>28575</xdr:rowOff>
    </xdr:to>
    <xdr:sp macro="" textlink="">
      <xdr:nvSpPr>
        <xdr:cNvPr id="1140" name="Oval 116">
          <a:extLst>
            <a:ext uri="{FF2B5EF4-FFF2-40B4-BE49-F238E27FC236}">
              <a16:creationId xmlns:a16="http://schemas.microsoft.com/office/drawing/2014/main" id="{66CBA5E3-272B-7D63-C9CB-F1BB974A7D39}"/>
            </a:ext>
          </a:extLst>
        </xdr:cNvPr>
        <xdr:cNvSpPr>
          <a:spLocks noChangeArrowheads="1"/>
        </xdr:cNvSpPr>
      </xdr:nvSpPr>
      <xdr:spPr bwMode="auto">
        <a:xfrm>
          <a:off x="7077075" y="1559242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19050</xdr:colOff>
      <xdr:row>93</xdr:row>
      <xdr:rowOff>76200</xdr:rowOff>
    </xdr:from>
    <xdr:to>
      <xdr:col>10</xdr:col>
      <xdr:colOff>314325</xdr:colOff>
      <xdr:row>94</xdr:row>
      <xdr:rowOff>142875</xdr:rowOff>
    </xdr:to>
    <xdr:sp macro="" textlink="">
      <xdr:nvSpPr>
        <xdr:cNvPr id="1141" name="Oval 117">
          <a:extLst>
            <a:ext uri="{FF2B5EF4-FFF2-40B4-BE49-F238E27FC236}">
              <a16:creationId xmlns:a16="http://schemas.microsoft.com/office/drawing/2014/main" id="{34F2665F-E9DE-C489-A5F1-55642EF0FD5D}"/>
            </a:ext>
          </a:extLst>
        </xdr:cNvPr>
        <xdr:cNvSpPr>
          <a:spLocks noChangeArrowheads="1"/>
        </xdr:cNvSpPr>
      </xdr:nvSpPr>
      <xdr:spPr bwMode="auto">
        <a:xfrm>
          <a:off x="7943850" y="17040225"/>
          <a:ext cx="295275" cy="2571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200025</xdr:colOff>
      <xdr:row>90</xdr:row>
      <xdr:rowOff>19050</xdr:rowOff>
    </xdr:from>
    <xdr:to>
      <xdr:col>11</xdr:col>
      <xdr:colOff>685800</xdr:colOff>
      <xdr:row>97</xdr:row>
      <xdr:rowOff>28575</xdr:rowOff>
    </xdr:to>
    <xdr:sp macro="" textlink="">
      <xdr:nvSpPr>
        <xdr:cNvPr id="1142" name="Rectangle 118">
          <a:extLst>
            <a:ext uri="{FF2B5EF4-FFF2-40B4-BE49-F238E27FC236}">
              <a16:creationId xmlns:a16="http://schemas.microsoft.com/office/drawing/2014/main" id="{4A441E7A-1D3E-3877-DCA5-FC89B27A05F7}"/>
            </a:ext>
          </a:extLst>
        </xdr:cNvPr>
        <xdr:cNvSpPr>
          <a:spLocks noChangeArrowheads="1"/>
        </xdr:cNvSpPr>
      </xdr:nvSpPr>
      <xdr:spPr bwMode="auto">
        <a:xfrm>
          <a:off x="8124825" y="16440150"/>
          <a:ext cx="1333500" cy="1247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209550</xdr:colOff>
      <xdr:row>81</xdr:row>
      <xdr:rowOff>142875</xdr:rowOff>
    </xdr:from>
    <xdr:to>
      <xdr:col>10</xdr:col>
      <xdr:colOff>476250</xdr:colOff>
      <xdr:row>89</xdr:row>
      <xdr:rowOff>47625</xdr:rowOff>
    </xdr:to>
    <xdr:sp macro="" textlink="">
      <xdr:nvSpPr>
        <xdr:cNvPr id="1143" name="Rectangle 119">
          <a:extLst>
            <a:ext uri="{FF2B5EF4-FFF2-40B4-BE49-F238E27FC236}">
              <a16:creationId xmlns:a16="http://schemas.microsoft.com/office/drawing/2014/main" id="{3382E559-21EE-AD5D-C309-DBB978C49B25}"/>
            </a:ext>
          </a:extLst>
        </xdr:cNvPr>
        <xdr:cNvSpPr>
          <a:spLocks noChangeArrowheads="1"/>
        </xdr:cNvSpPr>
      </xdr:nvSpPr>
      <xdr:spPr bwMode="auto">
        <a:xfrm>
          <a:off x="7286625" y="14935200"/>
          <a:ext cx="1114425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695325</xdr:colOff>
      <xdr:row>88</xdr:row>
      <xdr:rowOff>28575</xdr:rowOff>
    </xdr:from>
    <xdr:to>
      <xdr:col>17</xdr:col>
      <xdr:colOff>552450</xdr:colOff>
      <xdr:row>94</xdr:row>
      <xdr:rowOff>66675</xdr:rowOff>
    </xdr:to>
    <xdr:sp macro="" textlink="">
      <xdr:nvSpPr>
        <xdr:cNvPr id="1144" name="Line 120">
          <a:extLst>
            <a:ext uri="{FF2B5EF4-FFF2-40B4-BE49-F238E27FC236}">
              <a16:creationId xmlns:a16="http://schemas.microsoft.com/office/drawing/2014/main" id="{B5827A3C-F809-B0AC-7F22-B5A5089A8AD2}"/>
            </a:ext>
          </a:extLst>
        </xdr:cNvPr>
        <xdr:cNvSpPr>
          <a:spLocks noChangeShapeType="1"/>
        </xdr:cNvSpPr>
      </xdr:nvSpPr>
      <xdr:spPr bwMode="auto">
        <a:xfrm flipH="1">
          <a:off x="13782675" y="16087725"/>
          <a:ext cx="70485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762000</xdr:colOff>
      <xdr:row>88</xdr:row>
      <xdr:rowOff>76200</xdr:rowOff>
    </xdr:from>
    <xdr:to>
      <xdr:col>19</xdr:col>
      <xdr:colOff>609600</xdr:colOff>
      <xdr:row>94</xdr:row>
      <xdr:rowOff>76200</xdr:rowOff>
    </xdr:to>
    <xdr:sp macro="" textlink="">
      <xdr:nvSpPr>
        <xdr:cNvPr id="1145" name="Line 121">
          <a:extLst>
            <a:ext uri="{FF2B5EF4-FFF2-40B4-BE49-F238E27FC236}">
              <a16:creationId xmlns:a16="http://schemas.microsoft.com/office/drawing/2014/main" id="{2A53C0AA-F5B0-3F7D-52F7-FF573C3BB451}"/>
            </a:ext>
          </a:extLst>
        </xdr:cNvPr>
        <xdr:cNvSpPr>
          <a:spLocks noChangeShapeType="1"/>
        </xdr:cNvSpPr>
      </xdr:nvSpPr>
      <xdr:spPr bwMode="auto">
        <a:xfrm flipH="1">
          <a:off x="15516225" y="16135350"/>
          <a:ext cx="695325" cy="1095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80</xdr:row>
      <xdr:rowOff>19050</xdr:rowOff>
    </xdr:from>
    <xdr:to>
      <xdr:col>17</xdr:col>
      <xdr:colOff>361950</xdr:colOff>
      <xdr:row>87</xdr:row>
      <xdr:rowOff>38100</xdr:rowOff>
    </xdr:to>
    <xdr:sp macro="" textlink="">
      <xdr:nvSpPr>
        <xdr:cNvPr id="1146" name="Rectangle 122">
          <a:extLst>
            <a:ext uri="{FF2B5EF4-FFF2-40B4-BE49-F238E27FC236}">
              <a16:creationId xmlns:a16="http://schemas.microsoft.com/office/drawing/2014/main" id="{09098BF8-20BD-B102-CFB6-4FB029972EFC}"/>
            </a:ext>
          </a:extLst>
        </xdr:cNvPr>
        <xdr:cNvSpPr>
          <a:spLocks noChangeArrowheads="1"/>
        </xdr:cNvSpPr>
      </xdr:nvSpPr>
      <xdr:spPr bwMode="auto">
        <a:xfrm>
          <a:off x="13277850" y="14620875"/>
          <a:ext cx="1019175" cy="1295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47625</xdr:colOff>
      <xdr:row>93</xdr:row>
      <xdr:rowOff>95250</xdr:rowOff>
    </xdr:from>
    <xdr:to>
      <xdr:col>17</xdr:col>
      <xdr:colOff>257175</xdr:colOff>
      <xdr:row>94</xdr:row>
      <xdr:rowOff>123825</xdr:rowOff>
    </xdr:to>
    <xdr:sp macro="" textlink="">
      <xdr:nvSpPr>
        <xdr:cNvPr id="1147" name="Oval 123">
          <a:extLst>
            <a:ext uri="{FF2B5EF4-FFF2-40B4-BE49-F238E27FC236}">
              <a16:creationId xmlns:a16="http://schemas.microsoft.com/office/drawing/2014/main" id="{D3A1DC12-3532-896B-A876-55F79A2DF784}"/>
            </a:ext>
          </a:extLst>
        </xdr:cNvPr>
        <xdr:cNvSpPr>
          <a:spLocks noChangeArrowheads="1"/>
        </xdr:cNvSpPr>
      </xdr:nvSpPr>
      <xdr:spPr bwMode="auto">
        <a:xfrm>
          <a:off x="13982700" y="17059275"/>
          <a:ext cx="209550" cy="2190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361950</xdr:colOff>
      <xdr:row>87</xdr:row>
      <xdr:rowOff>28575</xdr:rowOff>
    </xdr:from>
    <xdr:to>
      <xdr:col>16</xdr:col>
      <xdr:colOff>638175</xdr:colOff>
      <xdr:row>88</xdr:row>
      <xdr:rowOff>114300</xdr:rowOff>
    </xdr:to>
    <xdr:sp macro="" textlink="">
      <xdr:nvSpPr>
        <xdr:cNvPr id="1148" name="Oval 124">
          <a:extLst>
            <a:ext uri="{FF2B5EF4-FFF2-40B4-BE49-F238E27FC236}">
              <a16:creationId xmlns:a16="http://schemas.microsoft.com/office/drawing/2014/main" id="{6FFE1A8B-354F-2B12-1346-2FC8023EDBDF}"/>
            </a:ext>
          </a:extLst>
        </xdr:cNvPr>
        <xdr:cNvSpPr>
          <a:spLocks noChangeArrowheads="1"/>
        </xdr:cNvSpPr>
      </xdr:nvSpPr>
      <xdr:spPr bwMode="auto">
        <a:xfrm>
          <a:off x="13449300" y="15906750"/>
          <a:ext cx="276225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17</xdr:col>
      <xdr:colOff>180975</xdr:colOff>
      <xdr:row>90</xdr:row>
      <xdr:rowOff>19050</xdr:rowOff>
    </xdr:from>
    <xdr:to>
      <xdr:col>18</xdr:col>
      <xdr:colOff>714375</xdr:colOff>
      <xdr:row>97</xdr:row>
      <xdr:rowOff>19050</xdr:rowOff>
    </xdr:to>
    <xdr:sp macro="" textlink="">
      <xdr:nvSpPr>
        <xdr:cNvPr id="1149" name="Rectangle 125">
          <a:extLst>
            <a:ext uri="{FF2B5EF4-FFF2-40B4-BE49-F238E27FC236}">
              <a16:creationId xmlns:a16="http://schemas.microsoft.com/office/drawing/2014/main" id="{5BBFC4FA-4D20-DD3B-F12B-F305E32C8E37}"/>
            </a:ext>
          </a:extLst>
        </xdr:cNvPr>
        <xdr:cNvSpPr>
          <a:spLocks noChangeArrowheads="1"/>
        </xdr:cNvSpPr>
      </xdr:nvSpPr>
      <xdr:spPr bwMode="auto">
        <a:xfrm>
          <a:off x="14116050" y="16440150"/>
          <a:ext cx="1352550" cy="1238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219075</xdr:colOff>
      <xdr:row>92</xdr:row>
      <xdr:rowOff>0</xdr:rowOff>
    </xdr:from>
    <xdr:to>
      <xdr:col>32</xdr:col>
      <xdr:colOff>409575</xdr:colOff>
      <xdr:row>99</xdr:row>
      <xdr:rowOff>0</xdr:rowOff>
    </xdr:to>
    <xdr:sp macro="" textlink="">
      <xdr:nvSpPr>
        <xdr:cNvPr id="1150" name="Rectangle 126">
          <a:extLst>
            <a:ext uri="{FF2B5EF4-FFF2-40B4-BE49-F238E27FC236}">
              <a16:creationId xmlns:a16="http://schemas.microsoft.com/office/drawing/2014/main" id="{FE13C405-75E9-4918-9CDA-DAEEB94DDC18}"/>
            </a:ext>
          </a:extLst>
        </xdr:cNvPr>
        <xdr:cNvSpPr>
          <a:spLocks noChangeArrowheads="1"/>
        </xdr:cNvSpPr>
      </xdr:nvSpPr>
      <xdr:spPr bwMode="auto">
        <a:xfrm>
          <a:off x="24812625" y="16783050"/>
          <a:ext cx="895350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447675</xdr:colOff>
      <xdr:row>87</xdr:row>
      <xdr:rowOff>66675</xdr:rowOff>
    </xdr:from>
    <xdr:to>
      <xdr:col>28</xdr:col>
      <xdr:colOff>85725</xdr:colOff>
      <xdr:row>88</xdr:row>
      <xdr:rowOff>95250</xdr:rowOff>
    </xdr:to>
    <xdr:sp macro="" textlink="">
      <xdr:nvSpPr>
        <xdr:cNvPr id="1151" name="Oval 127">
          <a:extLst>
            <a:ext uri="{FF2B5EF4-FFF2-40B4-BE49-F238E27FC236}">
              <a16:creationId xmlns:a16="http://schemas.microsoft.com/office/drawing/2014/main" id="{F74C8202-DC45-8DC2-F83A-E741BD389B5F}"/>
            </a:ext>
          </a:extLst>
        </xdr:cNvPr>
        <xdr:cNvSpPr>
          <a:spLocks noChangeArrowheads="1"/>
        </xdr:cNvSpPr>
      </xdr:nvSpPr>
      <xdr:spPr bwMode="auto">
        <a:xfrm>
          <a:off x="21917025" y="15944850"/>
          <a:ext cx="219075" cy="2095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27</xdr:col>
      <xdr:colOff>285750</xdr:colOff>
      <xdr:row>87</xdr:row>
      <xdr:rowOff>19050</xdr:rowOff>
    </xdr:from>
    <xdr:to>
      <xdr:col>27</xdr:col>
      <xdr:colOff>428625</xdr:colOff>
      <xdr:row>88</xdr:row>
      <xdr:rowOff>38100</xdr:rowOff>
    </xdr:to>
    <xdr:sp macro="" textlink="">
      <xdr:nvSpPr>
        <xdr:cNvPr id="1152" name="Line 128">
          <a:extLst>
            <a:ext uri="{FF2B5EF4-FFF2-40B4-BE49-F238E27FC236}">
              <a16:creationId xmlns:a16="http://schemas.microsoft.com/office/drawing/2014/main" id="{9928BC69-87BD-F23E-5C55-B6A3121CC312}"/>
            </a:ext>
          </a:extLst>
        </xdr:cNvPr>
        <xdr:cNvSpPr>
          <a:spLocks noChangeShapeType="1"/>
        </xdr:cNvSpPr>
      </xdr:nvSpPr>
      <xdr:spPr bwMode="auto">
        <a:xfrm flipH="1">
          <a:off x="21755100" y="15897225"/>
          <a:ext cx="1428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209550</xdr:colOff>
      <xdr:row>74</xdr:row>
      <xdr:rowOff>161925</xdr:rowOff>
    </xdr:from>
    <xdr:to>
      <xdr:col>12</xdr:col>
      <xdr:colOff>571500</xdr:colOff>
      <xdr:row>79</xdr:row>
      <xdr:rowOff>161925</xdr:rowOff>
    </xdr:to>
    <xdr:sp macro="" textlink="">
      <xdr:nvSpPr>
        <xdr:cNvPr id="1153" name="Rectangle 129">
          <a:extLst>
            <a:ext uri="{FF2B5EF4-FFF2-40B4-BE49-F238E27FC236}">
              <a16:creationId xmlns:a16="http://schemas.microsoft.com/office/drawing/2014/main" id="{A5FE753F-3860-D974-3A9B-9DB5079C0300}"/>
            </a:ext>
          </a:extLst>
        </xdr:cNvPr>
        <xdr:cNvSpPr>
          <a:spLocks noChangeArrowheads="1"/>
        </xdr:cNvSpPr>
      </xdr:nvSpPr>
      <xdr:spPr bwMode="auto">
        <a:xfrm>
          <a:off x="8982075" y="13677900"/>
          <a:ext cx="12858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352425</xdr:colOff>
      <xdr:row>69</xdr:row>
      <xdr:rowOff>161925</xdr:rowOff>
    </xdr:from>
    <xdr:to>
      <xdr:col>15</xdr:col>
      <xdr:colOff>647700</xdr:colOff>
      <xdr:row>75</xdr:row>
      <xdr:rowOff>28575</xdr:rowOff>
    </xdr:to>
    <xdr:sp macro="" textlink="">
      <xdr:nvSpPr>
        <xdr:cNvPr id="1154" name="Rectangle 130">
          <a:extLst>
            <a:ext uri="{FF2B5EF4-FFF2-40B4-BE49-F238E27FC236}">
              <a16:creationId xmlns:a16="http://schemas.microsoft.com/office/drawing/2014/main" id="{22365298-4AA4-3D61-18B7-0C065146D474}"/>
            </a:ext>
          </a:extLst>
        </xdr:cNvPr>
        <xdr:cNvSpPr>
          <a:spLocks noChangeArrowheads="1"/>
        </xdr:cNvSpPr>
      </xdr:nvSpPr>
      <xdr:spPr bwMode="auto">
        <a:xfrm>
          <a:off x="11744325" y="12773025"/>
          <a:ext cx="1143000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314325</xdr:colOff>
      <xdr:row>71</xdr:row>
      <xdr:rowOff>161925</xdr:rowOff>
    </xdr:from>
    <xdr:to>
      <xdr:col>18</xdr:col>
      <xdr:colOff>609600</xdr:colOff>
      <xdr:row>77</xdr:row>
      <xdr:rowOff>19050</xdr:rowOff>
    </xdr:to>
    <xdr:sp macro="" textlink="">
      <xdr:nvSpPr>
        <xdr:cNvPr id="1155" name="Rectangle 131">
          <a:extLst>
            <a:ext uri="{FF2B5EF4-FFF2-40B4-BE49-F238E27FC236}">
              <a16:creationId xmlns:a16="http://schemas.microsoft.com/office/drawing/2014/main" id="{80A16222-F445-04FE-71AC-17466B91DD5A}"/>
            </a:ext>
          </a:extLst>
        </xdr:cNvPr>
        <xdr:cNvSpPr>
          <a:spLocks noChangeArrowheads="1"/>
        </xdr:cNvSpPr>
      </xdr:nvSpPr>
      <xdr:spPr bwMode="auto">
        <a:xfrm>
          <a:off x="14249400" y="13134975"/>
          <a:ext cx="1114425" cy="942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352425</xdr:colOff>
      <xdr:row>60</xdr:row>
      <xdr:rowOff>161925</xdr:rowOff>
    </xdr:from>
    <xdr:to>
      <xdr:col>19</xdr:col>
      <xdr:colOff>552450</xdr:colOff>
      <xdr:row>66</xdr:row>
      <xdr:rowOff>19050</xdr:rowOff>
    </xdr:to>
    <xdr:sp macro="" textlink="">
      <xdr:nvSpPr>
        <xdr:cNvPr id="1156" name="Rectangle 132">
          <a:extLst>
            <a:ext uri="{FF2B5EF4-FFF2-40B4-BE49-F238E27FC236}">
              <a16:creationId xmlns:a16="http://schemas.microsoft.com/office/drawing/2014/main" id="{0F213DA4-F80E-4C89-3EB9-5C31C103BB03}"/>
            </a:ext>
          </a:extLst>
        </xdr:cNvPr>
        <xdr:cNvSpPr>
          <a:spLocks noChangeArrowheads="1"/>
        </xdr:cNvSpPr>
      </xdr:nvSpPr>
      <xdr:spPr bwMode="auto">
        <a:xfrm>
          <a:off x="15106650" y="11134725"/>
          <a:ext cx="1047750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74</xdr:row>
      <xdr:rowOff>47625</xdr:rowOff>
    </xdr:from>
    <xdr:to>
      <xdr:col>14</xdr:col>
      <xdr:colOff>0</xdr:colOff>
      <xdr:row>75</xdr:row>
      <xdr:rowOff>28575</xdr:rowOff>
    </xdr:to>
    <xdr:sp macro="" textlink="">
      <xdr:nvSpPr>
        <xdr:cNvPr id="1157" name="Line 133">
          <a:extLst>
            <a:ext uri="{FF2B5EF4-FFF2-40B4-BE49-F238E27FC236}">
              <a16:creationId xmlns:a16="http://schemas.microsoft.com/office/drawing/2014/main" id="{D336D3EF-5B72-1CE7-80F6-C4A51FDB7840}"/>
            </a:ext>
          </a:extLst>
        </xdr:cNvPr>
        <xdr:cNvSpPr>
          <a:spLocks noChangeShapeType="1"/>
        </xdr:cNvSpPr>
      </xdr:nvSpPr>
      <xdr:spPr bwMode="auto">
        <a:xfrm flipH="1">
          <a:off x="10896600" y="13563600"/>
          <a:ext cx="49530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209550</xdr:colOff>
      <xdr:row>86</xdr:row>
      <xdr:rowOff>47625</xdr:rowOff>
    </xdr:from>
    <xdr:to>
      <xdr:col>13</xdr:col>
      <xdr:colOff>704850</xdr:colOff>
      <xdr:row>86</xdr:row>
      <xdr:rowOff>76200</xdr:rowOff>
    </xdr:to>
    <xdr:sp macro="" textlink="">
      <xdr:nvSpPr>
        <xdr:cNvPr id="1158" name="Line 134">
          <a:extLst>
            <a:ext uri="{FF2B5EF4-FFF2-40B4-BE49-F238E27FC236}">
              <a16:creationId xmlns:a16="http://schemas.microsoft.com/office/drawing/2014/main" id="{85F9AA2C-4483-A9A1-F61A-C551098D7763}"/>
            </a:ext>
          </a:extLst>
        </xdr:cNvPr>
        <xdr:cNvSpPr>
          <a:spLocks noChangeShapeType="1"/>
        </xdr:cNvSpPr>
      </xdr:nvSpPr>
      <xdr:spPr bwMode="auto">
        <a:xfrm flipH="1" flipV="1">
          <a:off x="10753725" y="15744825"/>
          <a:ext cx="49530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314325</xdr:colOff>
      <xdr:row>93</xdr:row>
      <xdr:rowOff>76200</xdr:rowOff>
    </xdr:from>
    <xdr:to>
      <xdr:col>13</xdr:col>
      <xdr:colOff>828675</xdr:colOff>
      <xdr:row>93</xdr:row>
      <xdr:rowOff>76200</xdr:rowOff>
    </xdr:to>
    <xdr:sp macro="" textlink="">
      <xdr:nvSpPr>
        <xdr:cNvPr id="1159" name="Line 135">
          <a:extLst>
            <a:ext uri="{FF2B5EF4-FFF2-40B4-BE49-F238E27FC236}">
              <a16:creationId xmlns:a16="http://schemas.microsoft.com/office/drawing/2014/main" id="{C45CE3FC-B823-A893-F85F-2C264B6E2385}"/>
            </a:ext>
          </a:extLst>
        </xdr:cNvPr>
        <xdr:cNvSpPr>
          <a:spLocks noChangeShapeType="1"/>
        </xdr:cNvSpPr>
      </xdr:nvSpPr>
      <xdr:spPr bwMode="auto">
        <a:xfrm flipH="1" flipV="1">
          <a:off x="10858500" y="1704022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352425</xdr:colOff>
      <xdr:row>83</xdr:row>
      <xdr:rowOff>19050</xdr:rowOff>
    </xdr:from>
    <xdr:to>
      <xdr:col>32</xdr:col>
      <xdr:colOff>428625</xdr:colOff>
      <xdr:row>91</xdr:row>
      <xdr:rowOff>0</xdr:rowOff>
    </xdr:to>
    <xdr:sp macro="" textlink="">
      <xdr:nvSpPr>
        <xdr:cNvPr id="1160" name="Rectangle 136">
          <a:extLst>
            <a:ext uri="{FF2B5EF4-FFF2-40B4-BE49-F238E27FC236}">
              <a16:creationId xmlns:a16="http://schemas.microsoft.com/office/drawing/2014/main" id="{BE0B3A4A-42E0-AC92-9B79-9F19B2219F62}"/>
            </a:ext>
          </a:extLst>
        </xdr:cNvPr>
        <xdr:cNvSpPr>
          <a:spLocks noChangeArrowheads="1"/>
        </xdr:cNvSpPr>
      </xdr:nvSpPr>
      <xdr:spPr bwMode="auto">
        <a:xfrm>
          <a:off x="24098250" y="15173325"/>
          <a:ext cx="1628775" cy="14287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666750</xdr:colOff>
      <xdr:row>87</xdr:row>
      <xdr:rowOff>114300</xdr:rowOff>
    </xdr:from>
    <xdr:to>
      <xdr:col>19</xdr:col>
      <xdr:colOff>314325</xdr:colOff>
      <xdr:row>87</xdr:row>
      <xdr:rowOff>142875</xdr:rowOff>
    </xdr:to>
    <xdr:sp macro="" textlink="">
      <xdr:nvSpPr>
        <xdr:cNvPr id="1161" name="Line 137">
          <a:extLst>
            <a:ext uri="{FF2B5EF4-FFF2-40B4-BE49-F238E27FC236}">
              <a16:creationId xmlns:a16="http://schemas.microsoft.com/office/drawing/2014/main" id="{578156C6-07B1-CA72-411E-80FC4975EDEA}"/>
            </a:ext>
          </a:extLst>
        </xdr:cNvPr>
        <xdr:cNvSpPr>
          <a:spLocks noChangeShapeType="1"/>
        </xdr:cNvSpPr>
      </xdr:nvSpPr>
      <xdr:spPr bwMode="auto">
        <a:xfrm flipH="1" flipV="1">
          <a:off x="15420975" y="15992475"/>
          <a:ext cx="49530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85</xdr:row>
      <xdr:rowOff>76200</xdr:rowOff>
    </xdr:from>
    <xdr:to>
      <xdr:col>9</xdr:col>
      <xdr:colOff>314325</xdr:colOff>
      <xdr:row>86</xdr:row>
      <xdr:rowOff>142875</xdr:rowOff>
    </xdr:to>
    <xdr:sp macro="" textlink="">
      <xdr:nvSpPr>
        <xdr:cNvPr id="1162" name="Oval 138">
          <a:extLst>
            <a:ext uri="{FF2B5EF4-FFF2-40B4-BE49-F238E27FC236}">
              <a16:creationId xmlns:a16="http://schemas.microsoft.com/office/drawing/2014/main" id="{F4130E65-AE5F-F284-CC00-958CB164DBFC}"/>
            </a:ext>
          </a:extLst>
        </xdr:cNvPr>
        <xdr:cNvSpPr>
          <a:spLocks noChangeArrowheads="1"/>
        </xdr:cNvSpPr>
      </xdr:nvSpPr>
      <xdr:spPr bwMode="auto">
        <a:xfrm>
          <a:off x="7096125" y="15592425"/>
          <a:ext cx="29527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381000</xdr:colOff>
      <xdr:row>101</xdr:row>
      <xdr:rowOff>19050</xdr:rowOff>
    </xdr:from>
    <xdr:to>
      <xdr:col>21</xdr:col>
      <xdr:colOff>28575</xdr:colOff>
      <xdr:row>107</xdr:row>
      <xdr:rowOff>76200</xdr:rowOff>
    </xdr:to>
    <xdr:sp macro="" textlink="">
      <xdr:nvSpPr>
        <xdr:cNvPr id="1163" name="Rectangle 139">
          <a:extLst>
            <a:ext uri="{FF2B5EF4-FFF2-40B4-BE49-F238E27FC236}">
              <a16:creationId xmlns:a16="http://schemas.microsoft.com/office/drawing/2014/main" id="{B7A47888-F795-514E-9072-484FE82A936B}"/>
            </a:ext>
          </a:extLst>
        </xdr:cNvPr>
        <xdr:cNvSpPr>
          <a:spLocks noChangeArrowheads="1"/>
        </xdr:cNvSpPr>
      </xdr:nvSpPr>
      <xdr:spPr bwMode="auto">
        <a:xfrm>
          <a:off x="10925175" y="18259425"/>
          <a:ext cx="5734050" cy="1114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65</xdr:row>
      <xdr:rowOff>190500</xdr:rowOff>
    </xdr:from>
    <xdr:to>
      <xdr:col>27</xdr:col>
      <xdr:colOff>19050</xdr:colOff>
      <xdr:row>75</xdr:row>
      <xdr:rowOff>19050</xdr:rowOff>
    </xdr:to>
    <xdr:sp macro="" textlink="">
      <xdr:nvSpPr>
        <xdr:cNvPr id="1164" name="Rectangle 140">
          <a:extLst>
            <a:ext uri="{FF2B5EF4-FFF2-40B4-BE49-F238E27FC236}">
              <a16:creationId xmlns:a16="http://schemas.microsoft.com/office/drawing/2014/main" id="{6BCDA445-FF7C-1DF4-EBE0-F02AB8684405}"/>
            </a:ext>
          </a:extLst>
        </xdr:cNvPr>
        <xdr:cNvSpPr>
          <a:spLocks noChangeArrowheads="1"/>
        </xdr:cNvSpPr>
      </xdr:nvSpPr>
      <xdr:spPr bwMode="auto">
        <a:xfrm>
          <a:off x="20069175" y="12058650"/>
          <a:ext cx="1419225" cy="1657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19050</xdr:colOff>
      <xdr:row>64</xdr:row>
      <xdr:rowOff>19050</xdr:rowOff>
    </xdr:from>
    <xdr:to>
      <xdr:col>24</xdr:col>
      <xdr:colOff>828675</xdr:colOff>
      <xdr:row>72</xdr:row>
      <xdr:rowOff>19050</xdr:rowOff>
    </xdr:to>
    <xdr:sp macro="" textlink="">
      <xdr:nvSpPr>
        <xdr:cNvPr id="1165" name="Rectangle 141">
          <a:extLst>
            <a:ext uri="{FF2B5EF4-FFF2-40B4-BE49-F238E27FC236}">
              <a16:creationId xmlns:a16="http://schemas.microsoft.com/office/drawing/2014/main" id="{E229D3B5-94C2-5BBF-4016-E658D17E5F23}"/>
            </a:ext>
          </a:extLst>
        </xdr:cNvPr>
        <xdr:cNvSpPr>
          <a:spLocks noChangeArrowheads="1"/>
        </xdr:cNvSpPr>
      </xdr:nvSpPr>
      <xdr:spPr bwMode="auto">
        <a:xfrm>
          <a:off x="18345150" y="11706225"/>
          <a:ext cx="1657350" cy="1466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19050</xdr:colOff>
      <xdr:row>70</xdr:row>
      <xdr:rowOff>28575</xdr:rowOff>
    </xdr:from>
    <xdr:to>
      <xdr:col>24</xdr:col>
      <xdr:colOff>819150</xdr:colOff>
      <xdr:row>70</xdr:row>
      <xdr:rowOff>28575</xdr:rowOff>
    </xdr:to>
    <xdr:sp macro="" textlink="">
      <xdr:nvSpPr>
        <xdr:cNvPr id="1166" name="Line 142">
          <a:extLst>
            <a:ext uri="{FF2B5EF4-FFF2-40B4-BE49-F238E27FC236}">
              <a16:creationId xmlns:a16="http://schemas.microsoft.com/office/drawing/2014/main" id="{8FC9F0AE-4692-8FFF-8351-C5BDD1FE296D}"/>
            </a:ext>
          </a:extLst>
        </xdr:cNvPr>
        <xdr:cNvSpPr>
          <a:spLocks noChangeShapeType="1"/>
        </xdr:cNvSpPr>
      </xdr:nvSpPr>
      <xdr:spPr bwMode="auto">
        <a:xfrm>
          <a:off x="18345150" y="12820650"/>
          <a:ext cx="1647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28575</xdr:colOff>
      <xdr:row>73</xdr:row>
      <xdr:rowOff>19050</xdr:rowOff>
    </xdr:from>
    <xdr:to>
      <xdr:col>27</xdr:col>
      <xdr:colOff>28575</xdr:colOff>
      <xdr:row>73</xdr:row>
      <xdr:rowOff>19050</xdr:rowOff>
    </xdr:to>
    <xdr:sp macro="" textlink="">
      <xdr:nvSpPr>
        <xdr:cNvPr id="1167" name="Line 143">
          <a:extLst>
            <a:ext uri="{FF2B5EF4-FFF2-40B4-BE49-F238E27FC236}">
              <a16:creationId xmlns:a16="http://schemas.microsoft.com/office/drawing/2014/main" id="{14F5A40E-1E43-E359-4C6B-E3C933015911}"/>
            </a:ext>
          </a:extLst>
        </xdr:cNvPr>
        <xdr:cNvSpPr>
          <a:spLocks noChangeShapeType="1"/>
        </xdr:cNvSpPr>
      </xdr:nvSpPr>
      <xdr:spPr bwMode="auto">
        <a:xfrm>
          <a:off x="20078700" y="13354050"/>
          <a:ext cx="1419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76200</xdr:colOff>
      <xdr:row>63</xdr:row>
      <xdr:rowOff>123825</xdr:rowOff>
    </xdr:from>
    <xdr:to>
      <xdr:col>18</xdr:col>
      <xdr:colOff>504825</xdr:colOff>
      <xdr:row>68</xdr:row>
      <xdr:rowOff>161925</xdr:rowOff>
    </xdr:to>
    <xdr:sp macro="" textlink="">
      <xdr:nvSpPr>
        <xdr:cNvPr id="1168" name="Line 144">
          <a:extLst>
            <a:ext uri="{FF2B5EF4-FFF2-40B4-BE49-F238E27FC236}">
              <a16:creationId xmlns:a16="http://schemas.microsoft.com/office/drawing/2014/main" id="{39BD8E82-57B4-E36C-420B-FFBAD2644227}"/>
            </a:ext>
          </a:extLst>
        </xdr:cNvPr>
        <xdr:cNvSpPr>
          <a:spLocks noChangeShapeType="1"/>
        </xdr:cNvSpPr>
      </xdr:nvSpPr>
      <xdr:spPr bwMode="auto">
        <a:xfrm>
          <a:off x="14830425" y="11649075"/>
          <a:ext cx="428625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733425</xdr:colOff>
      <xdr:row>71</xdr:row>
      <xdr:rowOff>47625</xdr:rowOff>
    </xdr:from>
    <xdr:to>
      <xdr:col>17</xdr:col>
      <xdr:colOff>314325</xdr:colOff>
      <xdr:row>76</xdr:row>
      <xdr:rowOff>85725</xdr:rowOff>
    </xdr:to>
    <xdr:sp macro="" textlink="">
      <xdr:nvSpPr>
        <xdr:cNvPr id="1169" name="Line 145">
          <a:extLst>
            <a:ext uri="{FF2B5EF4-FFF2-40B4-BE49-F238E27FC236}">
              <a16:creationId xmlns:a16="http://schemas.microsoft.com/office/drawing/2014/main" id="{1C9724B0-F6F7-B5F4-DDF6-F4BA0AF196C4}"/>
            </a:ext>
          </a:extLst>
        </xdr:cNvPr>
        <xdr:cNvSpPr>
          <a:spLocks noChangeShapeType="1"/>
        </xdr:cNvSpPr>
      </xdr:nvSpPr>
      <xdr:spPr bwMode="auto">
        <a:xfrm>
          <a:off x="13820775" y="13020675"/>
          <a:ext cx="428625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28575</xdr:colOff>
      <xdr:row>64</xdr:row>
      <xdr:rowOff>76200</xdr:rowOff>
    </xdr:from>
    <xdr:to>
      <xdr:col>18</xdr:col>
      <xdr:colOff>361950</xdr:colOff>
      <xdr:row>66</xdr:row>
      <xdr:rowOff>0</xdr:rowOff>
    </xdr:to>
    <xdr:sp macro="" textlink="">
      <xdr:nvSpPr>
        <xdr:cNvPr id="1170" name="AutoShape 146">
          <a:extLst>
            <a:ext uri="{FF2B5EF4-FFF2-40B4-BE49-F238E27FC236}">
              <a16:creationId xmlns:a16="http://schemas.microsoft.com/office/drawing/2014/main" id="{EF1AEC4A-F802-DEFB-A05E-090B2A38F0E8}"/>
            </a:ext>
          </a:extLst>
        </xdr:cNvPr>
        <xdr:cNvSpPr>
          <a:spLocks noChangeArrowheads="1"/>
        </xdr:cNvSpPr>
      </xdr:nvSpPr>
      <xdr:spPr bwMode="auto">
        <a:xfrm>
          <a:off x="14782800" y="11763375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790575</xdr:colOff>
      <xdr:row>73</xdr:row>
      <xdr:rowOff>28575</xdr:rowOff>
    </xdr:from>
    <xdr:to>
      <xdr:col>17</xdr:col>
      <xdr:colOff>276225</xdr:colOff>
      <xdr:row>74</xdr:row>
      <xdr:rowOff>152400</xdr:rowOff>
    </xdr:to>
    <xdr:sp macro="" textlink="">
      <xdr:nvSpPr>
        <xdr:cNvPr id="1171" name="AutoShape 147">
          <a:extLst>
            <a:ext uri="{FF2B5EF4-FFF2-40B4-BE49-F238E27FC236}">
              <a16:creationId xmlns:a16="http://schemas.microsoft.com/office/drawing/2014/main" id="{935FE25C-B7D4-929D-FC56-59B1C7B0F2DA}"/>
            </a:ext>
          </a:extLst>
        </xdr:cNvPr>
        <xdr:cNvSpPr>
          <a:spLocks noChangeArrowheads="1"/>
        </xdr:cNvSpPr>
      </xdr:nvSpPr>
      <xdr:spPr bwMode="auto">
        <a:xfrm>
          <a:off x="13877925" y="13363575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742950</xdr:colOff>
      <xdr:row>71</xdr:row>
      <xdr:rowOff>28575</xdr:rowOff>
    </xdr:from>
    <xdr:to>
      <xdr:col>16</xdr:col>
      <xdr:colOff>228600</xdr:colOff>
      <xdr:row>72</xdr:row>
      <xdr:rowOff>152400</xdr:rowOff>
    </xdr:to>
    <xdr:sp macro="" textlink="">
      <xdr:nvSpPr>
        <xdr:cNvPr id="1172" name="AutoShape 148">
          <a:extLst>
            <a:ext uri="{FF2B5EF4-FFF2-40B4-BE49-F238E27FC236}">
              <a16:creationId xmlns:a16="http://schemas.microsoft.com/office/drawing/2014/main" id="{12704CBC-AD13-2C6E-5260-01A38017067B}"/>
            </a:ext>
          </a:extLst>
        </xdr:cNvPr>
        <xdr:cNvSpPr>
          <a:spLocks noChangeArrowheads="1"/>
        </xdr:cNvSpPr>
      </xdr:nvSpPr>
      <xdr:spPr bwMode="auto">
        <a:xfrm>
          <a:off x="12982575" y="13001625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638175</xdr:colOff>
      <xdr:row>75</xdr:row>
      <xdr:rowOff>114300</xdr:rowOff>
    </xdr:from>
    <xdr:to>
      <xdr:col>13</xdr:col>
      <xdr:colOff>123825</xdr:colOff>
      <xdr:row>77</xdr:row>
      <xdr:rowOff>57150</xdr:rowOff>
    </xdr:to>
    <xdr:sp macro="" textlink="">
      <xdr:nvSpPr>
        <xdr:cNvPr id="1173" name="AutoShape 149">
          <a:extLst>
            <a:ext uri="{FF2B5EF4-FFF2-40B4-BE49-F238E27FC236}">
              <a16:creationId xmlns:a16="http://schemas.microsoft.com/office/drawing/2014/main" id="{70ED5D51-6D1E-A3D6-E789-CEC6CE2C75DE}"/>
            </a:ext>
          </a:extLst>
        </xdr:cNvPr>
        <xdr:cNvSpPr>
          <a:spLocks noChangeArrowheads="1"/>
        </xdr:cNvSpPr>
      </xdr:nvSpPr>
      <xdr:spPr bwMode="auto">
        <a:xfrm>
          <a:off x="10334625" y="1381125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742950</xdr:colOff>
      <xdr:row>65</xdr:row>
      <xdr:rowOff>47625</xdr:rowOff>
    </xdr:from>
    <xdr:to>
      <xdr:col>18</xdr:col>
      <xdr:colOff>66675</xdr:colOff>
      <xdr:row>66</xdr:row>
      <xdr:rowOff>142875</xdr:rowOff>
    </xdr:to>
    <xdr:sp macro="" textlink="">
      <xdr:nvSpPr>
        <xdr:cNvPr id="1174" name="Line 150">
          <a:extLst>
            <a:ext uri="{FF2B5EF4-FFF2-40B4-BE49-F238E27FC236}">
              <a16:creationId xmlns:a16="http://schemas.microsoft.com/office/drawing/2014/main" id="{7FC83777-2812-A768-9CDC-D1DC62D3B88E}"/>
            </a:ext>
          </a:extLst>
        </xdr:cNvPr>
        <xdr:cNvSpPr>
          <a:spLocks noChangeShapeType="1"/>
        </xdr:cNvSpPr>
      </xdr:nvSpPr>
      <xdr:spPr bwMode="auto">
        <a:xfrm>
          <a:off x="14678025" y="11915775"/>
          <a:ext cx="14287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71</xdr:row>
      <xdr:rowOff>95250</xdr:rowOff>
    </xdr:from>
    <xdr:to>
      <xdr:col>17</xdr:col>
      <xdr:colOff>161925</xdr:colOff>
      <xdr:row>72</xdr:row>
      <xdr:rowOff>123825</xdr:rowOff>
    </xdr:to>
    <xdr:sp macro="" textlink="">
      <xdr:nvSpPr>
        <xdr:cNvPr id="1175" name="Line 151">
          <a:extLst>
            <a:ext uri="{FF2B5EF4-FFF2-40B4-BE49-F238E27FC236}">
              <a16:creationId xmlns:a16="http://schemas.microsoft.com/office/drawing/2014/main" id="{0EA1B758-602A-270D-609D-699D0FC82659}"/>
            </a:ext>
          </a:extLst>
        </xdr:cNvPr>
        <xdr:cNvSpPr>
          <a:spLocks noChangeShapeType="1"/>
        </xdr:cNvSpPr>
      </xdr:nvSpPr>
      <xdr:spPr bwMode="auto">
        <a:xfrm flipH="1" flipV="1">
          <a:off x="13963650" y="13068300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28575</xdr:colOff>
      <xdr:row>95</xdr:row>
      <xdr:rowOff>76200</xdr:rowOff>
    </xdr:from>
    <xdr:to>
      <xdr:col>28</xdr:col>
      <xdr:colOff>542925</xdr:colOff>
      <xdr:row>95</xdr:row>
      <xdr:rowOff>76200</xdr:rowOff>
    </xdr:to>
    <xdr:sp macro="" textlink="">
      <xdr:nvSpPr>
        <xdr:cNvPr id="1176" name="Line 152">
          <a:extLst>
            <a:ext uri="{FF2B5EF4-FFF2-40B4-BE49-F238E27FC236}">
              <a16:creationId xmlns:a16="http://schemas.microsoft.com/office/drawing/2014/main" id="{BD56654A-72CA-40D4-1D75-A2EA9738BD77}"/>
            </a:ext>
          </a:extLst>
        </xdr:cNvPr>
        <xdr:cNvSpPr>
          <a:spLocks noChangeShapeType="1"/>
        </xdr:cNvSpPr>
      </xdr:nvSpPr>
      <xdr:spPr bwMode="auto">
        <a:xfrm flipH="1" flipV="1">
          <a:off x="22078950" y="17392650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95250</xdr:colOff>
      <xdr:row>88</xdr:row>
      <xdr:rowOff>0</xdr:rowOff>
    </xdr:from>
    <xdr:to>
      <xdr:col>29</xdr:col>
      <xdr:colOff>314325</xdr:colOff>
      <xdr:row>88</xdr:row>
      <xdr:rowOff>19050</xdr:rowOff>
    </xdr:to>
    <xdr:sp macro="" textlink="">
      <xdr:nvSpPr>
        <xdr:cNvPr id="1177" name="Line 153">
          <a:extLst>
            <a:ext uri="{FF2B5EF4-FFF2-40B4-BE49-F238E27FC236}">
              <a16:creationId xmlns:a16="http://schemas.microsoft.com/office/drawing/2014/main" id="{A475E3C7-E247-70C8-9E05-B1FC926B8C88}"/>
            </a:ext>
          </a:extLst>
        </xdr:cNvPr>
        <xdr:cNvSpPr>
          <a:spLocks noChangeShapeType="1"/>
        </xdr:cNvSpPr>
      </xdr:nvSpPr>
      <xdr:spPr bwMode="auto">
        <a:xfrm flipV="1">
          <a:off x="22145625" y="16059150"/>
          <a:ext cx="106680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333375</xdr:colOff>
      <xdr:row>72</xdr:row>
      <xdr:rowOff>19050</xdr:rowOff>
    </xdr:from>
    <xdr:to>
      <xdr:col>29</xdr:col>
      <xdr:colOff>571500</xdr:colOff>
      <xdr:row>87</xdr:row>
      <xdr:rowOff>152400</xdr:rowOff>
    </xdr:to>
    <xdr:sp macro="" textlink="">
      <xdr:nvSpPr>
        <xdr:cNvPr id="1178" name="Line 154">
          <a:extLst>
            <a:ext uri="{FF2B5EF4-FFF2-40B4-BE49-F238E27FC236}">
              <a16:creationId xmlns:a16="http://schemas.microsoft.com/office/drawing/2014/main" id="{4BA65483-AE69-BE03-227E-29DBCE1DFAEB}"/>
            </a:ext>
          </a:extLst>
        </xdr:cNvPr>
        <xdr:cNvSpPr>
          <a:spLocks noChangeShapeType="1"/>
        </xdr:cNvSpPr>
      </xdr:nvSpPr>
      <xdr:spPr bwMode="auto">
        <a:xfrm flipH="1">
          <a:off x="23231475" y="13173075"/>
          <a:ext cx="238125" cy="285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571500</xdr:colOff>
      <xdr:row>72</xdr:row>
      <xdr:rowOff>0</xdr:rowOff>
    </xdr:from>
    <xdr:to>
      <xdr:col>30</xdr:col>
      <xdr:colOff>0</xdr:colOff>
      <xdr:row>72</xdr:row>
      <xdr:rowOff>19050</xdr:rowOff>
    </xdr:to>
    <xdr:sp macro="" textlink="">
      <xdr:nvSpPr>
        <xdr:cNvPr id="1179" name="Line 155">
          <a:extLst>
            <a:ext uri="{FF2B5EF4-FFF2-40B4-BE49-F238E27FC236}">
              <a16:creationId xmlns:a16="http://schemas.microsoft.com/office/drawing/2014/main" id="{7717E0E5-307E-2B05-94BA-8F90CF3FCA48}"/>
            </a:ext>
          </a:extLst>
        </xdr:cNvPr>
        <xdr:cNvSpPr>
          <a:spLocks noChangeShapeType="1"/>
        </xdr:cNvSpPr>
      </xdr:nvSpPr>
      <xdr:spPr bwMode="auto">
        <a:xfrm flipV="1">
          <a:off x="23469600" y="13154025"/>
          <a:ext cx="27622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19050</xdr:colOff>
      <xdr:row>67</xdr:row>
      <xdr:rowOff>161925</xdr:rowOff>
    </xdr:from>
    <xdr:to>
      <xdr:col>32</xdr:col>
      <xdr:colOff>457200</xdr:colOff>
      <xdr:row>78</xdr:row>
      <xdr:rowOff>47625</xdr:rowOff>
    </xdr:to>
    <xdr:sp macro="" textlink="">
      <xdr:nvSpPr>
        <xdr:cNvPr id="1180" name="Rectangle 156">
          <a:extLst>
            <a:ext uri="{FF2B5EF4-FFF2-40B4-BE49-F238E27FC236}">
              <a16:creationId xmlns:a16="http://schemas.microsoft.com/office/drawing/2014/main" id="{B77DC196-11D2-0E92-359A-C2DE0A4E8506}"/>
            </a:ext>
          </a:extLst>
        </xdr:cNvPr>
        <xdr:cNvSpPr>
          <a:spLocks noChangeArrowheads="1"/>
        </xdr:cNvSpPr>
      </xdr:nvSpPr>
      <xdr:spPr bwMode="auto">
        <a:xfrm>
          <a:off x="23764875" y="12411075"/>
          <a:ext cx="1990725" cy="1876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219075</xdr:colOff>
      <xdr:row>92</xdr:row>
      <xdr:rowOff>0</xdr:rowOff>
    </xdr:from>
    <xdr:to>
      <xdr:col>30</xdr:col>
      <xdr:colOff>409575</xdr:colOff>
      <xdr:row>98</xdr:row>
      <xdr:rowOff>19050</xdr:rowOff>
    </xdr:to>
    <xdr:sp macro="" textlink="">
      <xdr:nvSpPr>
        <xdr:cNvPr id="1181" name="Rectangle 157">
          <a:extLst>
            <a:ext uri="{FF2B5EF4-FFF2-40B4-BE49-F238E27FC236}">
              <a16:creationId xmlns:a16="http://schemas.microsoft.com/office/drawing/2014/main" id="{9C7031C1-00A4-392F-3672-AE255B8C7AC4}"/>
            </a:ext>
          </a:extLst>
        </xdr:cNvPr>
        <xdr:cNvSpPr>
          <a:spLocks noChangeArrowheads="1"/>
        </xdr:cNvSpPr>
      </xdr:nvSpPr>
      <xdr:spPr bwMode="auto">
        <a:xfrm>
          <a:off x="23117175" y="16783050"/>
          <a:ext cx="1038225" cy="1057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WESTCOAS\WEI%20OPS%20Sheet\WEI_OPS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S_SHEET"/>
      <sheetName val="HISTORICS_CHART"/>
      <sheetName val="Rockies"/>
      <sheetName val="Map -All West"/>
      <sheetName val="NEW_MAP W States"/>
      <sheetName val="NEW_MAP"/>
      <sheetName val="EL Paso"/>
      <sheetName val="WEST MAP"/>
      <sheetName val="Original Historicals"/>
      <sheetName val="NWF"/>
      <sheetName val="WestCoast Historicals"/>
      <sheetName val="WEI Daily_Actuals"/>
      <sheetName val="WEI Daily_Estimates"/>
      <sheetName val="NWP_PGT_DAILY"/>
      <sheetName val="LookUps"/>
      <sheetName val="ROM Forecast"/>
      <sheetName val="Jan-Oct"/>
      <sheetName val="WINTER 99"/>
      <sheetName val="SUMMER 00"/>
      <sheetName val="PGT_Capabilites"/>
      <sheetName val="FR_GROWTH"/>
      <sheetName val="STORAGE"/>
      <sheetName val="OutageSchedule"/>
      <sheetName val="OLD_MAP"/>
      <sheetName val="NWP-PGT_HIST"/>
    </sheetNames>
    <sheetDataSet>
      <sheetData sheetId="0">
        <row r="1">
          <cell r="V1">
            <v>36586</v>
          </cell>
        </row>
        <row r="2">
          <cell r="V2">
            <v>36599</v>
          </cell>
        </row>
      </sheetData>
      <sheetData sheetId="1"/>
      <sheetData sheetId="2"/>
      <sheetData sheetId="3">
        <row r="67">
          <cell r="K67">
            <v>-147.29428571428571</v>
          </cell>
        </row>
        <row r="68">
          <cell r="K68">
            <v>-142.56952380952382</v>
          </cell>
        </row>
        <row r="69">
          <cell r="K69">
            <v>-611.34761904761899</v>
          </cell>
        </row>
        <row r="72">
          <cell r="H72">
            <v>-979.52952380952388</v>
          </cell>
          <cell r="N72">
            <v>1783.452380952381</v>
          </cell>
          <cell r="O72">
            <v>2449.1514285714284</v>
          </cell>
          <cell r="P72">
            <v>600.37714285714276</v>
          </cell>
          <cell r="W72">
            <v>236.06571428571428</v>
          </cell>
          <cell r="X72">
            <v>283.11619047619047</v>
          </cell>
        </row>
        <row r="73">
          <cell r="H73">
            <v>-1136.4142857142856</v>
          </cell>
          <cell r="N73">
            <v>1938.8990476190477</v>
          </cell>
          <cell r="O73">
            <v>2585.7323809523805</v>
          </cell>
          <cell r="P73">
            <v>579.19714285714292</v>
          </cell>
          <cell r="W73">
            <v>225.38190476190476</v>
          </cell>
          <cell r="X73">
            <v>249.29809523809524</v>
          </cell>
        </row>
        <row r="74">
          <cell r="H74">
            <v>-2318.0952380952381</v>
          </cell>
          <cell r="N74">
            <v>2100</v>
          </cell>
          <cell r="O74">
            <v>2850</v>
          </cell>
          <cell r="P74">
            <v>620</v>
          </cell>
          <cell r="W74">
            <v>336.1904761904762</v>
          </cell>
          <cell r="X74">
            <v>428.57142857142856</v>
          </cell>
        </row>
        <row r="78">
          <cell r="H78">
            <v>-839.3257142857143</v>
          </cell>
        </row>
        <row r="79">
          <cell r="H79">
            <v>-834.22190476190474</v>
          </cell>
          <cell r="K79">
            <v>-418.9628571428571</v>
          </cell>
        </row>
        <row r="80">
          <cell r="H80">
            <v>-962.46952380952371</v>
          </cell>
          <cell r="K80">
            <v>-392.26285714285711</v>
          </cell>
        </row>
        <row r="81">
          <cell r="K81">
            <v>-2725.2238095238095</v>
          </cell>
        </row>
        <row r="88">
          <cell r="Y88">
            <v>-406.06190476190477</v>
          </cell>
        </row>
        <row r="89">
          <cell r="Y89">
            <v>-393.56857142857143</v>
          </cell>
        </row>
        <row r="100">
          <cell r="G100">
            <v>731.17333333333329</v>
          </cell>
          <cell r="H100">
            <v>678.65904761904756</v>
          </cell>
          <cell r="I100">
            <v>696.15202380952371</v>
          </cell>
        </row>
        <row r="101">
          <cell r="I101">
            <v>-380.23053571428574</v>
          </cell>
        </row>
        <row r="103">
          <cell r="I103">
            <v>597.05029761904768</v>
          </cell>
        </row>
        <row r="104">
          <cell r="I104">
            <v>1892.3713095238099</v>
          </cell>
        </row>
        <row r="105">
          <cell r="I105">
            <v>2563.1759523809519</v>
          </cell>
        </row>
        <row r="107">
          <cell r="I107">
            <v>-972.36422619047619</v>
          </cell>
        </row>
        <row r="109">
          <cell r="I109">
            <v>320.58470238095231</v>
          </cell>
        </row>
      </sheetData>
      <sheetData sheetId="4"/>
      <sheetData sheetId="5"/>
      <sheetData sheetId="6">
        <row r="2">
          <cell r="AG2">
            <v>-162.35214285714284</v>
          </cell>
        </row>
        <row r="3">
          <cell r="AG3">
            <v>-454.40339285714282</v>
          </cell>
        </row>
        <row r="11">
          <cell r="AG11">
            <v>-837.64011904761901</v>
          </cell>
        </row>
        <row r="37">
          <cell r="B37">
            <v>236.06571428571428</v>
          </cell>
        </row>
        <row r="39">
          <cell r="B39">
            <v>386.52761904761905</v>
          </cell>
          <cell r="C39">
            <v>387.34666666666664</v>
          </cell>
        </row>
        <row r="40">
          <cell r="B40">
            <v>130.32761904761904</v>
          </cell>
          <cell r="C40">
            <v>124.4542857142857</v>
          </cell>
        </row>
        <row r="41">
          <cell r="B41">
            <v>18.05238095238095</v>
          </cell>
          <cell r="C41">
            <v>18.01047619047619</v>
          </cell>
        </row>
        <row r="42">
          <cell r="B42">
            <v>55.80952380952381</v>
          </cell>
          <cell r="C42">
            <v>60.953333333333326</v>
          </cell>
        </row>
        <row r="43">
          <cell r="B43">
            <v>263.03619047619048</v>
          </cell>
          <cell r="C43">
            <v>283.76571428571424</v>
          </cell>
        </row>
        <row r="44">
          <cell r="B44">
            <v>286.19142857142856</v>
          </cell>
          <cell r="C44">
            <v>296.95523809523809</v>
          </cell>
        </row>
        <row r="45">
          <cell r="B45">
            <v>61.76</v>
          </cell>
          <cell r="C45">
            <v>72.091428571428565</v>
          </cell>
        </row>
        <row r="46">
          <cell r="B46">
            <v>794.26857142857136</v>
          </cell>
          <cell r="C46">
            <v>845.20666666666659</v>
          </cell>
        </row>
      </sheetData>
      <sheetData sheetId="7"/>
      <sheetData sheetId="8"/>
      <sheetData sheetId="9"/>
      <sheetData sheetId="10">
        <row r="37">
          <cell r="E37" t="str">
            <v>Sumas/   Sipi</v>
          </cell>
          <cell r="F37" t="str">
            <v>Chehalis</v>
          </cell>
          <cell r="G37" t="str">
            <v xml:space="preserve">Washougal </v>
          </cell>
          <cell r="H37" t="str">
            <v>Roosevelt</v>
          </cell>
          <cell r="I37" t="str">
            <v>Stanfield (R)</v>
          </cell>
          <cell r="J37" t="str">
            <v>Stanfield (D)</v>
          </cell>
          <cell r="K37" t="str">
            <v>Meacham</v>
          </cell>
          <cell r="L37" t="str">
            <v>Kemmerer</v>
          </cell>
          <cell r="M37" t="str">
            <v>Green River</v>
          </cell>
          <cell r="N37" t="str">
            <v>Opal</v>
          </cell>
          <cell r="O37" t="str">
            <v>La Plata B</v>
          </cell>
          <cell r="P37" t="str">
            <v>North of Chehalis</v>
          </cell>
          <cell r="Q37" t="str">
            <v>South of Chehalis</v>
          </cell>
          <cell r="R37" t="str">
            <v>Net Jackson Prairie - Balance</v>
          </cell>
          <cell r="S37" t="str">
            <v>Net Clay Basin - Balance</v>
          </cell>
          <cell r="T37" t="str">
            <v>% Full Clay</v>
          </cell>
        </row>
        <row r="38">
          <cell r="D38">
            <v>35612</v>
          </cell>
          <cell r="E38">
            <v>855273.15151515149</v>
          </cell>
          <cell r="F38">
            <v>631175.54545454541</v>
          </cell>
          <cell r="G38" t="str">
            <v>N/A</v>
          </cell>
          <cell r="H38">
            <v>249571.66666666666</v>
          </cell>
          <cell r="I38">
            <v>335524.87878787878</v>
          </cell>
          <cell r="J38">
            <v>120558</v>
          </cell>
          <cell r="K38">
            <v>495732.48484848486</v>
          </cell>
          <cell r="L38">
            <v>289601.69696969696</v>
          </cell>
          <cell r="M38" t="str">
            <v>N/A</v>
          </cell>
          <cell r="N38">
            <v>55992.727272727272</v>
          </cell>
          <cell r="O38">
            <v>268959.72727272729</v>
          </cell>
          <cell r="P38">
            <v>224097.60606060605</v>
          </cell>
          <cell r="Q38">
            <v>330953.18181818182</v>
          </cell>
          <cell r="R38">
            <v>14342340</v>
          </cell>
          <cell r="S38">
            <v>32693117</v>
          </cell>
          <cell r="T38">
            <v>0.59898073056223522</v>
          </cell>
        </row>
        <row r="39">
          <cell r="D39">
            <v>35643</v>
          </cell>
          <cell r="E39">
            <v>858874.19354838715</v>
          </cell>
          <cell r="F39">
            <v>632651.90322580643</v>
          </cell>
          <cell r="G39" t="str">
            <v>N/A</v>
          </cell>
          <cell r="H39">
            <v>258605.5806451613</v>
          </cell>
          <cell r="I39">
            <v>366252.25806451612</v>
          </cell>
          <cell r="J39">
            <v>172899.5806451613</v>
          </cell>
          <cell r="K39">
            <v>460498.41935483873</v>
          </cell>
          <cell r="L39">
            <v>233214</v>
          </cell>
          <cell r="M39" t="str">
            <v>N/A</v>
          </cell>
          <cell r="N39">
            <v>51910.774193548386</v>
          </cell>
          <cell r="O39">
            <v>283325.54838709679</v>
          </cell>
          <cell r="P39">
            <v>226222.29032258064</v>
          </cell>
          <cell r="Q39">
            <v>381460.70967741933</v>
          </cell>
          <cell r="R39">
            <v>14112494</v>
          </cell>
          <cell r="S39">
            <v>38263295</v>
          </cell>
          <cell r="T39">
            <v>0.70103368830871404</v>
          </cell>
        </row>
        <row r="40">
          <cell r="D40">
            <v>35674</v>
          </cell>
          <cell r="E40">
            <v>891227.5</v>
          </cell>
          <cell r="F40">
            <v>608396.16666666663</v>
          </cell>
          <cell r="G40" t="str">
            <v>N/A</v>
          </cell>
          <cell r="H40">
            <v>171334.46666666667</v>
          </cell>
          <cell r="I40">
            <v>342162.83333333331</v>
          </cell>
          <cell r="J40">
            <v>168458.53333333333</v>
          </cell>
          <cell r="K40">
            <v>355403.33333333331</v>
          </cell>
          <cell r="L40">
            <v>114789.63333333333</v>
          </cell>
          <cell r="M40" t="str">
            <v>N/A</v>
          </cell>
          <cell r="N40">
            <v>87213.4</v>
          </cell>
          <cell r="O40">
            <v>261692.6</v>
          </cell>
          <cell r="P40">
            <v>282831.33333333331</v>
          </cell>
          <cell r="Q40">
            <v>390894.53333333333</v>
          </cell>
          <cell r="R40">
            <v>15497509</v>
          </cell>
          <cell r="S40">
            <v>41094227</v>
          </cell>
          <cell r="T40">
            <v>0.75290007099507616</v>
          </cell>
          <cell r="U40">
            <v>2389107.2222222225</v>
          </cell>
          <cell r="V40">
            <v>13839.771241830067</v>
          </cell>
          <cell r="W40">
            <v>126814.77124183007</v>
          </cell>
          <cell r="X40">
            <v>14491.339869281046</v>
          </cell>
          <cell r="Y40">
            <v>64116.405228758194</v>
          </cell>
          <cell r="Z40">
            <v>508144.15032679751</v>
          </cell>
          <cell r="AA40">
            <v>35776.601307189543</v>
          </cell>
          <cell r="AB40">
            <v>36252.94117647058</v>
          </cell>
          <cell r="AC40">
            <v>1123.2679738562088</v>
          </cell>
          <cell r="AD40">
            <v>1831606.6666666667</v>
          </cell>
        </row>
        <row r="41">
          <cell r="D41">
            <v>35704</v>
          </cell>
          <cell r="E41">
            <v>980636.1875</v>
          </cell>
          <cell r="F41">
            <v>610786.84375</v>
          </cell>
          <cell r="G41" t="str">
            <v>N/A</v>
          </cell>
          <cell r="H41">
            <v>176326.59375</v>
          </cell>
          <cell r="I41">
            <v>438367.65625</v>
          </cell>
          <cell r="J41">
            <v>165468.96875</v>
          </cell>
          <cell r="K41">
            <v>444942.46875</v>
          </cell>
          <cell r="L41">
            <v>160296.75</v>
          </cell>
          <cell r="M41" t="str">
            <v>N/A</v>
          </cell>
          <cell r="N41">
            <v>99804.65625</v>
          </cell>
          <cell r="O41">
            <v>281751.4375</v>
          </cell>
          <cell r="P41">
            <v>369849.34375</v>
          </cell>
          <cell r="Q41">
            <v>454691.9375</v>
          </cell>
          <cell r="R41">
            <v>14850095</v>
          </cell>
          <cell r="S41">
            <v>42187327</v>
          </cell>
          <cell r="T41">
            <v>0.77292709492728728</v>
          </cell>
          <cell r="U41">
            <v>2445632.6375711579</v>
          </cell>
          <cell r="V41">
            <v>2182.1631878557873</v>
          </cell>
          <cell r="W41">
            <v>119422.32764073374</v>
          </cell>
          <cell r="X41">
            <v>31554.617330803292</v>
          </cell>
          <cell r="Y41">
            <v>72315.860492470878</v>
          </cell>
          <cell r="Z41">
            <v>275759.03225806454</v>
          </cell>
          <cell r="AA41">
            <v>6238.7096774193551</v>
          </cell>
          <cell r="AB41">
            <v>43459.044908285898</v>
          </cell>
          <cell r="AC41">
            <v>2607.7166350411135</v>
          </cell>
          <cell r="AD41">
            <v>1810501.0752688174</v>
          </cell>
        </row>
        <row r="42">
          <cell r="D42">
            <v>35735</v>
          </cell>
          <cell r="E42">
            <v>1001267.9705882353</v>
          </cell>
          <cell r="F42">
            <v>558900.4411764706</v>
          </cell>
          <cell r="G42" t="str">
            <v>N/A</v>
          </cell>
          <cell r="H42">
            <v>65577</v>
          </cell>
          <cell r="I42">
            <v>508955.23529411765</v>
          </cell>
          <cell r="J42">
            <v>162373.85294117648</v>
          </cell>
          <cell r="K42">
            <v>365460.5882352941</v>
          </cell>
          <cell r="L42">
            <v>41104.882352941175</v>
          </cell>
          <cell r="M42" t="str">
            <v>N/A</v>
          </cell>
          <cell r="N42">
            <v>115128.38235294117</v>
          </cell>
          <cell r="O42">
            <v>228904.35294117648</v>
          </cell>
          <cell r="P42">
            <v>442367.5294117647</v>
          </cell>
          <cell r="Q42">
            <v>514247.70588235295</v>
          </cell>
          <cell r="R42">
            <v>14069280</v>
          </cell>
          <cell r="S42">
            <v>39051612</v>
          </cell>
          <cell r="T42">
            <v>0.71547668842322221</v>
          </cell>
          <cell r="U42">
            <v>2543997.8882391169</v>
          </cell>
          <cell r="V42">
            <v>1994.9642625081221</v>
          </cell>
          <cell r="W42">
            <v>102436.58219623126</v>
          </cell>
          <cell r="X42">
            <v>44818.583495776489</v>
          </cell>
          <cell r="Y42">
            <v>74838.438599019559</v>
          </cell>
          <cell r="Z42">
            <v>345034.13333333336</v>
          </cell>
          <cell r="AA42">
            <v>37127.71280051981</v>
          </cell>
          <cell r="AB42">
            <v>79490.058479532163</v>
          </cell>
          <cell r="AC42">
            <v>9508.7394411955811</v>
          </cell>
          <cell r="AD42">
            <v>1742842.3326835611</v>
          </cell>
        </row>
        <row r="43">
          <cell r="D43">
            <v>35765</v>
          </cell>
          <cell r="E43">
            <v>1007149.3870967742</v>
          </cell>
          <cell r="F43">
            <v>450380.3548387097</v>
          </cell>
          <cell r="G43" t="str">
            <v>N/A</v>
          </cell>
          <cell r="H43">
            <v>-135428.80645161291</v>
          </cell>
          <cell r="I43">
            <v>516638.25806451612</v>
          </cell>
          <cell r="J43">
            <v>58937.225806451614</v>
          </cell>
          <cell r="K43">
            <v>249539.09677419355</v>
          </cell>
          <cell r="L43">
            <v>-146347.93548387097</v>
          </cell>
          <cell r="M43" t="str">
            <v>N/A</v>
          </cell>
          <cell r="N43">
            <v>92421</v>
          </cell>
          <cell r="O43">
            <v>211843.83870967742</v>
          </cell>
          <cell r="P43">
            <v>556769.03225806449</v>
          </cell>
          <cell r="Q43">
            <v>638746</v>
          </cell>
          <cell r="R43">
            <v>12428238</v>
          </cell>
          <cell r="S43">
            <v>24946288</v>
          </cell>
          <cell r="T43">
            <v>0.45704867514027253</v>
          </cell>
          <cell r="U43">
            <v>2560668.9155265461</v>
          </cell>
          <cell r="V43">
            <v>1882.7664114472198</v>
          </cell>
          <cell r="W43">
            <v>136725.30438056984</v>
          </cell>
          <cell r="X43">
            <v>49314.516129032265</v>
          </cell>
          <cell r="Y43">
            <v>76636.93987699259</v>
          </cell>
          <cell r="Z43">
            <v>448936.3548387097</v>
          </cell>
          <cell r="AA43">
            <v>38447.878749843119</v>
          </cell>
          <cell r="AB43">
            <v>93071.482364754615</v>
          </cell>
          <cell r="AC43">
            <v>21777.331492406171</v>
          </cell>
          <cell r="AD43">
            <v>1581043.0839713826</v>
          </cell>
        </row>
        <row r="44">
          <cell r="D44">
            <v>35796</v>
          </cell>
          <cell r="E44">
            <v>957008.19354838715</v>
          </cell>
          <cell r="F44">
            <v>401967.77419354836</v>
          </cell>
          <cell r="G44" t="str">
            <v>N/A</v>
          </cell>
          <cell r="H44">
            <v>-224951.35483870967</v>
          </cell>
          <cell r="I44">
            <v>517100.67741935485</v>
          </cell>
          <cell r="J44">
            <v>45849.387096774197</v>
          </cell>
          <cell r="K44">
            <v>142643.74193548388</v>
          </cell>
          <cell r="L44">
            <v>-211744.4193548387</v>
          </cell>
          <cell r="M44" t="str">
            <v>N/A</v>
          </cell>
          <cell r="N44">
            <v>105174.29032258065</v>
          </cell>
          <cell r="O44">
            <v>76886.161290322576</v>
          </cell>
          <cell r="P44">
            <v>555040.41935483867</v>
          </cell>
          <cell r="Q44">
            <v>659515.80645161285</v>
          </cell>
          <cell r="R44">
            <v>11417741</v>
          </cell>
          <cell r="S44">
            <v>16846419</v>
          </cell>
          <cell r="T44">
            <v>0.30864846444520783</v>
          </cell>
          <cell r="U44">
            <v>2552613.0604288499</v>
          </cell>
          <cell r="V44">
            <v>0</v>
          </cell>
          <cell r="W44">
            <v>131198.98761240017</v>
          </cell>
          <cell r="X44">
            <v>42746.871659435332</v>
          </cell>
          <cell r="Y44">
            <v>76284.380305602681</v>
          </cell>
          <cell r="Z44">
            <v>462805.22542916442</v>
          </cell>
          <cell r="AA44">
            <v>39961.013645224179</v>
          </cell>
          <cell r="AB44">
            <v>81017.009369301391</v>
          </cell>
          <cell r="AC44">
            <v>22820.03395585738</v>
          </cell>
          <cell r="AD44">
            <v>1566282.934037603</v>
          </cell>
        </row>
        <row r="45">
          <cell r="D45">
            <v>35827</v>
          </cell>
          <cell r="E45">
            <v>1032232.1428571428</v>
          </cell>
          <cell r="F45">
            <v>552047.85714285716</v>
          </cell>
          <cell r="G45" t="str">
            <v>N/A</v>
          </cell>
          <cell r="H45">
            <v>104691.96428571429</v>
          </cell>
          <cell r="I45">
            <v>468909.57142857142</v>
          </cell>
          <cell r="J45">
            <v>81490.571428571435</v>
          </cell>
          <cell r="K45">
            <v>452341.78571428574</v>
          </cell>
          <cell r="L45">
            <v>89119.607142857145</v>
          </cell>
          <cell r="M45" t="str">
            <v>N/A</v>
          </cell>
          <cell r="N45">
            <v>79747.71428571429</v>
          </cell>
          <cell r="O45">
            <v>280234.85714285716</v>
          </cell>
          <cell r="P45">
            <v>480184.28571428574</v>
          </cell>
          <cell r="Q45">
            <v>540138.75</v>
          </cell>
          <cell r="R45">
            <v>8819821</v>
          </cell>
          <cell r="S45">
            <v>9736332</v>
          </cell>
          <cell r="T45">
            <v>0.17838235657849535</v>
          </cell>
          <cell r="U45">
            <v>2575142.2653856869</v>
          </cell>
          <cell r="V45">
            <v>31.223893065998329</v>
          </cell>
          <cell r="W45">
            <v>125230.08911166809</v>
          </cell>
          <cell r="X45">
            <v>41232.421331105543</v>
          </cell>
          <cell r="Y45">
            <v>76445.071010860469</v>
          </cell>
          <cell r="Z45">
            <v>385052.3531049848</v>
          </cell>
          <cell r="AA45">
            <v>38650.480367585624</v>
          </cell>
          <cell r="AB45">
            <v>70312.935115566695</v>
          </cell>
          <cell r="AC45">
            <v>10923.38485101643</v>
          </cell>
          <cell r="AD45">
            <v>1714796.6791979952</v>
          </cell>
        </row>
        <row r="46">
          <cell r="D46">
            <v>35855</v>
          </cell>
          <cell r="E46">
            <v>987495.78125</v>
          </cell>
          <cell r="F46">
            <v>528809.875</v>
          </cell>
          <cell r="G46" t="str">
            <v>N/A</v>
          </cell>
          <cell r="H46">
            <v>130381.84375</v>
          </cell>
          <cell r="I46">
            <v>433362.84375</v>
          </cell>
          <cell r="J46">
            <v>120068.75</v>
          </cell>
          <cell r="K46">
            <v>435132.1875</v>
          </cell>
          <cell r="L46">
            <v>125015.0625</v>
          </cell>
          <cell r="M46" t="str">
            <v>N/A</v>
          </cell>
          <cell r="N46">
            <v>83936.15625</v>
          </cell>
          <cell r="O46">
            <v>222606.40625</v>
          </cell>
          <cell r="P46">
            <v>458685.90625</v>
          </cell>
          <cell r="Q46">
            <v>527097.5625</v>
          </cell>
          <cell r="R46">
            <v>4702396</v>
          </cell>
          <cell r="S46">
            <v>8599617</v>
          </cell>
          <cell r="T46">
            <v>0.15755624871178289</v>
          </cell>
          <cell r="U46">
            <v>2589499.0253411299</v>
          </cell>
          <cell r="V46">
            <v>2276.3000691693392</v>
          </cell>
          <cell r="W46">
            <v>135638.43300006291</v>
          </cell>
          <cell r="X46">
            <v>33032.918317298616</v>
          </cell>
          <cell r="Y46">
            <v>64535.465006602513</v>
          </cell>
          <cell r="Z46">
            <v>321208.95428535505</v>
          </cell>
          <cell r="AA46">
            <v>37994.057724957558</v>
          </cell>
          <cell r="AB46">
            <v>67527.10180469093</v>
          </cell>
          <cell r="AC46">
            <v>10300.509337860782</v>
          </cell>
          <cell r="AD46">
            <v>1814070.8356913789</v>
          </cell>
        </row>
        <row r="47">
          <cell r="D47">
            <v>35886</v>
          </cell>
          <cell r="E47">
            <v>970074.1333333333</v>
          </cell>
          <cell r="F47">
            <v>573334.1333333333</v>
          </cell>
          <cell r="G47" t="str">
            <v>N/A</v>
          </cell>
          <cell r="H47">
            <v>121062.43333333333</v>
          </cell>
          <cell r="I47">
            <v>384045.23333333334</v>
          </cell>
          <cell r="J47">
            <v>100754.93333333333</v>
          </cell>
          <cell r="K47">
            <v>415932.86666666664</v>
          </cell>
          <cell r="L47">
            <v>131042.23333333334</v>
          </cell>
          <cell r="M47" t="str">
            <v>N/A</v>
          </cell>
          <cell r="N47">
            <v>82021.666666666672</v>
          </cell>
          <cell r="O47">
            <v>272131.20000000001</v>
          </cell>
          <cell r="P47">
            <v>396740</v>
          </cell>
          <cell r="Q47">
            <v>476660.73333333334</v>
          </cell>
          <cell r="R47">
            <v>3970725</v>
          </cell>
          <cell r="S47">
            <v>9727812</v>
          </cell>
          <cell r="T47">
            <v>0.17822625901751976</v>
          </cell>
          <cell r="U47">
            <v>2526886.257309942</v>
          </cell>
          <cell r="V47">
            <v>0</v>
          </cell>
          <cell r="W47">
            <v>133972.02729044828</v>
          </cell>
          <cell r="X47">
            <v>16500.454840805716</v>
          </cell>
          <cell r="Y47">
            <v>73356.530214424929</v>
          </cell>
          <cell r="Z47">
            <v>287974.82131254062</v>
          </cell>
          <cell r="AA47">
            <v>38812.313190383378</v>
          </cell>
          <cell r="AB47">
            <v>63464.294996751145</v>
          </cell>
          <cell r="AC47">
            <v>7705.9129304743365</v>
          </cell>
          <cell r="AD47">
            <v>1805805.7504873299</v>
          </cell>
        </row>
        <row r="48">
          <cell r="D48">
            <v>35916</v>
          </cell>
          <cell r="E48">
            <v>938892.625</v>
          </cell>
          <cell r="F48">
            <v>643346.71875</v>
          </cell>
          <cell r="G48" t="str">
            <v>N/A</v>
          </cell>
          <cell r="H48">
            <v>141928</v>
          </cell>
          <cell r="I48">
            <v>418867.09375</v>
          </cell>
          <cell r="J48">
            <v>89519.90625</v>
          </cell>
          <cell r="K48">
            <v>471558.75</v>
          </cell>
          <cell r="L48">
            <v>229368.03125</v>
          </cell>
          <cell r="M48" t="str">
            <v>N/A</v>
          </cell>
          <cell r="N48">
            <v>68395.53125</v>
          </cell>
          <cell r="O48">
            <v>242311.3125</v>
          </cell>
          <cell r="P48">
            <v>295545.90625</v>
          </cell>
          <cell r="Q48">
            <v>404136.09375</v>
          </cell>
          <cell r="R48">
            <v>7083769</v>
          </cell>
          <cell r="S48">
            <v>16942987</v>
          </cell>
          <cell r="T48">
            <v>0.31041771670674451</v>
          </cell>
          <cell r="U48">
            <v>2380697.7614286612</v>
          </cell>
          <cell r="V48">
            <v>0</v>
          </cell>
          <cell r="W48">
            <v>121333.45909576812</v>
          </cell>
          <cell r="X48">
            <v>22696.346601270205</v>
          </cell>
          <cell r="Y48">
            <v>49492.958710528881</v>
          </cell>
          <cell r="Z48">
            <v>324758.31604099856</v>
          </cell>
          <cell r="AA48">
            <v>5585.9586241589632</v>
          </cell>
          <cell r="AB48">
            <v>66496.227126957194</v>
          </cell>
          <cell r="AC48">
            <v>2213.8590203106323</v>
          </cell>
          <cell r="AD48">
            <v>1736943.2497013141</v>
          </cell>
        </row>
        <row r="49">
          <cell r="D49">
            <v>35947</v>
          </cell>
          <cell r="E49">
            <v>925639.53333333333</v>
          </cell>
          <cell r="F49">
            <v>668942.73333333328</v>
          </cell>
          <cell r="G49" t="str">
            <v>N/A</v>
          </cell>
          <cell r="H49">
            <v>135630.53333333333</v>
          </cell>
          <cell r="I49">
            <v>396473.3</v>
          </cell>
          <cell r="J49">
            <v>91851.5</v>
          </cell>
          <cell r="K49">
            <v>449592.86666666664</v>
          </cell>
          <cell r="L49">
            <v>225772.63333333333</v>
          </cell>
          <cell r="M49" t="str">
            <v>N/A</v>
          </cell>
          <cell r="N49">
            <v>88203.8</v>
          </cell>
          <cell r="O49">
            <v>232332.06666666668</v>
          </cell>
          <cell r="P49">
            <v>256696.8</v>
          </cell>
          <cell r="Q49">
            <v>401115.46666666667</v>
          </cell>
          <cell r="R49">
            <v>11049671</v>
          </cell>
          <cell r="S49">
            <v>25215047</v>
          </cell>
          <cell r="T49">
            <v>0.46197269208748426</v>
          </cell>
          <cell r="U49">
            <v>2416840.8236057069</v>
          </cell>
          <cell r="V49">
            <v>464.75356679636837</v>
          </cell>
          <cell r="W49">
            <v>118869.52010376136</v>
          </cell>
          <cell r="X49">
            <v>18151.45914396887</v>
          </cell>
          <cell r="Y49">
            <v>75963.872644574411</v>
          </cell>
          <cell r="Z49">
            <v>300860.50583657587</v>
          </cell>
          <cell r="AA49">
            <v>18463.748378728927</v>
          </cell>
          <cell r="AB49">
            <v>41847.989623865105</v>
          </cell>
          <cell r="AC49">
            <v>3847.7302204928669</v>
          </cell>
          <cell r="AD49">
            <v>1805338.0998702985</v>
          </cell>
        </row>
        <row r="50">
          <cell r="D50">
            <v>35977</v>
          </cell>
          <cell r="E50">
            <v>886099.36363636365</v>
          </cell>
          <cell r="F50">
            <v>647696.60606060608</v>
          </cell>
          <cell r="G50" t="str">
            <v>N/A</v>
          </cell>
          <cell r="H50">
            <v>166959.33333333334</v>
          </cell>
          <cell r="I50">
            <v>353859.33333333331</v>
          </cell>
          <cell r="J50">
            <v>132082.54545454544</v>
          </cell>
          <cell r="K50">
            <v>386520.72727272729</v>
          </cell>
          <cell r="L50">
            <v>174971.51515151514</v>
          </cell>
          <cell r="M50" t="str">
            <v>N/A</v>
          </cell>
          <cell r="N50">
            <v>102242.84848484848</v>
          </cell>
          <cell r="O50">
            <v>271171</v>
          </cell>
          <cell r="P50">
            <v>238402.75757575757</v>
          </cell>
          <cell r="Q50">
            <v>431467.93939393939</v>
          </cell>
          <cell r="R50">
            <v>12675559</v>
          </cell>
          <cell r="S50">
            <v>32369470</v>
          </cell>
          <cell r="T50">
            <v>0.59305109355318908</v>
          </cell>
          <cell r="U50">
            <v>2394254.8575740429</v>
          </cell>
          <cell r="V50">
            <v>9579.0731308558134</v>
          </cell>
          <cell r="W50">
            <v>108756.52392630323</v>
          </cell>
          <cell r="X50">
            <v>11099.383764069667</v>
          </cell>
          <cell r="Y50">
            <v>76581.313855325716</v>
          </cell>
          <cell r="Z50">
            <v>219089.10268502796</v>
          </cell>
          <cell r="AA50">
            <v>34363.893604980185</v>
          </cell>
          <cell r="AB50">
            <v>58663.271080928127</v>
          </cell>
          <cell r="AC50">
            <v>3691.3789850971516</v>
          </cell>
          <cell r="AD50">
            <v>1801836.3201911594</v>
          </cell>
        </row>
        <row r="51">
          <cell r="D51">
            <v>36008</v>
          </cell>
          <cell r="E51">
            <v>925050.3125</v>
          </cell>
          <cell r="F51">
            <v>625253.21875</v>
          </cell>
          <cell r="G51" t="str">
            <v>N/A</v>
          </cell>
          <cell r="H51">
            <v>16142.90625</v>
          </cell>
          <cell r="I51">
            <v>336520.71875</v>
          </cell>
          <cell r="J51">
            <v>109980</v>
          </cell>
          <cell r="K51">
            <v>232428.78125</v>
          </cell>
          <cell r="L51">
            <v>-1124.0625</v>
          </cell>
          <cell r="M51" t="str">
            <v>N/A</v>
          </cell>
          <cell r="N51">
            <v>101250.34375</v>
          </cell>
          <cell r="O51">
            <v>224665.40625</v>
          </cell>
          <cell r="P51">
            <v>299797.09375</v>
          </cell>
          <cell r="Q51">
            <v>493812.875</v>
          </cell>
          <cell r="R51">
            <v>16365077</v>
          </cell>
          <cell r="S51">
            <v>39432421</v>
          </cell>
          <cell r="T51">
            <v>0.72245360815298298</v>
          </cell>
          <cell r="U51">
            <v>2391858.8316669809</v>
          </cell>
          <cell r="V51">
            <v>16297.396717600453</v>
          </cell>
          <cell r="W51">
            <v>107177.9852857951</v>
          </cell>
          <cell r="X51">
            <v>12875.652392630325</v>
          </cell>
          <cell r="Y51">
            <v>76232.364142927763</v>
          </cell>
          <cell r="Z51">
            <v>224958.05822800726</v>
          </cell>
          <cell r="AA51">
            <v>35986.637741306695</v>
          </cell>
          <cell r="AB51">
            <v>59466.955920266628</v>
          </cell>
          <cell r="AC51">
            <v>2502.8925359994983</v>
          </cell>
          <cell r="AD51">
            <v>1773045.8089668616</v>
          </cell>
        </row>
        <row r="52">
          <cell r="D52">
            <v>36039</v>
          </cell>
          <cell r="E52">
            <v>931878.84375</v>
          </cell>
          <cell r="F52">
            <v>624814.09375</v>
          </cell>
          <cell r="G52" t="str">
            <v>N/A</v>
          </cell>
          <cell r="H52">
            <v>84922.5625</v>
          </cell>
          <cell r="I52">
            <v>359824.40625</v>
          </cell>
          <cell r="J52">
            <v>129284.59375</v>
          </cell>
          <cell r="K52">
            <v>297621.875</v>
          </cell>
          <cell r="L52">
            <v>45798.53125</v>
          </cell>
          <cell r="M52" t="str">
            <v>N/A</v>
          </cell>
          <cell r="N52">
            <v>103126.71875</v>
          </cell>
          <cell r="O52">
            <v>181243.875</v>
          </cell>
          <cell r="P52">
            <v>307064.75</v>
          </cell>
          <cell r="Q52">
            <v>480626.875</v>
          </cell>
          <cell r="R52">
            <v>18261546</v>
          </cell>
          <cell r="S52">
            <v>47767207</v>
          </cell>
          <cell r="T52">
            <v>0.87515780602313065</v>
          </cell>
          <cell r="U52">
            <v>2450273.216601816</v>
          </cell>
          <cell r="V52">
            <v>17762.516212710769</v>
          </cell>
          <cell r="W52">
            <v>117733.69001297017</v>
          </cell>
          <cell r="X52">
            <v>17226.621271076521</v>
          </cell>
          <cell r="Y52">
            <v>69846.24535109209</v>
          </cell>
          <cell r="Z52">
            <v>227068.93644617384</v>
          </cell>
          <cell r="AA52">
            <v>38054.053177691312</v>
          </cell>
          <cell r="AB52">
            <v>44466.666666666664</v>
          </cell>
          <cell r="AC52">
            <v>1550.9403372243837</v>
          </cell>
          <cell r="AD52">
            <v>1828484.3060959796</v>
          </cell>
        </row>
        <row r="53">
          <cell r="D53">
            <v>36069</v>
          </cell>
          <cell r="E53">
            <v>880903.3548387097</v>
          </cell>
          <cell r="F53">
            <v>427200.3548387097</v>
          </cell>
          <cell r="G53" t="str">
            <v>N/A</v>
          </cell>
          <cell r="H53">
            <v>-66260</v>
          </cell>
          <cell r="I53">
            <v>329295.83870967739</v>
          </cell>
          <cell r="J53">
            <v>141555.83870967742</v>
          </cell>
          <cell r="K53">
            <v>66473.387096774197</v>
          </cell>
          <cell r="L53">
            <v>-216352.64516129033</v>
          </cell>
          <cell r="M53" t="str">
            <v>N/A</v>
          </cell>
          <cell r="N53">
            <v>131657.64516129033</v>
          </cell>
          <cell r="O53">
            <v>18236</v>
          </cell>
          <cell r="P53">
            <v>453703</v>
          </cell>
          <cell r="Q53">
            <v>524644.19354838715</v>
          </cell>
          <cell r="R53">
            <v>17294847</v>
          </cell>
          <cell r="S53">
            <v>51669902</v>
          </cell>
          <cell r="T53">
            <v>0.94666029085079584</v>
          </cell>
          <cell r="U53">
            <v>2363559.1397849466</v>
          </cell>
          <cell r="V53">
            <v>18644.280953279249</v>
          </cell>
          <cell r="W53">
            <v>109989.2787524366</v>
          </cell>
          <cell r="X53">
            <v>19145.349933974721</v>
          </cell>
          <cell r="Y53">
            <v>78998.023095267956</v>
          </cell>
          <cell r="Z53">
            <v>185001.03754008678</v>
          </cell>
          <cell r="AA53">
            <v>34573.571024335019</v>
          </cell>
          <cell r="AB53">
            <v>65348.802112808888</v>
          </cell>
          <cell r="AC53">
            <v>4767.2766144752568</v>
          </cell>
          <cell r="AD53">
            <v>1752867.0062252409</v>
          </cell>
        </row>
        <row r="54">
          <cell r="D54">
            <v>36100</v>
          </cell>
          <cell r="E54">
            <v>927775</v>
          </cell>
          <cell r="F54">
            <v>399995.56666666665</v>
          </cell>
          <cell r="G54" t="str">
            <v>N/A</v>
          </cell>
          <cell r="H54">
            <v>-216158.43333333332</v>
          </cell>
          <cell r="I54">
            <v>302916.86666666664</v>
          </cell>
          <cell r="J54">
            <v>56909.366666666669</v>
          </cell>
          <cell r="K54">
            <v>-31561.933333333334</v>
          </cell>
          <cell r="L54">
            <v>-378342.2</v>
          </cell>
          <cell r="M54" t="str">
            <v>N/A</v>
          </cell>
          <cell r="N54">
            <v>179859.20000000001</v>
          </cell>
          <cell r="O54">
            <v>55664.2</v>
          </cell>
          <cell r="P54">
            <v>527779.43333333335</v>
          </cell>
          <cell r="Q54">
            <v>624301.4</v>
          </cell>
          <cell r="R54">
            <v>17050425</v>
          </cell>
          <cell r="S54">
            <v>48952799</v>
          </cell>
          <cell r="T54">
            <v>0.89687940455742587</v>
          </cell>
          <cell r="U54">
            <v>2474275.2269779509</v>
          </cell>
          <cell r="V54">
            <v>16501.621271076532</v>
          </cell>
          <cell r="W54">
            <v>116004.76653696493</v>
          </cell>
          <cell r="X54">
            <v>41481.54993514916</v>
          </cell>
          <cell r="Y54">
            <v>78874.80544747079</v>
          </cell>
          <cell r="Z54">
            <v>242691.82879377427</v>
          </cell>
          <cell r="AA54">
            <v>39480.544747081731</v>
          </cell>
          <cell r="AB54">
            <v>91599.254215304798</v>
          </cell>
          <cell r="AC54">
            <v>11849.092088197147</v>
          </cell>
          <cell r="AD54">
            <v>1719766.1802853437</v>
          </cell>
        </row>
        <row r="55">
          <cell r="D55">
            <v>36130</v>
          </cell>
          <cell r="E55">
            <v>765766.38709677418</v>
          </cell>
          <cell r="F55">
            <v>166672</v>
          </cell>
          <cell r="G55" t="str">
            <v>N/A</v>
          </cell>
          <cell r="H55">
            <v>-353729.3548387097</v>
          </cell>
          <cell r="I55">
            <v>357409.6451612903</v>
          </cell>
          <cell r="J55">
            <v>15136.806451612903</v>
          </cell>
          <cell r="K55">
            <v>-75467.419354838712</v>
          </cell>
          <cell r="L55">
            <v>-472429.22580645164</v>
          </cell>
          <cell r="M55" t="str">
            <v>N/A</v>
          </cell>
          <cell r="N55">
            <v>146782.06451612903</v>
          </cell>
          <cell r="O55">
            <v>20800.83870967742</v>
          </cell>
          <cell r="P55">
            <v>599094.38709677418</v>
          </cell>
          <cell r="Q55">
            <v>631059.19354838715</v>
          </cell>
          <cell r="R55">
            <v>13620032</v>
          </cell>
          <cell r="S55">
            <v>39470628</v>
          </cell>
          <cell r="T55">
            <v>0.72315361044314663</v>
          </cell>
          <cell r="U55">
            <v>2537112.1814986821</v>
          </cell>
          <cell r="V55">
            <v>8833.3124137065406</v>
          </cell>
          <cell r="W55">
            <v>117795.09225555416</v>
          </cell>
          <cell r="X55">
            <v>42595.362118739802</v>
          </cell>
          <cell r="Y55">
            <v>78128.96949918411</v>
          </cell>
          <cell r="Z55">
            <v>361872.9132672273</v>
          </cell>
          <cell r="AA55">
            <v>35952.271871469835</v>
          </cell>
          <cell r="AB55">
            <v>110278.71218777455</v>
          </cell>
          <cell r="AC55">
            <v>15771.275260449351</v>
          </cell>
          <cell r="AD55">
            <v>1636545.2491527551</v>
          </cell>
        </row>
        <row r="56">
          <cell r="D56">
            <v>36161</v>
          </cell>
          <cell r="E56">
            <v>813650.61290322582</v>
          </cell>
          <cell r="F56">
            <v>210026.06451612903</v>
          </cell>
          <cell r="G56" t="str">
            <v>N/A</v>
          </cell>
          <cell r="H56">
            <v>-330376.87096774194</v>
          </cell>
          <cell r="I56">
            <v>414988.32258064515</v>
          </cell>
          <cell r="J56">
            <v>11078.290322580646</v>
          </cell>
          <cell r="K56">
            <v>-8146.7741935483873</v>
          </cell>
          <cell r="L56">
            <v>-390896.93548387097</v>
          </cell>
          <cell r="M56" t="str">
            <v>N/A</v>
          </cell>
          <cell r="N56">
            <v>128685.93548387097</v>
          </cell>
          <cell r="O56">
            <v>126649.41935483871</v>
          </cell>
          <cell r="P56">
            <v>603624.54838709673</v>
          </cell>
          <cell r="Q56">
            <v>583010.45161290327</v>
          </cell>
          <cell r="R56">
            <v>12299199</v>
          </cell>
          <cell r="S56">
            <v>28248700</v>
          </cell>
          <cell r="T56">
            <v>0.51755318905301728</v>
          </cell>
          <cell r="U56">
            <v>2459105.6718858075</v>
          </cell>
          <cell r="V56">
            <v>0</v>
          </cell>
          <cell r="W56">
            <v>134533.67289190719</v>
          </cell>
          <cell r="X56">
            <v>45070.049676161718</v>
          </cell>
          <cell r="Y56">
            <v>79075.080173552182</v>
          </cell>
          <cell r="Z56">
            <v>398894.86260454002</v>
          </cell>
          <cell r="AA56">
            <v>18542.633465383889</v>
          </cell>
          <cell r="AB56">
            <v>86891.089731497195</v>
          </cell>
          <cell r="AC56">
            <v>14801.106709425892</v>
          </cell>
          <cell r="AD56">
            <v>1567568.88637364</v>
          </cell>
        </row>
        <row r="57">
          <cell r="D57">
            <v>36192</v>
          </cell>
          <cell r="E57">
            <v>884025.67857142852</v>
          </cell>
          <cell r="F57">
            <v>276322.82142857142</v>
          </cell>
          <cell r="G57" t="str">
            <v>N/A</v>
          </cell>
          <cell r="H57">
            <v>-207588.89285714287</v>
          </cell>
          <cell r="I57">
            <v>326637.07142857142</v>
          </cell>
          <cell r="J57">
            <v>32215.178571428572</v>
          </cell>
          <cell r="K57">
            <v>-5000.5714285714284</v>
          </cell>
          <cell r="L57">
            <v>-383415.67857142858</v>
          </cell>
          <cell r="M57" t="str">
            <v>N/A</v>
          </cell>
          <cell r="N57">
            <v>136072.14285714287</v>
          </cell>
          <cell r="O57">
            <v>90052.21428571429</v>
          </cell>
          <cell r="P57">
            <v>607702.85714285716</v>
          </cell>
          <cell r="Q57">
            <v>576795.53571428568</v>
          </cell>
          <cell r="R57">
            <v>9698452</v>
          </cell>
          <cell r="S57">
            <v>21884339</v>
          </cell>
          <cell r="T57">
            <v>0.40094975838772473</v>
          </cell>
          <cell r="U57">
            <v>2358355.6460595932</v>
          </cell>
          <cell r="V57">
            <v>452.52018936229467</v>
          </cell>
          <cell r="W57">
            <v>118051.65692007795</v>
          </cell>
          <cell r="X57">
            <v>41091.478696741862</v>
          </cell>
          <cell r="Y57">
            <v>78412.106655527736</v>
          </cell>
          <cell r="Z57">
            <v>290499.23419660266</v>
          </cell>
          <cell r="AA57">
            <v>17074.352548036757</v>
          </cell>
          <cell r="AB57">
            <v>75374.791144527975</v>
          </cell>
          <cell r="AC57">
            <v>14612.433862433865</v>
          </cell>
          <cell r="AD57">
            <v>1613300.7866889443</v>
          </cell>
        </row>
        <row r="58">
          <cell r="D58">
            <v>36220</v>
          </cell>
          <cell r="E58">
            <v>946870.6451612903</v>
          </cell>
          <cell r="F58">
            <v>416234.83870967739</v>
          </cell>
          <cell r="G58">
            <v>-298256.09677419398</v>
          </cell>
          <cell r="H58">
            <v>-50873.516129032258</v>
          </cell>
          <cell r="I58">
            <v>220959.74193548388</v>
          </cell>
          <cell r="J58">
            <v>159095.5806451613</v>
          </cell>
          <cell r="K58">
            <v>-40409.516129032258</v>
          </cell>
          <cell r="L58">
            <v>-385462.87096774194</v>
          </cell>
          <cell r="M58" t="str">
            <v>N/A</v>
          </cell>
          <cell r="N58">
            <v>165694.4193548387</v>
          </cell>
          <cell r="O58">
            <v>109058.48387096774</v>
          </cell>
          <cell r="P58">
            <v>530635.80645161285</v>
          </cell>
          <cell r="Q58">
            <v>546329.80645161285</v>
          </cell>
          <cell r="R58">
            <v>7242587</v>
          </cell>
          <cell r="S58">
            <v>15832898</v>
          </cell>
          <cell r="T58">
            <v>0.29007943203939079</v>
          </cell>
          <cell r="U58">
            <v>2084618.62745098</v>
          </cell>
          <cell r="V58">
            <v>0</v>
          </cell>
          <cell r="W58">
            <v>122061.95445920303</v>
          </cell>
          <cell r="X58">
            <v>41686.337760910814</v>
          </cell>
          <cell r="Y58">
            <v>68536.401012017726</v>
          </cell>
          <cell r="Z58">
            <v>63102.150537634414</v>
          </cell>
          <cell r="AA58">
            <v>4901.9607843137255</v>
          </cell>
          <cell r="AB58">
            <v>58272.707147375077</v>
          </cell>
          <cell r="AC58">
            <v>11614.041745730554</v>
          </cell>
          <cell r="AD58">
            <v>1640072.675521821</v>
          </cell>
        </row>
        <row r="59">
          <cell r="D59">
            <v>36251</v>
          </cell>
          <cell r="E59">
            <v>940169.5</v>
          </cell>
          <cell r="F59">
            <v>507320.76666666666</v>
          </cell>
          <cell r="G59">
            <v>-176450.33333333299</v>
          </cell>
          <cell r="H59">
            <v>97635.433333333334</v>
          </cell>
          <cell r="I59">
            <v>218081.53333333333</v>
          </cell>
          <cell r="J59">
            <v>153925.6</v>
          </cell>
          <cell r="K59">
            <v>119934.8</v>
          </cell>
          <cell r="L59">
            <v>-176547.4</v>
          </cell>
          <cell r="M59" t="str">
            <v>N/A</v>
          </cell>
          <cell r="N59">
            <v>187035.6</v>
          </cell>
          <cell r="O59">
            <v>152872.33333333334</v>
          </cell>
          <cell r="P59">
            <v>432848.73333333334</v>
          </cell>
          <cell r="Q59">
            <v>468218.2</v>
          </cell>
          <cell r="R59">
            <v>5486601</v>
          </cell>
          <cell r="S59">
            <v>15299909</v>
          </cell>
          <cell r="T59">
            <v>0.2803143753578381</v>
          </cell>
          <cell r="U59">
            <v>2228513.8235294116</v>
          </cell>
          <cell r="V59">
            <v>5125.6535947712437</v>
          </cell>
          <cell r="W59">
            <v>99766.176470588223</v>
          </cell>
          <cell r="X59">
            <v>32067.091503267977</v>
          </cell>
          <cell r="Y59">
            <v>69329.640522875823</v>
          </cell>
          <cell r="Z59">
            <v>64926.601307189558</v>
          </cell>
          <cell r="AA59">
            <v>23088.235294117643</v>
          </cell>
          <cell r="AB59">
            <v>67205.490196078434</v>
          </cell>
          <cell r="AC59">
            <v>8536.9281045751613</v>
          </cell>
          <cell r="AD59">
            <v>1772550.3594771244</v>
          </cell>
        </row>
        <row r="60">
          <cell r="D60">
            <v>36281</v>
          </cell>
          <cell r="E60">
            <v>998740.22580645164</v>
          </cell>
          <cell r="F60">
            <v>635813.19354838715</v>
          </cell>
          <cell r="G60">
            <v>-195961.61290322599</v>
          </cell>
          <cell r="H60">
            <v>129374.3870967742</v>
          </cell>
          <cell r="I60">
            <v>191466.90322580645</v>
          </cell>
          <cell r="J60">
            <v>185433.29032258064</v>
          </cell>
          <cell r="K60">
            <v>90766.161290322576</v>
          </cell>
          <cell r="L60">
            <v>-155720.90322580645</v>
          </cell>
          <cell r="M60" t="str">
            <v>N/A</v>
          </cell>
          <cell r="N60">
            <v>115575.96774193548</v>
          </cell>
          <cell r="O60">
            <v>60002.451612903227</v>
          </cell>
          <cell r="P60">
            <v>362927.03225806454</v>
          </cell>
          <cell r="Q60">
            <v>437841.80645161291</v>
          </cell>
          <cell r="R60">
            <v>7613108</v>
          </cell>
          <cell r="S60">
            <v>19394827</v>
          </cell>
          <cell r="T60">
            <v>0.35533863735257071</v>
          </cell>
          <cell r="U60">
            <v>2052852.9411764701</v>
          </cell>
          <cell r="V60">
            <v>3009.4560404807089</v>
          </cell>
          <cell r="W60">
            <v>79373.719165085393</v>
          </cell>
          <cell r="X60">
            <v>25594.022770398482</v>
          </cell>
          <cell r="Y60">
            <v>62001.265022137894</v>
          </cell>
          <cell r="Z60">
            <v>9626.7868437697653</v>
          </cell>
          <cell r="AA60">
            <v>32863.757115749519</v>
          </cell>
          <cell r="AB60">
            <v>61565.243516761555</v>
          </cell>
          <cell r="AC60">
            <v>559.99367488931068</v>
          </cell>
          <cell r="AD60">
            <v>1705797.754585705</v>
          </cell>
        </row>
        <row r="61">
          <cell r="D61">
            <v>36312</v>
          </cell>
          <cell r="E61">
            <v>868232.43333333335</v>
          </cell>
          <cell r="F61">
            <v>604192.5</v>
          </cell>
          <cell r="G61">
            <v>-141768.26666666701</v>
          </cell>
          <cell r="H61">
            <v>68993.566666666666</v>
          </cell>
          <cell r="I61">
            <v>163323.76666666666</v>
          </cell>
          <cell r="J61">
            <v>258383.13333333333</v>
          </cell>
          <cell r="K61">
            <v>-50095.466666666667</v>
          </cell>
          <cell r="L61">
            <v>-263767</v>
          </cell>
          <cell r="M61" t="str">
            <v>N/A</v>
          </cell>
          <cell r="N61">
            <v>168768.8</v>
          </cell>
          <cell r="O61">
            <v>39556.699999999997</v>
          </cell>
          <cell r="P61">
            <v>264039.93333333335</v>
          </cell>
          <cell r="Q61">
            <v>441056.56666666665</v>
          </cell>
          <cell r="R61">
            <v>10437379</v>
          </cell>
          <cell r="S61">
            <v>25779013</v>
          </cell>
          <cell r="T61">
            <v>0.47230528798809113</v>
          </cell>
          <cell r="U61">
            <v>1898249.2483660127</v>
          </cell>
          <cell r="V61">
            <v>1355.8823529411764</v>
          </cell>
          <cell r="W61">
            <v>107502.61437908496</v>
          </cell>
          <cell r="X61">
            <v>18525.16339869281</v>
          </cell>
          <cell r="Y61">
            <v>52833.006535947723</v>
          </cell>
          <cell r="Z61">
            <v>-91858.398692810428</v>
          </cell>
          <cell r="AA61">
            <v>8921.5686274509808</v>
          </cell>
          <cell r="AB61">
            <v>49381.241830065352</v>
          </cell>
          <cell r="AC61">
            <v>2710.4575163398686</v>
          </cell>
          <cell r="AD61">
            <v>1692788.6274509805</v>
          </cell>
        </row>
        <row r="62">
          <cell r="D62">
            <v>36342</v>
          </cell>
          <cell r="E62">
            <v>874304.83870967745</v>
          </cell>
          <cell r="F62">
            <v>622438.09677419357</v>
          </cell>
          <cell r="G62">
            <v>-103180.161290323</v>
          </cell>
          <cell r="H62">
            <v>42305.129032258068</v>
          </cell>
          <cell r="I62">
            <v>155595.12903225806</v>
          </cell>
          <cell r="J62">
            <v>160031.67741935485</v>
          </cell>
          <cell r="K62">
            <v>22139.806451612902</v>
          </cell>
          <cell r="L62">
            <v>-174397.64516129033</v>
          </cell>
          <cell r="M62" t="str">
            <v>N/A</v>
          </cell>
          <cell r="N62">
            <v>100156.3870967742</v>
          </cell>
          <cell r="O62">
            <v>34554.838709677417</v>
          </cell>
          <cell r="P62">
            <v>251866.74193548388</v>
          </cell>
          <cell r="Q62">
            <v>457714</v>
          </cell>
          <cell r="R62">
            <v>14232367</v>
          </cell>
          <cell r="S62">
            <v>33780609</v>
          </cell>
          <cell r="T62">
            <v>0.61890500858811404</v>
          </cell>
          <cell r="U62">
            <v>2036812.7767235925</v>
          </cell>
          <cell r="V62">
            <v>3081.4041745730547</v>
          </cell>
          <cell r="W62">
            <v>92076.913345983572</v>
          </cell>
          <cell r="X62">
            <v>16549.620493358634</v>
          </cell>
          <cell r="Y62">
            <v>68298.387096774211</v>
          </cell>
          <cell r="Z62">
            <v>-3014.3896268184685</v>
          </cell>
          <cell r="AA62">
            <v>26852.751423149904</v>
          </cell>
          <cell r="AB62">
            <v>52055.534471853272</v>
          </cell>
          <cell r="AC62">
            <v>2572.1695129664781</v>
          </cell>
          <cell r="AD62">
            <v>1723474.0986717269</v>
          </cell>
        </row>
        <row r="63">
          <cell r="D63">
            <v>36373</v>
          </cell>
          <cell r="E63">
            <v>844611.96774193551</v>
          </cell>
          <cell r="F63">
            <v>598573.45161290327</v>
          </cell>
          <cell r="G63">
            <v>-100940.967741935</v>
          </cell>
          <cell r="H63">
            <v>76656.483870967742</v>
          </cell>
          <cell r="I63">
            <v>189794.87096774194</v>
          </cell>
          <cell r="J63">
            <v>176597.38709677418</v>
          </cell>
          <cell r="K63">
            <v>51024.354838709674</v>
          </cell>
          <cell r="L63">
            <v>-133940.38709677418</v>
          </cell>
          <cell r="M63" t="str">
            <v>N/A</v>
          </cell>
          <cell r="N63">
            <v>136846.64516129033</v>
          </cell>
          <cell r="O63">
            <v>95498.774193548394</v>
          </cell>
          <cell r="P63">
            <v>246038.51612903227</v>
          </cell>
          <cell r="Q63">
            <v>437753.38709677418</v>
          </cell>
          <cell r="R63">
            <v>16841438</v>
          </cell>
          <cell r="S63">
            <v>38716439</v>
          </cell>
          <cell r="T63">
            <v>0.70933587999541969</v>
          </cell>
          <cell r="U63">
            <v>2130697.4193548388</v>
          </cell>
          <cell r="V63">
            <v>6632.2580645161288</v>
          </cell>
          <cell r="W63">
            <v>86045.161290322576</v>
          </cell>
          <cell r="X63">
            <v>15561.290322580646</v>
          </cell>
          <cell r="Y63">
            <v>76270.967741935485</v>
          </cell>
          <cell r="Z63">
            <v>17948.387096774193</v>
          </cell>
          <cell r="AA63">
            <v>32596.774193548386</v>
          </cell>
          <cell r="AB63">
            <v>47851.612903225803</v>
          </cell>
          <cell r="AC63">
            <v>1264.516129032258</v>
          </cell>
          <cell r="AD63">
            <v>1791796.7741935484</v>
          </cell>
        </row>
        <row r="64">
          <cell r="D64">
            <v>36404</v>
          </cell>
          <cell r="E64">
            <v>882665.23333333328</v>
          </cell>
          <cell r="F64">
            <v>586397.96666666667</v>
          </cell>
          <cell r="G64">
            <v>-252291.6</v>
          </cell>
          <cell r="H64">
            <v>25232.633333333335</v>
          </cell>
          <cell r="I64">
            <v>181781.56666666668</v>
          </cell>
          <cell r="J64">
            <v>127677.86666666667</v>
          </cell>
          <cell r="K64">
            <v>26474.366666666665</v>
          </cell>
          <cell r="L64">
            <v>-191102.73333333334</v>
          </cell>
          <cell r="M64" t="str">
            <v>N/A</v>
          </cell>
          <cell r="N64">
            <v>135319.13333333333</v>
          </cell>
          <cell r="O64">
            <v>72378.333333333328</v>
          </cell>
          <cell r="P64">
            <v>296267.26666666666</v>
          </cell>
          <cell r="Q64">
            <v>508752.5</v>
          </cell>
          <cell r="R64">
            <v>18413823</v>
          </cell>
          <cell r="S64">
            <v>43656694</v>
          </cell>
          <cell r="T64">
            <v>0.79984782319935877</v>
          </cell>
          <cell r="U64">
            <v>2265970</v>
          </cell>
          <cell r="V64">
            <v>20913.333333333332</v>
          </cell>
          <cell r="W64">
            <v>96766.886017152618</v>
          </cell>
          <cell r="X64">
            <v>16860</v>
          </cell>
          <cell r="Y64">
            <v>77593.333333333328</v>
          </cell>
          <cell r="Z64">
            <v>76620</v>
          </cell>
          <cell r="AA64">
            <v>34803.333333333336</v>
          </cell>
          <cell r="AB64">
            <v>47126.666666666664</v>
          </cell>
          <cell r="AC64">
            <v>2343.3333333333335</v>
          </cell>
          <cell r="AD64">
            <v>1847336.6666666667</v>
          </cell>
          <cell r="AE64">
            <v>-58174.133333333331</v>
          </cell>
          <cell r="AF64">
            <v>-52412.833333333336</v>
          </cell>
          <cell r="AG64">
            <v>-92559.066666666666</v>
          </cell>
          <cell r="AH64">
            <v>0</v>
          </cell>
        </row>
        <row r="65">
          <cell r="D65">
            <v>36434</v>
          </cell>
          <cell r="E65">
            <v>935267.16129032255</v>
          </cell>
          <cell r="F65">
            <v>444297.67741935485</v>
          </cell>
          <cell r="G65">
            <v>-152150.870967742</v>
          </cell>
          <cell r="H65">
            <v>-83498.129032258061</v>
          </cell>
          <cell r="I65">
            <v>183384.48387096773</v>
          </cell>
          <cell r="J65">
            <v>157936.29032258064</v>
          </cell>
          <cell r="K65">
            <v>-131296.03225806452</v>
          </cell>
          <cell r="L65">
            <v>-419406.29032258067</v>
          </cell>
          <cell r="M65" t="str">
            <v>N/A</v>
          </cell>
          <cell r="N65">
            <v>189918</v>
          </cell>
          <cell r="O65">
            <v>-67930.451612903227</v>
          </cell>
          <cell r="P65">
            <v>490969.48387096776</v>
          </cell>
          <cell r="Q65">
            <v>552145.19354838715</v>
          </cell>
          <cell r="R65">
            <v>17658992</v>
          </cell>
          <cell r="S65">
            <v>45401892</v>
          </cell>
          <cell r="T65">
            <v>0.83182213672277572</v>
          </cell>
          <cell r="U65">
            <v>2296780</v>
          </cell>
          <cell r="V65">
            <v>27660</v>
          </cell>
          <cell r="W65">
            <v>123683.37162808518</v>
          </cell>
          <cell r="X65">
            <v>27003.333333333332</v>
          </cell>
          <cell r="Y65">
            <v>78640</v>
          </cell>
          <cell r="Z65">
            <v>30663.333333333332</v>
          </cell>
          <cell r="AA65">
            <v>40133.333333333336</v>
          </cell>
          <cell r="AB65">
            <v>58543.333333333336</v>
          </cell>
          <cell r="AC65">
            <v>1510</v>
          </cell>
          <cell r="AD65">
            <v>1844340</v>
          </cell>
          <cell r="AE65">
            <v>-49787.451612903227</v>
          </cell>
          <cell r="AF65">
            <v>24349.387096774193</v>
          </cell>
          <cell r="AG65">
            <v>-110113.6129032258</v>
          </cell>
          <cell r="AH65">
            <v>70137.838709677424</v>
          </cell>
        </row>
        <row r="66">
          <cell r="D66">
            <v>36465</v>
          </cell>
          <cell r="E66">
            <v>959348.66666666663</v>
          </cell>
          <cell r="F66">
            <v>450683</v>
          </cell>
          <cell r="G66">
            <v>-76237.53333333334</v>
          </cell>
          <cell r="H66">
            <v>-167762.76666666666</v>
          </cell>
          <cell r="I66">
            <v>302910.03333333333</v>
          </cell>
          <cell r="J66">
            <v>86446.5</v>
          </cell>
          <cell r="K66">
            <v>-52367.73333333333</v>
          </cell>
          <cell r="L66">
            <v>-369933.03333333333</v>
          </cell>
          <cell r="M66">
            <v>-31718.772727272728</v>
          </cell>
          <cell r="N66">
            <v>161365.16666666666</v>
          </cell>
          <cell r="O66">
            <v>32474.7</v>
          </cell>
          <cell r="P66">
            <v>508665.66666666669</v>
          </cell>
          <cell r="Q66">
            <v>616778.73333333328</v>
          </cell>
          <cell r="R66">
            <v>17709003</v>
          </cell>
          <cell r="S66">
            <v>44169021</v>
          </cell>
          <cell r="T66">
            <v>0.80923432497423564</v>
          </cell>
          <cell r="U66">
            <v>2387063.3333333335</v>
          </cell>
          <cell r="V66">
            <v>6983.333333333333</v>
          </cell>
          <cell r="W66">
            <v>142933.48025823713</v>
          </cell>
          <cell r="X66">
            <v>39606.666666666664</v>
          </cell>
          <cell r="Y66">
            <v>77846.666666666672</v>
          </cell>
          <cell r="Z66">
            <v>222303.33333333334</v>
          </cell>
          <cell r="AA66">
            <v>36546.666666666664</v>
          </cell>
          <cell r="AB66">
            <v>64746.666666666664</v>
          </cell>
          <cell r="AC66">
            <v>2016.6666666666667</v>
          </cell>
          <cell r="AD66">
            <v>1749083.3333333333</v>
          </cell>
          <cell r="AE66">
            <v>11393.733333333334</v>
          </cell>
          <cell r="AF66">
            <v>-2886.8666666666668</v>
          </cell>
          <cell r="AG66">
            <v>-135819.86666666667</v>
          </cell>
          <cell r="AH66">
            <v>86356.566666666666</v>
          </cell>
        </row>
        <row r="67">
          <cell r="D67">
            <v>36495</v>
          </cell>
          <cell r="E67">
            <v>940706.45161290327</v>
          </cell>
          <cell r="F67">
            <v>342371.29032258067</v>
          </cell>
          <cell r="G67">
            <v>-184896.83870967742</v>
          </cell>
          <cell r="H67">
            <v>-267165.45161290321</v>
          </cell>
          <cell r="I67">
            <v>326105.48387096776</v>
          </cell>
          <cell r="J67">
            <v>20145.354838709678</v>
          </cell>
          <cell r="K67">
            <v>-67658.129032258061</v>
          </cell>
          <cell r="L67">
            <v>-444855.3548387097</v>
          </cell>
          <cell r="M67">
            <v>-162917.48387096773</v>
          </cell>
          <cell r="N67">
            <v>160722.03225806452</v>
          </cell>
          <cell r="O67">
            <v>167922.93548387097</v>
          </cell>
          <cell r="P67">
            <v>598335.16129032255</v>
          </cell>
          <cell r="Q67">
            <v>642078.6451612903</v>
          </cell>
          <cell r="R67">
            <v>16595328</v>
          </cell>
          <cell r="S67">
            <v>30613074</v>
          </cell>
          <cell r="T67">
            <v>0.56087161800068708</v>
          </cell>
          <cell r="U67">
            <v>2286597.4723029332</v>
          </cell>
          <cell r="V67">
            <v>784.6616065781152</v>
          </cell>
          <cell r="W67">
            <v>161831.43279865393</v>
          </cell>
          <cell r="X67">
            <v>45897</v>
          </cell>
          <cell r="Y67">
            <v>55001.486401012022</v>
          </cell>
          <cell r="Z67">
            <v>453720.86446473753</v>
          </cell>
          <cell r="AA67">
            <v>473.11827956989248</v>
          </cell>
          <cell r="AB67">
            <v>63497.302068508863</v>
          </cell>
          <cell r="AC67">
            <v>0</v>
          </cell>
          <cell r="AD67">
            <v>1774499.3316631089</v>
          </cell>
          <cell r="AE67">
            <v>210642.35483870967</v>
          </cell>
          <cell r="AF67">
            <v>61865.354838709674</v>
          </cell>
          <cell r="AG67">
            <v>-147531.74193548388</v>
          </cell>
          <cell r="AH67">
            <v>99036.612903225803</v>
          </cell>
        </row>
        <row r="68">
          <cell r="D68">
            <v>36526</v>
          </cell>
          <cell r="E68">
            <v>815359.54838709673</v>
          </cell>
          <cell r="F68">
            <v>150514.90322580645</v>
          </cell>
          <cell r="G68">
            <v>-237312.08</v>
          </cell>
          <cell r="H68">
            <v>-333018.90322580643</v>
          </cell>
          <cell r="I68">
            <v>357082.74193548388</v>
          </cell>
          <cell r="J68">
            <v>18542.2</v>
          </cell>
          <cell r="K68">
            <v>-110432.80645161291</v>
          </cell>
          <cell r="L68">
            <v>-483869.03225806454</v>
          </cell>
          <cell r="M68">
            <v>-207313.93548387097</v>
          </cell>
          <cell r="N68">
            <v>141476.25806451612</v>
          </cell>
          <cell r="O68">
            <v>107368.54838709677</v>
          </cell>
          <cell r="P68">
            <v>664844.6451612903</v>
          </cell>
          <cell r="Q68">
            <v>720845.88645161293</v>
          </cell>
          <cell r="R68">
            <v>13039716</v>
          </cell>
          <cell r="S68">
            <v>19882082</v>
          </cell>
          <cell r="T68">
            <v>0.36426578724378794</v>
          </cell>
          <cell r="U68">
            <v>2569806.6996246292</v>
          </cell>
          <cell r="V68">
            <v>10014.847905108114</v>
          </cell>
          <cell r="W68">
            <v>158915.3447321665</v>
          </cell>
          <cell r="Y68">
            <v>83489.794137028803</v>
          </cell>
          <cell r="Z68">
            <v>483869.03225806454</v>
          </cell>
          <cell r="AA68">
            <v>40632.136190169011</v>
          </cell>
          <cell r="AB68">
            <v>89184.511573266689</v>
          </cell>
          <cell r="AC68">
            <v>9949.3913828525056</v>
          </cell>
          <cell r="AD68">
            <v>1713749.9374352163</v>
          </cell>
          <cell r="AE68">
            <v>232132.90322580645</v>
          </cell>
          <cell r="AF68">
            <v>223336</v>
          </cell>
          <cell r="AG68">
            <v>-141042.45161290321</v>
          </cell>
          <cell r="AH68">
            <v>94916.06451612903</v>
          </cell>
          <cell r="AI68">
            <v>-240572.45161290321</v>
          </cell>
        </row>
        <row r="69">
          <cell r="D69">
            <v>36557</v>
          </cell>
          <cell r="E69">
            <v>901515.75862068962</v>
          </cell>
          <cell r="F69">
            <v>308888.55172413791</v>
          </cell>
          <cell r="G69">
            <v>-317320.93103448278</v>
          </cell>
          <cell r="H69">
            <v>-265970.58620689658</v>
          </cell>
          <cell r="I69">
            <v>270980.8275862069</v>
          </cell>
          <cell r="J69">
            <v>13572.275862068966</v>
          </cell>
          <cell r="K69">
            <v>-95253.448275862072</v>
          </cell>
          <cell r="L69">
            <v>-448507.31034482759</v>
          </cell>
          <cell r="M69">
            <v>-185942.75862068965</v>
          </cell>
          <cell r="N69">
            <v>127433.37931034483</v>
          </cell>
          <cell r="O69">
            <v>131459.44827586206</v>
          </cell>
          <cell r="P69">
            <v>592627.20689655165</v>
          </cell>
          <cell r="Q69">
            <v>892180.06896551733</v>
          </cell>
          <cell r="R69">
            <v>11311027</v>
          </cell>
          <cell r="S69">
            <v>11940408</v>
          </cell>
          <cell r="T69">
            <v>0.21876391618000687</v>
          </cell>
          <cell r="U69">
            <v>2529117.7968298146</v>
          </cell>
          <cell r="V69">
            <v>2372.0089392558293</v>
          </cell>
          <cell r="W69">
            <v>172901.25927280582</v>
          </cell>
          <cell r="Y69">
            <v>80224.980805421001</v>
          </cell>
          <cell r="Z69">
            <v>448507.31034482759</v>
          </cell>
          <cell r="AA69">
            <v>39638.438468685163</v>
          </cell>
          <cell r="AB69">
            <v>83653.548298740599</v>
          </cell>
          <cell r="AC69">
            <v>3404.0777255102103</v>
          </cell>
          <cell r="AD69">
            <v>1759869.7001679349</v>
          </cell>
          <cell r="AE69">
            <v>205230.8275862069</v>
          </cell>
          <cell r="AF69">
            <v>82091.862068965522</v>
          </cell>
          <cell r="AG69">
            <v>-140904.8275862069</v>
          </cell>
          <cell r="AH69">
            <v>94086.793103448275</v>
          </cell>
          <cell r="AI69">
            <v>-219785.55172413794</v>
          </cell>
        </row>
        <row r="70">
          <cell r="R70" t="str">
            <v>As of March 12, 2000</v>
          </cell>
          <cell r="S70">
            <v>9406004</v>
          </cell>
          <cell r="T70">
            <v>0.17233031489751519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>
        <row r="2">
          <cell r="B2" t="str">
            <v>PGT</v>
          </cell>
        </row>
        <row r="3">
          <cell r="A3" t="str">
            <v>DATE</v>
          </cell>
          <cell r="B3" t="str">
            <v>KINGSGATE</v>
          </cell>
          <cell r="C3" t="str">
            <v>MALIN</v>
          </cell>
        </row>
        <row r="4">
          <cell r="A4">
            <v>36404</v>
          </cell>
          <cell r="B4">
            <v>2556731.7593040713</v>
          </cell>
          <cell r="C4">
            <v>1937840.3413772918</v>
          </cell>
        </row>
        <row r="5">
          <cell r="A5">
            <v>36405</v>
          </cell>
          <cell r="B5">
            <v>2556731.7593040713</v>
          </cell>
          <cell r="C5">
            <v>1937840.3413772918</v>
          </cell>
        </row>
        <row r="6">
          <cell r="A6">
            <v>36406</v>
          </cell>
          <cell r="B6">
            <v>2556731.7593040713</v>
          </cell>
          <cell r="C6">
            <v>1937840.3413772918</v>
          </cell>
        </row>
        <row r="7">
          <cell r="A7">
            <v>36407</v>
          </cell>
          <cell r="B7">
            <v>2556731.7593040713</v>
          </cell>
          <cell r="C7">
            <v>1937840.3413772918</v>
          </cell>
        </row>
        <row r="8">
          <cell r="A8">
            <v>36408</v>
          </cell>
          <cell r="B8">
            <v>2556731.7593040713</v>
          </cell>
          <cell r="C8">
            <v>1937840.3413772918</v>
          </cell>
        </row>
        <row r="9">
          <cell r="A9">
            <v>36409</v>
          </cell>
          <cell r="B9">
            <v>2556731.7593040713</v>
          </cell>
          <cell r="C9">
            <v>1937840.3413772918</v>
          </cell>
        </row>
        <row r="10">
          <cell r="A10">
            <v>36410</v>
          </cell>
          <cell r="B10">
            <v>2556731.7593040713</v>
          </cell>
          <cell r="C10">
            <v>1937840.3413772918</v>
          </cell>
        </row>
        <row r="11">
          <cell r="A11">
            <v>36411</v>
          </cell>
          <cell r="B11">
            <v>2556731.7593040713</v>
          </cell>
          <cell r="C11">
            <v>1937840.3413772918</v>
          </cell>
        </row>
        <row r="12">
          <cell r="A12">
            <v>36412</v>
          </cell>
          <cell r="B12">
            <v>2556731.7593040713</v>
          </cell>
          <cell r="C12">
            <v>1937840.3413772918</v>
          </cell>
        </row>
        <row r="13">
          <cell r="A13">
            <v>36413</v>
          </cell>
          <cell r="B13">
            <v>2556731.7593040713</v>
          </cell>
          <cell r="C13">
            <v>1937840.3413772918</v>
          </cell>
        </row>
        <row r="14">
          <cell r="A14">
            <v>36414</v>
          </cell>
          <cell r="B14">
            <v>2556731.7593040713</v>
          </cell>
          <cell r="C14">
            <v>1937840.3413772918</v>
          </cell>
        </row>
        <row r="15">
          <cell r="A15">
            <v>36415</v>
          </cell>
          <cell r="B15">
            <v>2556731.7593040713</v>
          </cell>
          <cell r="C15">
            <v>1937840.3413772918</v>
          </cell>
        </row>
        <row r="16">
          <cell r="A16">
            <v>36416</v>
          </cell>
          <cell r="B16">
            <v>2556731.7593040713</v>
          </cell>
          <cell r="C16">
            <v>1937840.3413772918</v>
          </cell>
        </row>
        <row r="17">
          <cell r="A17">
            <v>36417</v>
          </cell>
          <cell r="B17">
            <v>2556731.7593040713</v>
          </cell>
          <cell r="C17">
            <v>1937840.3413772918</v>
          </cell>
        </row>
        <row r="18">
          <cell r="A18">
            <v>36418</v>
          </cell>
          <cell r="B18">
            <v>2556731.7593040713</v>
          </cell>
          <cell r="C18">
            <v>1937840.3413772918</v>
          </cell>
        </row>
        <row r="19">
          <cell r="A19">
            <v>36419</v>
          </cell>
          <cell r="B19">
            <v>2556731.7593040713</v>
          </cell>
          <cell r="C19">
            <v>1937840.3413772918</v>
          </cell>
        </row>
        <row r="20">
          <cell r="A20">
            <v>36420</v>
          </cell>
          <cell r="B20">
            <v>2556731.7593040713</v>
          </cell>
          <cell r="C20">
            <v>1937840.3413772918</v>
          </cell>
        </row>
        <row r="21">
          <cell r="A21">
            <v>36421</v>
          </cell>
          <cell r="B21">
            <v>2556731.7593040713</v>
          </cell>
          <cell r="C21">
            <v>1937840.3413772918</v>
          </cell>
        </row>
        <row r="22">
          <cell r="A22">
            <v>36422</v>
          </cell>
          <cell r="B22">
            <v>2556731.7593040713</v>
          </cell>
          <cell r="C22">
            <v>1937840.3413772918</v>
          </cell>
        </row>
        <row r="23">
          <cell r="A23">
            <v>36423</v>
          </cell>
          <cell r="B23">
            <v>2556731.7593040713</v>
          </cell>
          <cell r="C23">
            <v>1937840.3413772918</v>
          </cell>
        </row>
        <row r="24">
          <cell r="A24">
            <v>36424</v>
          </cell>
          <cell r="B24">
            <v>2556731.7593040713</v>
          </cell>
          <cell r="C24">
            <v>1937840.3413772918</v>
          </cell>
        </row>
        <row r="25">
          <cell r="A25">
            <v>36425</v>
          </cell>
          <cell r="B25">
            <v>2556731.7593040713</v>
          </cell>
          <cell r="C25">
            <v>1937840.3413772918</v>
          </cell>
        </row>
        <row r="26">
          <cell r="A26">
            <v>36426</v>
          </cell>
          <cell r="B26">
            <v>2556731.7593040713</v>
          </cell>
          <cell r="C26">
            <v>1937840.3413772918</v>
          </cell>
        </row>
        <row r="27">
          <cell r="A27">
            <v>36427</v>
          </cell>
          <cell r="B27">
            <v>2556731.7593040713</v>
          </cell>
          <cell r="C27">
            <v>1937840.3413772918</v>
          </cell>
        </row>
        <row r="28">
          <cell r="A28">
            <v>36428</v>
          </cell>
          <cell r="B28">
            <v>2556731.7593040713</v>
          </cell>
          <cell r="C28">
            <v>1937840.3413772918</v>
          </cell>
        </row>
        <row r="29">
          <cell r="A29">
            <v>36429</v>
          </cell>
          <cell r="B29">
            <v>2556731.7593040713</v>
          </cell>
          <cell r="C29">
            <v>1937840.3413772918</v>
          </cell>
        </row>
        <row r="30">
          <cell r="A30">
            <v>36430</v>
          </cell>
          <cell r="B30">
            <v>2536440.2374048326</v>
          </cell>
          <cell r="C30">
            <v>1937840.3413772918</v>
          </cell>
        </row>
        <row r="31">
          <cell r="A31">
            <v>36431</v>
          </cell>
          <cell r="B31">
            <v>2536440.2374048326</v>
          </cell>
          <cell r="C31">
            <v>1937840.3413772918</v>
          </cell>
        </row>
        <row r="32">
          <cell r="A32">
            <v>36432</v>
          </cell>
          <cell r="B32">
            <v>2536440.2374048326</v>
          </cell>
          <cell r="C32">
            <v>1937840.3413772918</v>
          </cell>
        </row>
        <row r="33">
          <cell r="A33">
            <v>36433</v>
          </cell>
          <cell r="B33">
            <v>2536440.2374048326</v>
          </cell>
          <cell r="C33">
            <v>1937840.3413772918</v>
          </cell>
        </row>
        <row r="34">
          <cell r="A34">
            <v>36434</v>
          </cell>
          <cell r="B34">
            <v>2577023.28120331</v>
          </cell>
          <cell r="C34">
            <v>1958131.8632765308</v>
          </cell>
        </row>
        <row r="35">
          <cell r="A35">
            <v>36435</v>
          </cell>
          <cell r="B35">
            <v>2577023.28120331</v>
          </cell>
          <cell r="C35">
            <v>1958131.8632765308</v>
          </cell>
        </row>
        <row r="36">
          <cell r="A36">
            <v>36436</v>
          </cell>
          <cell r="B36">
            <v>2577023.28120331</v>
          </cell>
          <cell r="C36">
            <v>1958131.8632765308</v>
          </cell>
        </row>
        <row r="37">
          <cell r="A37">
            <v>36437</v>
          </cell>
          <cell r="B37">
            <v>2577023.28120331</v>
          </cell>
          <cell r="C37">
            <v>1958131.8632765308</v>
          </cell>
        </row>
        <row r="38">
          <cell r="A38">
            <v>36438</v>
          </cell>
          <cell r="B38">
            <v>2577023.28120331</v>
          </cell>
          <cell r="C38">
            <v>1958131.8632765308</v>
          </cell>
        </row>
        <row r="39">
          <cell r="A39">
            <v>36439</v>
          </cell>
          <cell r="B39">
            <v>2577023.28120331</v>
          </cell>
          <cell r="C39">
            <v>1958131.8632765308</v>
          </cell>
        </row>
        <row r="40">
          <cell r="A40">
            <v>36440</v>
          </cell>
          <cell r="B40">
            <v>2577023.28120331</v>
          </cell>
          <cell r="C40">
            <v>1958131.8632765308</v>
          </cell>
        </row>
        <row r="41">
          <cell r="A41">
            <v>36441</v>
          </cell>
          <cell r="B41">
            <v>2577023.28120331</v>
          </cell>
          <cell r="C41">
            <v>1958131.8632765308</v>
          </cell>
        </row>
        <row r="42">
          <cell r="A42">
            <v>36442</v>
          </cell>
          <cell r="B42">
            <v>2658189.3688002643</v>
          </cell>
          <cell r="C42">
            <v>1958131.8632765308</v>
          </cell>
        </row>
        <row r="43">
          <cell r="A43">
            <v>36443</v>
          </cell>
          <cell r="B43">
            <v>2658189.3688002643</v>
          </cell>
          <cell r="C43">
            <v>1958131.8632765308</v>
          </cell>
        </row>
        <row r="44">
          <cell r="A44">
            <v>36444</v>
          </cell>
          <cell r="B44">
            <v>2658189.3688002643</v>
          </cell>
          <cell r="C44">
            <v>1958131.8632765308</v>
          </cell>
        </row>
        <row r="45">
          <cell r="A45">
            <v>36445</v>
          </cell>
          <cell r="B45">
            <v>2658189.3688002643</v>
          </cell>
          <cell r="C45">
            <v>1958131.8632765308</v>
          </cell>
        </row>
        <row r="46">
          <cell r="A46">
            <v>36446</v>
          </cell>
          <cell r="B46">
            <v>2658189.3688002643</v>
          </cell>
          <cell r="C46">
            <v>1958131.8632765308</v>
          </cell>
        </row>
        <row r="47">
          <cell r="A47">
            <v>36447</v>
          </cell>
          <cell r="B47">
            <v>2658189.3688002643</v>
          </cell>
          <cell r="C47">
            <v>1958131.8632765308</v>
          </cell>
        </row>
        <row r="48">
          <cell r="A48">
            <v>36448</v>
          </cell>
          <cell r="B48">
            <v>2658189.3688002643</v>
          </cell>
          <cell r="C48">
            <v>1958131.8632765308</v>
          </cell>
        </row>
        <row r="49">
          <cell r="A49">
            <v>36449</v>
          </cell>
          <cell r="B49">
            <v>2658189.3688002643</v>
          </cell>
          <cell r="C49">
            <v>1958131.8632765308</v>
          </cell>
        </row>
        <row r="50">
          <cell r="A50">
            <v>36450</v>
          </cell>
          <cell r="B50">
            <v>2658189.3688002643</v>
          </cell>
          <cell r="C50">
            <v>1958131.8632765308</v>
          </cell>
        </row>
        <row r="51">
          <cell r="A51">
            <v>36451</v>
          </cell>
          <cell r="B51">
            <v>2658189.3688002643</v>
          </cell>
          <cell r="C51">
            <v>1958131.8632765308</v>
          </cell>
        </row>
        <row r="52">
          <cell r="A52">
            <v>36452</v>
          </cell>
          <cell r="B52">
            <v>2658189.3688002643</v>
          </cell>
          <cell r="C52">
            <v>1958131.8632765308</v>
          </cell>
        </row>
        <row r="53">
          <cell r="A53">
            <v>36453</v>
          </cell>
          <cell r="B53">
            <v>2658189.3688002643</v>
          </cell>
          <cell r="C53">
            <v>1958131.8632765308</v>
          </cell>
        </row>
        <row r="54">
          <cell r="A54">
            <v>36454</v>
          </cell>
          <cell r="B54">
            <v>2658189.3688002643</v>
          </cell>
          <cell r="C54">
            <v>1958131.8632765308</v>
          </cell>
        </row>
        <row r="55">
          <cell r="A55">
            <v>36455</v>
          </cell>
          <cell r="B55">
            <v>2658189.3688002643</v>
          </cell>
          <cell r="C55">
            <v>1958131.8632765308</v>
          </cell>
        </row>
        <row r="56">
          <cell r="A56">
            <v>36456</v>
          </cell>
          <cell r="B56">
            <v>2658189.3688002643</v>
          </cell>
          <cell r="C56">
            <v>1958131.8632765308</v>
          </cell>
        </row>
        <row r="57">
          <cell r="A57">
            <v>36457</v>
          </cell>
          <cell r="B57">
            <v>2658189.3688002643</v>
          </cell>
          <cell r="C57">
            <v>1958131.8632765308</v>
          </cell>
        </row>
        <row r="58">
          <cell r="A58">
            <v>36458</v>
          </cell>
          <cell r="B58">
            <v>2658189.3688002643</v>
          </cell>
          <cell r="C58">
            <v>1958131.8632765308</v>
          </cell>
        </row>
        <row r="59">
          <cell r="A59">
            <v>36459</v>
          </cell>
          <cell r="B59">
            <v>2658189.3688002643</v>
          </cell>
          <cell r="C59">
            <v>1958131.8632765308</v>
          </cell>
        </row>
        <row r="60">
          <cell r="A60">
            <v>36460</v>
          </cell>
          <cell r="B60">
            <v>2658189.3688002643</v>
          </cell>
          <cell r="C60">
            <v>1958131.8632765308</v>
          </cell>
        </row>
        <row r="61">
          <cell r="A61">
            <v>36461</v>
          </cell>
          <cell r="B61">
            <v>2658189.3688002643</v>
          </cell>
          <cell r="C61">
            <v>1958131.8632765308</v>
          </cell>
        </row>
        <row r="62">
          <cell r="A62">
            <v>36462</v>
          </cell>
          <cell r="B62">
            <v>2658189.3688002643</v>
          </cell>
          <cell r="C62">
            <v>1958131.8632765308</v>
          </cell>
        </row>
        <row r="63">
          <cell r="A63">
            <v>36463</v>
          </cell>
          <cell r="B63">
            <v>2658189.3688002643</v>
          </cell>
          <cell r="C63">
            <v>1958131.8632765308</v>
          </cell>
        </row>
        <row r="64">
          <cell r="A64">
            <v>36464</v>
          </cell>
          <cell r="B64">
            <v>2658189.3688002643</v>
          </cell>
          <cell r="C64">
            <v>1958131.8632765308</v>
          </cell>
        </row>
        <row r="65">
          <cell r="A65">
            <v>36465</v>
          </cell>
          <cell r="B65">
            <v>2759646.9782964578</v>
          </cell>
          <cell r="C65">
            <v>1775508.1661833827</v>
          </cell>
        </row>
        <row r="66">
          <cell r="A66">
            <v>36466</v>
          </cell>
          <cell r="B66">
            <v>2759646.9782964578</v>
          </cell>
          <cell r="C66">
            <v>1775508.1661833827</v>
          </cell>
        </row>
        <row r="67">
          <cell r="A67">
            <v>36467</v>
          </cell>
          <cell r="B67">
            <v>2759646.9782964578</v>
          </cell>
          <cell r="C67">
            <v>1775508.1661833827</v>
          </cell>
        </row>
        <row r="68">
          <cell r="A68">
            <v>36468</v>
          </cell>
          <cell r="B68">
            <v>2759646.9782964578</v>
          </cell>
          <cell r="C68">
            <v>1750143.7638093345</v>
          </cell>
        </row>
        <row r="69">
          <cell r="A69">
            <v>36469</v>
          </cell>
          <cell r="B69">
            <v>2759646.9782964578</v>
          </cell>
          <cell r="C69">
            <v>1750143.7638093345</v>
          </cell>
        </row>
        <row r="70">
          <cell r="A70">
            <v>36470</v>
          </cell>
          <cell r="B70">
            <v>2759646.9782964578</v>
          </cell>
          <cell r="C70">
            <v>1775508.1661833827</v>
          </cell>
          <cell r="E70" t="str">
            <v>PGE California Malin Restriction</v>
          </cell>
        </row>
        <row r="71">
          <cell r="A71">
            <v>36471</v>
          </cell>
          <cell r="B71">
            <v>2759646.9782964578</v>
          </cell>
          <cell r="C71">
            <v>1775508.1661833827</v>
          </cell>
        </row>
        <row r="72">
          <cell r="A72">
            <v>36472</v>
          </cell>
          <cell r="B72">
            <v>2759646.9782964578</v>
          </cell>
          <cell r="C72">
            <v>1750143.7638093345</v>
          </cell>
        </row>
        <row r="73">
          <cell r="A73">
            <v>36473</v>
          </cell>
          <cell r="B73">
            <v>2759646.9782964578</v>
          </cell>
          <cell r="C73">
            <v>1775508.1661833827</v>
          </cell>
        </row>
        <row r="74">
          <cell r="A74">
            <v>36474</v>
          </cell>
          <cell r="B74">
            <v>2759646.9782964578</v>
          </cell>
          <cell r="C74">
            <v>1826236.9709314792</v>
          </cell>
        </row>
        <row r="75">
          <cell r="A75">
            <v>36475</v>
          </cell>
          <cell r="B75">
            <v>2759646.9782964578</v>
          </cell>
          <cell r="C75">
            <v>1887111.5366291953</v>
          </cell>
        </row>
        <row r="76">
          <cell r="A76">
            <v>36476</v>
          </cell>
          <cell r="B76">
            <v>2759646.9782964578</v>
          </cell>
          <cell r="C76">
            <v>1887111.5366291953</v>
          </cell>
        </row>
        <row r="77">
          <cell r="A77">
            <v>36477</v>
          </cell>
          <cell r="B77">
            <v>2759646.9782964578</v>
          </cell>
          <cell r="C77">
            <v>1887111.5366291953</v>
          </cell>
        </row>
        <row r="78">
          <cell r="A78">
            <v>36478</v>
          </cell>
          <cell r="B78">
            <v>2759646.9782964578</v>
          </cell>
          <cell r="C78">
            <v>1887111.5366291953</v>
          </cell>
        </row>
        <row r="79">
          <cell r="A79">
            <v>36479</v>
          </cell>
          <cell r="B79">
            <v>2759646.9782964578</v>
          </cell>
          <cell r="C79">
            <v>1887111.5366291953</v>
          </cell>
        </row>
        <row r="80">
          <cell r="A80">
            <v>36480</v>
          </cell>
          <cell r="B80">
            <v>2759646.9782964578</v>
          </cell>
          <cell r="C80">
            <v>1887111.5366291953</v>
          </cell>
        </row>
        <row r="81">
          <cell r="A81">
            <v>36481</v>
          </cell>
          <cell r="B81">
            <v>2759646.9782964578</v>
          </cell>
          <cell r="C81">
            <v>1887111.5366291953</v>
          </cell>
        </row>
        <row r="82">
          <cell r="A82">
            <v>36482</v>
          </cell>
          <cell r="B82">
            <v>2759646.9782964578</v>
          </cell>
          <cell r="C82">
            <v>1887111.5366291953</v>
          </cell>
        </row>
        <row r="83">
          <cell r="A83">
            <v>36483</v>
          </cell>
          <cell r="B83">
            <v>2759646.9782964578</v>
          </cell>
          <cell r="C83">
            <v>1887111.5366291953</v>
          </cell>
        </row>
        <row r="84">
          <cell r="A84">
            <v>36484</v>
          </cell>
          <cell r="B84">
            <v>2759646.9782964578</v>
          </cell>
          <cell r="C84">
            <v>1836382.7318810986</v>
          </cell>
          <cell r="D84" t="str">
            <v>Unscheduled Maintenance at Station 14</v>
          </cell>
        </row>
        <row r="85">
          <cell r="A85">
            <v>36485</v>
          </cell>
          <cell r="B85">
            <v>2759646.9782964578</v>
          </cell>
          <cell r="C85">
            <v>1861747.1342551471</v>
          </cell>
        </row>
        <row r="86">
          <cell r="A86">
            <v>36486</v>
          </cell>
          <cell r="B86">
            <v>2759646.9782964578</v>
          </cell>
          <cell r="C86">
            <v>1887111.5366291953</v>
          </cell>
        </row>
        <row r="87">
          <cell r="A87">
            <v>36487</v>
          </cell>
          <cell r="B87">
            <v>2759646.9782964578</v>
          </cell>
          <cell r="C87">
            <v>1887111.5366291953</v>
          </cell>
        </row>
        <row r="88">
          <cell r="A88">
            <v>36488</v>
          </cell>
          <cell r="B88">
            <v>2759646.9782964578</v>
          </cell>
          <cell r="C88">
            <v>1887111.5366291953</v>
          </cell>
        </row>
        <row r="89">
          <cell r="A89">
            <v>36489</v>
          </cell>
          <cell r="B89">
            <v>2759646.9782964578</v>
          </cell>
          <cell r="C89">
            <v>1887111.5366291953</v>
          </cell>
        </row>
        <row r="90">
          <cell r="A90">
            <v>36490</v>
          </cell>
          <cell r="B90">
            <v>2759646.9782964578</v>
          </cell>
          <cell r="C90">
            <v>1887111.5366291953</v>
          </cell>
        </row>
        <row r="91">
          <cell r="A91">
            <v>36491</v>
          </cell>
          <cell r="B91">
            <v>2759646.9782964578</v>
          </cell>
          <cell r="C91">
            <v>1887111.5366291953</v>
          </cell>
        </row>
        <row r="92">
          <cell r="A92">
            <v>36492</v>
          </cell>
          <cell r="B92">
            <v>2759646.9782964578</v>
          </cell>
          <cell r="C92">
            <v>1887111.5366291953</v>
          </cell>
        </row>
        <row r="93">
          <cell r="A93">
            <v>36493</v>
          </cell>
          <cell r="B93">
            <v>2759646.9782964578</v>
          </cell>
          <cell r="C93">
            <v>1887111.5366291953</v>
          </cell>
        </row>
        <row r="94">
          <cell r="A94">
            <v>36494</v>
          </cell>
          <cell r="B94">
            <v>2759646.9782964578</v>
          </cell>
          <cell r="C94">
            <v>1887111.5366291953</v>
          </cell>
        </row>
        <row r="95">
          <cell r="A95">
            <v>36495</v>
          </cell>
          <cell r="B95">
            <v>2759646.9782964578</v>
          </cell>
          <cell r="C95">
            <v>1770435.2857085732</v>
          </cell>
        </row>
        <row r="96">
          <cell r="A96">
            <v>36496</v>
          </cell>
          <cell r="B96">
            <v>2759646.9782964578</v>
          </cell>
          <cell r="C96">
            <v>1770435.2857085732</v>
          </cell>
        </row>
        <row r="97">
          <cell r="A97">
            <v>36497</v>
          </cell>
          <cell r="B97">
            <v>2759646.9782964578</v>
          </cell>
          <cell r="C97">
            <v>1770435.2857085732</v>
          </cell>
        </row>
        <row r="98">
          <cell r="A98">
            <v>36498</v>
          </cell>
          <cell r="B98">
            <v>2759646.9782964578</v>
          </cell>
          <cell r="C98">
            <v>1770435.2857085732</v>
          </cell>
        </row>
        <row r="99">
          <cell r="A99">
            <v>36499</v>
          </cell>
          <cell r="B99">
            <v>2759646.9782964578</v>
          </cell>
          <cell r="C99">
            <v>1770435.2857085732</v>
          </cell>
        </row>
        <row r="100">
          <cell r="A100">
            <v>36500</v>
          </cell>
          <cell r="B100">
            <v>2759646.9782964578</v>
          </cell>
          <cell r="C100">
            <v>1770435.2857085732</v>
          </cell>
          <cell r="E100" t="str">
            <v>PGE California Restriction</v>
          </cell>
        </row>
        <row r="101">
          <cell r="A101">
            <v>36501</v>
          </cell>
          <cell r="B101">
            <v>2759646.9782964578</v>
          </cell>
          <cell r="C101">
            <v>1770435.2857085732</v>
          </cell>
        </row>
        <row r="102">
          <cell r="A102">
            <v>36502</v>
          </cell>
          <cell r="B102">
            <v>2759646.9782964578</v>
          </cell>
          <cell r="C102">
            <v>1770435.2857085732</v>
          </cell>
        </row>
        <row r="103">
          <cell r="A103">
            <v>36503</v>
          </cell>
          <cell r="B103">
            <v>2759646.9782964578</v>
          </cell>
          <cell r="C103">
            <v>1770435.2857085732</v>
          </cell>
        </row>
        <row r="104">
          <cell r="A104">
            <v>36504</v>
          </cell>
          <cell r="B104">
            <v>2759646.9782964578</v>
          </cell>
          <cell r="C104">
            <v>1770435.2857085732</v>
          </cell>
        </row>
        <row r="105">
          <cell r="A105">
            <v>36505</v>
          </cell>
          <cell r="B105">
            <v>2759646.9782964578</v>
          </cell>
          <cell r="C105">
            <v>1770435.2857085732</v>
          </cell>
        </row>
        <row r="106">
          <cell r="A106">
            <v>36506</v>
          </cell>
          <cell r="B106">
            <v>2759646.9782964578</v>
          </cell>
          <cell r="C106">
            <v>1770435.2857085732</v>
          </cell>
        </row>
        <row r="107">
          <cell r="A107">
            <v>36507</v>
          </cell>
          <cell r="B107">
            <v>2759646.9782964578</v>
          </cell>
          <cell r="C107">
            <v>1887111.5366291953</v>
          </cell>
        </row>
        <row r="108">
          <cell r="A108">
            <v>36508</v>
          </cell>
          <cell r="B108">
            <v>2759646.9782964578</v>
          </cell>
          <cell r="C108">
            <v>1887111.5366291953</v>
          </cell>
        </row>
        <row r="109">
          <cell r="A109">
            <v>36509</v>
          </cell>
          <cell r="B109">
            <v>2759646.9782964578</v>
          </cell>
          <cell r="C109">
            <v>1887111.5366291953</v>
          </cell>
        </row>
        <row r="110">
          <cell r="A110">
            <v>36510</v>
          </cell>
          <cell r="B110">
            <v>2759646.9782964578</v>
          </cell>
          <cell r="C110">
            <v>1887111.5366291953</v>
          </cell>
        </row>
        <row r="111">
          <cell r="A111">
            <v>36511</v>
          </cell>
          <cell r="B111">
            <v>2759646.9782964578</v>
          </cell>
          <cell r="C111">
            <v>1887111.5366291953</v>
          </cell>
        </row>
        <row r="112">
          <cell r="A112">
            <v>36512</v>
          </cell>
          <cell r="B112">
            <v>2759646.9782964578</v>
          </cell>
          <cell r="C112">
            <v>1887111.5366291953</v>
          </cell>
        </row>
        <row r="113">
          <cell r="A113">
            <v>36513</v>
          </cell>
          <cell r="B113">
            <v>2759646.9782964578</v>
          </cell>
          <cell r="C113">
            <v>1887111.5366291953</v>
          </cell>
        </row>
        <row r="114">
          <cell r="A114">
            <v>36514</v>
          </cell>
          <cell r="B114">
            <v>2759646.9782964578</v>
          </cell>
          <cell r="C114">
            <v>1887111.5366291953</v>
          </cell>
        </row>
        <row r="115">
          <cell r="A115">
            <v>36515</v>
          </cell>
          <cell r="B115">
            <v>2759646.9782964578</v>
          </cell>
          <cell r="C115">
            <v>1887111.5366291953</v>
          </cell>
        </row>
        <row r="116">
          <cell r="A116">
            <v>36516</v>
          </cell>
          <cell r="B116">
            <v>2759646.9782964578</v>
          </cell>
          <cell r="C116">
            <v>1887111.5366291953</v>
          </cell>
        </row>
        <row r="117">
          <cell r="A117">
            <v>36517</v>
          </cell>
          <cell r="B117">
            <v>2759646.9782964578</v>
          </cell>
          <cell r="C117">
            <v>1887111.5366291953</v>
          </cell>
        </row>
        <row r="118">
          <cell r="A118">
            <v>36518</v>
          </cell>
          <cell r="B118">
            <v>2759646.9782964578</v>
          </cell>
          <cell r="C118">
            <v>1887111.5366291953</v>
          </cell>
        </row>
        <row r="119">
          <cell r="A119">
            <v>36519</v>
          </cell>
          <cell r="B119">
            <v>2759646.9782964578</v>
          </cell>
          <cell r="C119">
            <v>1887111.5366291953</v>
          </cell>
        </row>
        <row r="120">
          <cell r="A120">
            <v>36520</v>
          </cell>
          <cell r="B120">
            <v>2759646.9782964578</v>
          </cell>
          <cell r="C120">
            <v>1887111.5366291953</v>
          </cell>
        </row>
        <row r="121">
          <cell r="A121">
            <v>36521</v>
          </cell>
          <cell r="B121">
            <v>2759646.9782964578</v>
          </cell>
          <cell r="C121">
            <v>1887111.5366291953</v>
          </cell>
        </row>
        <row r="122">
          <cell r="A122">
            <v>36522</v>
          </cell>
          <cell r="B122">
            <v>2759646.9782964578</v>
          </cell>
          <cell r="C122">
            <v>1887111.5366291953</v>
          </cell>
        </row>
        <row r="123">
          <cell r="A123">
            <v>36523</v>
          </cell>
          <cell r="B123">
            <v>2759646.9782964578</v>
          </cell>
          <cell r="C123">
            <v>1887111.5366291953</v>
          </cell>
        </row>
        <row r="124">
          <cell r="A124">
            <v>36524</v>
          </cell>
          <cell r="B124">
            <v>2759646.9782964578</v>
          </cell>
          <cell r="C124">
            <v>1887111.5366291953</v>
          </cell>
        </row>
        <row r="125">
          <cell r="A125">
            <v>36525</v>
          </cell>
          <cell r="B125">
            <v>2759646.9782964578</v>
          </cell>
          <cell r="C125">
            <v>1887111.5366291953</v>
          </cell>
        </row>
        <row r="126">
          <cell r="A126">
            <v>36526</v>
          </cell>
          <cell r="B126">
            <v>2759646.9782964578</v>
          </cell>
          <cell r="C126">
            <v>1887111.5366291953</v>
          </cell>
        </row>
        <row r="127">
          <cell r="A127">
            <v>36527</v>
          </cell>
          <cell r="B127">
            <v>2759646.9782964578</v>
          </cell>
          <cell r="C127">
            <v>1887111.5366291953</v>
          </cell>
        </row>
        <row r="128">
          <cell r="A128">
            <v>36528</v>
          </cell>
          <cell r="B128">
            <v>2759646.9782964578</v>
          </cell>
          <cell r="C128">
            <v>1887111.5366291953</v>
          </cell>
        </row>
        <row r="129">
          <cell r="A129">
            <v>36529</v>
          </cell>
          <cell r="B129">
            <v>2759646.9782964578</v>
          </cell>
          <cell r="C129">
            <v>1887111.5366291953</v>
          </cell>
        </row>
        <row r="130">
          <cell r="A130">
            <v>36530</v>
          </cell>
          <cell r="B130">
            <v>2759646.9782964578</v>
          </cell>
          <cell r="C130">
            <v>1887111.5366291953</v>
          </cell>
        </row>
        <row r="131">
          <cell r="A131">
            <v>36531</v>
          </cell>
          <cell r="B131">
            <v>2759646.9782964578</v>
          </cell>
          <cell r="C131">
            <v>1887111.5366291953</v>
          </cell>
        </row>
        <row r="132">
          <cell r="A132">
            <v>36532</v>
          </cell>
          <cell r="B132">
            <v>2759646.9782964578</v>
          </cell>
          <cell r="C132">
            <v>1887111.5366291953</v>
          </cell>
        </row>
        <row r="133">
          <cell r="A133">
            <v>36533</v>
          </cell>
          <cell r="B133">
            <v>2759646.9782964578</v>
          </cell>
          <cell r="C133">
            <v>1887111.5366291953</v>
          </cell>
        </row>
        <row r="134">
          <cell r="A134">
            <v>36534</v>
          </cell>
          <cell r="B134">
            <v>2759646.9782964578</v>
          </cell>
          <cell r="C134">
            <v>1887111.5366291953</v>
          </cell>
        </row>
        <row r="135">
          <cell r="A135">
            <v>36535</v>
          </cell>
          <cell r="B135">
            <v>2759646.9782964578</v>
          </cell>
          <cell r="C135">
            <v>1887111.5366291953</v>
          </cell>
        </row>
        <row r="136">
          <cell r="A136">
            <v>36536</v>
          </cell>
          <cell r="B136">
            <v>2759646.9782964578</v>
          </cell>
          <cell r="C136">
            <v>1887111.5366291953</v>
          </cell>
        </row>
        <row r="137">
          <cell r="A137">
            <v>36537</v>
          </cell>
          <cell r="B137">
            <v>2759646.9782964578</v>
          </cell>
          <cell r="C137">
            <v>1887111.5366291953</v>
          </cell>
        </row>
        <row r="138">
          <cell r="A138">
            <v>36538</v>
          </cell>
          <cell r="B138">
            <v>2759646.9782964578</v>
          </cell>
          <cell r="C138">
            <v>1887111.5366291953</v>
          </cell>
        </row>
        <row r="139">
          <cell r="A139">
            <v>36539</v>
          </cell>
          <cell r="B139">
            <v>2759646.9782964578</v>
          </cell>
          <cell r="C139">
            <v>1887111.5366291953</v>
          </cell>
        </row>
        <row r="140">
          <cell r="A140">
            <v>36540</v>
          </cell>
          <cell r="B140">
            <v>2759646.9782964578</v>
          </cell>
          <cell r="C140">
            <v>1887111.5366291953</v>
          </cell>
        </row>
        <row r="141">
          <cell r="A141">
            <v>36541</v>
          </cell>
          <cell r="B141">
            <v>2759646.9782964578</v>
          </cell>
          <cell r="C141">
            <v>1887111.5366291953</v>
          </cell>
        </row>
        <row r="142">
          <cell r="A142">
            <v>36542</v>
          </cell>
          <cell r="B142">
            <v>2759646.9782964578</v>
          </cell>
          <cell r="C142">
            <v>1887111.5366291953</v>
          </cell>
        </row>
        <row r="143">
          <cell r="A143">
            <v>36543</v>
          </cell>
          <cell r="B143">
            <v>2759646.9782964578</v>
          </cell>
          <cell r="C143">
            <v>1887111.5366291953</v>
          </cell>
        </row>
        <row r="144">
          <cell r="A144">
            <v>36544</v>
          </cell>
          <cell r="B144">
            <v>2759646.9782964578</v>
          </cell>
          <cell r="C144">
            <v>1887111.5366291953</v>
          </cell>
        </row>
        <row r="145">
          <cell r="A145">
            <v>36545</v>
          </cell>
          <cell r="B145">
            <v>2759646.9782964578</v>
          </cell>
          <cell r="C145">
            <v>1887111.5366291953</v>
          </cell>
        </row>
        <row r="146">
          <cell r="A146">
            <v>36546</v>
          </cell>
          <cell r="B146">
            <v>2759646.9782964578</v>
          </cell>
          <cell r="C146">
            <v>1887111.5366291953</v>
          </cell>
        </row>
        <row r="147">
          <cell r="A147">
            <v>36547</v>
          </cell>
          <cell r="B147">
            <v>2759646.9782964578</v>
          </cell>
          <cell r="C147">
            <v>1887111.5366291953</v>
          </cell>
        </row>
        <row r="148">
          <cell r="A148">
            <v>36548</v>
          </cell>
          <cell r="B148">
            <v>2759646.9782964578</v>
          </cell>
          <cell r="C148">
            <v>1887111.5366291953</v>
          </cell>
        </row>
        <row r="149">
          <cell r="A149">
            <v>36549</v>
          </cell>
          <cell r="B149">
            <v>2759646.9782964578</v>
          </cell>
          <cell r="C149">
            <v>1887111.5366291953</v>
          </cell>
        </row>
        <row r="150">
          <cell r="A150">
            <v>36550</v>
          </cell>
          <cell r="B150">
            <v>2759646.9782964578</v>
          </cell>
          <cell r="C150">
            <v>1887111.5366291953</v>
          </cell>
        </row>
        <row r="151">
          <cell r="A151">
            <v>36551</v>
          </cell>
          <cell r="B151">
            <v>2759646.9782964578</v>
          </cell>
          <cell r="C151">
            <v>1887111.5366291953</v>
          </cell>
        </row>
        <row r="152">
          <cell r="A152">
            <v>36552</v>
          </cell>
          <cell r="B152">
            <v>2759646.9782964578</v>
          </cell>
          <cell r="C152">
            <v>1887111.5366291953</v>
          </cell>
        </row>
        <row r="153">
          <cell r="A153">
            <v>36553</v>
          </cell>
          <cell r="B153">
            <v>2759646.9782964578</v>
          </cell>
          <cell r="C153">
            <v>1887111.5366291953</v>
          </cell>
        </row>
        <row r="154">
          <cell r="A154">
            <v>36554</v>
          </cell>
          <cell r="B154">
            <v>2759646.9782964578</v>
          </cell>
          <cell r="C154">
            <v>1887111.5366291953</v>
          </cell>
        </row>
        <row r="155">
          <cell r="A155">
            <v>36555</v>
          </cell>
          <cell r="B155">
            <v>2759646.9782964578</v>
          </cell>
          <cell r="C155">
            <v>1887111.5366291953</v>
          </cell>
        </row>
        <row r="156">
          <cell r="A156">
            <v>36556</v>
          </cell>
          <cell r="B156">
            <v>2759646.9782964578</v>
          </cell>
          <cell r="C156">
            <v>1887111.5366291953</v>
          </cell>
        </row>
        <row r="157">
          <cell r="A157">
            <v>36557</v>
          </cell>
          <cell r="B157">
            <v>2759646.9782964578</v>
          </cell>
          <cell r="C157">
            <v>1887111.5366291953</v>
          </cell>
        </row>
        <row r="158">
          <cell r="A158">
            <v>36558</v>
          </cell>
          <cell r="B158">
            <v>2759646.9782964578</v>
          </cell>
          <cell r="C158">
            <v>1887111.5366291953</v>
          </cell>
        </row>
        <row r="159">
          <cell r="A159">
            <v>36559</v>
          </cell>
          <cell r="B159">
            <v>2759646.9782964578</v>
          </cell>
          <cell r="C159">
            <v>1887111.5366291953</v>
          </cell>
        </row>
        <row r="160">
          <cell r="A160">
            <v>36560</v>
          </cell>
          <cell r="B160">
            <v>2759646.9782964578</v>
          </cell>
          <cell r="C160">
            <v>1887111.5366291953</v>
          </cell>
        </row>
        <row r="161">
          <cell r="A161">
            <v>36561</v>
          </cell>
          <cell r="B161">
            <v>2759646.9782964578</v>
          </cell>
          <cell r="C161">
            <v>1887111.5366291953</v>
          </cell>
        </row>
        <row r="162">
          <cell r="A162">
            <v>36562</v>
          </cell>
          <cell r="B162">
            <v>2759646.9782964578</v>
          </cell>
          <cell r="C162">
            <v>1887111.5366291953</v>
          </cell>
        </row>
        <row r="163">
          <cell r="A163">
            <v>36563</v>
          </cell>
          <cell r="B163">
            <v>2759646.9782964578</v>
          </cell>
          <cell r="C163">
            <v>1887111.5366291953</v>
          </cell>
        </row>
        <row r="164">
          <cell r="A164">
            <v>36564</v>
          </cell>
          <cell r="B164">
            <v>2759646.9782964578</v>
          </cell>
          <cell r="C164">
            <v>1887111.5366291953</v>
          </cell>
        </row>
        <row r="165">
          <cell r="A165">
            <v>36565</v>
          </cell>
          <cell r="B165">
            <v>2759646.9782964578</v>
          </cell>
          <cell r="C165">
            <v>1887111.5366291953</v>
          </cell>
        </row>
        <row r="166">
          <cell r="A166">
            <v>36566</v>
          </cell>
          <cell r="B166">
            <v>2759646.9782964578</v>
          </cell>
          <cell r="C166">
            <v>1887111.5366291953</v>
          </cell>
        </row>
        <row r="167">
          <cell r="A167">
            <v>36567</v>
          </cell>
          <cell r="B167">
            <v>2759646.9782964578</v>
          </cell>
          <cell r="C167">
            <v>1887111.5366291953</v>
          </cell>
        </row>
        <row r="168">
          <cell r="A168">
            <v>36568</v>
          </cell>
          <cell r="B168">
            <v>2759646.9782964578</v>
          </cell>
          <cell r="C168">
            <v>1887111.5366291953</v>
          </cell>
        </row>
        <row r="169">
          <cell r="A169">
            <v>36569</v>
          </cell>
          <cell r="B169">
            <v>2759646.9782964578</v>
          </cell>
          <cell r="C169">
            <v>1887111.5366291953</v>
          </cell>
        </row>
        <row r="170">
          <cell r="A170">
            <v>36570</v>
          </cell>
          <cell r="B170">
            <v>2759646.9782964578</v>
          </cell>
          <cell r="C170">
            <v>1887111.5366291953</v>
          </cell>
        </row>
        <row r="171">
          <cell r="A171">
            <v>36571</v>
          </cell>
          <cell r="B171">
            <v>2759646.9782964578</v>
          </cell>
          <cell r="C171">
            <v>1887111.5366291953</v>
          </cell>
        </row>
        <row r="172">
          <cell r="A172">
            <v>36572</v>
          </cell>
          <cell r="B172">
            <v>2759646.9782964578</v>
          </cell>
          <cell r="C172">
            <v>1887111.5366291953</v>
          </cell>
        </row>
        <row r="173">
          <cell r="A173">
            <v>36573</v>
          </cell>
          <cell r="B173">
            <v>2759646.9782964578</v>
          </cell>
          <cell r="C173">
            <v>1887111.5366291953</v>
          </cell>
        </row>
        <row r="174">
          <cell r="A174">
            <v>36574</v>
          </cell>
          <cell r="B174">
            <v>2759646.9782964578</v>
          </cell>
          <cell r="C174">
            <v>1887111.5366291953</v>
          </cell>
        </row>
        <row r="175">
          <cell r="A175">
            <v>36575</v>
          </cell>
          <cell r="B175">
            <v>2759646.9782964578</v>
          </cell>
          <cell r="C175">
            <v>1887111.5366291953</v>
          </cell>
        </row>
        <row r="176">
          <cell r="A176">
            <v>36576</v>
          </cell>
          <cell r="B176">
            <v>2759646.9782964578</v>
          </cell>
          <cell r="C176">
            <v>1887111.5366291953</v>
          </cell>
        </row>
        <row r="177">
          <cell r="A177">
            <v>36577</v>
          </cell>
          <cell r="B177">
            <v>2759646.9782964578</v>
          </cell>
          <cell r="C177">
            <v>1887111.5366291953</v>
          </cell>
        </row>
        <row r="178">
          <cell r="A178">
            <v>36578</v>
          </cell>
          <cell r="B178">
            <v>2759646.9782964578</v>
          </cell>
          <cell r="C178">
            <v>1887111.5366291953</v>
          </cell>
        </row>
        <row r="179">
          <cell r="A179">
            <v>36579</v>
          </cell>
          <cell r="B179">
            <v>2759646.9782964578</v>
          </cell>
          <cell r="C179">
            <v>1887111.5366291953</v>
          </cell>
        </row>
        <row r="180">
          <cell r="A180">
            <v>36580</v>
          </cell>
          <cell r="B180">
            <v>2759646.9782964578</v>
          </cell>
          <cell r="C180">
            <v>1887111.5366291953</v>
          </cell>
        </row>
        <row r="181">
          <cell r="A181">
            <v>36581</v>
          </cell>
          <cell r="B181">
            <v>2759646.9782964578</v>
          </cell>
          <cell r="C181">
            <v>1887111.5366291953</v>
          </cell>
        </row>
        <row r="182">
          <cell r="A182">
            <v>36582</v>
          </cell>
          <cell r="B182">
            <v>2759646.9782964578</v>
          </cell>
          <cell r="C182">
            <v>1887111.5366291953</v>
          </cell>
        </row>
        <row r="183">
          <cell r="A183">
            <v>36583</v>
          </cell>
          <cell r="B183">
            <v>2759646.9782964578</v>
          </cell>
          <cell r="C183">
            <v>1887111.5366291953</v>
          </cell>
        </row>
        <row r="184">
          <cell r="A184">
            <v>36584</v>
          </cell>
          <cell r="B184">
            <v>2759646.9782964578</v>
          </cell>
          <cell r="C184">
            <v>1887111.5366291953</v>
          </cell>
        </row>
        <row r="185">
          <cell r="A185">
            <v>36585</v>
          </cell>
          <cell r="B185">
            <v>2759646.9782964578</v>
          </cell>
          <cell r="C185">
            <v>1887111.5366291953</v>
          </cell>
        </row>
        <row r="186">
          <cell r="A186">
            <v>36586</v>
          </cell>
          <cell r="B186">
            <v>2708918.1735483613</v>
          </cell>
          <cell r="C186">
            <v>1876965.775679576</v>
          </cell>
        </row>
        <row r="187">
          <cell r="A187">
            <v>36587</v>
          </cell>
          <cell r="B187">
            <v>2708918.1735483613</v>
          </cell>
          <cell r="C187">
            <v>1876965.775679576</v>
          </cell>
        </row>
        <row r="188">
          <cell r="A188">
            <v>36588</v>
          </cell>
          <cell r="B188">
            <v>2708918.1735483613</v>
          </cell>
          <cell r="C188">
            <v>1876965.775679576</v>
          </cell>
        </row>
        <row r="189">
          <cell r="A189">
            <v>36589</v>
          </cell>
          <cell r="B189">
            <v>2708918.1735483613</v>
          </cell>
          <cell r="C189">
            <v>1876965.775679576</v>
          </cell>
        </row>
        <row r="190">
          <cell r="A190">
            <v>36590</v>
          </cell>
          <cell r="B190">
            <v>2708918.1735483613</v>
          </cell>
          <cell r="C190">
            <v>1876965.775679576</v>
          </cell>
        </row>
        <row r="191">
          <cell r="A191">
            <v>36591</v>
          </cell>
          <cell r="B191">
            <v>2708918.1735483613</v>
          </cell>
          <cell r="C191">
            <v>1876965.775679576</v>
          </cell>
        </row>
        <row r="192">
          <cell r="A192">
            <v>36592</v>
          </cell>
          <cell r="B192">
            <v>2708918.1735483613</v>
          </cell>
          <cell r="C192">
            <v>1876965.775679576</v>
          </cell>
        </row>
        <row r="193">
          <cell r="A193">
            <v>36593</v>
          </cell>
          <cell r="B193">
            <v>2708918.1735483613</v>
          </cell>
          <cell r="C193">
            <v>1876965.775679576</v>
          </cell>
        </row>
        <row r="194">
          <cell r="A194">
            <v>36594</v>
          </cell>
          <cell r="B194">
            <v>2708918.1735483613</v>
          </cell>
          <cell r="C194">
            <v>1876965.775679576</v>
          </cell>
        </row>
        <row r="195">
          <cell r="A195">
            <v>36595</v>
          </cell>
          <cell r="B195">
            <v>2708918.1735483613</v>
          </cell>
          <cell r="C195">
            <v>1876965.775679576</v>
          </cell>
        </row>
        <row r="196">
          <cell r="A196">
            <v>36596</v>
          </cell>
          <cell r="B196">
            <v>2708918.1735483613</v>
          </cell>
          <cell r="C196">
            <v>1876965.775679576</v>
          </cell>
        </row>
        <row r="197">
          <cell r="A197">
            <v>36597</v>
          </cell>
          <cell r="B197">
            <v>2708918.1735483613</v>
          </cell>
          <cell r="C197">
            <v>1876965.775679576</v>
          </cell>
        </row>
        <row r="198">
          <cell r="A198">
            <v>36598</v>
          </cell>
          <cell r="B198">
            <v>2708918.1735483613</v>
          </cell>
          <cell r="C198">
            <v>1876965.775679576</v>
          </cell>
        </row>
        <row r="199">
          <cell r="A199">
            <v>36599</v>
          </cell>
          <cell r="B199">
            <v>2708918.1735483613</v>
          </cell>
          <cell r="C199">
            <v>1876965.775679576</v>
          </cell>
        </row>
        <row r="200">
          <cell r="A200">
            <v>36600</v>
          </cell>
          <cell r="B200">
            <v>2708918.1735483613</v>
          </cell>
          <cell r="C200">
            <v>1876965.775679576</v>
          </cell>
        </row>
        <row r="201">
          <cell r="A201">
            <v>36601</v>
          </cell>
          <cell r="B201">
            <v>2708918.1735483613</v>
          </cell>
          <cell r="C201">
            <v>1876965.775679576</v>
          </cell>
        </row>
        <row r="202">
          <cell r="A202">
            <v>36602</v>
          </cell>
          <cell r="B202">
            <v>2708918.1735483613</v>
          </cell>
          <cell r="C202">
            <v>1876965.775679576</v>
          </cell>
        </row>
        <row r="203">
          <cell r="A203">
            <v>36603</v>
          </cell>
          <cell r="B203">
            <v>2708918.1735483613</v>
          </cell>
          <cell r="C203">
            <v>1876965.775679576</v>
          </cell>
        </row>
        <row r="204">
          <cell r="A204">
            <v>36604</v>
          </cell>
          <cell r="B204">
            <v>2708918.1735483613</v>
          </cell>
          <cell r="C204">
            <v>1876965.775679576</v>
          </cell>
        </row>
        <row r="205">
          <cell r="A205">
            <v>36605</v>
          </cell>
          <cell r="B205">
            <v>2708918.1735483613</v>
          </cell>
          <cell r="C205">
            <v>1876965.775679576</v>
          </cell>
        </row>
        <row r="206">
          <cell r="A206">
            <v>36606</v>
          </cell>
          <cell r="B206">
            <v>2708918.1735483613</v>
          </cell>
          <cell r="C206">
            <v>1876965.775679576</v>
          </cell>
        </row>
        <row r="207">
          <cell r="A207">
            <v>36607</v>
          </cell>
          <cell r="B207">
            <v>2708918.1735483613</v>
          </cell>
          <cell r="C207">
            <v>1876965.775679576</v>
          </cell>
        </row>
        <row r="208">
          <cell r="A208">
            <v>36608</v>
          </cell>
          <cell r="B208">
            <v>2708918.1735483613</v>
          </cell>
          <cell r="C208">
            <v>1876965.775679576</v>
          </cell>
        </row>
        <row r="209">
          <cell r="A209">
            <v>36609</v>
          </cell>
          <cell r="B209">
            <v>2708918.1735483613</v>
          </cell>
          <cell r="C209">
            <v>1876965.775679576</v>
          </cell>
        </row>
        <row r="210">
          <cell r="A210">
            <v>36610</v>
          </cell>
          <cell r="B210">
            <v>2708918.1735483613</v>
          </cell>
          <cell r="C210">
            <v>1876965.775679576</v>
          </cell>
        </row>
        <row r="211">
          <cell r="A211">
            <v>36611</v>
          </cell>
          <cell r="B211">
            <v>2708918.1735483613</v>
          </cell>
          <cell r="C211">
            <v>1876965.775679576</v>
          </cell>
        </row>
        <row r="212">
          <cell r="A212">
            <v>36612</v>
          </cell>
          <cell r="B212">
            <v>2708918.1735483613</v>
          </cell>
          <cell r="C212">
            <v>1876965.775679576</v>
          </cell>
        </row>
        <row r="213">
          <cell r="A213">
            <v>36613</v>
          </cell>
          <cell r="B213">
            <v>2708918.1735483613</v>
          </cell>
          <cell r="C213">
            <v>1876965.775679576</v>
          </cell>
        </row>
        <row r="214">
          <cell r="A214">
            <v>36614</v>
          </cell>
          <cell r="B214">
            <v>2708918.1735483613</v>
          </cell>
          <cell r="C214">
            <v>1876965.775679576</v>
          </cell>
        </row>
        <row r="215">
          <cell r="A215">
            <v>36615</v>
          </cell>
          <cell r="B215">
            <v>2708918.1735483613</v>
          </cell>
          <cell r="C215">
            <v>1876965.775679576</v>
          </cell>
        </row>
        <row r="216">
          <cell r="A216">
            <v>36616</v>
          </cell>
          <cell r="B216">
            <v>2708918.1735483613</v>
          </cell>
          <cell r="C216">
            <v>1876965.775679576</v>
          </cell>
        </row>
      </sheetData>
      <sheetData sheetId="20"/>
      <sheetData sheetId="21"/>
      <sheetData sheetId="22"/>
      <sheetData sheetId="23"/>
      <sheetData sheetId="24">
        <row r="1">
          <cell r="B1">
            <v>2</v>
          </cell>
          <cell r="D1">
            <v>4</v>
          </cell>
          <cell r="F1">
            <v>6</v>
          </cell>
          <cell r="G1">
            <v>7</v>
          </cell>
          <cell r="H1">
            <v>8</v>
          </cell>
          <cell r="J1">
            <v>10</v>
          </cell>
          <cell r="K1">
            <v>11</v>
          </cell>
          <cell r="Q1">
            <v>17</v>
          </cell>
          <cell r="R1">
            <v>18</v>
          </cell>
          <cell r="T1">
            <v>20</v>
          </cell>
          <cell r="V1">
            <v>22</v>
          </cell>
          <cell r="W1">
            <v>23</v>
          </cell>
          <cell r="Y1">
            <v>25</v>
          </cell>
        </row>
        <row r="5">
          <cell r="A5">
            <v>35582</v>
          </cell>
          <cell r="B5">
            <v>878058.0625</v>
          </cell>
          <cell r="D5">
            <v>619644.4375</v>
          </cell>
          <cell r="E5" t="str">
            <v>N/A</v>
          </cell>
          <cell r="F5">
            <v>144083.28125</v>
          </cell>
          <cell r="G5">
            <v>322295.78125</v>
          </cell>
          <cell r="H5">
            <v>122698.84375</v>
          </cell>
          <cell r="I5">
            <v>365282.9375</v>
          </cell>
          <cell r="J5">
            <v>160695.78125</v>
          </cell>
          <cell r="K5">
            <v>81469.78125</v>
          </cell>
          <cell r="L5">
            <v>275932.34375</v>
          </cell>
          <cell r="M5">
            <v>13087646</v>
          </cell>
          <cell r="N5">
            <v>33420697</v>
          </cell>
          <cell r="O5">
            <v>2248617.866202998</v>
          </cell>
          <cell r="P5">
            <v>-213.72357723577238</v>
          </cell>
          <cell r="Q5">
            <v>-103696.58276168698</v>
          </cell>
          <cell r="R5">
            <v>-20825.34806910569</v>
          </cell>
          <cell r="S5">
            <v>-124521.93083079267</v>
          </cell>
          <cell r="T5">
            <v>-87.01171875</v>
          </cell>
          <cell r="U5">
            <v>440735.27194486785</v>
          </cell>
          <cell r="V5">
            <v>-5055.3130398882113</v>
          </cell>
          <cell r="W5">
            <v>-45039.194772611787</v>
          </cell>
          <cell r="X5">
            <v>0</v>
          </cell>
          <cell r="Y5">
            <v>-1795626.1552337396</v>
          </cell>
        </row>
        <row r="6">
          <cell r="A6">
            <v>35612</v>
          </cell>
          <cell r="B6">
            <v>855273.15151515149</v>
          </cell>
          <cell r="D6">
            <v>631175.54545454541</v>
          </cell>
          <cell r="E6" t="str">
            <v>N/A</v>
          </cell>
          <cell r="F6">
            <v>249571.66666666666</v>
          </cell>
          <cell r="G6">
            <v>335524.87878787878</v>
          </cell>
          <cell r="H6">
            <v>120558</v>
          </cell>
          <cell r="I6">
            <v>495732.48484848486</v>
          </cell>
          <cell r="J6">
            <v>289601.69696969696</v>
          </cell>
          <cell r="K6">
            <v>55992.727272727272</v>
          </cell>
          <cell r="L6">
            <v>268959.72727272729</v>
          </cell>
          <cell r="M6">
            <v>14342340</v>
          </cell>
          <cell r="N6">
            <v>32693117</v>
          </cell>
          <cell r="O6">
            <v>2286597.4723029332</v>
          </cell>
          <cell r="P6">
            <v>-784.6616065781152</v>
          </cell>
          <cell r="Q6">
            <v>-97677.97675521826</v>
          </cell>
          <cell r="R6">
            <v>-17960.670412318152</v>
          </cell>
          <cell r="S6">
            <v>-115638.64716753639</v>
          </cell>
          <cell r="T6">
            <v>-55001.486401012022</v>
          </cell>
          <cell r="U6">
            <v>453720.86446473753</v>
          </cell>
          <cell r="V6">
            <v>-473.11827956989248</v>
          </cell>
          <cell r="W6">
            <v>-63497.302068508863</v>
          </cell>
          <cell r="X6">
            <v>0</v>
          </cell>
          <cell r="Y6">
            <v>-1774499.3316631089</v>
          </cell>
        </row>
        <row r="7">
          <cell r="A7">
            <v>35643</v>
          </cell>
          <cell r="B7">
            <v>858874.19354838715</v>
          </cell>
          <cell r="D7">
            <v>632651.90322580643</v>
          </cell>
          <cell r="E7" t="str">
            <v>N/A</v>
          </cell>
          <cell r="F7">
            <v>258605.5806451613</v>
          </cell>
          <cell r="G7">
            <v>366252.25806451612</v>
          </cell>
          <cell r="H7">
            <v>172899.5806451613</v>
          </cell>
          <cell r="I7">
            <v>460498.41935483873</v>
          </cell>
          <cell r="J7">
            <v>233214</v>
          </cell>
          <cell r="K7">
            <v>51910.774193548386</v>
          </cell>
          <cell r="L7">
            <v>283325.54838709679</v>
          </cell>
          <cell r="M7">
            <v>14112494</v>
          </cell>
          <cell r="N7">
            <v>38263295</v>
          </cell>
          <cell r="O7">
            <v>2407178.5262492099</v>
          </cell>
          <cell r="P7">
            <v>-15802.688172043012</v>
          </cell>
          <cell r="Q7">
            <v>-111895.09803921565</v>
          </cell>
          <cell r="R7">
            <v>-11317.868437697658</v>
          </cell>
          <cell r="S7">
            <v>-123212.96647691334</v>
          </cell>
          <cell r="T7">
            <v>-72339.943074003764</v>
          </cell>
          <cell r="U7">
            <v>534663.21948134084</v>
          </cell>
          <cell r="V7">
            <v>-35919.512966476905</v>
          </cell>
          <cell r="W7">
            <v>-56392.030360531302</v>
          </cell>
          <cell r="X7">
            <v>-221.37887413029725</v>
          </cell>
          <cell r="Y7">
            <v>-1824005.5344718532</v>
          </cell>
        </row>
        <row r="8">
          <cell r="A8">
            <v>35674</v>
          </cell>
          <cell r="B8">
            <v>891227.5</v>
          </cell>
          <cell r="D8">
            <v>608396.16666666663</v>
          </cell>
          <cell r="E8" t="str">
            <v>N/A</v>
          </cell>
          <cell r="F8">
            <v>171334.46666666667</v>
          </cell>
          <cell r="G8">
            <v>342162.83333333331</v>
          </cell>
          <cell r="H8">
            <v>168458.53333333333</v>
          </cell>
          <cell r="I8">
            <v>355403.33333333331</v>
          </cell>
          <cell r="J8">
            <v>114789.63333333333</v>
          </cell>
          <cell r="K8">
            <v>87213.4</v>
          </cell>
          <cell r="L8">
            <v>261692.6</v>
          </cell>
          <cell r="M8">
            <v>15497509</v>
          </cell>
          <cell r="N8">
            <v>41094227</v>
          </cell>
          <cell r="O8">
            <v>2389107.2222222225</v>
          </cell>
          <cell r="P8">
            <v>-13839.771241830067</v>
          </cell>
          <cell r="Q8">
            <v>-126814.77124183008</v>
          </cell>
          <cell r="R8">
            <v>-14491.339869281048</v>
          </cell>
          <cell r="S8">
            <v>-141306.11111111112</v>
          </cell>
          <cell r="T8">
            <v>-64116.405228758194</v>
          </cell>
          <cell r="U8">
            <v>508144.15032679751</v>
          </cell>
          <cell r="V8">
            <v>-35776.601307189543</v>
          </cell>
          <cell r="W8">
            <v>-36252.94117647058</v>
          </cell>
          <cell r="X8">
            <v>-1123.2679738562088</v>
          </cell>
          <cell r="Y8">
            <v>-1831606.6666666667</v>
          </cell>
        </row>
        <row r="9">
          <cell r="A9">
            <v>35704</v>
          </cell>
          <cell r="B9">
            <v>980636.1875</v>
          </cell>
          <cell r="D9">
            <v>610786.84375</v>
          </cell>
          <cell r="E9" t="str">
            <v>N/A</v>
          </cell>
          <cell r="F9">
            <v>176326.59375</v>
          </cell>
          <cell r="G9">
            <v>438367.65625</v>
          </cell>
          <cell r="H9">
            <v>165468.96875</v>
          </cell>
          <cell r="I9">
            <v>444942.46875</v>
          </cell>
          <cell r="J9">
            <v>160296.75</v>
          </cell>
          <cell r="K9">
            <v>99804.65625</v>
          </cell>
          <cell r="L9">
            <v>281751.4375</v>
          </cell>
          <cell r="M9">
            <v>14850095</v>
          </cell>
          <cell r="N9">
            <v>42187327</v>
          </cell>
          <cell r="O9">
            <v>2445632.6375711579</v>
          </cell>
          <cell r="P9">
            <v>-2182.1631878557873</v>
          </cell>
          <cell r="Q9">
            <v>-119422.3276407337</v>
          </cell>
          <cell r="R9">
            <v>-31554.617330803278</v>
          </cell>
          <cell r="S9">
            <v>-150976.94497153704</v>
          </cell>
          <cell r="T9">
            <v>-72315.860492470878</v>
          </cell>
          <cell r="U9">
            <v>275759.03225806454</v>
          </cell>
          <cell r="V9">
            <v>-6238.7096774193551</v>
          </cell>
          <cell r="W9">
            <v>-43459.044908285898</v>
          </cell>
          <cell r="X9">
            <v>-2607.7166350411135</v>
          </cell>
          <cell r="Y9">
            <v>-1810501.0752688174</v>
          </cell>
        </row>
        <row r="10">
          <cell r="A10">
            <v>35735</v>
          </cell>
          <cell r="B10">
            <v>1001267.9705882353</v>
          </cell>
          <cell r="D10">
            <v>558900.4411764706</v>
          </cell>
          <cell r="E10" t="str">
            <v>N/A</v>
          </cell>
          <cell r="F10">
            <v>65577</v>
          </cell>
          <cell r="G10">
            <v>508955.23529411765</v>
          </cell>
          <cell r="H10">
            <v>162373.85294117648</v>
          </cell>
          <cell r="I10">
            <v>365460.5882352941</v>
          </cell>
          <cell r="J10">
            <v>41104.882352941175</v>
          </cell>
          <cell r="K10">
            <v>115128.38235294117</v>
          </cell>
          <cell r="L10">
            <v>228904.35294117648</v>
          </cell>
          <cell r="M10">
            <v>14069280</v>
          </cell>
          <cell r="N10">
            <v>39051612</v>
          </cell>
          <cell r="O10">
            <v>2543997.8882391169</v>
          </cell>
          <cell r="P10">
            <v>-1994.9642625081221</v>
          </cell>
          <cell r="Q10">
            <v>-102436.58219623133</v>
          </cell>
          <cell r="R10">
            <v>-44818.583495776496</v>
          </cell>
          <cell r="S10">
            <v>-147255.16569200775</v>
          </cell>
          <cell r="T10">
            <v>-74838.438599019559</v>
          </cell>
          <cell r="U10">
            <v>345034.13333333336</v>
          </cell>
          <cell r="V10">
            <v>-37127.71280051981</v>
          </cell>
          <cell r="W10">
            <v>-79490.058479532163</v>
          </cell>
          <cell r="X10">
            <v>-9508.7394411955811</v>
          </cell>
          <cell r="Y10">
            <v>-1742842.3326835611</v>
          </cell>
        </row>
        <row r="11">
          <cell r="A11">
            <v>35765</v>
          </cell>
          <cell r="B11">
            <v>1007149.3870967742</v>
          </cell>
          <cell r="D11">
            <v>450380.3548387097</v>
          </cell>
          <cell r="E11" t="str">
            <v>N/A</v>
          </cell>
          <cell r="F11">
            <v>-135428.80645161291</v>
          </cell>
          <cell r="G11">
            <v>516638.25806451612</v>
          </cell>
          <cell r="H11">
            <v>58937.225806451614</v>
          </cell>
          <cell r="I11">
            <v>249539.09677419355</v>
          </cell>
          <cell r="J11">
            <v>-146347.93548387097</v>
          </cell>
          <cell r="K11">
            <v>92421</v>
          </cell>
          <cell r="L11">
            <v>211843.83870967742</v>
          </cell>
          <cell r="M11">
            <v>12428238</v>
          </cell>
          <cell r="N11">
            <v>24946288</v>
          </cell>
          <cell r="O11">
            <v>2560668.9155265461</v>
          </cell>
          <cell r="P11">
            <v>-1882.7664114472198</v>
          </cell>
          <cell r="Q11">
            <v>-136725.30438056984</v>
          </cell>
          <cell r="R11">
            <v>-49314.516129032265</v>
          </cell>
          <cell r="S11">
            <v>-186039.82050960211</v>
          </cell>
          <cell r="T11">
            <v>-76636.93987699259</v>
          </cell>
          <cell r="U11">
            <v>448936.3548387097</v>
          </cell>
          <cell r="V11">
            <v>-38447.878749843119</v>
          </cell>
          <cell r="W11">
            <v>-93071.482364754615</v>
          </cell>
          <cell r="X11">
            <v>-21777.331492406171</v>
          </cell>
          <cell r="Y11">
            <v>-1581043.0839713826</v>
          </cell>
        </row>
        <row r="12">
          <cell r="A12">
            <v>35796</v>
          </cell>
          <cell r="B12">
            <v>957008.19354838715</v>
          </cell>
          <cell r="D12">
            <v>401967.77419354836</v>
          </cell>
          <cell r="E12" t="str">
            <v>N/A</v>
          </cell>
          <cell r="F12">
            <v>-224951.35483870967</v>
          </cell>
          <cell r="G12">
            <v>517100.67741935485</v>
          </cell>
          <cell r="H12">
            <v>45849.387096774197</v>
          </cell>
          <cell r="I12">
            <v>142643.74193548388</v>
          </cell>
          <cell r="J12">
            <v>-211744.4193548387</v>
          </cell>
          <cell r="K12">
            <v>105174.29032258065</v>
          </cell>
          <cell r="L12">
            <v>68420.085714285713</v>
          </cell>
          <cell r="M12">
            <v>11417741</v>
          </cell>
          <cell r="N12">
            <v>16846419</v>
          </cell>
          <cell r="O12">
            <v>2552613.0604288499</v>
          </cell>
          <cell r="P12">
            <v>0</v>
          </cell>
          <cell r="Q12">
            <v>-131198.98761240015</v>
          </cell>
          <cell r="R12">
            <v>-42746.871659435317</v>
          </cell>
          <cell r="S12">
            <v>-173945.85927183551</v>
          </cell>
          <cell r="T12">
            <v>-76284.380305602681</v>
          </cell>
          <cell r="U12">
            <v>462805.22542916442</v>
          </cell>
          <cell r="V12">
            <v>-39961.013645224179</v>
          </cell>
          <cell r="W12">
            <v>-81017.009369301391</v>
          </cell>
          <cell r="X12">
            <v>-22820.03395585738</v>
          </cell>
          <cell r="Y12">
            <v>-1566282.934037603</v>
          </cell>
        </row>
        <row r="13">
          <cell r="A13">
            <v>35827</v>
          </cell>
          <cell r="B13">
            <v>1032232.1428571428</v>
          </cell>
          <cell r="D13">
            <v>552047.85714285716</v>
          </cell>
          <cell r="E13" t="str">
            <v>N/A</v>
          </cell>
          <cell r="F13">
            <v>104691.96428571429</v>
          </cell>
          <cell r="G13">
            <v>468909.57142857142</v>
          </cell>
          <cell r="H13">
            <v>81490.571428571435</v>
          </cell>
          <cell r="I13">
            <v>452341.78571428574</v>
          </cell>
          <cell r="J13">
            <v>89119.607142857145</v>
          </cell>
          <cell r="K13">
            <v>79747.71428571429</v>
          </cell>
          <cell r="L13">
            <v>280234.85714285716</v>
          </cell>
          <cell r="M13">
            <v>8819821</v>
          </cell>
          <cell r="N13">
            <v>9736332</v>
          </cell>
          <cell r="O13">
            <v>2575142.2653856869</v>
          </cell>
          <cell r="P13">
            <v>-31.223893065998329</v>
          </cell>
          <cell r="Q13">
            <v>-125230.08911166804</v>
          </cell>
          <cell r="R13">
            <v>-41232.42133110555</v>
          </cell>
          <cell r="S13">
            <v>-166462.51044277364</v>
          </cell>
          <cell r="T13">
            <v>-76445.071010860469</v>
          </cell>
          <cell r="U13">
            <v>385052.3531049848</v>
          </cell>
          <cell r="V13">
            <v>-38650.480367585624</v>
          </cell>
          <cell r="W13">
            <v>-70312.935115566695</v>
          </cell>
          <cell r="X13">
            <v>-10923.38485101643</v>
          </cell>
          <cell r="Y13">
            <v>-1714796.6791979952</v>
          </cell>
        </row>
        <row r="14">
          <cell r="A14">
            <v>35855</v>
          </cell>
          <cell r="B14">
            <v>987495.78125</v>
          </cell>
          <cell r="D14">
            <v>528809.875</v>
          </cell>
          <cell r="E14" t="str">
            <v>N/A</v>
          </cell>
          <cell r="F14">
            <v>130381.84375</v>
          </cell>
          <cell r="G14">
            <v>433362.84375</v>
          </cell>
          <cell r="H14">
            <v>120068.75</v>
          </cell>
          <cell r="I14">
            <v>435132.1875</v>
          </cell>
          <cell r="J14">
            <v>125015.0625</v>
          </cell>
          <cell r="K14">
            <v>83936.15625</v>
          </cell>
          <cell r="L14">
            <v>222606.40625</v>
          </cell>
          <cell r="M14">
            <v>4702396</v>
          </cell>
          <cell r="N14">
            <v>8599617</v>
          </cell>
          <cell r="O14">
            <v>2589499.0253411299</v>
          </cell>
          <cell r="P14">
            <v>-2276.3000691693392</v>
          </cell>
          <cell r="Q14">
            <v>-135638.43300006288</v>
          </cell>
          <cell r="R14">
            <v>-33032.91831729863</v>
          </cell>
          <cell r="S14">
            <v>-168671.35131736152</v>
          </cell>
          <cell r="T14">
            <v>-64535.465006602513</v>
          </cell>
          <cell r="U14">
            <v>321208.95428535505</v>
          </cell>
          <cell r="V14">
            <v>-37994.057724957558</v>
          </cell>
          <cell r="W14">
            <v>-67527.10180469093</v>
          </cell>
          <cell r="X14">
            <v>-10300.509337860782</v>
          </cell>
          <cell r="Y14">
            <v>-1814070.8356913789</v>
          </cell>
        </row>
        <row r="15">
          <cell r="A15">
            <v>35886</v>
          </cell>
          <cell r="B15">
            <v>970074.1333333333</v>
          </cell>
          <cell r="D15">
            <v>573334.1333333333</v>
          </cell>
          <cell r="E15" t="str">
            <v>N/A</v>
          </cell>
          <cell r="F15">
            <v>121062.43333333333</v>
          </cell>
          <cell r="G15">
            <v>384045.23333333334</v>
          </cell>
          <cell r="H15">
            <v>100754.93333333333</v>
          </cell>
          <cell r="I15">
            <v>415932.86666666664</v>
          </cell>
          <cell r="J15">
            <v>131042.23333333334</v>
          </cell>
          <cell r="K15">
            <v>82021.666666666672</v>
          </cell>
          <cell r="L15">
            <v>272131.20000000001</v>
          </cell>
          <cell r="M15">
            <v>3970725</v>
          </cell>
          <cell r="N15">
            <v>9727812</v>
          </cell>
          <cell r="O15">
            <v>2526886.257309942</v>
          </cell>
          <cell r="P15">
            <v>0</v>
          </cell>
          <cell r="Q15">
            <v>-133972.02729044831</v>
          </cell>
          <cell r="R15">
            <v>-16500.454840805716</v>
          </cell>
          <cell r="S15">
            <v>-150472.48213125399</v>
          </cell>
          <cell r="T15">
            <v>-73356.530214424929</v>
          </cell>
          <cell r="U15">
            <v>287974.82131254062</v>
          </cell>
          <cell r="V15">
            <v>-38812.313190383378</v>
          </cell>
          <cell r="W15">
            <v>-63464.294996751145</v>
          </cell>
          <cell r="X15">
            <v>-7705.9129304743365</v>
          </cell>
          <cell r="Y15">
            <v>-1805805.7504873299</v>
          </cell>
        </row>
        <row r="16">
          <cell r="A16">
            <v>35916</v>
          </cell>
          <cell r="B16">
            <v>938892.625</v>
          </cell>
          <cell r="D16">
            <v>643346.71875</v>
          </cell>
          <cell r="E16" t="str">
            <v>N/A</v>
          </cell>
          <cell r="F16">
            <v>141928</v>
          </cell>
          <cell r="G16">
            <v>418867.09375</v>
          </cell>
          <cell r="H16">
            <v>89519.90625</v>
          </cell>
          <cell r="I16">
            <v>471558.75</v>
          </cell>
          <cell r="J16">
            <v>229368.03125</v>
          </cell>
          <cell r="K16">
            <v>68395.53125</v>
          </cell>
          <cell r="L16">
            <v>242311.3125</v>
          </cell>
          <cell r="M16">
            <v>7083769</v>
          </cell>
          <cell r="N16">
            <v>16942987</v>
          </cell>
          <cell r="O16">
            <v>2380697.7614286612</v>
          </cell>
          <cell r="P16">
            <v>0</v>
          </cell>
          <cell r="Q16">
            <v>-121333.45909576808</v>
          </cell>
          <cell r="R16">
            <v>-22696.346601270201</v>
          </cell>
          <cell r="S16">
            <v>-144029.80569703833</v>
          </cell>
          <cell r="T16">
            <v>-49492.958710528881</v>
          </cell>
          <cell r="U16">
            <v>324758.31604099856</v>
          </cell>
          <cell r="V16">
            <v>-5585.9586241589632</v>
          </cell>
          <cell r="W16">
            <v>-66496.227126957194</v>
          </cell>
          <cell r="X16">
            <v>-2213.8590203106323</v>
          </cell>
          <cell r="Y16">
            <v>-1736943.2497013141</v>
          </cell>
        </row>
        <row r="17">
          <cell r="A17">
            <v>35947</v>
          </cell>
          <cell r="B17">
            <v>925639.53333333333</v>
          </cell>
          <cell r="D17">
            <v>668942.73333333328</v>
          </cell>
          <cell r="E17" t="str">
            <v>N/A</v>
          </cell>
          <cell r="F17">
            <v>135630.53333333333</v>
          </cell>
          <cell r="G17">
            <v>396473.3</v>
          </cell>
          <cell r="H17">
            <v>91851.5</v>
          </cell>
          <cell r="I17">
            <v>449592.86666666664</v>
          </cell>
          <cell r="J17">
            <v>225772.63333333333</v>
          </cell>
          <cell r="K17">
            <v>88203.8</v>
          </cell>
          <cell r="L17">
            <v>232332.06666666668</v>
          </cell>
          <cell r="M17">
            <v>11049671</v>
          </cell>
          <cell r="N17">
            <v>25215047</v>
          </cell>
          <cell r="O17">
            <v>2416840.8236057069</v>
          </cell>
          <cell r="P17">
            <v>-464.75356679636837</v>
          </cell>
          <cell r="Q17">
            <v>-118869.52010376134</v>
          </cell>
          <cell r="R17">
            <v>-18151.459143968874</v>
          </cell>
          <cell r="S17">
            <v>-137020.97924773023</v>
          </cell>
          <cell r="T17">
            <v>-75963.872644574411</v>
          </cell>
          <cell r="U17">
            <v>300860.50583657587</v>
          </cell>
          <cell r="V17">
            <v>-18463.748378728927</v>
          </cell>
          <cell r="W17">
            <v>-41847.989623865105</v>
          </cell>
          <cell r="X17">
            <v>-3847.7302204928669</v>
          </cell>
          <cell r="Y17">
            <v>-1805338.0998702985</v>
          </cell>
        </row>
        <row r="18">
          <cell r="A18">
            <v>35977</v>
          </cell>
          <cell r="B18">
            <v>886099.36363636365</v>
          </cell>
          <cell r="D18">
            <v>647696.60606060608</v>
          </cell>
          <cell r="E18" t="str">
            <v>N/A</v>
          </cell>
          <cell r="F18">
            <v>166959.33333333334</v>
          </cell>
          <cell r="G18">
            <v>353859.33333333331</v>
          </cell>
          <cell r="H18">
            <v>132082.54545454544</v>
          </cell>
          <cell r="I18">
            <v>386520.72727272729</v>
          </cell>
          <cell r="J18">
            <v>174971.51515151514</v>
          </cell>
          <cell r="K18">
            <v>102242.84848484848</v>
          </cell>
          <cell r="L18">
            <v>271171</v>
          </cell>
          <cell r="M18">
            <v>12675559</v>
          </cell>
          <cell r="N18">
            <v>32369470</v>
          </cell>
          <cell r="O18">
            <v>2394254.8575740429</v>
          </cell>
          <cell r="P18">
            <v>-9579.0731308558134</v>
          </cell>
          <cell r="Q18">
            <v>-108756.52392630323</v>
          </cell>
          <cell r="R18">
            <v>-11099.383764069675</v>
          </cell>
          <cell r="S18">
            <v>-119855.9076903729</v>
          </cell>
          <cell r="T18">
            <v>-76581.313855325716</v>
          </cell>
          <cell r="U18">
            <v>219089.10268502796</v>
          </cell>
          <cell r="V18">
            <v>-34363.893604980185</v>
          </cell>
          <cell r="W18">
            <v>-58663.271080928127</v>
          </cell>
          <cell r="X18">
            <v>-3691.3789850971516</v>
          </cell>
          <cell r="Y18">
            <v>-1801836.3201911594</v>
          </cell>
        </row>
        <row r="19">
          <cell r="A19">
            <v>36008</v>
          </cell>
          <cell r="B19">
            <v>925050.3125</v>
          </cell>
          <cell r="D19">
            <v>625253.21875</v>
          </cell>
          <cell r="E19" t="str">
            <v>N/A</v>
          </cell>
          <cell r="F19">
            <v>16142.90625</v>
          </cell>
          <cell r="G19">
            <v>336520.71875</v>
          </cell>
          <cell r="H19">
            <v>109980</v>
          </cell>
          <cell r="I19">
            <v>232428.78125</v>
          </cell>
          <cell r="J19">
            <v>-1124.0625</v>
          </cell>
          <cell r="K19">
            <v>101250.34375</v>
          </cell>
          <cell r="L19">
            <v>224665.40625</v>
          </cell>
          <cell r="M19">
            <v>16365077</v>
          </cell>
          <cell r="N19">
            <v>39432421</v>
          </cell>
          <cell r="O19">
            <v>2391858.8316669809</v>
          </cell>
          <cell r="P19">
            <v>-16297.396717600453</v>
          </cell>
          <cell r="Q19">
            <v>-107177.98528579509</v>
          </cell>
          <cell r="R19">
            <v>-12875.65239263032</v>
          </cell>
          <cell r="S19">
            <v>-120053.63767842542</v>
          </cell>
          <cell r="T19">
            <v>-76232.364142927763</v>
          </cell>
          <cell r="U19">
            <v>224958.05822800726</v>
          </cell>
          <cell r="V19">
            <v>-35986.637741306695</v>
          </cell>
          <cell r="W19">
            <v>-59466.955920266628</v>
          </cell>
          <cell r="X19">
            <v>-2502.8925359994983</v>
          </cell>
          <cell r="Y19">
            <v>-1773045.8089668616</v>
          </cell>
        </row>
        <row r="20">
          <cell r="A20">
            <v>36039</v>
          </cell>
          <cell r="B20">
            <v>931878.84375</v>
          </cell>
          <cell r="D20">
            <v>624814.09375</v>
          </cell>
          <cell r="E20" t="str">
            <v>N/A</v>
          </cell>
          <cell r="F20">
            <v>84922.5625</v>
          </cell>
          <cell r="G20">
            <v>359824.40625</v>
          </cell>
          <cell r="H20">
            <v>129284.59375</v>
          </cell>
          <cell r="I20">
            <v>297621.875</v>
          </cell>
          <cell r="J20">
            <v>45798.53125</v>
          </cell>
          <cell r="K20">
            <v>103126.71875</v>
          </cell>
          <cell r="L20">
            <v>181243.875</v>
          </cell>
          <cell r="M20">
            <v>18261546</v>
          </cell>
          <cell r="N20">
            <v>47767207</v>
          </cell>
          <cell r="O20">
            <v>2450273.216601816</v>
          </cell>
          <cell r="P20">
            <v>-17762.516212710769</v>
          </cell>
          <cell r="Q20">
            <v>-117733.69001297015</v>
          </cell>
          <cell r="R20">
            <v>-17226.621271076521</v>
          </cell>
          <cell r="S20">
            <v>-134960.31128404668</v>
          </cell>
          <cell r="T20">
            <v>-69846.24535109209</v>
          </cell>
          <cell r="U20">
            <v>227068.93644617384</v>
          </cell>
          <cell r="V20">
            <v>-38054.053177691312</v>
          </cell>
          <cell r="W20">
            <v>-44466.666666666664</v>
          </cell>
          <cell r="X20">
            <v>-1550.9403372243837</v>
          </cell>
          <cell r="Y20">
            <v>-1828484.3060959796</v>
          </cell>
        </row>
        <row r="21">
          <cell r="A21">
            <v>36069</v>
          </cell>
          <cell r="B21">
            <v>880903.3548387097</v>
          </cell>
          <cell r="D21">
            <v>427200.3548387097</v>
          </cell>
          <cell r="E21" t="str">
            <v>N/A</v>
          </cell>
          <cell r="F21">
            <v>-66260</v>
          </cell>
          <cell r="G21">
            <v>329295.83870967739</v>
          </cell>
          <cell r="H21">
            <v>141555.83870967742</v>
          </cell>
          <cell r="I21">
            <v>66473.387096774197</v>
          </cell>
          <cell r="J21">
            <v>-216352.64516129033</v>
          </cell>
          <cell r="K21">
            <v>131657.64516129033</v>
          </cell>
          <cell r="L21">
            <v>13269.371428571429</v>
          </cell>
          <cell r="M21">
            <v>17294847</v>
          </cell>
          <cell r="N21">
            <v>51669902</v>
          </cell>
          <cell r="O21">
            <v>2363559.1397849466</v>
          </cell>
          <cell r="P21">
            <v>-18644.280953279249</v>
          </cell>
          <cell r="Q21">
            <v>-109989.27875243663</v>
          </cell>
          <cell r="R21">
            <v>-19145.349933974718</v>
          </cell>
          <cell r="S21">
            <v>-129134.62868641132</v>
          </cell>
          <cell r="T21">
            <v>-78998.023095267956</v>
          </cell>
          <cell r="U21">
            <v>185001.03754008678</v>
          </cell>
          <cell r="V21">
            <v>-34573.571024335019</v>
          </cell>
          <cell r="W21">
            <v>-65348.802112808888</v>
          </cell>
          <cell r="X21">
            <v>-4767.2766144752568</v>
          </cell>
          <cell r="Y21">
            <v>-1752867.0062252409</v>
          </cell>
        </row>
        <row r="22">
          <cell r="A22">
            <v>36100</v>
          </cell>
          <cell r="B22">
            <v>927775</v>
          </cell>
          <cell r="D22">
            <v>399995.56666666665</v>
          </cell>
          <cell r="E22" t="str">
            <v>N/A</v>
          </cell>
          <cell r="F22">
            <v>-216158.43333333332</v>
          </cell>
          <cell r="G22">
            <v>302916.86666666664</v>
          </cell>
          <cell r="H22">
            <v>56909.366666666669</v>
          </cell>
          <cell r="I22">
            <v>-31561.933333333334</v>
          </cell>
          <cell r="J22">
            <v>-378342.2</v>
          </cell>
          <cell r="K22">
            <v>179859.20000000001</v>
          </cell>
          <cell r="L22">
            <v>55664.2</v>
          </cell>
          <cell r="M22">
            <v>17050425</v>
          </cell>
          <cell r="N22">
            <v>48952799</v>
          </cell>
          <cell r="O22">
            <v>2474275.2269779509</v>
          </cell>
          <cell r="P22">
            <v>-16501.621271076532</v>
          </cell>
          <cell r="Q22">
            <v>-116004.76653696496</v>
          </cell>
          <cell r="R22">
            <v>-41481.549935149153</v>
          </cell>
          <cell r="S22">
            <v>-157486.31647211409</v>
          </cell>
          <cell r="T22">
            <v>-78874.80544747079</v>
          </cell>
          <cell r="U22">
            <v>242691.82879377427</v>
          </cell>
          <cell r="V22">
            <v>-39480.544747081731</v>
          </cell>
          <cell r="W22">
            <v>-91599.254215304798</v>
          </cell>
          <cell r="X22">
            <v>-11849.092088197147</v>
          </cell>
          <cell r="Y22">
            <v>-1719766.1802853437</v>
          </cell>
        </row>
        <row r="23">
          <cell r="A23">
            <v>36130</v>
          </cell>
          <cell r="B23">
            <v>765766.38709677418</v>
          </cell>
          <cell r="D23">
            <v>166672</v>
          </cell>
          <cell r="E23" t="str">
            <v>N/A</v>
          </cell>
          <cell r="F23">
            <v>-353729.3548387097</v>
          </cell>
          <cell r="G23">
            <v>357409.6451612903</v>
          </cell>
          <cell r="H23">
            <v>15136.806451612903</v>
          </cell>
          <cell r="I23">
            <v>-75467.419354838712</v>
          </cell>
          <cell r="J23">
            <v>-472429.22580645164</v>
          </cell>
          <cell r="K23">
            <v>146782.06451612903</v>
          </cell>
          <cell r="L23">
            <v>20800.83870967742</v>
          </cell>
          <cell r="M23">
            <v>13620032</v>
          </cell>
          <cell r="N23">
            <v>39470628</v>
          </cell>
          <cell r="O23">
            <v>2537112.1814986821</v>
          </cell>
          <cell r="P23">
            <v>-8833.3124137065406</v>
          </cell>
          <cell r="Q23">
            <v>-117795.09225555416</v>
          </cell>
          <cell r="R23">
            <v>-42595.362118739802</v>
          </cell>
          <cell r="S23">
            <v>-160390.45437429397</v>
          </cell>
          <cell r="T23">
            <v>-78128.96949918411</v>
          </cell>
          <cell r="U23">
            <v>361872.9132672273</v>
          </cell>
          <cell r="V23">
            <v>-35952.271871469835</v>
          </cell>
          <cell r="W23">
            <v>-110278.71218777455</v>
          </cell>
          <cell r="X23">
            <v>-15771.275260449351</v>
          </cell>
          <cell r="Y23">
            <v>-1636545.2491527551</v>
          </cell>
        </row>
        <row r="24">
          <cell r="A24">
            <v>36161</v>
          </cell>
          <cell r="B24">
            <v>813650.61290322582</v>
          </cell>
          <cell r="D24">
            <v>210026.06451612903</v>
          </cell>
          <cell r="E24" t="str">
            <v>N/A</v>
          </cell>
          <cell r="F24">
            <v>-330376.87096774194</v>
          </cell>
          <cell r="G24">
            <v>414988.32258064515</v>
          </cell>
          <cell r="H24">
            <v>11078.290322580646</v>
          </cell>
          <cell r="I24">
            <v>-8146.7741935483873</v>
          </cell>
          <cell r="J24">
            <v>-390896.93548387097</v>
          </cell>
          <cell r="K24">
            <v>128685.93548387097</v>
          </cell>
          <cell r="L24">
            <v>126649.41935483871</v>
          </cell>
          <cell r="M24">
            <v>12299199</v>
          </cell>
          <cell r="N24">
            <v>28248700</v>
          </cell>
          <cell r="O24">
            <v>2459105.6718858075</v>
          </cell>
          <cell r="P24">
            <v>0</v>
          </cell>
          <cell r="Q24">
            <v>-134533.67289190716</v>
          </cell>
          <cell r="R24">
            <v>-45070.049676161747</v>
          </cell>
          <cell r="S24">
            <v>-179603.72256806892</v>
          </cell>
          <cell r="T24">
            <v>-79075.080173552182</v>
          </cell>
          <cell r="U24">
            <v>398894.86260454002</v>
          </cell>
          <cell r="V24">
            <v>-18542.633465383889</v>
          </cell>
          <cell r="W24">
            <v>-86891.089731497195</v>
          </cell>
          <cell r="X24">
            <v>-14801.106709425892</v>
          </cell>
          <cell r="Y24">
            <v>-1567568.88637364</v>
          </cell>
        </row>
        <row r="25">
          <cell r="A25">
            <v>36192</v>
          </cell>
          <cell r="B25">
            <v>884025.67857142852</v>
          </cell>
          <cell r="D25">
            <v>276322.82142857142</v>
          </cell>
          <cell r="E25" t="str">
            <v>N/A</v>
          </cell>
          <cell r="F25">
            <v>-207588.89285714287</v>
          </cell>
          <cell r="G25">
            <v>326637.07142857142</v>
          </cell>
          <cell r="H25">
            <v>32215.178571428572</v>
          </cell>
          <cell r="I25">
            <v>-5000.5714285714284</v>
          </cell>
          <cell r="J25">
            <v>-383415.67857142858</v>
          </cell>
          <cell r="K25">
            <v>136072.14285714287</v>
          </cell>
          <cell r="L25">
            <v>90421.034482758623</v>
          </cell>
          <cell r="M25">
            <v>9698452</v>
          </cell>
          <cell r="N25">
            <v>21884339</v>
          </cell>
          <cell r="O25">
            <v>2358355.6460595932</v>
          </cell>
          <cell r="P25">
            <v>-452.52018936229467</v>
          </cell>
          <cell r="Q25">
            <v>-118051.65692007798</v>
          </cell>
          <cell r="R25">
            <v>-41091.478696741855</v>
          </cell>
          <cell r="S25">
            <v>-159143.13561681981</v>
          </cell>
          <cell r="T25">
            <v>-78412.106655527736</v>
          </cell>
          <cell r="U25">
            <v>290499.23419660266</v>
          </cell>
          <cell r="V25">
            <v>-17074.352548036757</v>
          </cell>
          <cell r="W25">
            <v>-75374.791144527975</v>
          </cell>
          <cell r="X25">
            <v>-14612.433862433865</v>
          </cell>
          <cell r="Y25">
            <v>-1613300.7866889443</v>
          </cell>
        </row>
        <row r="26">
          <cell r="A26">
            <v>36220</v>
          </cell>
          <cell r="B26">
            <v>946870.6451612903</v>
          </cell>
          <cell r="D26">
            <v>416234.83870967739</v>
          </cell>
          <cell r="E26" t="str">
            <v>N/A</v>
          </cell>
          <cell r="F26">
            <v>-50873.516129032258</v>
          </cell>
          <cell r="G26">
            <v>220959.74193548388</v>
          </cell>
          <cell r="H26">
            <v>159095.5806451613</v>
          </cell>
          <cell r="I26">
            <v>-40409.516129032258</v>
          </cell>
          <cell r="J26">
            <v>-385462.87096774194</v>
          </cell>
          <cell r="K26">
            <v>165694.4193548387</v>
          </cell>
          <cell r="L26">
            <v>109058.48387096774</v>
          </cell>
          <cell r="M26">
            <v>7242587</v>
          </cell>
          <cell r="N26">
            <v>15833336</v>
          </cell>
          <cell r="O26">
            <v>2084618.62745098</v>
          </cell>
          <cell r="P26">
            <v>0</v>
          </cell>
          <cell r="Q26">
            <v>-122061.95445920304</v>
          </cell>
          <cell r="R26">
            <v>-41686.337760910807</v>
          </cell>
          <cell r="S26">
            <v>-163748.29222011386</v>
          </cell>
          <cell r="T26">
            <v>-68536.401012017726</v>
          </cell>
          <cell r="U26">
            <v>63102.150537634414</v>
          </cell>
          <cell r="V26">
            <v>-4901.9607843137255</v>
          </cell>
          <cell r="W26">
            <v>-58272.707147375077</v>
          </cell>
          <cell r="X26">
            <v>-11614.041745730554</v>
          </cell>
          <cell r="Y26">
            <v>-1640072.675521821</v>
          </cell>
        </row>
        <row r="27">
          <cell r="A27">
            <v>36251</v>
          </cell>
          <cell r="B27">
            <v>940169.5</v>
          </cell>
          <cell r="D27">
            <v>507320.76666666666</v>
          </cell>
          <cell r="E27">
            <v>176450.33333333334</v>
          </cell>
          <cell r="F27">
            <v>97635.433333333334</v>
          </cell>
          <cell r="G27">
            <v>218081.53333333333</v>
          </cell>
          <cell r="H27">
            <v>153925.6</v>
          </cell>
          <cell r="I27">
            <v>119934.8</v>
          </cell>
          <cell r="J27">
            <v>-176547.4</v>
          </cell>
          <cell r="K27">
            <v>187035.6</v>
          </cell>
          <cell r="L27">
            <v>152317.06451612903</v>
          </cell>
          <cell r="M27">
            <v>5486601</v>
          </cell>
          <cell r="N27">
            <v>15299909</v>
          </cell>
          <cell r="O27">
            <v>2228513.8235294116</v>
          </cell>
          <cell r="P27">
            <v>-5125.6535947712437</v>
          </cell>
          <cell r="Q27">
            <v>-99766.176470588252</v>
          </cell>
          <cell r="R27">
            <v>-32067.091503267973</v>
          </cell>
          <cell r="S27">
            <v>-131833.26797385619</v>
          </cell>
          <cell r="T27">
            <v>-69329.640522875823</v>
          </cell>
          <cell r="U27">
            <v>64926.601307189558</v>
          </cell>
          <cell r="V27">
            <v>-23088.235294117643</v>
          </cell>
          <cell r="W27">
            <v>-67205.490196078434</v>
          </cell>
          <cell r="X27">
            <v>-8536.9281045751613</v>
          </cell>
          <cell r="Y27">
            <v>-1772550.3594771244</v>
          </cell>
        </row>
        <row r="28">
          <cell r="A28">
            <v>36281</v>
          </cell>
          <cell r="B28">
            <v>998740.22580645164</v>
          </cell>
          <cell r="D28">
            <v>635813.19354838715</v>
          </cell>
          <cell r="E28">
            <v>195961.61290322582</v>
          </cell>
          <cell r="F28">
            <v>129374.3870967742</v>
          </cell>
          <cell r="G28">
            <v>191466.90322580645</v>
          </cell>
          <cell r="H28">
            <v>185433.29032258064</v>
          </cell>
          <cell r="I28">
            <v>90766.161290322576</v>
          </cell>
          <cell r="J28">
            <v>-155720.90322580645</v>
          </cell>
          <cell r="K28">
            <v>115575.96774193548</v>
          </cell>
          <cell r="L28">
            <v>60002.451612903227</v>
          </cell>
          <cell r="M28">
            <v>7613108</v>
          </cell>
          <cell r="N28">
            <v>19394827</v>
          </cell>
          <cell r="O28">
            <v>2052852.9411764701</v>
          </cell>
          <cell r="P28">
            <v>-3009.4560404807089</v>
          </cell>
          <cell r="Q28">
            <v>-79373.719165085393</v>
          </cell>
          <cell r="R28">
            <v>-25594.022770398482</v>
          </cell>
          <cell r="S28">
            <v>-104967.74193548388</v>
          </cell>
          <cell r="T28">
            <v>-62001.265022137894</v>
          </cell>
          <cell r="U28">
            <v>9626.7868437697653</v>
          </cell>
          <cell r="V28">
            <v>-32863.757115749519</v>
          </cell>
          <cell r="W28">
            <v>-61565.243516761555</v>
          </cell>
          <cell r="X28">
            <v>-559.99367488931068</v>
          </cell>
          <cell r="Y28">
            <v>-1705797.754585705</v>
          </cell>
        </row>
        <row r="29">
          <cell r="A29">
            <v>36312</v>
          </cell>
          <cell r="B29">
            <v>868232.43333333335</v>
          </cell>
          <cell r="D29">
            <v>604192.5</v>
          </cell>
          <cell r="E29">
            <v>141768.26666666666</v>
          </cell>
          <cell r="F29">
            <v>68993.566666666666</v>
          </cell>
          <cell r="G29">
            <v>163323.76666666666</v>
          </cell>
          <cell r="H29">
            <v>258383.13333333333</v>
          </cell>
          <cell r="I29">
            <v>-50095.466666666667</v>
          </cell>
          <cell r="J29">
            <v>-263767</v>
          </cell>
          <cell r="K29">
            <v>168768.8</v>
          </cell>
          <cell r="L29">
            <v>39582.225806451614</v>
          </cell>
          <cell r="M29">
            <v>10437379</v>
          </cell>
          <cell r="N29">
            <v>25779013</v>
          </cell>
          <cell r="O29">
            <v>1898249.2483660127</v>
          </cell>
          <cell r="P29">
            <v>-1355.8823529411764</v>
          </cell>
          <cell r="Q29">
            <v>-107502.61437908496</v>
          </cell>
          <cell r="R29">
            <v>-18525.163398692806</v>
          </cell>
          <cell r="S29">
            <v>-126027.77777777777</v>
          </cell>
          <cell r="T29">
            <v>-52833.006535947723</v>
          </cell>
          <cell r="U29">
            <v>-91858.398692810428</v>
          </cell>
          <cell r="V29">
            <v>-8921.5686274509808</v>
          </cell>
          <cell r="W29">
            <v>-49381.241830065352</v>
          </cell>
          <cell r="X29">
            <v>-2710.4575163398686</v>
          </cell>
          <cell r="Y29">
            <v>-1692788.6274509805</v>
          </cell>
        </row>
        <row r="30">
          <cell r="A30">
            <v>36342</v>
          </cell>
          <cell r="B30">
            <v>874304.83870967745</v>
          </cell>
          <cell r="D30">
            <v>622438.09677419357</v>
          </cell>
          <cell r="E30">
            <v>103180.16129032258</v>
          </cell>
          <cell r="F30">
            <v>42305.129032258068</v>
          </cell>
          <cell r="G30">
            <v>155595.12903225806</v>
          </cell>
          <cell r="H30">
            <v>160031.67741935485</v>
          </cell>
          <cell r="I30">
            <v>22139.806451612902</v>
          </cell>
          <cell r="J30">
            <v>-174397.64516129033</v>
          </cell>
          <cell r="K30">
            <v>100156.3870967742</v>
          </cell>
          <cell r="L30">
            <v>31991.4375</v>
          </cell>
          <cell r="M30">
            <v>14232367</v>
          </cell>
          <cell r="N30">
            <v>33780609</v>
          </cell>
          <cell r="O30">
            <v>2036812.7767235925</v>
          </cell>
          <cell r="P30">
            <v>-3081.4041745730547</v>
          </cell>
          <cell r="Q30">
            <v>-92076.913345983558</v>
          </cell>
          <cell r="R30">
            <v>-16549.62049335863</v>
          </cell>
          <cell r="S30">
            <v>-108626.53383934221</v>
          </cell>
          <cell r="T30">
            <v>-68298.387096774211</v>
          </cell>
          <cell r="U30">
            <v>-3014.3896268184685</v>
          </cell>
          <cell r="V30">
            <v>-26852.751423149904</v>
          </cell>
          <cell r="W30">
            <v>-52055.534471853272</v>
          </cell>
          <cell r="X30">
            <v>-2572.1695129664781</v>
          </cell>
          <cell r="Y30">
            <v>-1723474.0986717269</v>
          </cell>
        </row>
        <row r="31">
          <cell r="A31">
            <v>36373</v>
          </cell>
          <cell r="B31">
            <v>844611.96774193551</v>
          </cell>
          <cell r="D31">
            <v>598573.45161290327</v>
          </cell>
          <cell r="E31">
            <v>100940.96774193548</v>
          </cell>
          <cell r="F31">
            <v>76656.483870967742</v>
          </cell>
          <cell r="G31">
            <v>189794.87096774194</v>
          </cell>
          <cell r="H31">
            <v>176597.38709677418</v>
          </cell>
          <cell r="I31">
            <v>51024.354838709674</v>
          </cell>
          <cell r="J31">
            <v>-133940.38709677418</v>
          </cell>
          <cell r="K31">
            <v>136846.64516129033</v>
          </cell>
          <cell r="L31">
            <v>94403.090909090912</v>
          </cell>
          <cell r="M31">
            <v>16841438</v>
          </cell>
          <cell r="N31">
            <v>38716439</v>
          </cell>
          <cell r="O31">
            <v>2130697.4193548388</v>
          </cell>
          <cell r="P31">
            <v>-6632.2580645161288</v>
          </cell>
          <cell r="Q31">
            <v>-83583.333333333328</v>
          </cell>
          <cell r="R31">
            <v>-15233.333333333334</v>
          </cell>
          <cell r="S31">
            <v>-101606.45161290323</v>
          </cell>
          <cell r="T31">
            <v>-76270.967741935485</v>
          </cell>
          <cell r="U31">
            <v>17948.387096774193</v>
          </cell>
          <cell r="V31">
            <v>-32596.774193548386</v>
          </cell>
          <cell r="W31">
            <v>-47851.612903225803</v>
          </cell>
          <cell r="X31">
            <v>-1264.516129032258</v>
          </cell>
          <cell r="Y31">
            <v>-1791796.7741935484</v>
          </cell>
        </row>
        <row r="32">
          <cell r="A32">
            <v>36404</v>
          </cell>
          <cell r="B32">
            <v>882665.23333333328</v>
          </cell>
          <cell r="D32">
            <v>586397.96666666667</v>
          </cell>
          <cell r="E32">
            <v>252291.6</v>
          </cell>
          <cell r="F32">
            <v>25232.633333333335</v>
          </cell>
          <cell r="G32">
            <v>181781.56666666668</v>
          </cell>
          <cell r="H32">
            <v>127677.86666666667</v>
          </cell>
          <cell r="I32">
            <v>26474.366666666665</v>
          </cell>
          <cell r="J32">
            <v>-191102.73333333334</v>
          </cell>
          <cell r="K32">
            <v>135319.13333333333</v>
          </cell>
          <cell r="L32">
            <v>75119.370370370365</v>
          </cell>
          <cell r="M32">
            <v>18413823</v>
          </cell>
          <cell r="N32">
            <v>43656694</v>
          </cell>
          <cell r="O32">
            <v>2265970</v>
          </cell>
          <cell r="P32">
            <v>-20913.333333333332</v>
          </cell>
          <cell r="Q32">
            <v>-80525</v>
          </cell>
          <cell r="R32">
            <v>-17171.42857142858</v>
          </cell>
          <cell r="S32">
            <v>-95256.666666666672</v>
          </cell>
          <cell r="T32">
            <v>-77593.333333333328</v>
          </cell>
          <cell r="U32">
            <v>76620</v>
          </cell>
          <cell r="V32">
            <v>-34803.333333333336</v>
          </cell>
          <cell r="W32">
            <v>-47126.666666666664</v>
          </cell>
          <cell r="X32">
            <v>-2343.3333333333335</v>
          </cell>
          <cell r="Y32">
            <v>-1847336.6666666667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20"/>
  <sheetViews>
    <sheetView showGridLines="0" tabSelected="1" view="pageBreakPreview" topLeftCell="B1" zoomScale="60" zoomScaleNormal="75" workbookViewId="0">
      <selection activeCell="K6" sqref="K6"/>
    </sheetView>
  </sheetViews>
  <sheetFormatPr defaultColWidth="12.7109375" defaultRowHeight="12.75" x14ac:dyDescent="0.2"/>
  <cols>
    <col min="1" max="1" width="12.7109375" style="1" hidden="1" customWidth="1"/>
    <col min="2" max="2" width="14.85546875" style="1" customWidth="1"/>
    <col min="3" max="3" width="12.7109375" style="1" customWidth="1"/>
    <col min="4" max="4" width="13.5703125" style="5" customWidth="1"/>
    <col min="5" max="5" width="14.28515625" style="1" customWidth="1"/>
    <col min="6" max="6" width="12.5703125" style="1" customWidth="1"/>
    <col min="7" max="11" width="12.7109375" style="1" customWidth="1"/>
    <col min="12" max="12" width="13.85546875" style="1" customWidth="1"/>
    <col min="13" max="17" width="12.7109375" style="1" customWidth="1"/>
    <col min="18" max="18" width="12.28515625" style="1" customWidth="1"/>
    <col min="19" max="19" width="12.7109375" style="1" customWidth="1"/>
    <col min="20" max="20" width="14.140625" style="1" customWidth="1"/>
    <col min="21" max="21" width="1.28515625" style="1" customWidth="1"/>
    <col min="22" max="24" width="12.7109375" style="1" customWidth="1"/>
    <col min="25" max="25" width="13.140625" style="1" customWidth="1"/>
    <col min="26" max="26" width="12.28515625" style="1" customWidth="1"/>
    <col min="27" max="27" width="9" style="1" customWidth="1"/>
    <col min="28" max="28" width="8.7109375" style="1" customWidth="1"/>
    <col min="29" max="31" width="12.7109375" style="1" customWidth="1"/>
    <col min="32" max="32" width="10.5703125" style="1" customWidth="1"/>
    <col min="33" max="33" width="7.28515625" style="1" customWidth="1"/>
    <col min="34" max="16384" width="12.7109375" style="1"/>
  </cols>
  <sheetData>
    <row r="1" spans="1:37" ht="18" x14ac:dyDescent="0.25">
      <c r="B1" s="2" t="s">
        <v>0</v>
      </c>
      <c r="C1" s="3"/>
      <c r="D1" s="4"/>
      <c r="AJ1" s="5" t="s">
        <v>1</v>
      </c>
      <c r="AK1" s="6">
        <f ca="1">[2]OPS_SHEET!$V$1</f>
        <v>36586</v>
      </c>
    </row>
    <row r="2" spans="1:37" x14ac:dyDescent="0.2">
      <c r="B2" s="7">
        <f ca="1">TODAY()</f>
        <v>36601</v>
      </c>
      <c r="AJ2" s="5" t="s">
        <v>2</v>
      </c>
      <c r="AK2" s="6">
        <f ca="1">[2]OPS_SHEET!$V$2</f>
        <v>36599</v>
      </c>
    </row>
    <row r="3" spans="1:37" ht="14.25" x14ac:dyDescent="0.2">
      <c r="A3" s="8"/>
      <c r="B3" s="9">
        <f ca="1">DATE(YEAR(B11),MONTH(B10),1)</f>
        <v>36192</v>
      </c>
      <c r="C3" s="9">
        <f ca="1">DATE(YEAR(B11),MONTH(B11)+1,1)</f>
        <v>36251</v>
      </c>
      <c r="D3" s="10"/>
      <c r="E3" s="11"/>
      <c r="F3" s="11"/>
      <c r="G3" s="11"/>
      <c r="H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AC3" s="11"/>
      <c r="AK3" s="6" t="b">
        <v>1</v>
      </c>
    </row>
    <row r="4" spans="1:37" ht="14.25" x14ac:dyDescent="0.2">
      <c r="A4" s="8"/>
      <c r="B4" s="9">
        <f ca="1">DATE(YEAR(B12),MONTH(B10),1)</f>
        <v>35827</v>
      </c>
      <c r="C4" s="9">
        <f ca="1">DATE(YEAR(B12),MONTH(B12)+1,1)</f>
        <v>35886</v>
      </c>
      <c r="D4" s="10"/>
      <c r="E4" s="11"/>
      <c r="F4" s="11"/>
      <c r="G4" s="11"/>
      <c r="H4" s="11"/>
      <c r="L4" s="11"/>
      <c r="M4" s="11"/>
      <c r="N4" s="11"/>
      <c r="O4" s="11"/>
      <c r="P4" s="11"/>
      <c r="Q4" s="11"/>
      <c r="R4" s="12"/>
      <c r="S4" s="13" t="s">
        <v>3</v>
      </c>
      <c r="T4" s="11"/>
      <c r="U4" s="11"/>
      <c r="W4" s="11"/>
      <c r="X4" s="11"/>
      <c r="AC4" s="11"/>
    </row>
    <row r="5" spans="1:37" ht="15" x14ac:dyDescent="0.25">
      <c r="A5" s="11"/>
      <c r="C5" s="11"/>
      <c r="D5" s="10"/>
      <c r="E5" s="11"/>
      <c r="F5" s="11"/>
      <c r="G5" s="11"/>
      <c r="H5" s="11"/>
      <c r="J5" s="12"/>
      <c r="K5" s="14" t="s">
        <v>4</v>
      </c>
      <c r="L5" s="15" t="s">
        <v>5</v>
      </c>
      <c r="M5" s="11"/>
      <c r="N5" s="11"/>
      <c r="O5" s="11"/>
      <c r="P5" s="11"/>
      <c r="Q5" s="11"/>
      <c r="R5" s="16">
        <f ca="1">$B$2</f>
        <v>36601</v>
      </c>
      <c r="S5" s="17">
        <f ca="1">VLOOKUP($R5,[2]NWP_PGT_DAILY!$A$5:$AX$1000,44)/1000</f>
        <v>2377.65907854329</v>
      </c>
      <c r="T5" s="11"/>
      <c r="U5" s="11"/>
      <c r="V5" s="18" t="s">
        <v>6</v>
      </c>
      <c r="W5" s="11"/>
      <c r="X5" s="11"/>
      <c r="Z5" s="19" t="s">
        <v>7</v>
      </c>
      <c r="AA5" s="19" t="s">
        <v>8</v>
      </c>
      <c r="AC5" s="11"/>
    </row>
    <row r="6" spans="1:37" ht="15.75" x14ac:dyDescent="0.25">
      <c r="B6" s="12"/>
      <c r="C6" s="20" t="s">
        <v>9</v>
      </c>
      <c r="D6" s="15" t="s">
        <v>10</v>
      </c>
      <c r="E6" s="15" t="s">
        <v>11</v>
      </c>
      <c r="F6" s="11"/>
      <c r="G6" s="11"/>
      <c r="H6" s="11"/>
      <c r="J6" s="16">
        <f ca="1">$B$2</f>
        <v>36601</v>
      </c>
      <c r="K6" s="21">
        <f ca="1">VLOOKUP($J$6,[2]NWP_PGT_DAILY!$A$5:$AX$1000,11)/1000</f>
        <v>31.704000000000001</v>
      </c>
      <c r="L6" s="17">
        <f ca="1">VLOOKUP($J$6,[2]NWP_PGT_DAILY!$A$5:$AX$1000,12)/1000</f>
        <v>5762.4639999999999</v>
      </c>
      <c r="M6" s="11"/>
      <c r="N6" s="11"/>
      <c r="O6" s="11"/>
      <c r="P6" s="11"/>
      <c r="Q6" s="11"/>
      <c r="R6" s="16">
        <f ca="1">$B$2-1</f>
        <v>36600</v>
      </c>
      <c r="S6" s="17">
        <f ca="1">VLOOKUP($R6,[2]NWP_PGT_DAILY!$A$5:$BK$1000,44)/1000</f>
        <v>2315.4655639221237</v>
      </c>
      <c r="T6" s="11"/>
      <c r="U6" s="11"/>
      <c r="V6" s="22" t="s">
        <v>12</v>
      </c>
      <c r="W6" s="23" t="s">
        <v>13</v>
      </c>
      <c r="X6" s="24" t="s">
        <v>14</v>
      </c>
      <c r="Y6" s="24" t="s">
        <v>15</v>
      </c>
      <c r="Z6" s="25" t="s">
        <v>16</v>
      </c>
      <c r="AA6" s="26" t="s">
        <v>17</v>
      </c>
      <c r="AB6" s="23" t="s">
        <v>18</v>
      </c>
      <c r="AE6" s="27" t="s">
        <v>19</v>
      </c>
    </row>
    <row r="7" spans="1:37" ht="14.25" x14ac:dyDescent="0.2">
      <c r="B7" s="16">
        <f ca="1">$B$2</f>
        <v>36601</v>
      </c>
      <c r="C7" s="28">
        <f ca="1">VLOOKUP(B7,[2]NWP_PGT_DAILY!$A$5:$AX$1000,2)/1000</f>
        <v>772.97299999999996</v>
      </c>
      <c r="D7" s="17">
        <f ca="1">VLOOKUP(B7,[2]NWP_PGT_DAILY!$A$5:$AX$1000,5)/1000</f>
        <v>0</v>
      </c>
      <c r="E7" s="17">
        <f ca="1">SUM(C7:D7)</f>
        <v>772.97299999999996</v>
      </c>
      <c r="F7" s="11"/>
      <c r="G7" s="11"/>
      <c r="H7" s="11"/>
      <c r="J7" s="16">
        <f ca="1">$B$2-1</f>
        <v>36600</v>
      </c>
      <c r="K7" s="21">
        <f ca="1">VLOOKUP($J$7,[2]NWP_PGT_DAILY!$A$5:$AX$1000,11)/1000</f>
        <v>114.425</v>
      </c>
      <c r="L7" s="17">
        <f ca="1">VLOOKUP($J$7,[2]NWP_PGT_DAILY!$A$5:$AX$1000,12)/1000</f>
        <v>5794.1679999999997</v>
      </c>
      <c r="M7" s="11"/>
      <c r="N7" s="12" t="s">
        <v>20</v>
      </c>
      <c r="O7" s="29"/>
      <c r="Q7" s="11"/>
      <c r="R7" s="30" t="s">
        <v>21</v>
      </c>
      <c r="S7" s="17">
        <f ca="1">SUMIF([2]NWP_PGT_DAILY!$BP$5:$BP$1001,$AK$3,[2]NWP_PGT_DAILY!$AR$5:$AR$1001)/COUNTIF([2]NWP_PGT_DAILY!$BP$5:$BP$1001,$AK$3)/1000</f>
        <v>2350.627872584661</v>
      </c>
      <c r="T7" s="11"/>
      <c r="U7" s="11"/>
      <c r="V7" s="31" t="s">
        <v>22</v>
      </c>
      <c r="W7" s="3" t="s">
        <v>23</v>
      </c>
      <c r="X7" s="32">
        <v>36600</v>
      </c>
      <c r="Y7" s="32">
        <v>36604</v>
      </c>
      <c r="Z7" s="33"/>
      <c r="AA7" s="34">
        <v>130</v>
      </c>
      <c r="AB7" t="s">
        <v>24</v>
      </c>
      <c r="AE7" t="s">
        <v>25</v>
      </c>
    </row>
    <row r="8" spans="1:37" ht="14.25" x14ac:dyDescent="0.2">
      <c r="B8" s="16">
        <f ca="1">$B$2-1</f>
        <v>36600</v>
      </c>
      <c r="C8" s="28">
        <f ca="1">VLOOKUP(B8,[2]NWP_PGT_DAILY!$A$5:$AX$1000,2)/1000</f>
        <v>795.65800000000002</v>
      </c>
      <c r="D8" s="17">
        <f ca="1">VLOOKUP(B8,[2]NWP_PGT_DAILY!$A$5:$AX$1000,5)/1000</f>
        <v>0</v>
      </c>
      <c r="E8" s="17">
        <f ca="1">SUM(C8:D8)</f>
        <v>795.65800000000002</v>
      </c>
      <c r="F8" s="11"/>
      <c r="G8" s="11"/>
      <c r="H8" s="11"/>
      <c r="J8" s="30" t="s">
        <v>21</v>
      </c>
      <c r="K8" s="21">
        <f ca="1">SUMIF([2]NWP_PGT_DAILY!$BP$5:$BP$1001,$AK$3,[2]NWP_PGT_DAILY!$K$5:$K$1001)/COUNTIF([2]NWP_PGT_DAILY!$BP$5:$BP$1001,$AK$3)/1000</f>
        <v>78.531285714285715</v>
      </c>
      <c r="L8" s="35" t="s">
        <v>26</v>
      </c>
      <c r="M8" s="11"/>
      <c r="N8" s="16">
        <f ca="1">$B$2</f>
        <v>36601</v>
      </c>
      <c r="O8" s="17">
        <f>C110</f>
        <v>102.20699999999999</v>
      </c>
      <c r="Q8" s="11"/>
      <c r="R8" s="36">
        <f ca="1">DATE(YEAR($B$2),MONTH($B$2),DAY(R9)-1)</f>
        <v>36585</v>
      </c>
      <c r="S8" s="17">
        <f ca="1">VLOOKUP(R8,'[2]WestCoast Historicals'!$D$40:$AD$70,18)/1000</f>
        <v>2529.1177968298148</v>
      </c>
      <c r="T8" s="11"/>
      <c r="U8" s="11"/>
      <c r="V8" s="31" t="s">
        <v>22</v>
      </c>
      <c r="W8" s="3" t="s">
        <v>27</v>
      </c>
      <c r="X8" s="32">
        <v>36604</v>
      </c>
      <c r="Y8" s="32">
        <v>36606</v>
      </c>
      <c r="Z8" s="33"/>
      <c r="AA8" s="34">
        <v>130</v>
      </c>
      <c r="AB8" t="s">
        <v>28</v>
      </c>
      <c r="AE8" t="s">
        <v>29</v>
      </c>
      <c r="AG8" s="37"/>
    </row>
    <row r="9" spans="1:37" ht="14.25" x14ac:dyDescent="0.2">
      <c r="B9" s="30" t="s">
        <v>21</v>
      </c>
      <c r="C9" s="38">
        <f ca="1">SUMIF([2]NWP_PGT_DAILY!$BP$5:$BP$1001,$AK$3,[2]NWP_PGT_DAILY!$B$5:$B$1001)/COUNTIF([2]NWP_PGT_DAILY!$BP$5:$BP$1001,$AK$3)/1000</f>
        <v>881.41399999999999</v>
      </c>
      <c r="D9" s="39">
        <f ca="1">SUMIF([2]NWP_PGT_DAILY!$BP$5:$BP$1001,$AK$3,[2]NWP_PGT_DAILY!$E$5:$E$1001)/COUNTIF([2]NWP_PGT_DAILY!$BP$5:$BP$1001,$AK$3)/1000</f>
        <v>-1.0907142857142857</v>
      </c>
      <c r="E9" s="17">
        <f ca="1">SUM(C9:D9)</f>
        <v>880.3232857142857</v>
      </c>
      <c r="F9" s="11"/>
      <c r="G9" s="11"/>
      <c r="H9" s="11"/>
      <c r="J9" s="36">
        <f ca="1">DATE(YEAR($B$2),MONTH($B$2),DAY(J10)-1)</f>
        <v>36585</v>
      </c>
      <c r="K9" s="28">
        <f ca="1">VLOOKUP(J9,'[2]WestCoast Historicals'!$D$68:$AF$70,29)/1000</f>
        <v>82.091862068965526</v>
      </c>
      <c r="L9" s="40">
        <f ca="1">VLOOKUP(J9,'[2]WestCoast Historicals'!$D$40:$AD$70,15)/1000</f>
        <v>11311.027</v>
      </c>
      <c r="M9" s="11"/>
      <c r="N9" s="41">
        <f ca="1">$B$2-1</f>
        <v>36600</v>
      </c>
      <c r="O9" s="42">
        <f>D110</f>
        <v>79.582999999999998</v>
      </c>
      <c r="Q9" s="11"/>
      <c r="R9" s="36">
        <f ca="1">DATE(YEAR($B$2)-1,MONTH($B$2),1)</f>
        <v>36220</v>
      </c>
      <c r="S9" s="17">
        <f ca="1">VLOOKUP(R9,'[2]WestCoast Historicals'!$D$40:$AD$70,18)/1000</f>
        <v>2084.6186274509801</v>
      </c>
      <c r="T9" s="11"/>
      <c r="U9" s="11"/>
      <c r="V9" s="43" t="s">
        <v>30</v>
      </c>
      <c r="W9" s="43"/>
      <c r="X9" s="44">
        <v>36606</v>
      </c>
      <c r="Y9" s="44">
        <v>36609</v>
      </c>
      <c r="Z9" s="45">
        <f>310/400</f>
        <v>0.77500000000000002</v>
      </c>
      <c r="AA9" s="46">
        <v>90</v>
      </c>
      <c r="AB9" s="47" t="s">
        <v>31</v>
      </c>
      <c r="AE9" s="47"/>
    </row>
    <row r="10" spans="1:37" ht="14.25" x14ac:dyDescent="0.2">
      <c r="B10" s="36">
        <f ca="1">DATE(YEAR($B$2),MONTH($B$2),DAY(B11)-1)</f>
        <v>36585</v>
      </c>
      <c r="D10" s="48"/>
      <c r="E10" s="49">
        <f ca="1">VLOOKUP(B10,'[2]WestCoast Historicals'!$D$68:$AD$70,2)/1000</f>
        <v>901.51575862068967</v>
      </c>
      <c r="F10" s="11"/>
      <c r="G10" s="11"/>
      <c r="H10" s="11"/>
      <c r="J10" s="36">
        <f ca="1">DATE(YEAR($B$2)-1,MONTH($B$2),1)</f>
        <v>36220</v>
      </c>
      <c r="K10" s="28">
        <f ca="1">-(VLOOKUP(J10,'[2]WestCoast Historicals'!$D$40:$AF$70,15)-VLOOKUP($B$3,'[2]WestCoast Historicals'!$D$45:$S$70,15))/(C3-B11)/1000</f>
        <v>79.221451612903223</v>
      </c>
      <c r="L10" s="40">
        <f ca="1">VLOOKUP(J10,'[2]WestCoast Historicals'!$D$40:$AD$70,15)/1000</f>
        <v>7242.5870000000004</v>
      </c>
      <c r="M10" s="11"/>
      <c r="N10" s="11"/>
      <c r="O10" s="11"/>
      <c r="P10" s="50" t="s">
        <v>32</v>
      </c>
      <c r="Q10" s="11"/>
      <c r="R10" s="51">
        <f ca="1">DATE(YEAR($B$2)-2,MONTH($B$2),1)</f>
        <v>35855</v>
      </c>
      <c r="S10" s="42">
        <f ca="1">VLOOKUP(R10,'[2]WestCoast Historicals'!$D$40:$AD$70,18)/1000</f>
        <v>2589.4990253411297</v>
      </c>
      <c r="T10" s="11"/>
      <c r="U10" s="11"/>
      <c r="V10" s="11"/>
      <c r="W10" s="11"/>
      <c r="X10" s="11"/>
      <c r="Y10" s="11"/>
      <c r="Z10" s="11"/>
      <c r="AA10" s="11"/>
      <c r="AB10" s="47" t="s">
        <v>33</v>
      </c>
      <c r="AE10" s="11"/>
    </row>
    <row r="11" spans="1:37" ht="14.25" x14ac:dyDescent="0.2">
      <c r="B11" s="36">
        <f ca="1">DATE(YEAR($B$2)-1,MONTH($B$2),1)</f>
        <v>36220</v>
      </c>
      <c r="C11" s="11"/>
      <c r="D11" s="52"/>
      <c r="E11" s="17">
        <f ca="1">VLOOKUP($B$11,'[2]NWP-PGT_HIST'!$A$5:$Y$32,'[2]NWP-PGT_HIST'!$B$1)/1000</f>
        <v>946.87064516129033</v>
      </c>
      <c r="F11" s="11"/>
      <c r="I11" s="11"/>
      <c r="J11" s="36">
        <f ca="1">DATE(YEAR($B$2)-2,MONTH($B$2),1)</f>
        <v>35855</v>
      </c>
      <c r="K11" s="53">
        <f ca="1">-(VLOOKUP(J11,'[2]WestCoast Historicals'!$D$40:$AF$70,15)-VLOOKUP($B$4,'[2]WestCoast Historicals'!$D$45:$S$70,15))/(C4-B12)/1000</f>
        <v>132.82016129032257</v>
      </c>
      <c r="L11" s="54">
        <f ca="1">VLOOKUP(J11,'[2]WestCoast Historicals'!$D$40:$AD$70,15)/1000</f>
        <v>4702.3959999999997</v>
      </c>
      <c r="M11" s="11"/>
      <c r="N11" s="11"/>
      <c r="O11" s="8"/>
      <c r="P11" s="55">
        <f ca="1">$B$2</f>
        <v>36601</v>
      </c>
      <c r="Q11" s="56">
        <f ca="1">VLOOKUP(P11,[2]NWP_PGT_DAILY!$A$1:$BL$65536,[2]NWP_PGT_DAILY!$BB$1)/1000</f>
        <v>0</v>
      </c>
      <c r="R11" s="57" t="s">
        <v>34</v>
      </c>
      <c r="S11" s="58">
        <f ca="1">VLOOKUP(R5,[2]PGT_Capabilites!A2:F1258,2)/1000</f>
        <v>2708.9181735483612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37" ht="14.25" x14ac:dyDescent="0.2">
      <c r="B12" s="36">
        <f ca="1">DATE(YEAR($B$2)-2,MONTH($B$2),1)</f>
        <v>35855</v>
      </c>
      <c r="C12" s="11"/>
      <c r="D12" s="52"/>
      <c r="E12" s="17">
        <f ca="1">VLOOKUP($B$12,'[2]NWP-PGT_HIST'!$A$5:$Y$32,'[2]NWP-PGT_HIST'!$B$1)/1000</f>
        <v>987.49578125000005</v>
      </c>
      <c r="F12" s="11"/>
      <c r="I12" s="11"/>
      <c r="J12" s="59" t="s">
        <v>35</v>
      </c>
      <c r="K12" s="60"/>
      <c r="L12" s="61">
        <v>18000</v>
      </c>
      <c r="M12" s="11"/>
      <c r="N12" s="11"/>
      <c r="O12" s="8"/>
      <c r="P12" s="55">
        <f ca="1">$B$2-1</f>
        <v>36600</v>
      </c>
      <c r="Q12" s="56">
        <f ca="1">VLOOKUP(P12,[2]NWP_PGT_DAILY!$A$1:$BL$65536,[2]NWP_PGT_DAILY!$BB$1)/1000</f>
        <v>0</v>
      </c>
      <c r="R12" s="62">
        <f ca="1">R9</f>
        <v>36220</v>
      </c>
      <c r="S12" s="21">
        <f ca="1">S5-S9</f>
        <v>293.04045109230992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37" ht="14.25" x14ac:dyDescent="0.2">
      <c r="A13" s="11"/>
      <c r="B13" s="57" t="s">
        <v>34</v>
      </c>
      <c r="C13" s="63">
        <v>1181</v>
      </c>
      <c r="D13" s="64">
        <v>266</v>
      </c>
      <c r="E13" s="65">
        <f>C13+D13</f>
        <v>1447</v>
      </c>
      <c r="F13" s="11"/>
      <c r="H13" s="66" t="s">
        <v>36</v>
      </c>
      <c r="I13" s="66"/>
      <c r="J13" s="67" t="s">
        <v>37</v>
      </c>
      <c r="K13" s="68"/>
      <c r="L13" s="69"/>
      <c r="M13" s="11"/>
      <c r="N13" s="11"/>
      <c r="O13" s="10"/>
      <c r="P13" s="2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37" ht="14.25" x14ac:dyDescent="0.2">
      <c r="A14" s="11"/>
      <c r="B14" s="11"/>
      <c r="C14" s="11"/>
      <c r="D14" s="10"/>
      <c r="G14" s="11"/>
      <c r="H14" s="70">
        <f ca="1">B2</f>
        <v>36601</v>
      </c>
      <c r="I14" s="71">
        <f>L108</f>
        <v>-230.04099999999997</v>
      </c>
      <c r="J14" s="62">
        <f ca="1">J10</f>
        <v>36220</v>
      </c>
      <c r="K14" s="72">
        <f ca="1">K6-K10</f>
        <v>-47.517451612903223</v>
      </c>
      <c r="L14" s="21"/>
      <c r="M14" s="11"/>
      <c r="N14" s="11"/>
      <c r="O14" s="73"/>
      <c r="P14" s="2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37" ht="14.25" x14ac:dyDescent="0.2">
      <c r="A15" s="11"/>
      <c r="B15" s="11"/>
      <c r="C15" s="11"/>
      <c r="D15" s="10"/>
      <c r="G15" s="11"/>
      <c r="H15" s="74">
        <f ca="1">H14-1</f>
        <v>36600</v>
      </c>
      <c r="I15" s="71">
        <f>M108</f>
        <v>-204.172</v>
      </c>
      <c r="L15" s="11"/>
      <c r="M15" s="11"/>
      <c r="N15" s="11"/>
      <c r="O15" s="73"/>
      <c r="P15" s="2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37" ht="15" x14ac:dyDescent="0.25">
      <c r="A16" s="11"/>
      <c r="B16" s="11"/>
      <c r="C16" s="75"/>
      <c r="D16" s="10"/>
      <c r="F16" s="12"/>
      <c r="G16" s="15" t="s">
        <v>38</v>
      </c>
      <c r="H16" s="76">
        <f ca="1">F21</f>
        <v>36220</v>
      </c>
      <c r="I16" s="71">
        <f>C113</f>
        <v>-165.11290322580649</v>
      </c>
      <c r="L16" s="11"/>
      <c r="M16" s="11"/>
      <c r="N16" s="66" t="s">
        <v>39</v>
      </c>
      <c r="O16" s="66"/>
      <c r="P16" s="77"/>
      <c r="Q16" s="11"/>
      <c r="R16" s="11"/>
      <c r="S16" s="12"/>
      <c r="T16" s="13" t="s">
        <v>40</v>
      </c>
      <c r="U16" s="78"/>
      <c r="V16" s="11"/>
      <c r="W16" s="11"/>
      <c r="X16" s="11"/>
      <c r="Y16" s="11"/>
      <c r="Z16" s="11"/>
      <c r="AA16" s="11"/>
      <c r="AB16" s="11"/>
      <c r="AC16" s="11"/>
    </row>
    <row r="17" spans="1:29" ht="14.25" x14ac:dyDescent="0.2">
      <c r="A17" s="11"/>
      <c r="B17" s="11"/>
      <c r="C17" s="11"/>
      <c r="D17" s="10"/>
      <c r="F17" s="16">
        <f ca="1">$B$2</f>
        <v>36601</v>
      </c>
      <c r="G17" s="40">
        <f ca="1">VLOOKUP(F17,[2]NWP_PGT_DAILY!$A$5:$AX$1000,8)/1000</f>
        <v>279.92</v>
      </c>
      <c r="H17" s="62">
        <f ca="1">H16</f>
        <v>36220</v>
      </c>
      <c r="I17" s="71">
        <f>I16-I14</f>
        <v>64.928096774193477</v>
      </c>
      <c r="L17" s="11"/>
      <c r="M17" s="11"/>
      <c r="N17" s="74">
        <f ca="1">TODAY()</f>
        <v>36601</v>
      </c>
      <c r="O17" s="71">
        <f>C111</f>
        <v>-160.1810000000001</v>
      </c>
      <c r="P17" s="11"/>
      <c r="Q17" s="11"/>
      <c r="R17" s="11"/>
      <c r="S17" s="16">
        <f ca="1">$B$2</f>
        <v>36601</v>
      </c>
      <c r="T17" s="17">
        <f ca="1">VLOOKUP($S17,[2]NWP_PGT_DAILY!$A$5:$BL$1000,52)/1000</f>
        <v>-142.14211090416683</v>
      </c>
      <c r="U17" s="21"/>
      <c r="V17" s="11"/>
      <c r="W17" s="11"/>
      <c r="X17" s="11"/>
      <c r="Y17" s="11"/>
      <c r="Z17" s="11"/>
      <c r="AA17" s="11"/>
      <c r="AB17" s="11"/>
      <c r="AC17" s="11"/>
    </row>
    <row r="18" spans="1:29" ht="14.25" x14ac:dyDescent="0.2">
      <c r="A18" s="11"/>
      <c r="B18" s="11"/>
      <c r="C18" s="11"/>
      <c r="D18" s="10"/>
      <c r="F18" s="16">
        <f ca="1">$B$2-1</f>
        <v>36600</v>
      </c>
      <c r="G18" s="40">
        <f ca="1">VLOOKUP(F18,[2]NWP_PGT_DAILY!$A$5:$AX$1000,8)/1000</f>
        <v>255.191</v>
      </c>
      <c r="H18" s="11"/>
      <c r="L18" s="11"/>
      <c r="M18" s="11"/>
      <c r="N18" s="74">
        <f ca="1">N17-1</f>
        <v>36600</v>
      </c>
      <c r="O18" s="71">
        <f>D111</f>
        <v>-164.041</v>
      </c>
      <c r="P18" s="11"/>
      <c r="Q18" s="11"/>
      <c r="R18" s="11"/>
      <c r="S18" s="16">
        <f ca="1">$B$2-1</f>
        <v>36600</v>
      </c>
      <c r="T18" s="17">
        <f ca="1">VLOOKUP($S18,[2]NWP_PGT_DAILY!$A$5:$BL$1000,52)/1000</f>
        <v>-121.54621617643959</v>
      </c>
      <c r="U18" s="21"/>
      <c r="V18" s="11"/>
      <c r="W18" s="11"/>
      <c r="X18" s="11"/>
      <c r="Y18" s="11"/>
      <c r="Z18" s="11"/>
      <c r="AA18" s="11"/>
      <c r="AB18" s="11"/>
      <c r="AC18" s="11"/>
    </row>
    <row r="19" spans="1:29" ht="14.25" x14ac:dyDescent="0.2">
      <c r="A19" s="11"/>
      <c r="B19" s="11"/>
      <c r="C19" s="11"/>
      <c r="D19" s="10"/>
      <c r="F19" s="30" t="s">
        <v>21</v>
      </c>
      <c r="G19" s="40">
        <f ca="1">SUMIF([2]NWP_PGT_DAILY!$BP$5:$BP$1001,$AK$3,[2]NWP_PGT_DAILY!$H$5:$H$1001)/COUNTIF([2]NWP_PGT_DAILY!$BP$5:$BP$1001,$AK$3)/1000</f>
        <v>317.22628571428572</v>
      </c>
      <c r="H19" s="11"/>
      <c r="I19" s="11"/>
      <c r="K19" s="12"/>
      <c r="L19" s="15" t="s">
        <v>41</v>
      </c>
      <c r="M19" s="11"/>
      <c r="P19" s="11"/>
      <c r="Q19" s="11"/>
      <c r="R19" s="11"/>
      <c r="S19" s="30" t="s">
        <v>21</v>
      </c>
      <c r="T19" s="17">
        <f ca="1">SUMIF([2]NWP_PGT_DAILY!$BP$5:$BP$1001,$AK$3,[2]NWP_PGT_DAILY!$AZ$5:$AZ$1001)/COUNTIF([2]NWP_PGT_DAILY!$BP$5:$BP$1001,$AK$3)/1000</f>
        <v>-153.41115253035116</v>
      </c>
      <c r="U19" s="21"/>
      <c r="V19" s="11"/>
      <c r="W19" s="11"/>
      <c r="X19" s="11"/>
      <c r="Y19" s="11"/>
      <c r="Z19" s="11"/>
      <c r="AA19" s="11"/>
      <c r="AB19" s="11"/>
      <c r="AC19" s="11"/>
    </row>
    <row r="20" spans="1:29" ht="14.25" x14ac:dyDescent="0.2">
      <c r="B20" s="11"/>
      <c r="C20" s="11"/>
      <c r="D20" s="10"/>
      <c r="F20" s="36">
        <f ca="1">DATE(YEAR($B$2),MONTH($B$2),DAY(F21)-1)</f>
        <v>36585</v>
      </c>
      <c r="G20" s="17">
        <f ca="1">VLOOKUP(F20,'[2]WestCoast Historicals'!$D$68:$AD$70,3)/1000</f>
        <v>308.88855172413793</v>
      </c>
      <c r="H20" s="11"/>
      <c r="I20" s="11"/>
      <c r="K20" s="16">
        <f ca="1">$B$2</f>
        <v>36601</v>
      </c>
      <c r="L20" s="17">
        <f ca="1">VLOOKUP($K$20,[2]NWP_PGT_DAILY!$A$5:$AX$1000,18)/1000</f>
        <v>-266.83600000000001</v>
      </c>
      <c r="M20" s="11"/>
      <c r="N20" s="74"/>
      <c r="P20" s="11"/>
      <c r="Q20" s="11"/>
      <c r="R20" s="11"/>
      <c r="S20" s="36">
        <f ca="1">DATE(YEAR($B$2),MONTH($B$2),DAY(S21)-1)</f>
        <v>36585</v>
      </c>
      <c r="T20" s="17">
        <f ca="1">-VLOOKUP(S20,'[2]WestCoast Historicals'!$D$40:$AD$70,20)/1000</f>
        <v>-172.90125927280582</v>
      </c>
      <c r="U20" s="21"/>
      <c r="V20" s="11"/>
      <c r="W20" s="11"/>
      <c r="X20" s="11"/>
      <c r="Y20" s="11"/>
      <c r="Z20" s="11"/>
      <c r="AA20" s="11"/>
      <c r="AB20" s="11"/>
      <c r="AC20" s="11"/>
    </row>
    <row r="21" spans="1:29" ht="14.25" x14ac:dyDescent="0.2">
      <c r="A21" s="11"/>
      <c r="B21" s="11"/>
      <c r="C21" s="11"/>
      <c r="D21" s="10"/>
      <c r="F21" s="36">
        <f ca="1">DATE(YEAR($B$2)-1,MONTH($B$2),1)</f>
        <v>36220</v>
      </c>
      <c r="G21" s="40">
        <f ca="1">VLOOKUP($F$21,'[2]NWP-PGT_HIST'!$A$5:$Y$32,'[2]NWP-PGT_HIST'!$D$1)/1000</f>
        <v>416.23483870967738</v>
      </c>
      <c r="H21" s="11"/>
      <c r="I21" s="11"/>
      <c r="K21" s="16">
        <f ca="1">$B$2-1</f>
        <v>36600</v>
      </c>
      <c r="L21" s="17">
        <f ca="1">VLOOKUP($K$21,[2]NWP_PGT_DAILY!$A$5:$AX$1000,18)/1000</f>
        <v>-161.166</v>
      </c>
      <c r="M21" s="11"/>
      <c r="N21" s="11"/>
      <c r="O21" s="11"/>
      <c r="P21" s="11"/>
      <c r="Q21" s="66" t="s">
        <v>42</v>
      </c>
      <c r="R21" s="66"/>
      <c r="S21" s="36">
        <f ca="1">DATE(YEAR($B$2)-1,MONTH($B$2),1)</f>
        <v>36220</v>
      </c>
      <c r="T21" s="17">
        <f ca="1">VLOOKUP($S$21,'[2]NWP-PGT_HIST'!A5:$Y$32,'[2]NWP-PGT_HIST'!$Q$1)/1000+VLOOKUP($S$21,'[2]NWP-PGT_HIST'!A5:$Y$32,'[2]NWP-PGT_HIST'!$R$1)/1000</f>
        <v>-163.74829222011385</v>
      </c>
      <c r="U21" s="21"/>
      <c r="V21" s="11"/>
      <c r="W21" s="11"/>
      <c r="X21" s="11"/>
      <c r="Y21" s="11"/>
      <c r="Z21" s="11"/>
      <c r="AA21" s="11"/>
      <c r="AB21" s="11"/>
      <c r="AC21" s="11"/>
    </row>
    <row r="22" spans="1:29" ht="14.25" x14ac:dyDescent="0.2">
      <c r="A22" s="11"/>
      <c r="B22" s="11"/>
      <c r="C22" s="11"/>
      <c r="D22" s="10"/>
      <c r="F22" s="36">
        <f ca="1">DATE(YEAR($B$2)-2,MONTH($B$2),1)</f>
        <v>35855</v>
      </c>
      <c r="G22" s="40">
        <f ca="1">VLOOKUP($F$22,'[2]NWP-PGT_HIST'!$A$5:$Y$32,'[2]NWP-PGT_HIST'!$D$1)/1000</f>
        <v>528.80987500000003</v>
      </c>
      <c r="H22" s="11"/>
      <c r="I22" s="11"/>
      <c r="K22" s="30" t="s">
        <v>21</v>
      </c>
      <c r="L22" s="39">
        <f ca="1">SUMIF([2]NWP_PGT_DAILY!$BP$5:$BP$1001,$AK$3,[2]NWP_PGT_DAILY!$R$5:$R$1001)/COUNTIF([2]NWP_PGT_DAILY!$BP$5:$BP$1001,$AK$3)/1000</f>
        <v>-167.09664285714288</v>
      </c>
      <c r="N22" s="11"/>
      <c r="O22" s="11"/>
      <c r="P22" s="11"/>
      <c r="Q22" s="74">
        <f ca="1">TODAY()</f>
        <v>36601</v>
      </c>
      <c r="R22" s="71">
        <f ca="1">I108</f>
        <v>-43.058609470184436</v>
      </c>
      <c r="S22" s="51">
        <f ca="1">DATE(YEAR($B$2)-2,MONTH($B$2),1)</f>
        <v>35855</v>
      </c>
      <c r="T22" s="17">
        <f ca="1">VLOOKUP($S$22,'[2]NWP-PGT_HIST'!A6:$Y$32,'[2]NWP-PGT_HIST'!$Q$1)/1000+VLOOKUP($S$22,'[2]NWP-PGT_HIST'!A6:$Y$32,'[2]NWP-PGT_HIST'!$R$1)/1000</f>
        <v>-168.67135131736151</v>
      </c>
      <c r="U22" s="21"/>
      <c r="V22" s="11"/>
      <c r="W22" s="11"/>
      <c r="X22" s="11"/>
      <c r="Y22" s="11"/>
      <c r="Z22" s="11"/>
      <c r="AA22" s="11"/>
      <c r="AB22" s="11"/>
      <c r="AC22" s="11"/>
    </row>
    <row r="23" spans="1:29" ht="14.25" x14ac:dyDescent="0.2">
      <c r="A23" s="11"/>
      <c r="B23" s="11"/>
      <c r="C23" s="11"/>
      <c r="D23" s="10"/>
      <c r="E23" s="8"/>
      <c r="F23" s="79" t="s">
        <v>43</v>
      </c>
      <c r="G23" s="80">
        <v>700</v>
      </c>
      <c r="H23" s="66"/>
      <c r="I23" s="11"/>
      <c r="J23" s="11"/>
      <c r="K23" s="36">
        <f ca="1">DATE(YEAR($B$2),MONTH($B$2),DAY(K24)-1)</f>
        <v>36585</v>
      </c>
      <c r="L23" s="17">
        <f ca="1">VLOOKUP(K23,'[2]WestCoast Historicals'!$D$68:$AD$70,5)/1000</f>
        <v>-265.9705862068966</v>
      </c>
      <c r="M23" s="11"/>
      <c r="N23" s="11"/>
      <c r="O23" s="11"/>
      <c r="P23" s="11"/>
      <c r="Q23" s="74">
        <f ca="1">Q22-1</f>
        <v>36600</v>
      </c>
      <c r="R23" s="71">
        <f ca="1">J108</f>
        <v>-43.058609470184436</v>
      </c>
      <c r="S23" s="57" t="s">
        <v>34</v>
      </c>
      <c r="T23" s="81">
        <v>-233</v>
      </c>
      <c r="U23" s="77"/>
      <c r="V23" s="11"/>
      <c r="W23" s="11"/>
      <c r="X23" s="11"/>
      <c r="Y23" s="11"/>
      <c r="Z23" s="11"/>
      <c r="AA23" s="11"/>
      <c r="AB23" s="11"/>
      <c r="AC23" s="11"/>
    </row>
    <row r="24" spans="1:29" ht="14.25" x14ac:dyDescent="0.2">
      <c r="A24" s="11"/>
      <c r="E24" s="10"/>
      <c r="F24" s="82" t="s">
        <v>44</v>
      </c>
      <c r="G24" s="83">
        <v>-500</v>
      </c>
      <c r="H24" s="21"/>
      <c r="J24" s="11"/>
      <c r="K24" s="36">
        <f ca="1">DATE(YEAR($B$2)-1,MONTH($B$2),1)</f>
        <v>36220</v>
      </c>
      <c r="L24" s="17">
        <f ca="1">VLOOKUP(K24,'[2]NWP-PGT_HIST'!$A$5:$Y$32,'[2]NWP-PGT_HIST'!$F$1)/1000</f>
        <v>-50.873516129032261</v>
      </c>
      <c r="N24" s="11"/>
      <c r="O24" s="11"/>
      <c r="P24" s="11"/>
      <c r="Q24" s="84" t="s">
        <v>45</v>
      </c>
      <c r="R24" s="84"/>
      <c r="S24" s="62">
        <f ca="1">S21</f>
        <v>36220</v>
      </c>
      <c r="T24" s="21">
        <f ca="1">T21-T17</f>
        <v>-21.606181315947026</v>
      </c>
      <c r="U24" s="21"/>
      <c r="V24" s="11"/>
      <c r="W24" s="11"/>
      <c r="X24" s="11"/>
      <c r="Y24" s="11"/>
      <c r="Z24" s="11"/>
      <c r="AA24" s="11"/>
      <c r="AB24" s="11"/>
      <c r="AC24" s="11"/>
    </row>
    <row r="25" spans="1:29" ht="14.25" x14ac:dyDescent="0.2">
      <c r="A25" s="11"/>
      <c r="E25" s="11"/>
      <c r="F25" s="62">
        <f ca="1">F21</f>
        <v>36220</v>
      </c>
      <c r="G25" s="72">
        <f ca="1">G17-G21</f>
        <v>-136.31483870967736</v>
      </c>
      <c r="H25" s="21"/>
      <c r="J25" s="11"/>
      <c r="K25" s="51">
        <f ca="1">DATE(YEAR($B$2)-2,MONTH($B$2),1)</f>
        <v>35855</v>
      </c>
      <c r="L25" s="17">
        <f ca="1">VLOOKUP(K25,'[2]NWP-PGT_HIST'!$A$5:$Y$32,'[2]NWP-PGT_HIST'!$F$1)/1000</f>
        <v>130.38184375</v>
      </c>
      <c r="M25" s="11"/>
      <c r="N25" s="11"/>
      <c r="O25" s="11"/>
      <c r="P25" s="11"/>
      <c r="Q25" s="74">
        <f ca="1">Q22</f>
        <v>36601</v>
      </c>
      <c r="R25" s="71">
        <f ca="1">-0.024*S5</f>
        <v>-57.063817885038958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4.25" x14ac:dyDescent="0.2">
      <c r="A26" s="11"/>
      <c r="E26" s="11"/>
      <c r="F26" s="11"/>
      <c r="H26" s="66" t="s">
        <v>46</v>
      </c>
      <c r="I26" s="66"/>
      <c r="K26" s="79" t="s">
        <v>43</v>
      </c>
      <c r="L26" s="80">
        <v>400</v>
      </c>
      <c r="O26" s="11"/>
      <c r="P26" s="11"/>
      <c r="Q26" s="74">
        <f ca="1">Q23</f>
        <v>36600</v>
      </c>
      <c r="R26" s="71">
        <f ca="1">-0.024*S6</f>
        <v>-55.57117353413097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4.25" x14ac:dyDescent="0.2">
      <c r="A27" s="11"/>
      <c r="D27" s="1"/>
      <c r="E27" s="11"/>
      <c r="F27" s="11"/>
      <c r="H27" s="8">
        <f ca="1">$B$2</f>
        <v>36601</v>
      </c>
      <c r="I27" s="21">
        <f ca="1">VLOOKUP($H$27,[2]NWP_PGT_DAILY!$A$5:$AX$1000,15)/1000</f>
        <v>-270.87900000000002</v>
      </c>
      <c r="K27" s="82" t="s">
        <v>44</v>
      </c>
      <c r="L27" s="83">
        <v>-449</v>
      </c>
      <c r="O27" s="11"/>
      <c r="P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4.25" x14ac:dyDescent="0.2">
      <c r="A28" s="11"/>
      <c r="D28" s="1"/>
      <c r="E28" s="11"/>
      <c r="F28" s="11"/>
      <c r="H28" s="8">
        <f ca="1">$B$2-1</f>
        <v>36600</v>
      </c>
      <c r="I28" s="21">
        <f ca="1">VLOOKUP($H$28,[2]NWP_PGT_DAILY!$A$5:$AX$1000,15)/1000</f>
        <v>-245.584</v>
      </c>
      <c r="K28" s="62">
        <f ca="1">K24</f>
        <v>36220</v>
      </c>
      <c r="L28" s="72">
        <f ca="1">L24-L20</f>
        <v>215.96248387096776</v>
      </c>
      <c r="O28" s="11"/>
      <c r="P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5" x14ac:dyDescent="0.25">
      <c r="A29" s="11"/>
      <c r="D29" s="1"/>
      <c r="E29" s="11"/>
      <c r="F29" s="11"/>
      <c r="H29" s="10" t="s">
        <v>21</v>
      </c>
      <c r="I29" s="21">
        <f ca="1">SUMIF([2]NWP_PGT_DAILY!$BP$5:$BP$1001,$AK$3,[2]NWP_PGT_DAILY!$O$5:$O$1001)/COUNTIF([2]NWP_PGT_DAILY!$BP$5:$BP$1001,$AK$3)/1000</f>
        <v>-252.25707142857141</v>
      </c>
      <c r="L29" s="11"/>
      <c r="N29" s="85"/>
      <c r="O29" s="86" t="s">
        <v>47</v>
      </c>
      <c r="P29" s="85"/>
      <c r="Q29" s="86" t="s">
        <v>47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4.25" x14ac:dyDescent="0.2">
      <c r="A30" s="11"/>
      <c r="D30" s="1"/>
      <c r="E30" s="11"/>
      <c r="F30" s="11"/>
      <c r="H30" s="73">
        <f ca="1">DATE(YEAR($B$2),MONTH($B$2),DAY(H31)-1)</f>
        <v>36585</v>
      </c>
      <c r="I30" s="21">
        <f ca="1">VLOOKUP(H30,'[2]WestCoast Historicals'!$D$68:$AD$70,4)/1000</f>
        <v>-317.32093103448278</v>
      </c>
      <c r="K30" s="11"/>
      <c r="L30" s="11"/>
      <c r="N30" s="87"/>
      <c r="O30" s="88" t="s">
        <v>48</v>
      </c>
      <c r="P30" s="87"/>
      <c r="Q30" s="89" t="s">
        <v>49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4.25" x14ac:dyDescent="0.2">
      <c r="A31" s="11"/>
      <c r="D31" s="1"/>
      <c r="E31" s="11"/>
      <c r="F31" s="11"/>
      <c r="H31" s="73">
        <f ca="1">DATE(YEAR($B$2)-1,MONTH($B$2),1)</f>
        <v>36220</v>
      </c>
      <c r="I31" s="21">
        <f ca="1">VLOOKUP(H31,'[2]WestCoast Historicals'!$D$46:$O$69,4)/1000</f>
        <v>-298.25609677419396</v>
      </c>
      <c r="N31" s="90">
        <f ca="1">$B$2</f>
        <v>36601</v>
      </c>
      <c r="O31" s="91">
        <f ca="1">IF($L20&lt;0,VLOOKUP($N31,[2]NWP_PGT_DAILY!$A$5:BL1000,21)/1000,0)</f>
        <v>175.79599999999999</v>
      </c>
      <c r="P31" s="90">
        <f ca="1">$B$2</f>
        <v>36601</v>
      </c>
      <c r="Q31" s="91">
        <f ca="1">IF($L20&gt;0,VLOOKUP($P31,[2]NWP_PGT_DAILY!$A$5:BQ1004,21)/1000,0)</f>
        <v>0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.25" x14ac:dyDescent="0.2">
      <c r="A32" s="11"/>
      <c r="B32" s="73"/>
      <c r="C32" s="11"/>
      <c r="D32" s="10"/>
      <c r="E32" s="11"/>
      <c r="F32" s="11"/>
      <c r="G32" s="11"/>
      <c r="H32" s="73">
        <f ca="1">DATE(YEAR($B$2)-2,MONTH($B$2),1)</f>
        <v>35855</v>
      </c>
      <c r="I32" s="21">
        <v>-263.34012903225806</v>
      </c>
      <c r="L32" s="11"/>
      <c r="N32" s="90">
        <f ca="1">$B$2-1</f>
        <v>36600</v>
      </c>
      <c r="O32" s="91">
        <f ca="1">IF($L21&lt;0,VLOOKUP($N32,[2]NWP_PGT_DAILY!$A$5:BL1001,21)/1000,0)</f>
        <v>134.113</v>
      </c>
      <c r="P32" s="90">
        <f ca="1">$B$2-1</f>
        <v>36600</v>
      </c>
      <c r="Q32" s="91">
        <f ca="1">IF($L21&gt;0,VLOOKUP($P32,[2]NWP_PGT_DAILY!$A$5:BQ1005,21)/1000,0)</f>
        <v>0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4.25" x14ac:dyDescent="0.2">
      <c r="A33" s="11"/>
      <c r="B33" s="8"/>
      <c r="C33" s="11"/>
      <c r="D33" s="10"/>
      <c r="E33" s="11"/>
      <c r="F33" s="11"/>
      <c r="G33" s="11"/>
      <c r="H33" s="92" t="s">
        <v>50</v>
      </c>
      <c r="I33" s="93">
        <f>-460-487</f>
        <v>-947</v>
      </c>
      <c r="L33" s="11"/>
      <c r="N33" s="94" t="s">
        <v>21</v>
      </c>
      <c r="O33" s="91">
        <f ca="1">IF($L22&lt;0,SUMIF([2]NWP_PGT_DAILY!$BP$5:$BP$1001,$AK$3,[2]NWP_PGT_DAILY!$U$5:$U$1001)/COUNTIF([2]NWP_PGT_DAILY!$BP$5:$BP$1001,$AK$3)/1000,0)</f>
        <v>126.39285714285714</v>
      </c>
      <c r="P33" s="94" t="s">
        <v>21</v>
      </c>
      <c r="Q33" s="91">
        <f ca="1">IF($L22&gt;0,SUMIF([2]NWP_PGT_DAILY!$BP$5:$BP$1001,$AK$3,[2]NWP_PGT_DAILY!$U$5:$U$1001)/COUNTIF([2]NWP_PGT_DAILY!$BP$5:$BP$1001,$AK$3)/1000,0)</f>
        <v>0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4.25" x14ac:dyDescent="0.2">
      <c r="A34" s="11"/>
      <c r="B34" s="11"/>
      <c r="C34" s="11"/>
      <c r="D34" s="10"/>
      <c r="E34" s="11"/>
      <c r="F34" s="11"/>
      <c r="G34" s="11"/>
      <c r="H34" s="92" t="s">
        <v>51</v>
      </c>
      <c r="I34" s="60">
        <f>437+487</f>
        <v>924</v>
      </c>
      <c r="L34" s="11"/>
      <c r="N34" s="95">
        <f ca="1">DATE(YEAR($B$2),MONTH($B$2),DAY(N35)-1)</f>
        <v>36585</v>
      </c>
      <c r="O34" s="91">
        <f ca="1">(VLOOKUP(N34,'[2]WestCoast Historicals'!$D$68:$AD$70,6)-VLOOKUP(N34,'[2]WestCoast Historicals'!$D$68:$AE$69,7))/1000</f>
        <v>257.40855172413796</v>
      </c>
      <c r="P34" s="95">
        <f ca="1">N34</f>
        <v>36585</v>
      </c>
      <c r="Q34" s="91">
        <f ca="1">IF(O34&gt;0,0,(VLOOKUP(P34,'[2]WestCoast Historicals'!$D$68:$AD$70,6)-VLOOKUP(P34,'[2]WestCoast Historicals'!$D$68:$AE$69,7))/1000)</f>
        <v>0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4.25" x14ac:dyDescent="0.2">
      <c r="A35" s="11"/>
      <c r="B35" s="11"/>
      <c r="C35" s="11"/>
      <c r="D35" s="10"/>
      <c r="E35" s="11"/>
      <c r="F35" s="11"/>
      <c r="G35" s="11"/>
      <c r="H35" s="62">
        <f ca="1">H31</f>
        <v>36220</v>
      </c>
      <c r="I35" s="72">
        <f ca="1">I31-I27</f>
        <v>-27.377096774193944</v>
      </c>
      <c r="L35" s="11"/>
      <c r="N35" s="95">
        <f ca="1">DATE(YEAR($B$2)-1,MONTH($B$2),1)</f>
        <v>36220</v>
      </c>
      <c r="O35" s="91">
        <f ca="1">IF(P52&lt;0,VLOOKUP($N$35,'[2]NWP-PGT_HIST'!$A$5:$Y$32,'[2]NWP-PGT_HIST'!$G$1)/1000-VLOOKUP($N$35,'[2]NWP-PGT_HIST'!$A$5:$Y$32,'[2]NWP-PGT_HIST'!$H$1)/1000,0)</f>
        <v>61.864161290322585</v>
      </c>
      <c r="P35" s="95">
        <f ca="1">DATE(YEAR($B$2)-1,MONTH($B$2),1)</f>
        <v>36220</v>
      </c>
      <c r="Q35" s="91">
        <f ca="1">IF(P52&gt;0,VLOOKUP($N$35,'[2]NWP-PGT_HIST'!$A$5:$Y$32,'[2]NWP-PGT_HIST'!$G$1)/1000-VLOOKUP($N$35,'[2]NWP-PGT_HIST'!$A$5:$Y$32,'[2]NWP-PGT_HIST'!$H$1)/1000,0)</f>
        <v>0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4.25" x14ac:dyDescent="0.2">
      <c r="A36" s="11"/>
      <c r="B36" s="11"/>
      <c r="C36" s="11"/>
      <c r="D36" s="10"/>
      <c r="E36" s="11"/>
      <c r="F36" s="11" t="s">
        <v>52</v>
      </c>
      <c r="H36" s="11"/>
      <c r="I36" s="11"/>
      <c r="L36" s="11"/>
      <c r="N36" s="95">
        <f ca="1">DATE(YEAR($B$2)-2,MONTH($B$2),1)</f>
        <v>35855</v>
      </c>
      <c r="O36" s="91">
        <f ca="1">IF(P53&lt;0,VLOOKUP($N$36,'[2]NWP-PGT_HIST'!$A$5:$Y$32,'[2]NWP-PGT_HIST'!$G$1)/1000-VLOOKUP($N$36,'[2]NWP-PGT_HIST'!$A$5:$Y$32,'[2]NWP-PGT_HIST'!$H$1)/1000,0)</f>
        <v>0</v>
      </c>
      <c r="P36" s="96">
        <f ca="1">DATE(YEAR($B$2)-2,MONTH($B$2),1)</f>
        <v>35855</v>
      </c>
      <c r="Q36" s="91">
        <f ca="1">IF(P53&gt;0,VLOOKUP($N$36,'[2]NWP-PGT_HIST'!$A$5:$Y$32,'[2]NWP-PGT_HIST'!$G$1)/1000-VLOOKUP($N$36,'[2]NWP-PGT_HIST'!$A$5:$Y$32,'[2]NWP-PGT_HIST'!$H$1)/1000,0)</f>
        <v>313.29409375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4.25" x14ac:dyDescent="0.2">
      <c r="A37" s="11"/>
      <c r="B37" s="11"/>
      <c r="C37" s="11"/>
      <c r="D37" s="10"/>
      <c r="E37" s="11"/>
      <c r="F37" s="11"/>
      <c r="G37" s="11"/>
      <c r="H37" s="11"/>
      <c r="I37" s="11"/>
      <c r="L37" s="11"/>
      <c r="N37" s="97" t="s">
        <v>53</v>
      </c>
      <c r="O37" s="98"/>
      <c r="P37" s="97" t="s">
        <v>53</v>
      </c>
      <c r="Q37" s="98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4.25" x14ac:dyDescent="0.2">
      <c r="A38" s="11"/>
      <c r="B38" s="11"/>
      <c r="C38" s="11"/>
      <c r="D38" s="10"/>
      <c r="E38" s="11"/>
      <c r="F38" s="11"/>
      <c r="G38" s="11"/>
      <c r="H38" s="11"/>
      <c r="I38" s="11"/>
      <c r="N38" s="99" t="s">
        <v>54</v>
      </c>
      <c r="O38" s="100"/>
      <c r="P38" s="99" t="s">
        <v>54</v>
      </c>
      <c r="Q38" s="100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4.25" x14ac:dyDescent="0.2">
      <c r="A39" s="11"/>
      <c r="B39" s="11"/>
      <c r="C39" s="11"/>
      <c r="D39" s="10"/>
      <c r="E39" s="11"/>
      <c r="F39" s="11"/>
      <c r="G39" s="11"/>
      <c r="H39" s="11"/>
      <c r="I39" s="11"/>
      <c r="J39" s="11"/>
      <c r="K39" s="11"/>
      <c r="L39" s="50" t="s">
        <v>55</v>
      </c>
      <c r="M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4.25" x14ac:dyDescent="0.2">
      <c r="A40" s="11"/>
      <c r="B40" s="11"/>
      <c r="C40" s="11"/>
      <c r="D40" s="10"/>
      <c r="E40" s="11"/>
      <c r="F40" s="11"/>
      <c r="G40" s="11"/>
      <c r="H40" s="11"/>
      <c r="I40" s="11"/>
      <c r="J40" s="11"/>
      <c r="K40" s="11"/>
      <c r="L40" s="55">
        <f ca="1">$B$2</f>
        <v>36601</v>
      </c>
      <c r="M40" s="56">
        <f ca="1">-VLOOKUP(L40,[2]NWP_PGT_DAILY!$A$5:$BN$1000,[2]NWP_PGT_DAILY!$BN$1)/1000+VLOOKUP(L40,[2]NWP_PGT_DAILY!$A$1:$BN$65536,[2]NWP_PGT_DAILY!$BM$1)/1000</f>
        <v>-81.586000000000013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4.25" x14ac:dyDescent="0.2">
      <c r="A41" s="11"/>
      <c r="B41" s="11"/>
      <c r="C41" s="11"/>
      <c r="D41" s="10"/>
      <c r="E41" s="11"/>
      <c r="F41" s="11"/>
      <c r="G41" s="11"/>
      <c r="H41" s="11"/>
      <c r="I41" s="11"/>
      <c r="J41" s="11"/>
      <c r="K41" s="11"/>
      <c r="L41" s="55">
        <f ca="1">$B$2-1</f>
        <v>36600</v>
      </c>
      <c r="M41" s="56">
        <f ca="1">-VLOOKUP(L41,[2]NWP_PGT_DAILY!$A$5:$BN$1000,[2]NWP_PGT_DAILY!$BN$1)/1000+VLOOKUP(L41,[2]NWP_PGT_DAILY!$A$1:$BN$65536,[2]NWP_PGT_DAILY!$BM$1)/1000</f>
        <v>-122.435</v>
      </c>
      <c r="O41" s="11"/>
      <c r="P41" s="11"/>
      <c r="Q41" s="11"/>
      <c r="V41" s="11"/>
      <c r="W41" s="11"/>
      <c r="X41" s="11"/>
      <c r="Y41" s="11"/>
      <c r="Z41" s="11"/>
      <c r="AA41" s="11"/>
      <c r="AB41" s="11"/>
      <c r="AC41" s="11"/>
    </row>
    <row r="42" spans="1:29" ht="14.25" x14ac:dyDescent="0.2">
      <c r="A42" s="11"/>
      <c r="B42" s="11"/>
      <c r="C42" s="11"/>
      <c r="D42" s="10"/>
      <c r="E42" s="11"/>
      <c r="F42" s="11"/>
      <c r="G42" s="11"/>
      <c r="H42" s="11"/>
      <c r="I42" s="11"/>
      <c r="J42" s="12"/>
      <c r="K42" s="13" t="s">
        <v>56</v>
      </c>
      <c r="L42" s="11"/>
      <c r="M42" s="11"/>
      <c r="N42" s="11"/>
      <c r="O42" s="11"/>
      <c r="P42" s="11"/>
      <c r="Q42" s="11"/>
      <c r="V42" s="12"/>
      <c r="W42" s="13" t="s">
        <v>57</v>
      </c>
      <c r="X42" s="11"/>
      <c r="Y42" s="11"/>
      <c r="Z42" s="11"/>
      <c r="AA42" s="11"/>
      <c r="AB42" s="11"/>
      <c r="AC42" s="11"/>
    </row>
    <row r="43" spans="1:29" ht="14.25" x14ac:dyDescent="0.2">
      <c r="A43" s="11"/>
      <c r="B43" s="11"/>
      <c r="C43" s="11"/>
      <c r="D43" s="10"/>
      <c r="E43" s="11"/>
      <c r="F43" s="11"/>
      <c r="G43" s="11"/>
      <c r="H43" s="11"/>
      <c r="I43" s="11"/>
      <c r="J43" s="16">
        <f ca="1">$B$2</f>
        <v>36601</v>
      </c>
      <c r="K43" s="17">
        <f ca="1">VLOOKUP($J43,[2]NWP_PGT_DAILY!$A$5:$BL$1000,56)/1000</f>
        <v>-41.800535112431646</v>
      </c>
      <c r="L43" s="11"/>
      <c r="M43" s="11"/>
      <c r="N43" s="11"/>
      <c r="O43" s="11"/>
      <c r="P43" s="11"/>
      <c r="Q43" s="11"/>
      <c r="V43" s="16">
        <f ca="1">$B$2</f>
        <v>36601</v>
      </c>
      <c r="W43" s="17">
        <f ca="1">VLOOKUP($V43,[2]NWP_PGT_DAILY!$A$5:$AX$1000,43)/1000</f>
        <v>109.343</v>
      </c>
      <c r="X43" s="11"/>
      <c r="Y43" s="11"/>
      <c r="Z43" s="11"/>
      <c r="AA43" s="11"/>
      <c r="AB43" s="11"/>
      <c r="AC43" s="11"/>
    </row>
    <row r="44" spans="1:29" ht="14.25" x14ac:dyDescent="0.2">
      <c r="A44" s="11"/>
      <c r="B44" s="11"/>
      <c r="C44" s="11"/>
      <c r="D44" s="10"/>
      <c r="E44" s="11"/>
      <c r="F44" s="11"/>
      <c r="G44" s="11"/>
      <c r="H44" s="11"/>
      <c r="I44" s="11"/>
      <c r="J44" s="16">
        <f ca="1">$B$2-1</f>
        <v>36600</v>
      </c>
      <c r="K44" s="17">
        <f ca="1">VLOOKUP($J44,[2]NWP_PGT_DAILY!$A$5:$BL$1000,56)/1000</f>
        <v>-41.800535112431646</v>
      </c>
      <c r="L44" s="11"/>
      <c r="M44" s="11"/>
      <c r="N44" s="11"/>
      <c r="O44" s="11"/>
      <c r="P44" s="11"/>
      <c r="Q44" s="11"/>
      <c r="V44" s="16">
        <f ca="1">$B$2-1</f>
        <v>36600</v>
      </c>
      <c r="W44" s="17">
        <f ca="1">VLOOKUP($V44,[2]NWP_PGT_DAILY!$A$5:$AX$1000,43)/1000</f>
        <v>110.70699999999999</v>
      </c>
      <c r="X44" s="11"/>
      <c r="Y44" s="11"/>
      <c r="Z44" s="11"/>
      <c r="AA44" s="11"/>
      <c r="AB44" s="11"/>
      <c r="AC44" s="11"/>
    </row>
    <row r="45" spans="1:29" ht="14.25" x14ac:dyDescent="0.2">
      <c r="A45" s="11"/>
      <c r="B45" s="11"/>
      <c r="C45" s="11"/>
      <c r="D45" s="10"/>
      <c r="E45" s="11"/>
      <c r="F45" s="11"/>
      <c r="G45" s="11"/>
      <c r="H45" s="11"/>
      <c r="I45" s="11"/>
      <c r="J45" s="30" t="s">
        <v>21</v>
      </c>
      <c r="K45" s="17">
        <f ca="1">SUMIF([2]NWP_PGT_DAILY!$BP$5:$BP$1001,$AK$3,[2]NWP_PGT_DAILY!$BD$5:$BD$1001)/COUNTIF([2]NWP_PGT_DAILY!$BP$5:$BP$1001,$AK$3)/1000</f>
        <v>-52.236174946325796</v>
      </c>
      <c r="L45" s="11"/>
      <c r="M45" s="11"/>
      <c r="N45" s="11"/>
      <c r="O45" s="11"/>
      <c r="P45" s="11"/>
      <c r="Q45" s="11"/>
      <c r="S45" s="12"/>
      <c r="T45" s="15" t="s">
        <v>58</v>
      </c>
      <c r="V45" s="30" t="s">
        <v>21</v>
      </c>
      <c r="W45" s="17">
        <f ca="1">SUMIF([2]NWP_PGT_DAILY!$BP$5:$BP$1001,$AK$3,[2]NWP_PGT_DAILY!$AQ$5:$AQ$1001)/COUNTIF([2]NWP_PGT_DAILY!$BP$5:$BP$1001,$AK$3)/1000</f>
        <v>105.8252142857143</v>
      </c>
      <c r="X45" s="11"/>
      <c r="Y45" s="11"/>
      <c r="Z45" s="11"/>
      <c r="AA45" s="11"/>
      <c r="AB45" s="11"/>
      <c r="AC45" s="11"/>
    </row>
    <row r="46" spans="1:29" ht="14.25" x14ac:dyDescent="0.2">
      <c r="A46" s="11"/>
      <c r="B46" s="11"/>
      <c r="C46" s="11"/>
      <c r="D46" s="10"/>
      <c r="E46" s="11"/>
      <c r="F46" s="11"/>
      <c r="G46" s="11"/>
      <c r="H46" s="11"/>
      <c r="I46" s="11"/>
      <c r="J46" s="36">
        <f ca="1">DATE(YEAR($B$2),MONTH($B$2),DAY(J47)-1)</f>
        <v>36585</v>
      </c>
      <c r="K46" s="17">
        <f ca="1">-VLOOKUP(J46,'[2]WestCoast Historicals'!$D$68:$AD$70,22)/1000</f>
        <v>-80.224980805420998</v>
      </c>
      <c r="L46" s="11"/>
      <c r="M46" s="11"/>
      <c r="N46" s="11"/>
      <c r="O46" s="11"/>
      <c r="P46" s="11"/>
      <c r="Q46" s="66" t="s">
        <v>59</v>
      </c>
      <c r="R46" s="66"/>
      <c r="S46" s="16">
        <f ca="1">$B$2</f>
        <v>36601</v>
      </c>
      <c r="T46" s="17">
        <f ca="1">VLOOKUP($S46,[2]NWP_PGT_DAILY!$A$5:$AX$1000,29)/1000</f>
        <v>-493.12900000000002</v>
      </c>
      <c r="V46" s="36">
        <f ca="1">DATE(YEAR($B$2),MONTH($B$2),DAY(V47)-1)</f>
        <v>36585</v>
      </c>
      <c r="W46" s="17">
        <f ca="1">VLOOKUP(V46,'[2]WestCoast Historicals'!$D$40:$AH$70,31)/1000</f>
        <v>94.086793103448272</v>
      </c>
      <c r="X46" s="11"/>
      <c r="Y46" s="11"/>
      <c r="Z46" s="11"/>
      <c r="AA46" s="11"/>
      <c r="AB46" s="11"/>
      <c r="AC46" s="11"/>
    </row>
    <row r="47" spans="1:29" ht="14.25" x14ac:dyDescent="0.2">
      <c r="A47" s="11"/>
      <c r="B47" s="11"/>
      <c r="C47" s="11"/>
      <c r="D47" s="10"/>
      <c r="E47" s="11"/>
      <c r="F47" s="11"/>
      <c r="G47" s="11"/>
      <c r="H47" s="11"/>
      <c r="I47" s="11"/>
      <c r="J47" s="36">
        <f ca="1">DATE(YEAR($B$2)-1,MONTH($B$2),1)</f>
        <v>36220</v>
      </c>
      <c r="K47" s="17">
        <f ca="1">VLOOKUP($J47,'[2]NWP-PGT_HIST'!$A$5:$Y$32,'[2]NWP-PGT_HIST'!$T$1)/1000</f>
        <v>-68.53640101201772</v>
      </c>
      <c r="M47" s="11"/>
      <c r="N47" s="11"/>
      <c r="O47" s="12"/>
      <c r="P47" s="15" t="s">
        <v>60</v>
      </c>
      <c r="Q47" s="74">
        <f ca="1">TODAY()</f>
        <v>36601</v>
      </c>
      <c r="R47" s="71">
        <f>F112</f>
        <v>-150.86399999999998</v>
      </c>
      <c r="S47" s="16">
        <f ca="1">$B$2-1</f>
        <v>36600</v>
      </c>
      <c r="T47" s="17">
        <f ca="1">VLOOKUP($S47,[2]NWP_PGT_DAILY!$A$5:$AX$1000,29)/1000</f>
        <v>-494.99900000000002</v>
      </c>
      <c r="U47" s="10"/>
      <c r="V47" s="36">
        <f ca="1">DATE(YEAR($B$2)-1,MONTH($B$2),1)</f>
        <v>36220</v>
      </c>
      <c r="W47" s="17">
        <v>48.2</v>
      </c>
      <c r="Z47" s="11"/>
      <c r="AA47" s="11"/>
      <c r="AB47" s="11"/>
      <c r="AC47" s="11"/>
    </row>
    <row r="48" spans="1:29" ht="14.25" x14ac:dyDescent="0.2">
      <c r="A48" s="11"/>
      <c r="B48" s="11"/>
      <c r="C48" s="11"/>
      <c r="D48" s="10"/>
      <c r="E48" s="11"/>
      <c r="F48" s="11"/>
      <c r="G48" s="11"/>
      <c r="H48" s="11"/>
      <c r="I48" s="11"/>
      <c r="J48" s="51">
        <f ca="1">DATE(YEAR($B$2)-2,MONTH($B$2),1)</f>
        <v>35855</v>
      </c>
      <c r="K48" s="17">
        <f ca="1">VLOOKUP($J48,'[2]NWP-PGT_HIST'!$A$5:$Y$32,'[2]NWP-PGT_HIST'!$T$1)/1000</f>
        <v>-64.535465006602507</v>
      </c>
      <c r="M48" s="11"/>
      <c r="N48" s="11"/>
      <c r="O48" s="16">
        <f ca="1">$B$2</f>
        <v>36601</v>
      </c>
      <c r="P48" s="17">
        <f ca="1">VLOOKUP($O48,[2]NWP_PGT_DAILY!$A$5:$AX$1000,24)/1000</f>
        <v>-185.06200000000001</v>
      </c>
      <c r="Q48" s="74">
        <f ca="1">Q47-1</f>
        <v>36600</v>
      </c>
      <c r="R48" s="71">
        <f>G112</f>
        <v>-161.178</v>
      </c>
      <c r="S48" s="30" t="s">
        <v>21</v>
      </c>
      <c r="T48" s="17">
        <f ca="1">SUMIF([2]NWP_PGT_DAILY!$BP$5:$BP$1001,$AK$3,[2]NWP_PGT_DAILY!$AC$5:$AC$1001)/COUNTIF([2]NWP_PGT_DAILY!$BP$5:$BP$1001,$AK$3)/1000</f>
        <v>-463.2165714285714</v>
      </c>
      <c r="U48" s="21"/>
      <c r="V48" s="51">
        <f ca="1">DATE(YEAR($B$2)-2,MONTH($B$2),1)</f>
        <v>35855</v>
      </c>
      <c r="W48" s="42">
        <v>49</v>
      </c>
      <c r="Z48" s="11"/>
      <c r="AA48" s="11"/>
      <c r="AB48" s="11"/>
      <c r="AC48" s="11"/>
    </row>
    <row r="49" spans="1:41" ht="14.25" x14ac:dyDescent="0.2">
      <c r="A49" s="11"/>
      <c r="B49" s="11"/>
      <c r="C49" s="11"/>
      <c r="D49" s="10"/>
      <c r="E49" s="11"/>
      <c r="F49" s="11"/>
      <c r="G49" s="11"/>
      <c r="H49" s="11"/>
      <c r="I49" s="11"/>
      <c r="J49" s="57" t="s">
        <v>34</v>
      </c>
      <c r="K49" s="81">
        <v>-90</v>
      </c>
      <c r="M49" s="11"/>
      <c r="N49" s="11"/>
      <c r="O49" s="16">
        <f ca="1">$B$2-1</f>
        <v>36600</v>
      </c>
      <c r="P49" s="17">
        <f ca="1">VLOOKUP($O49,[2]NWP_PGT_DAILY!$A$5:$AX$1000,24)/1000</f>
        <v>-161.92500000000001</v>
      </c>
      <c r="Q49" s="11"/>
      <c r="S49" s="36">
        <f ca="1">DATE(YEAR($B$2),MONTH($B$2),DAY(S50)-1)</f>
        <v>36585</v>
      </c>
      <c r="T49" s="17">
        <f ca="1">VLOOKUP(S49,'[2]WestCoast Historicals'!$D$40:$AD$70,9)/1000</f>
        <v>-448.5073103448276</v>
      </c>
      <c r="U49" s="21"/>
      <c r="V49" s="57" t="s">
        <v>34</v>
      </c>
      <c r="W49" s="64">
        <v>152</v>
      </c>
      <c r="Z49" s="11"/>
      <c r="AA49" s="11"/>
      <c r="AB49" s="11"/>
      <c r="AC49" s="11"/>
    </row>
    <row r="50" spans="1:41" ht="14.25" x14ac:dyDescent="0.2">
      <c r="A50" s="11"/>
      <c r="B50" s="11"/>
      <c r="C50" s="11"/>
      <c r="D50" s="10"/>
      <c r="E50" s="11"/>
      <c r="F50" s="11"/>
      <c r="G50" s="12"/>
      <c r="H50" s="13" t="s">
        <v>61</v>
      </c>
      <c r="I50" s="11"/>
      <c r="J50" s="11"/>
      <c r="M50" s="11"/>
      <c r="N50" s="11"/>
      <c r="O50" s="30" t="s">
        <v>21</v>
      </c>
      <c r="P50" s="17">
        <f ca="1">SUMIF([2]NWP_PGT_DAILY!$BP$5:$BP$1001,$AK$3,[2]NWP_PGT_DAILY!$X$5:$X$1001)/COUNTIF([2]NWP_PGT_DAILY!$BP$5:$BP$1001,$AK$3)/1000</f>
        <v>-124.79985714285715</v>
      </c>
      <c r="Q50" s="11"/>
      <c r="S50" s="36">
        <f ca="1">DATE(YEAR($B$2)-1,MONTH($B$2),1)</f>
        <v>36220</v>
      </c>
      <c r="T50" s="17">
        <f ca="1">VLOOKUP($S$50,'[2]NWP-PGT_HIST'!$A$5:$Y$32,'[2]NWP-PGT_HIST'!$J$1)/1000</f>
        <v>-385.46287096774194</v>
      </c>
      <c r="U50" s="21"/>
      <c r="V50" s="11"/>
      <c r="Z50" s="11"/>
      <c r="AA50" s="11"/>
      <c r="AB50" s="11"/>
      <c r="AC50" s="11"/>
    </row>
    <row r="51" spans="1:41" ht="15" x14ac:dyDescent="0.25">
      <c r="A51" s="11"/>
      <c r="B51" s="101"/>
      <c r="C51" s="11"/>
      <c r="D51" s="10"/>
      <c r="E51" s="11"/>
      <c r="F51" s="11"/>
      <c r="G51" s="16">
        <f ca="1">$B$2</f>
        <v>36601</v>
      </c>
      <c r="H51" s="17">
        <f ca="1">VLOOKUP($G51,[2]NWP_PGT_DAILY!$A$5:$BL$1000,58)/1000</f>
        <v>-40.785959017469708</v>
      </c>
      <c r="J51" s="11"/>
      <c r="M51" s="11"/>
      <c r="N51" s="11"/>
      <c r="O51" s="36">
        <f ca="1">DATE(YEAR($B$2),MONTH($B$2),DAY(O52)-1)</f>
        <v>36585</v>
      </c>
      <c r="P51" s="17">
        <f ca="1">VLOOKUP(O51,'[2]WestCoast Historicals'!$D$40:$AD$70,8)/1000</f>
        <v>-95.25344827586207</v>
      </c>
      <c r="Q51" s="11"/>
      <c r="S51" s="51">
        <f ca="1">DATE(YEAR($B$2)-2,MONTH($B$2),1)</f>
        <v>35855</v>
      </c>
      <c r="T51" s="17">
        <f ca="1">VLOOKUP($S$51,'[2]NWP-PGT_HIST'!$A$5:$Y$32,'[2]NWP-PGT_HIST'!$J$1)/1000</f>
        <v>125.0150625</v>
      </c>
      <c r="U51" s="21"/>
      <c r="W51" s="12"/>
      <c r="X51" s="13" t="s">
        <v>62</v>
      </c>
      <c r="Z51" s="11"/>
      <c r="AA51" s="11"/>
      <c r="AB51" s="11"/>
      <c r="AC51" s="11"/>
      <c r="AL51" s="102"/>
      <c r="AM51" s="179" t="s">
        <v>47</v>
      </c>
      <c r="AN51" s="179"/>
      <c r="AO51" s="180"/>
    </row>
    <row r="52" spans="1:41" ht="15.75" x14ac:dyDescent="0.25">
      <c r="A52" s="11"/>
      <c r="B52" s="22"/>
      <c r="C52" s="23"/>
      <c r="D52" s="24"/>
      <c r="E52" s="24"/>
      <c r="F52" s="26"/>
      <c r="G52" s="16">
        <f ca="1">$B$2-1</f>
        <v>36600</v>
      </c>
      <c r="H52" s="17">
        <f ca="1">VLOOKUP($G52,[2]NWP_PGT_DAILY!$A$5:$BL$1000,58)/1000</f>
        <v>-40.785959017469708</v>
      </c>
      <c r="J52" s="11"/>
      <c r="M52" s="11"/>
      <c r="N52" s="11"/>
      <c r="O52" s="36">
        <f ca="1">DATE(YEAR($B$2)-1,MONTH($B$2),1)</f>
        <v>36220</v>
      </c>
      <c r="P52" s="17">
        <f ca="1">VLOOKUP(O52,'[2]WestCoast Historicals'!$D$40:$AD$70,8)/1000</f>
        <v>-40.409516129032255</v>
      </c>
      <c r="S52" s="79" t="s">
        <v>43</v>
      </c>
      <c r="T52" s="80">
        <v>323</v>
      </c>
      <c r="U52" s="21"/>
      <c r="W52" s="16">
        <f ca="1">$B$2</f>
        <v>36601</v>
      </c>
      <c r="X52" s="17">
        <f ca="1">VLOOKUP($W52,[2]NWP_PGT_DAILY!$A$5:$AX$1000,31)/1000</f>
        <v>189.85599999999999</v>
      </c>
      <c r="Z52" s="11"/>
      <c r="AA52" s="11"/>
      <c r="AB52" s="11"/>
      <c r="AC52" s="11"/>
      <c r="AL52" s="103"/>
      <c r="AM52" s="5" t="s">
        <v>63</v>
      </c>
      <c r="AN52" s="5" t="s">
        <v>64</v>
      </c>
      <c r="AO52" s="48" t="s">
        <v>65</v>
      </c>
    </row>
    <row r="53" spans="1:41" ht="14.25" x14ac:dyDescent="0.2">
      <c r="B53" s="31"/>
      <c r="C53" s="31"/>
      <c r="D53" s="32"/>
      <c r="E53" s="32"/>
      <c r="F53" s="34"/>
      <c r="G53" s="30" t="s">
        <v>21</v>
      </c>
      <c r="H53" s="17">
        <f ca="1">SUMIF([2]NWP_PGT_DAILY!$BP$5:$BP$1001,$AK$3,[2]NWP_PGT_DAILY!$BF$5:$BF$1001)/COUNTIF([2]NWP_PGT_DAILY!$BP$5:$BP$1001,$AK$3)/1000</f>
        <v>-38.307494556919849</v>
      </c>
      <c r="J53" s="11"/>
      <c r="M53" s="11"/>
      <c r="N53" s="11"/>
      <c r="O53" s="51">
        <f ca="1">DATE(YEAR($B$2)-2,MONTH($B$2),1)</f>
        <v>35855</v>
      </c>
      <c r="P53" s="42">
        <f ca="1">VLOOKUP(O53,'[2]WestCoast Historicals'!$D$40:$AD$70,8)/1000</f>
        <v>435.13218749999999</v>
      </c>
      <c r="R53" s="11"/>
      <c r="S53" s="82" t="s">
        <v>44</v>
      </c>
      <c r="T53" s="83">
        <v>-510</v>
      </c>
      <c r="U53" s="21"/>
      <c r="W53" s="16">
        <f ca="1">$B$2-1</f>
        <v>36600</v>
      </c>
      <c r="X53" s="17">
        <f ca="1">VLOOKUP($W53,[2]NWP_PGT_DAILY!$A$5:$AX$1000,31)/1000</f>
        <v>181.93899999999999</v>
      </c>
      <c r="Z53" s="11"/>
      <c r="AA53" s="11"/>
      <c r="AB53" s="11"/>
      <c r="AC53" s="11"/>
      <c r="AL53" s="104">
        <f ca="1">$B$2</f>
        <v>36601</v>
      </c>
      <c r="AM53" s="72">
        <f ca="1">VLOOKUP($AL53,[2]NWP_PGT_DAILY!$A$5:$AX$1000,19)/1000</f>
        <v>186.393</v>
      </c>
      <c r="AN53" s="72">
        <f ca="1">-VLOOKUP(AL$53,[2]NWP_PGT_DAILY!$A$5:$AX$1000,20)/1000</f>
        <v>-10.597</v>
      </c>
      <c r="AO53" s="105">
        <f ca="1">SUM(AM53:AN53)</f>
        <v>175.79599999999999</v>
      </c>
    </row>
    <row r="54" spans="1:41" ht="14.25" x14ac:dyDescent="0.2">
      <c r="B54" s="31"/>
      <c r="C54" s="31"/>
      <c r="D54" s="32"/>
      <c r="E54" s="32"/>
      <c r="F54" s="34"/>
      <c r="G54" s="36">
        <f ca="1">DATE(YEAR($B$2),MONTH($B$2),DAY(G55)-1)</f>
        <v>36585</v>
      </c>
      <c r="H54" s="17">
        <f ca="1">-VLOOKUP(G54,'[2]WestCoast Historicals'!$D$68:$AD$70,24)/1000</f>
        <v>-39.638438468685166</v>
      </c>
      <c r="J54" s="11"/>
      <c r="M54" s="11"/>
      <c r="N54" s="11"/>
      <c r="O54" s="79" t="s">
        <v>43</v>
      </c>
      <c r="P54" s="80">
        <v>494</v>
      </c>
      <c r="R54" s="11"/>
      <c r="S54" s="62">
        <f ca="1">S50</f>
        <v>36220</v>
      </c>
      <c r="T54" s="72">
        <f ca="1">T50-T46</f>
        <v>107.66612903225808</v>
      </c>
      <c r="U54" s="60"/>
      <c r="W54" s="30" t="s">
        <v>21</v>
      </c>
      <c r="X54" s="17">
        <f ca="1">SUMIF([2]NWP_PGT_DAILY!$BP$5:$BP$1001,$AK$3,[2]NWP_PGT_DAILY!$AE$5:$AE$1001)/COUNTIF([2]NWP_PGT_DAILY!$BP$5:$BP$1001,$AK$3)/1000</f>
        <v>166.25071428571428</v>
      </c>
      <c r="Z54" s="11"/>
      <c r="AA54" s="11"/>
      <c r="AB54" s="11"/>
      <c r="AC54" s="11"/>
      <c r="AL54" s="104">
        <f ca="1">$B$2-1</f>
        <v>36600</v>
      </c>
      <c r="AM54" s="72">
        <f ca="1">VLOOKUP($AL54,[2]NWP_PGT_DAILY!$A$5:$AX$1000,19)/1000</f>
        <v>152.547</v>
      </c>
      <c r="AN54" s="72">
        <f ca="1">-VLOOKUP(AL$54,[2]NWP_PGT_DAILY!$A$5:$AX$1000,20)/1000</f>
        <v>-18.434000000000001</v>
      </c>
      <c r="AO54" s="105">
        <f ca="1">SUM(AM54:AN54)</f>
        <v>134.113</v>
      </c>
    </row>
    <row r="55" spans="1:41" ht="14.25" x14ac:dyDescent="0.2">
      <c r="B55" s="43"/>
      <c r="C55" s="43"/>
      <c r="D55" s="181"/>
      <c r="E55" s="181"/>
      <c r="F55" s="183"/>
      <c r="G55" s="36">
        <f ca="1">DATE(YEAR($B$2)-1,MONTH($B$2),1)</f>
        <v>36220</v>
      </c>
      <c r="H55" s="17">
        <f ca="1">VLOOKUP($G$55,'[2]NWP-PGT_HIST'!$A$5:$Y$32,'[2]NWP-PGT_HIST'!$V$1)/1000</f>
        <v>-4.9019607843137258</v>
      </c>
      <c r="J55" s="11"/>
      <c r="K55" s="11"/>
      <c r="L55" s="11"/>
      <c r="M55" s="11"/>
      <c r="N55" s="11"/>
      <c r="O55" s="82" t="s">
        <v>44</v>
      </c>
      <c r="P55" s="83">
        <v>-275</v>
      </c>
      <c r="R55" s="11"/>
      <c r="U55" s="93"/>
      <c r="W55" s="36">
        <f ca="1">DATE(YEAR($B$2),MONTH($B$2),DAY(W56)-1)</f>
        <v>36585</v>
      </c>
      <c r="X55" s="17">
        <f ca="1">VLOOKUP(W55,'[2]WestCoast Historicals'!$D$40:$AD$70,11)/1000</f>
        <v>127.43337931034483</v>
      </c>
      <c r="Z55" s="11"/>
      <c r="AA55" s="11"/>
      <c r="AB55" s="11"/>
      <c r="AC55" s="11"/>
      <c r="AL55" s="106" t="s">
        <v>21</v>
      </c>
      <c r="AM55" s="72">
        <f ca="1">SUMIF([2]NWP_PGT_DAILY!$BP$5:$BP$1001,$AK$3,[2]NWP_PGT_DAILY!$S$5:$S$1001)/COUNTIF([2]NWP_PGT_DAILY!$BP$5:$BP$1001,$AK$3)/1000</f>
        <v>171.34671428571428</v>
      </c>
      <c r="AN55" s="72">
        <f ca="1">SUMIF([2]NWP_PGT_DAILY!$BP$5:$BP$1001,$AK$3,[2]NWP_PGT_DAILY!$T$5:$T$1001)/COUNTIF([2]NWP_PGT_DAILY!$BP$5:$BP$1001,$AK$3)/1000</f>
        <v>44.953857142857146</v>
      </c>
      <c r="AO55" s="105">
        <f ca="1">SUMIF([2]NWP_PGT_DAILY!$BP$5:$BP$1001,$AK$3,[2]NWP_PGT_DAILY!$U$5:$U$1001)/COUNTIF([2]NWP_PGT_DAILY!$BP$5:$BP$1001,$AK$3)/1000</f>
        <v>126.39285714285714</v>
      </c>
    </row>
    <row r="56" spans="1:41" ht="14.25" x14ac:dyDescent="0.2">
      <c r="B56" s="43"/>
      <c r="D56" s="182"/>
      <c r="E56" s="182"/>
      <c r="F56" s="182"/>
      <c r="G56" s="51">
        <f ca="1">DATE(YEAR($B$2)-2,MONTH($B$2),1)</f>
        <v>35855</v>
      </c>
      <c r="H56" s="17">
        <f ca="1">VLOOKUP($G$56,'[2]NWP-PGT_HIST'!$A$5:$Y$32,'[2]NWP-PGT_HIST'!$V$1)/1000</f>
        <v>-37.994057724957557</v>
      </c>
      <c r="J56" s="11"/>
      <c r="K56" s="11"/>
      <c r="L56" s="11"/>
      <c r="M56" s="11"/>
      <c r="N56" s="11"/>
      <c r="O56" s="62">
        <f ca="1">O52</f>
        <v>36220</v>
      </c>
      <c r="P56" s="72">
        <f ca="1">P52-P48</f>
        <v>144.65248387096776</v>
      </c>
      <c r="R56" s="11"/>
      <c r="U56" s="72"/>
      <c r="W56" s="36">
        <f ca="1">DATE(YEAR($B$2)-1,MONTH($B$2),1)</f>
        <v>36220</v>
      </c>
      <c r="X56" s="17">
        <f ca="1">VLOOKUP($W$56,'[2]NWP-PGT_HIST'!$A$5:$Y$32,'[2]NWP-PGT_HIST'!$K$1)/1000</f>
        <v>165.69441935483869</v>
      </c>
      <c r="Y56" s="11"/>
      <c r="Z56" s="11"/>
      <c r="AA56" s="11"/>
      <c r="AB56" s="11"/>
      <c r="AC56" s="11"/>
      <c r="AL56" s="107">
        <f ca="1">DATE(YEAR($B$2)-1,MONTH($B$2),1)</f>
        <v>36220</v>
      </c>
      <c r="AM56" s="6"/>
      <c r="AO56" s="108"/>
    </row>
    <row r="57" spans="1:41" ht="14.25" x14ac:dyDescent="0.2">
      <c r="G57" s="57" t="s">
        <v>34</v>
      </c>
      <c r="H57" s="81">
        <v>-106</v>
      </c>
      <c r="J57" s="11"/>
      <c r="K57" s="11"/>
      <c r="L57" s="11"/>
      <c r="M57" s="11"/>
      <c r="N57" s="11"/>
      <c r="O57" s="11"/>
      <c r="R57" s="11"/>
      <c r="S57" s="11"/>
      <c r="W57" s="51">
        <f ca="1">DATE(YEAR($B$2)-2,MONTH($B$2),1)</f>
        <v>35855</v>
      </c>
      <c r="X57" s="17">
        <f ca="1">VLOOKUP($W$57,'[2]NWP-PGT_HIST'!$A$5:$Y$32,'[2]NWP-PGT_HIST'!$K$1)/1000</f>
        <v>83.936156249999996</v>
      </c>
      <c r="Y57" s="11"/>
      <c r="Z57" s="11"/>
      <c r="AA57" s="11"/>
      <c r="AB57" s="11"/>
      <c r="AC57" s="11"/>
      <c r="AL57" s="109">
        <f ca="1">DATE(YEAR($B$2)-2,MONTH($B$2),1)</f>
        <v>35855</v>
      </c>
      <c r="AM57" s="110"/>
      <c r="AN57" s="110"/>
      <c r="AO57" s="111"/>
    </row>
    <row r="58" spans="1:41" ht="14.25" x14ac:dyDescent="0.2">
      <c r="B58" s="31"/>
      <c r="C58" s="31"/>
      <c r="D58" s="32"/>
      <c r="E58" s="32"/>
      <c r="F58" s="34"/>
      <c r="G58"/>
      <c r="I58" s="12"/>
      <c r="J58" s="15" t="s">
        <v>66</v>
      </c>
      <c r="K58" s="11"/>
      <c r="L58" s="11"/>
      <c r="M58" s="11"/>
      <c r="N58" s="11"/>
      <c r="O58" s="11"/>
      <c r="P58" s="12"/>
      <c r="Q58" s="15" t="s">
        <v>67</v>
      </c>
      <c r="R58" s="11"/>
      <c r="S58" s="11"/>
      <c r="W58" s="57" t="s">
        <v>34</v>
      </c>
      <c r="X58" s="64">
        <v>473</v>
      </c>
      <c r="Z58" s="11"/>
      <c r="AA58" s="11"/>
      <c r="AB58" s="11"/>
      <c r="AC58" s="11"/>
      <c r="AL58" s="112" t="s">
        <v>34</v>
      </c>
      <c r="AM58" s="113">
        <v>511</v>
      </c>
      <c r="AN58" s="113">
        <v>200</v>
      </c>
      <c r="AO58" s="114"/>
    </row>
    <row r="59" spans="1:41" ht="14.25" x14ac:dyDescent="0.2">
      <c r="B59" s="31"/>
      <c r="C59" s="31"/>
      <c r="D59" s="32"/>
      <c r="E59" s="32"/>
      <c r="F59" s="10" t="s">
        <v>68</v>
      </c>
      <c r="G59"/>
      <c r="H59" s="11"/>
      <c r="I59" s="16">
        <f ca="1">$B$2</f>
        <v>36601</v>
      </c>
      <c r="J59" s="17">
        <f t="shared" ref="J59:J65" ca="1" si="0">F64+I68</f>
        <v>-1863.2689983975899</v>
      </c>
      <c r="L59" s="11"/>
      <c r="M59" s="11"/>
      <c r="N59" s="11"/>
      <c r="O59" s="11"/>
      <c r="P59" s="16">
        <f ca="1">$B$2</f>
        <v>36601</v>
      </c>
      <c r="Q59" s="17">
        <f ca="1">VLOOKUP($P59,[2]NWP_PGT_DAILY!$A$5:$AX$1000,26)/1000</f>
        <v>-121.687</v>
      </c>
      <c r="R59" s="11"/>
      <c r="S59" s="11"/>
      <c r="W59" s="62">
        <f ca="1">W56</f>
        <v>36220</v>
      </c>
      <c r="X59" s="21">
        <f ca="1">X52-X56</f>
        <v>24.161580645161308</v>
      </c>
      <c r="Z59" s="11"/>
      <c r="AA59" s="11"/>
      <c r="AB59" s="11"/>
      <c r="AC59" s="11"/>
      <c r="AF59" s="5"/>
    </row>
    <row r="60" spans="1:41" ht="15" x14ac:dyDescent="0.25">
      <c r="B60" s="101"/>
      <c r="C60" s="101"/>
      <c r="D60" s="32"/>
      <c r="E60" s="32"/>
      <c r="F60" s="115"/>
      <c r="G60"/>
      <c r="I60" s="16">
        <f ca="1">$B$2-1</f>
        <v>36600</v>
      </c>
      <c r="J60" s="17">
        <f t="shared" ca="1" si="0"/>
        <v>-1882.7488594208589</v>
      </c>
      <c r="L60" s="11"/>
      <c r="M60" s="11"/>
      <c r="N60" s="11"/>
      <c r="O60" s="11"/>
      <c r="P60" s="16">
        <f ca="1">$B$2-1</f>
        <v>36600</v>
      </c>
      <c r="Q60" s="17">
        <f ca="1">VLOOKUP($P60,[2]NWP_PGT_DAILY!$A$5:$AX$1000,26)/1000</f>
        <v>-126.943</v>
      </c>
      <c r="R60" s="11"/>
      <c r="S60" s="11"/>
      <c r="Y60" s="72"/>
      <c r="Z60" s="11"/>
      <c r="AA60" s="11"/>
      <c r="AB60" s="11"/>
      <c r="AC60" s="11"/>
      <c r="AF60" s="72"/>
    </row>
    <row r="61" spans="1:41" ht="14.25" x14ac:dyDescent="0.2">
      <c r="A61" s="11"/>
      <c r="B61" s="11"/>
      <c r="C61" s="11"/>
      <c r="D61" s="10"/>
      <c r="E61" s="11"/>
      <c r="F61" s="11"/>
      <c r="G61" s="11"/>
      <c r="H61" s="11"/>
      <c r="I61" s="30" t="s">
        <v>21</v>
      </c>
      <c r="J61" s="17">
        <f t="shared" ca="1" si="0"/>
        <v>-1876.1251269151787</v>
      </c>
      <c r="L61" s="11"/>
      <c r="M61" s="11"/>
      <c r="N61" s="11"/>
      <c r="O61" s="11"/>
      <c r="P61" s="30" t="s">
        <v>21</v>
      </c>
      <c r="Q61" s="17">
        <f ca="1">SUMIF([2]NWP_PGT_DAILY!$BP$5:$BP$1001,$AK$3,[2]NWP_PGT_DAILY!$Z$5:$Z$1001)/COUNTIF([2]NWP_PGT_DAILY!$BP$5:$BP$1001,$AK$3)/1000</f>
        <v>-149.45150000000001</v>
      </c>
      <c r="R61" s="11"/>
      <c r="S61" s="11"/>
      <c r="T61" s="11"/>
      <c r="U61" s="11"/>
      <c r="V61" s="11"/>
      <c r="Y61" s="72"/>
      <c r="Z61" s="5" t="s">
        <v>69</v>
      </c>
      <c r="AB61" s="11"/>
      <c r="AC61" s="11"/>
      <c r="AF61" s="72"/>
    </row>
    <row r="62" spans="1:41" ht="14.25" x14ac:dyDescent="0.2">
      <c r="A62" s="11"/>
      <c r="B62" s="11"/>
      <c r="C62" s="11"/>
      <c r="D62" s="10"/>
      <c r="E62" s="11"/>
      <c r="F62" s="11"/>
      <c r="G62" s="11"/>
      <c r="H62" s="11"/>
      <c r="I62" s="36">
        <f ca="1">DATE(YEAR($B$2),MONTH($B$2),DAY(I63)-1)</f>
        <v>36585</v>
      </c>
      <c r="J62" s="17">
        <f t="shared" ca="1" si="0"/>
        <v>-1843.5232484666756</v>
      </c>
      <c r="L62" s="11"/>
      <c r="M62" s="11"/>
      <c r="N62" s="11"/>
      <c r="O62" s="11"/>
      <c r="P62" s="36">
        <f ca="1">DATE(YEAR($B$2),MONTH($B$2),DAY(P63)-1)</f>
        <v>36585</v>
      </c>
      <c r="Q62" s="17">
        <f ca="1">VLOOKUP(P62,'[2]WestCoast Historicals'!$D$40:$AG$70,30)/1000</f>
        <v>-140.90482758620689</v>
      </c>
      <c r="S62" s="84" t="s">
        <v>70</v>
      </c>
      <c r="T62" s="66"/>
      <c r="U62" s="11"/>
      <c r="V62" s="66" t="s">
        <v>71</v>
      </c>
      <c r="W62" s="66"/>
      <c r="AB62" s="11"/>
      <c r="AC62" s="11"/>
      <c r="AF62" s="5"/>
    </row>
    <row r="63" spans="1:41" ht="15" x14ac:dyDescent="0.25">
      <c r="A63" s="11"/>
      <c r="B63" s="101"/>
      <c r="C63" s="11"/>
      <c r="D63" s="10"/>
      <c r="E63" s="12"/>
      <c r="F63" s="15" t="s">
        <v>72</v>
      </c>
      <c r="G63" s="11"/>
      <c r="H63" s="11"/>
      <c r="I63" s="36">
        <f ca="1">DATE(YEAR($B$2)-1,MONTH($B$2),1)</f>
        <v>36220</v>
      </c>
      <c r="J63" s="17">
        <f t="shared" ca="1" si="0"/>
        <v>-1698.3453826691962</v>
      </c>
      <c r="L63" s="11"/>
      <c r="M63" s="11"/>
      <c r="N63" s="11"/>
      <c r="O63" s="11"/>
      <c r="P63" s="36">
        <f ca="1">DATE(YEAR($B$2)-1,MONTH($B$2),1)</f>
        <v>36220</v>
      </c>
      <c r="Q63" s="116"/>
      <c r="S63" s="117">
        <f ca="1">P59</f>
        <v>36601</v>
      </c>
      <c r="T63" s="118">
        <f>R104</f>
        <v>258.82400000000001</v>
      </c>
      <c r="V63" s="117">
        <f ca="1">S63</f>
        <v>36601</v>
      </c>
      <c r="W63" s="119">
        <f>R107</f>
        <v>430.9085</v>
      </c>
      <c r="AB63" s="11"/>
      <c r="AC63" s="11"/>
    </row>
    <row r="64" spans="1:41" ht="12.75" customHeight="1" x14ac:dyDescent="0.25">
      <c r="A64" s="11"/>
      <c r="B64" s="120"/>
      <c r="C64" s="24"/>
      <c r="D64" s="24"/>
      <c r="E64" s="16">
        <f ca="1">$B$2</f>
        <v>36601</v>
      </c>
      <c r="F64" s="17">
        <f ca="1">VLOOKUP($E64,[2]NWP_PGT_DAILY!$A$5:$AX$1000,50)/1000</f>
        <v>-1805.8439914227445</v>
      </c>
      <c r="G64" s="18"/>
      <c r="I64" s="51">
        <f ca="1">DATE(YEAR($B$2)-2,MONTH($B$2),1)</f>
        <v>35855</v>
      </c>
      <c r="J64" s="17">
        <f t="shared" ca="1" si="0"/>
        <v>-1881.59793749607</v>
      </c>
      <c r="L64" s="11"/>
      <c r="M64" s="11"/>
      <c r="N64" s="11"/>
      <c r="O64" s="11"/>
      <c r="P64" s="51">
        <f ca="1">DATE(YEAR($B$2)-2,MONTH($B$2),1)</f>
        <v>35855</v>
      </c>
      <c r="Q64" s="69"/>
      <c r="S64" s="117">
        <f ca="1">P60</f>
        <v>36600</v>
      </c>
      <c r="T64" s="118">
        <f>T104</f>
        <v>245.166</v>
      </c>
      <c r="V64" s="117">
        <f ca="1">S64</f>
        <v>36600</v>
      </c>
      <c r="W64" s="119">
        <f>T107</f>
        <v>448.85250000000002</v>
      </c>
      <c r="AB64" s="11"/>
      <c r="AC64" s="11"/>
    </row>
    <row r="65" spans="1:33" ht="14.25" x14ac:dyDescent="0.2">
      <c r="A65" s="11"/>
      <c r="C65" s="121"/>
      <c r="D65" s="121"/>
      <c r="E65" s="16">
        <f ca="1">$B$2-1</f>
        <v>36600</v>
      </c>
      <c r="F65" s="17">
        <f ca="1">VLOOKUP($E65,[2]NWP_PGT_DAILY!$A$5:$AX$1000,50)/1000</f>
        <v>-1842.3687308413739</v>
      </c>
      <c r="G65" s="122"/>
      <c r="H65" s="11"/>
      <c r="I65" s="57" t="s">
        <v>34</v>
      </c>
      <c r="J65" s="81">
        <f t="shared" si="0"/>
        <v>-1974</v>
      </c>
      <c r="L65" s="11"/>
      <c r="M65" s="123"/>
      <c r="N65" s="11"/>
      <c r="O65" s="11"/>
      <c r="P65" s="57" t="s">
        <v>34</v>
      </c>
      <c r="Q65" s="64">
        <v>220</v>
      </c>
      <c r="S65" s="124">
        <f ca="1">$P$63</f>
        <v>36220</v>
      </c>
      <c r="T65" s="118">
        <f>P110</f>
        <v>279.245</v>
      </c>
      <c r="V65" s="76">
        <f ca="1">$P$63</f>
        <v>36220</v>
      </c>
      <c r="W65" s="119">
        <f>P113</f>
        <v>481.64650000000029</v>
      </c>
      <c r="X65" s="11"/>
      <c r="Y65" s="78" t="s">
        <v>73</v>
      </c>
      <c r="AB65" s="11"/>
      <c r="AC65" s="10"/>
      <c r="AF65" s="125"/>
    </row>
    <row r="66" spans="1:33" ht="15.75" customHeight="1" x14ac:dyDescent="0.2">
      <c r="A66" s="11"/>
      <c r="C66" s="121"/>
      <c r="D66" s="121"/>
      <c r="E66" s="30" t="s">
        <v>21</v>
      </c>
      <c r="F66" s="17">
        <f ca="1">SUMIF([2]NWP_PGT_DAILY!$BP$5:$BP$1001,$AK$3,[2]NWP_PGT_DAILY!$AX$5:$AX$1001)/COUNTIF([2]NWP_PGT_DAILY!$BP$5:$BP$1001,$AK$3)/1000</f>
        <v>-1809.851566997844</v>
      </c>
      <c r="G66" s="126"/>
      <c r="H66" s="11"/>
      <c r="I66" s="11"/>
      <c r="L66" s="11"/>
      <c r="M66" s="11"/>
      <c r="N66" s="11"/>
      <c r="O66" s="11"/>
      <c r="P66" s="11"/>
      <c r="S66" s="78" t="s">
        <v>74</v>
      </c>
      <c r="T66" s="118">
        <f>P104/1000</f>
        <v>353.88600000000002</v>
      </c>
      <c r="V66" s="78" t="s">
        <v>74</v>
      </c>
      <c r="W66" s="119">
        <f>P107/1000</f>
        <v>539.72850000000005</v>
      </c>
      <c r="X66" s="8">
        <f ca="1">$B$2</f>
        <v>36601</v>
      </c>
      <c r="Y66" s="21">
        <f ca="1">VLOOKUP($X66,[2]NWP_PGT_DAILY!$A$5:$AX$1000,34)/1000</f>
        <v>-166.66</v>
      </c>
      <c r="AB66" s="11"/>
      <c r="AC66" s="11"/>
    </row>
    <row r="67" spans="1:33" ht="14.25" x14ac:dyDescent="0.2">
      <c r="A67" s="11"/>
      <c r="C67" s="121"/>
      <c r="D67" s="121"/>
      <c r="E67" s="36">
        <f ca="1">DATE(YEAR($B$2),MONTH($B$2),DAY(E68)-1)</f>
        <v>36585</v>
      </c>
      <c r="F67" s="17">
        <f ca="1">-VLOOKUP(E67,'[2]WestCoast Historicals'!$D$68:$AD$70,27)/1000</f>
        <v>-1759.869700167935</v>
      </c>
      <c r="G67" s="127"/>
      <c r="H67" s="12"/>
      <c r="I67" s="13" t="s">
        <v>75</v>
      </c>
      <c r="J67" s="11"/>
      <c r="K67" s="11"/>
      <c r="L67" s="11"/>
      <c r="O67" s="11"/>
      <c r="P67" s="11"/>
      <c r="V67" s="11"/>
      <c r="W67" s="11"/>
      <c r="X67" s="8">
        <f ca="1">$B$2-1</f>
        <v>36600</v>
      </c>
      <c r="Y67" s="21">
        <f ca="1">VLOOKUP($X67,[2]NWP_PGT_DAILY!$A$5:$AX$1000,34)/1000</f>
        <v>-176.964</v>
      </c>
      <c r="Z67" s="11"/>
      <c r="AA67" s="78" t="s">
        <v>76</v>
      </c>
      <c r="AC67" s="11"/>
    </row>
    <row r="68" spans="1:33" ht="14.25" x14ac:dyDescent="0.2">
      <c r="A68" s="11"/>
      <c r="C68" s="121"/>
      <c r="D68" s="121"/>
      <c r="E68" s="36">
        <f ca="1">DATE(YEAR($B$2)-1,MONTH($B$2),1)</f>
        <v>36220</v>
      </c>
      <c r="F68" s="17">
        <f ca="1">VLOOKUP($E68,'[2]NWP-PGT_HIST'!$A$5:$Y$32,'[2]NWP-PGT_HIST'!$Y$1)/1000</f>
        <v>-1640.0726755218211</v>
      </c>
      <c r="G68" s="127"/>
      <c r="H68" s="16">
        <f ca="1">$B$2</f>
        <v>36601</v>
      </c>
      <c r="I68" s="17">
        <f ca="1">VLOOKUP($H68,[2]NWP_PGT_DAILY!$A$5:$BK$1000,62)/1000</f>
        <v>-57.425006974845402</v>
      </c>
      <c r="J68" s="11"/>
      <c r="K68" s="11"/>
      <c r="L68" s="11"/>
      <c r="O68" s="11"/>
      <c r="P68" s="11"/>
      <c r="V68" s="50" t="s">
        <v>77</v>
      </c>
      <c r="W68" s="11"/>
      <c r="X68" s="10" t="s">
        <v>21</v>
      </c>
      <c r="Y68" s="21">
        <f ca="1">SUMIF([2]NWP_PGT_DAILY!$BP$5:$BP$1001,$AK$3,[2]NWP_PGT_DAILY!$AH$5:$AH$1001)/COUNTIF([2]NWP_PGT_DAILY!$BP$5:$BP$1001,$AK$3)/1000</f>
        <v>-168.2657857142857</v>
      </c>
      <c r="Z68" s="8">
        <f ca="1">$B$2</f>
        <v>36601</v>
      </c>
      <c r="AA68" s="21">
        <f ca="1">VLOOKUP($Z68,[2]NWP_PGT_DAILY!$A$5:$AX$1000,37)/1000</f>
        <v>-85.828999999999994</v>
      </c>
      <c r="AC68" s="11"/>
    </row>
    <row r="69" spans="1:33" ht="14.25" x14ac:dyDescent="0.2">
      <c r="A69" s="11"/>
      <c r="C69" s="121"/>
      <c r="D69" s="121"/>
      <c r="E69" s="51">
        <f ca="1">DATE(YEAR($B$2)-2,MONTH($B$2),1)</f>
        <v>35855</v>
      </c>
      <c r="F69" s="17">
        <f ca="1">VLOOKUP($E69,'[2]NWP-PGT_HIST'!$A$5:$Y$32,'[2]NWP-PGT_HIST'!$Y$1)/1000</f>
        <v>-1814.070835691379</v>
      </c>
      <c r="G69" s="122"/>
      <c r="H69" s="16">
        <f ca="1">$B$2-1</f>
        <v>36600</v>
      </c>
      <c r="I69" s="17">
        <f ca="1">VLOOKUP($H69,[2]NWP_PGT_DAILY!$A$5:$BK$1000,62)/1000</f>
        <v>-40.380128579484932</v>
      </c>
      <c r="L69" s="11"/>
      <c r="O69" s="11"/>
      <c r="P69" s="11"/>
      <c r="V69" s="11"/>
      <c r="W69" s="11"/>
      <c r="X69" s="73">
        <f ca="1">DATE(YEAR($B$2),MONTH($B$2),DAY(X70)-1)</f>
        <v>36585</v>
      </c>
      <c r="Y69" s="21">
        <f ca="1">VLOOKUP(X69,'[2]WestCoast Historicals'!$D$68:$AI$70,32)/1000</f>
        <v>-219.78555172413795</v>
      </c>
      <c r="Z69" s="8">
        <f ca="1">$B$2-1</f>
        <v>36600</v>
      </c>
      <c r="AA69" s="21">
        <f ca="1">VLOOKUP($Z69,[2]NWP_PGT_DAILY!$A$5:$AX$1000,37)/1000</f>
        <v>-89.388999999999996</v>
      </c>
      <c r="AC69" s="11"/>
      <c r="AF69" s="128">
        <f ca="1">AE86</f>
        <v>36601</v>
      </c>
      <c r="AG69" s="128">
        <f ca="1">AE87</f>
        <v>36600</v>
      </c>
    </row>
    <row r="70" spans="1:33" ht="14.25" x14ac:dyDescent="0.2">
      <c r="C70" s="121"/>
      <c r="D70" s="121"/>
      <c r="E70" s="57" t="s">
        <v>34</v>
      </c>
      <c r="F70" s="129">
        <v>-1860</v>
      </c>
      <c r="G70" s="122"/>
      <c r="H70" s="30" t="s">
        <v>21</v>
      </c>
      <c r="I70" s="17">
        <f ca="1">SUMIF([2]NWP_PGT_DAILY!$BP$5:$BP$1001,$AK$3,[2]NWP_PGT_DAILY!$BJ$5:$BJ$1001)/COUNTIF([2]NWP_PGT_DAILY!$BP$5:$BP$1001,$AK$3)/1000</f>
        <v>-66.27355991733485</v>
      </c>
      <c r="J70" s="130"/>
      <c r="K70" s="11"/>
      <c r="L70" s="11"/>
      <c r="O70" s="11"/>
      <c r="P70" s="11"/>
      <c r="V70" s="11"/>
      <c r="X70" s="73">
        <f ca="1">DATE(YEAR($B$2)-1,MONTH($B$2),1)</f>
        <v>36220</v>
      </c>
      <c r="Y70" s="21">
        <v>-217.6</v>
      </c>
      <c r="Z70" s="10" t="s">
        <v>21</v>
      </c>
      <c r="AA70" s="21">
        <f ca="1">SUMIF([2]NWP_PGT_DAILY!$BP$5:$BP$1001,$AK$3,[2]NWP_PGT_DAILY!$AK$5:$AK$1001)/COUNTIF([2]NWP_PGT_DAILY!$BP$5:$BP$1001,$AK$3)/1000</f>
        <v>-91.863857142857142</v>
      </c>
      <c r="AC70" s="11"/>
      <c r="AE70" s="131" t="s">
        <v>78</v>
      </c>
      <c r="AF70" s="132">
        <f ca="1">'[2]EL Paso'!B39</f>
        <v>386.52761904761905</v>
      </c>
      <c r="AG70" s="132">
        <f ca="1">'[2]EL Paso'!C39</f>
        <v>387.34666666666664</v>
      </c>
    </row>
    <row r="71" spans="1:33" ht="14.25" x14ac:dyDescent="0.2">
      <c r="C71" s="121"/>
      <c r="D71" s="121"/>
      <c r="E71" s="62">
        <f ca="1">E68</f>
        <v>36220</v>
      </c>
      <c r="F71" s="72">
        <f ca="1">F68-F64</f>
        <v>165.77131590092336</v>
      </c>
      <c r="G71" s="127"/>
      <c r="H71" s="36">
        <f ca="1">DATE(YEAR($B$2),MONTH($B$2),DAY(H72)-1)</f>
        <v>36585</v>
      </c>
      <c r="I71" s="17">
        <f ca="1">-VLOOKUP(H71,'[2]WestCoast Historicals'!$D$68:$AD$70,25)/1000</f>
        <v>-83.653548298740603</v>
      </c>
      <c r="J71" s="130"/>
      <c r="K71" s="11"/>
      <c r="L71" s="11"/>
      <c r="O71" s="84" t="s">
        <v>79</v>
      </c>
      <c r="P71" s="66"/>
      <c r="S71" s="11"/>
      <c r="T71" s="11"/>
      <c r="U71" s="11"/>
      <c r="X71" s="92" t="s">
        <v>43</v>
      </c>
      <c r="Y71" s="60">
        <v>360</v>
      </c>
      <c r="Z71" s="73">
        <f ca="1">DATE(YEAR($B$2),MONTH($B$2),DAY(Z72)-1)</f>
        <v>36585</v>
      </c>
      <c r="AA71" s="21">
        <f ca="1">VLOOKUP(Z71,'[2]WestCoast Historicals'!$D$68:$AD$70,10)/1000</f>
        <v>-185.94275862068966</v>
      </c>
      <c r="AC71" s="5"/>
      <c r="AE71" s="131" t="s">
        <v>80</v>
      </c>
      <c r="AF71" s="132">
        <f ca="1">'[2]EL Paso'!B40</f>
        <v>130.32761904761904</v>
      </c>
      <c r="AG71" s="132">
        <f ca="1">'[2]EL Paso'!C40</f>
        <v>124.4542857142857</v>
      </c>
    </row>
    <row r="72" spans="1:33" ht="14.25" x14ac:dyDescent="0.2">
      <c r="C72" s="5"/>
      <c r="E72" s="5"/>
      <c r="F72" s="10"/>
      <c r="G72" s="10"/>
      <c r="H72" s="36">
        <f ca="1">DATE(YEAR($B$2)-1,MONTH($B$2),1)</f>
        <v>36220</v>
      </c>
      <c r="I72" s="17">
        <f ca="1">VLOOKUP($H$72,'[2]NWP-PGT_HIST'!$A$5:$Y$32,'[2]NWP-PGT_HIST'!$W$1)/1000</f>
        <v>-58.27270714737508</v>
      </c>
      <c r="J72" s="130"/>
      <c r="K72" s="11"/>
      <c r="L72" s="11"/>
      <c r="O72" s="117">
        <f ca="1">P59</f>
        <v>36601</v>
      </c>
      <c r="P72" s="119">
        <f>R106</f>
        <v>732.9</v>
      </c>
      <c r="S72" s="11"/>
      <c r="T72" s="11"/>
      <c r="U72" s="11"/>
      <c r="X72" s="92" t="s">
        <v>44</v>
      </c>
      <c r="Y72" s="93">
        <v>-400</v>
      </c>
      <c r="Z72" s="73">
        <f ca="1">DATE(YEAR($B$2)-1,MONTH($B$2),1)</f>
        <v>36220</v>
      </c>
      <c r="AA72" s="21">
        <v>-168.7</v>
      </c>
      <c r="AC72" s="11"/>
      <c r="AE72" s="131" t="s">
        <v>81</v>
      </c>
      <c r="AF72" s="132">
        <f ca="1">'[2]EL Paso'!B41</f>
        <v>18.05238095238095</v>
      </c>
      <c r="AG72" s="132">
        <f ca="1">'[2]EL Paso'!C41</f>
        <v>18.01047619047619</v>
      </c>
    </row>
    <row r="73" spans="1:33" ht="14.25" x14ac:dyDescent="0.2">
      <c r="F73" s="11"/>
      <c r="G73" s="11"/>
      <c r="H73" s="51">
        <f ca="1">DATE(YEAR($B$2)-2,MONTH($B$2),1)</f>
        <v>35855</v>
      </c>
      <c r="I73" s="17">
        <f ca="1">VLOOKUP($H$73,'[2]NWP-PGT_HIST'!$A$5:$Y$32,'[2]NWP-PGT_HIST'!$W$1)/1000</f>
        <v>-67.527101804690929</v>
      </c>
      <c r="J73" s="130"/>
      <c r="K73" s="11"/>
      <c r="L73" s="11"/>
      <c r="O73" s="117">
        <f ca="1">P60</f>
        <v>36600</v>
      </c>
      <c r="P73" s="119">
        <f>T106</f>
        <v>732.9</v>
      </c>
      <c r="Q73" s="11"/>
      <c r="R73" s="84" t="s">
        <v>82</v>
      </c>
      <c r="S73" s="66"/>
      <c r="T73" s="11"/>
      <c r="U73" s="11"/>
      <c r="Y73" s="11"/>
      <c r="Z73" s="73">
        <f ca="1">DATE(YEAR($B$2)-2,MONTH($B$2),1)</f>
        <v>35855</v>
      </c>
      <c r="AA73" s="133">
        <v>80</v>
      </c>
      <c r="AC73" s="11"/>
      <c r="AE73" s="131" t="s">
        <v>83</v>
      </c>
      <c r="AF73" s="132">
        <f ca="1">'[2]EL Paso'!B42</f>
        <v>55.80952380952381</v>
      </c>
      <c r="AG73" s="132">
        <f ca="1">'[2]EL Paso'!C42</f>
        <v>60.953333333333326</v>
      </c>
    </row>
    <row r="74" spans="1:33" ht="14.25" x14ac:dyDescent="0.2">
      <c r="F74" s="11"/>
      <c r="G74" s="11"/>
      <c r="H74" s="57" t="s">
        <v>34</v>
      </c>
      <c r="I74" s="81">
        <v>-114</v>
      </c>
      <c r="J74" s="130"/>
      <c r="K74" s="11"/>
      <c r="L74" s="11"/>
      <c r="O74" s="124">
        <f ca="1">$P$63</f>
        <v>36220</v>
      </c>
      <c r="P74" s="119">
        <f>P112</f>
        <v>732.9</v>
      </c>
      <c r="Q74" s="11"/>
      <c r="R74" s="117">
        <f ca="1">P59</f>
        <v>36601</v>
      </c>
      <c r="S74" s="119">
        <f>R103</f>
        <v>95.277000000000001</v>
      </c>
      <c r="T74" s="11"/>
      <c r="U74" s="11"/>
      <c r="Y74" s="11"/>
      <c r="Z74" s="92" t="s">
        <v>43</v>
      </c>
      <c r="AA74" s="60">
        <v>281</v>
      </c>
      <c r="AC74" s="11"/>
      <c r="AE74" s="131" t="s">
        <v>84</v>
      </c>
      <c r="AF74" s="132">
        <f ca="1">'[2]EL Paso'!B43</f>
        <v>263.03619047619048</v>
      </c>
      <c r="AG74" s="132">
        <f ca="1">'[2]EL Paso'!C43</f>
        <v>283.76571428571424</v>
      </c>
    </row>
    <row r="75" spans="1:33" ht="14.25" x14ac:dyDescent="0.2">
      <c r="F75" s="11"/>
      <c r="G75" s="11"/>
      <c r="H75" s="11"/>
      <c r="I75" s="134"/>
      <c r="J75" s="135"/>
      <c r="K75" s="11"/>
      <c r="L75" s="11"/>
      <c r="O75" s="78" t="s">
        <v>74</v>
      </c>
      <c r="P75" s="119">
        <f>P106/1000</f>
        <v>732.9</v>
      </c>
      <c r="Q75" s="11"/>
      <c r="R75" s="117">
        <f ca="1">P60</f>
        <v>36600</v>
      </c>
      <c r="S75" s="119">
        <f>T103</f>
        <v>95.277000000000001</v>
      </c>
      <c r="T75" s="11"/>
      <c r="U75" s="11"/>
      <c r="Y75" s="11"/>
      <c r="Z75" s="92" t="s">
        <v>44</v>
      </c>
      <c r="AA75" s="93">
        <v>-223</v>
      </c>
      <c r="AC75" s="11"/>
      <c r="AE75" s="131" t="s">
        <v>85</v>
      </c>
      <c r="AF75" s="132">
        <f ca="1">'[2]EL Paso'!B44</f>
        <v>286.19142857142856</v>
      </c>
      <c r="AG75" s="132">
        <f ca="1">'[2]EL Paso'!C44</f>
        <v>296.95523809523809</v>
      </c>
    </row>
    <row r="76" spans="1:33" ht="14.25" x14ac:dyDescent="0.2">
      <c r="F76" s="11"/>
      <c r="G76" s="11"/>
      <c r="H76" s="11"/>
      <c r="I76" s="11"/>
      <c r="J76" s="11"/>
      <c r="K76" s="11"/>
      <c r="L76" s="84" t="s">
        <v>86</v>
      </c>
      <c r="M76" s="66"/>
      <c r="O76" s="11"/>
      <c r="P76" s="11"/>
      <c r="Q76" s="11"/>
      <c r="R76" s="124">
        <f ca="1">$P$63</f>
        <v>36220</v>
      </c>
      <c r="S76" s="119">
        <f>P109</f>
        <v>95.277000000000029</v>
      </c>
      <c r="T76" s="11"/>
      <c r="U76" s="11"/>
      <c r="Y76" s="11"/>
      <c r="Z76" s="62">
        <f ca="1">Z72</f>
        <v>36220</v>
      </c>
      <c r="AA76" s="72">
        <f ca="1">AA72-AA68</f>
        <v>-82.870999999999995</v>
      </c>
      <c r="AC76" s="11"/>
      <c r="AE76" s="131" t="s">
        <v>87</v>
      </c>
      <c r="AF76" s="132">
        <f ca="1">'[2]EL Paso'!B45</f>
        <v>61.76</v>
      </c>
      <c r="AG76" s="132">
        <f ca="1">'[2]EL Paso'!C45</f>
        <v>72.091428571428565</v>
      </c>
    </row>
    <row r="77" spans="1:33" ht="14.25" x14ac:dyDescent="0.2">
      <c r="F77" s="11"/>
      <c r="G77" s="11"/>
      <c r="H77" s="11"/>
      <c r="I77" s="11"/>
      <c r="J77" s="11"/>
      <c r="K77" s="11"/>
      <c r="L77" s="121">
        <f ca="1">H68</f>
        <v>36601</v>
      </c>
      <c r="M77" s="136">
        <f>R105</f>
        <v>717.94200000000001</v>
      </c>
      <c r="O77" s="11"/>
      <c r="R77" s="78" t="s">
        <v>74</v>
      </c>
      <c r="S77" s="119">
        <f>P103/1000</f>
        <v>95.277000000000001</v>
      </c>
      <c r="T77" s="11"/>
      <c r="U77" s="11"/>
      <c r="W77" s="78" t="s">
        <v>88</v>
      </c>
      <c r="X77" s="11"/>
      <c r="Y77" s="11"/>
      <c r="Z77" s="11"/>
      <c r="AA77" s="11"/>
      <c r="AE77" s="131" t="s">
        <v>89</v>
      </c>
      <c r="AF77" s="137">
        <f ca="1">'[2]EL Paso'!B46</f>
        <v>794.26857142857136</v>
      </c>
      <c r="AG77" s="137">
        <f ca="1">'[2]EL Paso'!C46</f>
        <v>845.20666666666659</v>
      </c>
    </row>
    <row r="78" spans="1:33" ht="14.25" x14ac:dyDescent="0.2">
      <c r="F78" s="11"/>
      <c r="G78" s="11"/>
      <c r="H78" s="11"/>
      <c r="I78" s="11"/>
      <c r="L78" s="121">
        <f ca="1">H69</f>
        <v>36600</v>
      </c>
      <c r="M78" s="136">
        <f>T105</f>
        <v>701.43700000000001</v>
      </c>
      <c r="O78" s="11"/>
      <c r="R78" s="11"/>
      <c r="S78" s="11"/>
      <c r="T78" s="11"/>
      <c r="U78" s="11"/>
      <c r="V78" s="11"/>
      <c r="W78" s="11"/>
      <c r="X78" s="1" t="s">
        <v>90</v>
      </c>
      <c r="Y78" s="5" t="s">
        <v>91</v>
      </c>
      <c r="Z78" s="1" t="s">
        <v>92</v>
      </c>
      <c r="AA78" s="11"/>
      <c r="AF78" s="132">
        <f ca="1">SUM(AF70:AF77)</f>
        <v>1995.9733333333334</v>
      </c>
      <c r="AG78" s="132">
        <f ca="1">SUM(AG70:AG77)</f>
        <v>2088.7838095238094</v>
      </c>
    </row>
    <row r="79" spans="1:33" ht="14.25" x14ac:dyDescent="0.2">
      <c r="F79" s="11"/>
      <c r="G79" s="11"/>
      <c r="H79" s="11"/>
      <c r="I79" s="11"/>
      <c r="L79" s="73">
        <f ca="1">O74</f>
        <v>36220</v>
      </c>
      <c r="M79" s="136">
        <f>P111</f>
        <v>732.9</v>
      </c>
      <c r="O79" s="11"/>
      <c r="R79" s="11"/>
      <c r="S79" s="11"/>
      <c r="T79" s="11"/>
      <c r="U79" s="11"/>
      <c r="V79" s="11"/>
      <c r="W79" s="8">
        <f ca="1">$B$2</f>
        <v>36601</v>
      </c>
      <c r="X79" s="21">
        <f ca="1">VLOOKUP($W$79,[2]NWP_PGT_DAILY!$A$5:$AX$1000,40)/1000</f>
        <v>64.183000000000007</v>
      </c>
      <c r="Y79" s="138">
        <f ca="1">VLOOKUP(W79,[2]NWP_PGT_DAILY!$A$1:$AO$65536,[2]NWP_PGT_DAILY!$AO$1)/1000</f>
        <v>9406.0040000000008</v>
      </c>
      <c r="Z79" s="5">
        <f>W103</f>
        <v>0</v>
      </c>
      <c r="AB79" s="66" t="s">
        <v>93</v>
      </c>
      <c r="AC79" s="66"/>
    </row>
    <row r="80" spans="1:33" ht="14.25" x14ac:dyDescent="0.2">
      <c r="F80" s="11"/>
      <c r="G80" s="11"/>
      <c r="H80" s="11"/>
      <c r="I80" s="11"/>
      <c r="L80" s="73" t="str">
        <f>O75</f>
        <v>Cap.</v>
      </c>
      <c r="M80" s="136">
        <f>P105/1000</f>
        <v>732.9</v>
      </c>
      <c r="O80" s="11"/>
      <c r="R80" s="11"/>
      <c r="S80" s="11"/>
      <c r="T80" s="11"/>
      <c r="U80" s="11"/>
      <c r="V80" s="11"/>
      <c r="W80" s="8">
        <f ca="1">$B$2-1</f>
        <v>36600</v>
      </c>
      <c r="X80" s="21">
        <f ca="1">VLOOKUP($W$80,[2]NWP_PGT_DAILY!$A$5:$AX$1000,40)/1000</f>
        <v>26.876000000000001</v>
      </c>
      <c r="Y80" s="139">
        <f ca="1">'[2]WestCoast Historicals'!T70</f>
        <v>0.17233031489751519</v>
      </c>
      <c r="Z80" s="5">
        <f>X103</f>
        <v>0</v>
      </c>
      <c r="AB80" s="140">
        <f ca="1">$B$2</f>
        <v>36601</v>
      </c>
      <c r="AC80" s="72">
        <f ca="1">VLOOKUP(AB80,[2]NWP_PGT_DAILY!$A$1:$CS$65536,[2]NWP_PGT_DAILY!$BL$1)/1000</f>
        <v>135.52799999999999</v>
      </c>
    </row>
    <row r="81" spans="2:33" ht="15" thickBot="1" x14ac:dyDescent="0.25">
      <c r="F81" s="11"/>
      <c r="G81" s="11"/>
      <c r="H81" s="66"/>
      <c r="I81" s="66"/>
      <c r="L81" s="11"/>
      <c r="O81" s="11"/>
      <c r="Q81" s="66" t="s">
        <v>94</v>
      </c>
      <c r="R81" s="66"/>
      <c r="S81" s="11"/>
      <c r="V81" s="11"/>
      <c r="W81" s="10" t="s">
        <v>21</v>
      </c>
      <c r="X81" s="21">
        <f ca="1">SUMIF([2]NWP_PGT_DAILY!$BP$5:$BP$1001,$AK$3,[2]NWP_PGT_DAILY!$AN$5:$AN$1001)/COUNTIF([2]NWP_PGT_DAILY!$BP$5:$BP$1001,$AK$3)/1000</f>
        <v>86.447357142857143</v>
      </c>
      <c r="Y81" s="5"/>
      <c r="AA81" s="10"/>
      <c r="AB81" s="128">
        <f ca="1">AB80-1</f>
        <v>36600</v>
      </c>
      <c r="AC81" s="72">
        <f ca="1">VLOOKUP(AB81,[2]NWP_PGT_DAILY!$A$1:$CS$65536,[2]NWP_PGT_DAILY!$BL$1)/1000</f>
        <v>121.015</v>
      </c>
    </row>
    <row r="82" spans="2:33" ht="14.25" x14ac:dyDescent="0.2">
      <c r="B82" s="141" t="s">
        <v>95</v>
      </c>
      <c r="C82" s="142"/>
      <c r="D82" s="142"/>
      <c r="E82" s="143"/>
      <c r="F82" s="144"/>
      <c r="G82" s="11"/>
      <c r="H82" s="140"/>
      <c r="I82" s="72"/>
      <c r="J82" s="122" t="s">
        <v>96</v>
      </c>
      <c r="L82" s="11"/>
      <c r="O82" s="11"/>
      <c r="Q82" s="140">
        <f ca="1">J84</f>
        <v>36601</v>
      </c>
      <c r="R82" s="71">
        <f ca="1">'[2]Map -All West'!K67</f>
        <v>-147.29428571428571</v>
      </c>
      <c r="T82" s="11"/>
      <c r="U82" s="11"/>
      <c r="V82" s="11"/>
      <c r="W82" s="73">
        <f ca="1">DATE(YEAR($B$2),MONTH($B$2),DAY(W83)-1)</f>
        <v>36585</v>
      </c>
      <c r="X82" s="72">
        <f ca="1">VLOOKUP(W82,'[2]WestCoast Historicals'!$D$68:$AE$70,28)/1000</f>
        <v>205.23082758620689</v>
      </c>
      <c r="Y82" s="72">
        <f ca="1">VLOOKUP(W82,'[2]WestCoast Historicals'!$D$68:$AD$70,15)/1000</f>
        <v>11311.027</v>
      </c>
      <c r="AB82" s="145" t="s">
        <v>21</v>
      </c>
      <c r="AC82" s="72">
        <f ca="1">SUMIF([2]NWP_PGT_DAILY!$BP$5:$BP$1001,$AK$3,[2]NWP_PGT_DAILY!$BL$5:$BL$1001)/COUNTIF([2]NWP_PGT_DAILY!$BP$5:$BP$1001,$AK$3)/1000</f>
        <v>156.08414285714287</v>
      </c>
    </row>
    <row r="83" spans="2:33" ht="14.25" x14ac:dyDescent="0.2">
      <c r="B83" s="144"/>
      <c r="C83" s="11"/>
      <c r="D83" s="11"/>
      <c r="E83" s="10"/>
      <c r="F83" s="144"/>
      <c r="G83" s="11"/>
      <c r="H83" s="11"/>
      <c r="I83" s="11"/>
      <c r="J83" s="66" t="s">
        <v>97</v>
      </c>
      <c r="K83" s="66"/>
      <c r="O83" s="11"/>
      <c r="Q83" s="140">
        <f ca="1">Q82-1</f>
        <v>36600</v>
      </c>
      <c r="R83" s="71">
        <f ca="1">'[2]Map -All West'!K68</f>
        <v>-142.56952380952382</v>
      </c>
      <c r="T83" s="11"/>
      <c r="U83" s="11"/>
      <c r="V83" s="11"/>
      <c r="W83" s="73">
        <f ca="1">DATE(YEAR($B$2)-1,MONTH($B$2),1)</f>
        <v>36220</v>
      </c>
      <c r="X83" s="28">
        <v>154.6</v>
      </c>
      <c r="Y83" s="72">
        <f ca="1">VLOOKUP(W83,'[2]WestCoast Historicals'!$D$44:$S$69,16)/1000</f>
        <v>15832.897999999999</v>
      </c>
      <c r="AA83" s="146">
        <f ca="1">VLOOKUP(W83,'[2]WestCoast Historicals'!$D$37:$T$69,17)</f>
        <v>0.29007943203939079</v>
      </c>
      <c r="AB83" s="147">
        <f ca="1">DATE(YEAR($B$2),MONTH($B$2),DAY(AB84)-1)</f>
        <v>36585</v>
      </c>
      <c r="AC83" s="28">
        <f ca="1">VLOOKUP(AB83,'[2]WestCoast Historicals'!$D$68:$AD$70,12)/1000</f>
        <v>131.45944827586206</v>
      </c>
      <c r="AF83" s="122" t="s">
        <v>98</v>
      </c>
    </row>
    <row r="84" spans="2:33" ht="14.25" x14ac:dyDescent="0.2">
      <c r="B84" s="144"/>
      <c r="C84" s="148" t="s">
        <v>99</v>
      </c>
      <c r="D84" s="11" t="s">
        <v>100</v>
      </c>
      <c r="E84" s="10"/>
      <c r="F84" s="144"/>
      <c r="J84" s="140">
        <f ca="1">H68</f>
        <v>36601</v>
      </c>
      <c r="K84" s="71">
        <f ca="1">'[2]Map -All West'!H72</f>
        <v>-979.52952380952388</v>
      </c>
      <c r="O84" s="11"/>
      <c r="P84" s="11"/>
      <c r="Q84" s="78" t="s">
        <v>21</v>
      </c>
      <c r="R84" s="71">
        <f>'[2]EL Paso'!AG2</f>
        <v>-162.35214285714284</v>
      </c>
      <c r="S84" s="11"/>
      <c r="T84" s="11"/>
      <c r="U84" s="11"/>
      <c r="V84" s="11"/>
      <c r="W84" s="73">
        <f ca="1">DATE(YEAR($B$2)-2,MONTH($B$2),1)</f>
        <v>35855</v>
      </c>
      <c r="X84" s="28">
        <v>135.9</v>
      </c>
      <c r="Y84" s="5"/>
      <c r="AA84" s="11"/>
      <c r="AB84" s="124">
        <f ca="1">W83</f>
        <v>36220</v>
      </c>
      <c r="AC84" s="149">
        <f ca="1">VLOOKUP(AB84,'[2]WestCoast Historicals'!$D$44:$AD$68,12)/1000</f>
        <v>109.05848387096775</v>
      </c>
      <c r="AE84" s="5"/>
      <c r="AF84" s="66" t="s">
        <v>101</v>
      </c>
      <c r="AG84" s="66"/>
    </row>
    <row r="85" spans="2:33" ht="14.25" x14ac:dyDescent="0.2">
      <c r="B85" s="144"/>
      <c r="C85" s="11"/>
      <c r="D85" s="11" t="s">
        <v>102</v>
      </c>
      <c r="E85" s="10"/>
      <c r="F85" s="144"/>
      <c r="J85" s="140">
        <f ca="1">J84-1</f>
        <v>36600</v>
      </c>
      <c r="K85" s="71">
        <f ca="1">'[2]Map -All West'!H73</f>
        <v>-1136.4142857142856</v>
      </c>
      <c r="M85" s="11"/>
      <c r="N85" s="11"/>
      <c r="O85" s="11"/>
      <c r="P85" s="11"/>
      <c r="Q85" s="124">
        <f ca="1">$H$72</f>
        <v>36220</v>
      </c>
      <c r="R85" s="1" t="s">
        <v>103</v>
      </c>
      <c r="S85" s="11"/>
      <c r="T85" s="11"/>
      <c r="U85" s="11"/>
      <c r="V85" s="11"/>
      <c r="W85" s="150" t="s">
        <v>104</v>
      </c>
      <c r="X85" s="60"/>
      <c r="Y85" s="72">
        <v>54581.25</v>
      </c>
      <c r="AA85" s="11"/>
      <c r="AB85" s="124">
        <f ca="1">W84</f>
        <v>35855</v>
      </c>
      <c r="AC85" s="149">
        <f ca="1">VLOOKUP(AB85,'[2]WestCoast Historicals'!$D$44:$AD$68,12)/1000</f>
        <v>222.60640624999999</v>
      </c>
      <c r="AE85" s="5"/>
      <c r="AF85" s="5" t="s">
        <v>105</v>
      </c>
      <c r="AG85" s="5" t="s">
        <v>106</v>
      </c>
    </row>
    <row r="86" spans="2:33" ht="14.25" x14ac:dyDescent="0.2">
      <c r="B86" s="144"/>
      <c r="C86" s="11"/>
      <c r="D86" s="11"/>
      <c r="E86" s="10"/>
      <c r="F86" s="144"/>
      <c r="J86" s="78" t="s">
        <v>21</v>
      </c>
      <c r="K86" s="71">
        <f>'[2]Map -All West'!I107</f>
        <v>-972.36422619047619</v>
      </c>
      <c r="M86" s="11"/>
      <c r="N86" s="11"/>
      <c r="O86" s="11"/>
      <c r="P86" s="11"/>
      <c r="Q86" s="124">
        <f ca="1">$H$73</f>
        <v>35855</v>
      </c>
      <c r="R86" s="1" t="s">
        <v>103</v>
      </c>
      <c r="S86" s="11"/>
      <c r="T86" s="11"/>
      <c r="U86" s="11"/>
      <c r="V86" s="11"/>
      <c r="W86" s="150" t="s">
        <v>107</v>
      </c>
      <c r="X86" s="11"/>
      <c r="Y86" s="11"/>
      <c r="AA86" s="11"/>
      <c r="AB86" s="70" t="s">
        <v>108</v>
      </c>
      <c r="AC86" s="72">
        <v>355</v>
      </c>
      <c r="AE86" s="140">
        <f ca="1">AB80</f>
        <v>36601</v>
      </c>
      <c r="AF86" s="151">
        <f ca="1">'[2]Map -All West'!W72</f>
        <v>236.06571428571428</v>
      </c>
      <c r="AG86" s="151">
        <f ca="1">'[2]Map -All West'!X72</f>
        <v>283.11619047619047</v>
      </c>
    </row>
    <row r="87" spans="2:33" ht="14.25" x14ac:dyDescent="0.2">
      <c r="B87" s="144"/>
      <c r="C87" s="11" t="s">
        <v>109</v>
      </c>
      <c r="D87" s="11" t="s">
        <v>110</v>
      </c>
      <c r="E87" s="10"/>
      <c r="F87" s="144"/>
      <c r="J87" s="124">
        <f ca="1">$H$72</f>
        <v>36220</v>
      </c>
      <c r="K87" s="1" t="s">
        <v>103</v>
      </c>
      <c r="M87" s="11"/>
      <c r="N87" s="11"/>
      <c r="O87" s="11"/>
      <c r="P87" s="11"/>
      <c r="Q87" s="145" t="s">
        <v>108</v>
      </c>
      <c r="R87" s="71">
        <f>'[2]Map -All West'!K69</f>
        <v>-611.34761904761899</v>
      </c>
      <c r="S87" s="11"/>
      <c r="T87" s="11"/>
      <c r="U87" s="11"/>
      <c r="V87" s="11"/>
      <c r="W87" s="11"/>
      <c r="AC87" s="11"/>
      <c r="AE87" s="140">
        <f ca="1">AE86-1</f>
        <v>36600</v>
      </c>
      <c r="AF87" s="151">
        <f ca="1">'[2]Map -All West'!W73</f>
        <v>225.38190476190476</v>
      </c>
      <c r="AG87" s="151">
        <f ca="1">'[2]Map -All West'!X73</f>
        <v>249.29809523809524</v>
      </c>
    </row>
    <row r="88" spans="2:33" ht="14.25" x14ac:dyDescent="0.2">
      <c r="B88" s="144"/>
      <c r="C88" s="11"/>
      <c r="D88" s="11" t="s">
        <v>111</v>
      </c>
      <c r="E88" s="10"/>
      <c r="F88" s="144"/>
      <c r="J88" s="124">
        <f ca="1">$H$73</f>
        <v>35855</v>
      </c>
      <c r="K88" s="1" t="s">
        <v>103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C88" s="122"/>
      <c r="AD88" s="66"/>
      <c r="AE88" s="78" t="s">
        <v>21</v>
      </c>
      <c r="AF88" s="72">
        <f ca="1">'[2]EL Paso'!B37</f>
        <v>236.06571428571428</v>
      </c>
      <c r="AG88" s="72">
        <f>'[2]Map -All West'!I109</f>
        <v>320.58470238095231</v>
      </c>
    </row>
    <row r="89" spans="2:33" ht="14.25" x14ac:dyDescent="0.2">
      <c r="B89" s="144"/>
      <c r="C89" s="11"/>
      <c r="D89" s="11"/>
      <c r="E89" s="10"/>
      <c r="F89" s="144"/>
      <c r="J89" s="145" t="s">
        <v>108</v>
      </c>
      <c r="K89" s="71">
        <f>'[2]Map -All West'!H74</f>
        <v>-2318.0952380952381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5"/>
      <c r="Y89" s="5"/>
      <c r="Z89" s="152" t="s">
        <v>112</v>
      </c>
      <c r="AA89" s="5"/>
      <c r="AC89" s="140"/>
      <c r="AD89" s="71"/>
      <c r="AE89" s="124">
        <f ca="1">$H$72</f>
        <v>36220</v>
      </c>
      <c r="AF89" s="5">
        <v>261</v>
      </c>
      <c r="AG89" s="5" t="s">
        <v>103</v>
      </c>
    </row>
    <row r="90" spans="2:33" ht="14.25" x14ac:dyDescent="0.2">
      <c r="B90" s="144"/>
      <c r="C90" s="11" t="s">
        <v>113</v>
      </c>
      <c r="D90" s="11" t="s">
        <v>114</v>
      </c>
      <c r="E90" s="10"/>
      <c r="F90" s="144"/>
      <c r="X90" s="5"/>
      <c r="Y90" s="5" t="s">
        <v>115</v>
      </c>
      <c r="Z90" s="5" t="s">
        <v>116</v>
      </c>
      <c r="AA90" s="5" t="s">
        <v>117</v>
      </c>
      <c r="AC90" s="140"/>
      <c r="AD90" s="71"/>
      <c r="AE90" s="124">
        <f ca="1">$H$73</f>
        <v>35855</v>
      </c>
      <c r="AF90" s="5">
        <v>266</v>
      </c>
      <c r="AG90" s="5">
        <v>220</v>
      </c>
    </row>
    <row r="91" spans="2:33" ht="14.25" x14ac:dyDescent="0.2">
      <c r="B91" s="144"/>
      <c r="C91" s="11"/>
      <c r="D91" s="11" t="s">
        <v>118</v>
      </c>
      <c r="E91" s="10"/>
      <c r="F91" s="144"/>
      <c r="K91" s="66" t="s">
        <v>119</v>
      </c>
      <c r="L91" s="66"/>
      <c r="R91" s="66" t="s">
        <v>120</v>
      </c>
      <c r="S91" s="66"/>
      <c r="X91" s="140">
        <f ca="1">W79</f>
        <v>36601</v>
      </c>
      <c r="Y91" s="72">
        <f ca="1">'[2]Map -All West'!N72</f>
        <v>1783.452380952381</v>
      </c>
      <c r="Z91" s="72">
        <f ca="1">'[2]Map -All West'!O72</f>
        <v>2449.1514285714284</v>
      </c>
      <c r="AA91" s="72">
        <f ca="1">'[2]Map -All West'!P72</f>
        <v>600.37714285714276</v>
      </c>
      <c r="AC91" s="78"/>
      <c r="AD91" s="71"/>
      <c r="AE91" s="145" t="s">
        <v>74</v>
      </c>
      <c r="AF91" s="151">
        <f>'[2]Map -All West'!W74</f>
        <v>336.1904761904762</v>
      </c>
      <c r="AG91" s="151">
        <f>'[2]Map -All West'!X74</f>
        <v>428.57142857142856</v>
      </c>
    </row>
    <row r="92" spans="2:33" ht="14.25" x14ac:dyDescent="0.2">
      <c r="B92" s="144"/>
      <c r="C92" s="11"/>
      <c r="D92" s="11"/>
      <c r="E92" s="10"/>
      <c r="F92" s="144"/>
      <c r="K92" s="140">
        <f ca="1">J84</f>
        <v>36601</v>
      </c>
      <c r="L92" s="72">
        <f ca="1">'[2]Map -All West'!H78</f>
        <v>-839.3257142857143</v>
      </c>
      <c r="R92" s="140">
        <f ca="1">Q82</f>
        <v>36601</v>
      </c>
      <c r="S92" s="72">
        <f ca="1">'[2]Map -All West'!K79</f>
        <v>-418.9628571428571</v>
      </c>
      <c r="X92" s="140">
        <f ca="1">X91-1</f>
        <v>36600</v>
      </c>
      <c r="Y92" s="72">
        <f ca="1">'[2]Map -All West'!N73</f>
        <v>1938.8990476190477</v>
      </c>
      <c r="Z92" s="72">
        <f ca="1">'[2]Map -All West'!O73</f>
        <v>2585.7323809523805</v>
      </c>
      <c r="AA92" s="72">
        <f ca="1">'[2]Map -All West'!P73</f>
        <v>579.19714285714292</v>
      </c>
      <c r="AC92" s="124"/>
      <c r="AD92" s="71"/>
    </row>
    <row r="93" spans="2:33" ht="14.25" x14ac:dyDescent="0.2">
      <c r="B93" s="144"/>
      <c r="C93" s="11" t="s">
        <v>121</v>
      </c>
      <c r="D93" s="11" t="s">
        <v>110</v>
      </c>
      <c r="E93" s="10"/>
      <c r="F93" s="144"/>
      <c r="H93" s="1" t="s">
        <v>122</v>
      </c>
      <c r="K93" s="140">
        <f ca="1">K92-1</f>
        <v>36600</v>
      </c>
      <c r="L93" s="72">
        <f ca="1">'[2]Map -All West'!H79</f>
        <v>-834.22190476190474</v>
      </c>
      <c r="R93" s="140">
        <f ca="1">R92-1</f>
        <v>36600</v>
      </c>
      <c r="S93" s="72">
        <f ca="1">'[2]Map -All West'!K80</f>
        <v>-392.26285714285711</v>
      </c>
      <c r="X93" s="78" t="s">
        <v>21</v>
      </c>
      <c r="Y93" s="72">
        <f>'[2]Map -All West'!I104</f>
        <v>1892.3713095238099</v>
      </c>
      <c r="Z93" s="72">
        <f>'[2]Map -All West'!I105</f>
        <v>2563.1759523809519</v>
      </c>
      <c r="AA93" s="72">
        <f>'[2]Map -All West'!I103</f>
        <v>597.05029761904768</v>
      </c>
      <c r="AC93" s="124"/>
      <c r="AD93" s="66" t="s">
        <v>123</v>
      </c>
      <c r="AE93" s="66"/>
      <c r="AF93" s="66" t="s">
        <v>124</v>
      </c>
      <c r="AG93" s="66"/>
    </row>
    <row r="94" spans="2:33" ht="15" thickBot="1" x14ac:dyDescent="0.25">
      <c r="B94" s="153"/>
      <c r="C94" s="154"/>
      <c r="D94" s="154"/>
      <c r="E94" s="155"/>
      <c r="F94" s="144"/>
      <c r="K94" s="78" t="s">
        <v>21</v>
      </c>
      <c r="L94" s="72">
        <f>'[2]EL Paso'!AG11</f>
        <v>-837.64011904761901</v>
      </c>
      <c r="R94" s="78" t="s">
        <v>21</v>
      </c>
      <c r="S94" s="72">
        <f>'[2]EL Paso'!$AG3</f>
        <v>-454.40339285714282</v>
      </c>
      <c r="X94" s="124">
        <f ca="1">$H$72</f>
        <v>36220</v>
      </c>
      <c r="Y94" s="72">
        <v>2092</v>
      </c>
      <c r="Z94" s="72">
        <v>2758</v>
      </c>
      <c r="AA94" s="72">
        <v>574</v>
      </c>
      <c r="AC94" s="145"/>
      <c r="AD94" s="140">
        <f ca="1">AF94</f>
        <v>36601</v>
      </c>
      <c r="AE94" s="71">
        <f ca="1">'[2]Map -All West'!G100</f>
        <v>731.17333333333329</v>
      </c>
      <c r="AF94" s="140">
        <f ca="1">X91</f>
        <v>36601</v>
      </c>
      <c r="AG94" s="71">
        <f ca="1">'[2]Map -All West'!Y88</f>
        <v>-406.06190476190477</v>
      </c>
    </row>
    <row r="95" spans="2:33" x14ac:dyDescent="0.2">
      <c r="K95" s="124">
        <f ca="1">$H$72</f>
        <v>36220</v>
      </c>
      <c r="L95" s="72">
        <v>-680</v>
      </c>
      <c r="R95" s="124">
        <f ca="1">$H$72</f>
        <v>36220</v>
      </c>
      <c r="S95" s="72" t="s">
        <v>103</v>
      </c>
      <c r="X95" s="124">
        <f ca="1">$H$73</f>
        <v>35855</v>
      </c>
      <c r="Y95" s="72">
        <v>1915</v>
      </c>
      <c r="Z95" s="72">
        <v>2630</v>
      </c>
      <c r="AA95" s="72">
        <v>601</v>
      </c>
      <c r="AD95" s="140">
        <f ca="1">AF95</f>
        <v>36600</v>
      </c>
      <c r="AE95" s="71">
        <f ca="1">'[2]Map -All West'!H100</f>
        <v>678.65904761904756</v>
      </c>
      <c r="AF95" s="140">
        <f ca="1">AF94-1</f>
        <v>36600</v>
      </c>
      <c r="AG95" s="71">
        <f ca="1">'[2]Map -All West'!Y89</f>
        <v>-393.56857142857143</v>
      </c>
    </row>
    <row r="96" spans="2:33" ht="14.25" x14ac:dyDescent="0.2">
      <c r="K96" s="124">
        <f ca="1">$H$73</f>
        <v>35855</v>
      </c>
      <c r="L96" s="72">
        <v>-720</v>
      </c>
      <c r="R96" s="124">
        <f ca="1">$H$73</f>
        <v>35855</v>
      </c>
      <c r="S96" s="72" t="s">
        <v>103</v>
      </c>
      <c r="X96" s="145" t="s">
        <v>74</v>
      </c>
      <c r="Y96" s="72">
        <f>'[2]Map -All West'!N74</f>
        <v>2100</v>
      </c>
      <c r="Z96" s="72">
        <f>'[2]Map -All West'!O74</f>
        <v>2850</v>
      </c>
      <c r="AA96" s="72">
        <f>'[2]Map -All West'!P74</f>
        <v>620</v>
      </c>
      <c r="AD96" s="140" t="str">
        <f>AF96</f>
        <v>MTD</v>
      </c>
      <c r="AE96" s="71">
        <f>'[2]Map -All West'!I100</f>
        <v>696.15202380952371</v>
      </c>
      <c r="AF96" s="78" t="s">
        <v>21</v>
      </c>
      <c r="AG96" s="71">
        <f>'[2]Map -All West'!I101</f>
        <v>-380.23053571428574</v>
      </c>
    </row>
    <row r="97" spans="2:33" ht="12.75" customHeight="1" x14ac:dyDescent="0.2">
      <c r="K97" s="145" t="s">
        <v>108</v>
      </c>
      <c r="L97" s="72">
        <f>'[2]Map -All West'!H80</f>
        <v>-962.46952380952371</v>
      </c>
      <c r="R97" s="145" t="s">
        <v>108</v>
      </c>
      <c r="S97" s="72">
        <f>'[2]Map -All West'!K81</f>
        <v>-2725.2238095238095</v>
      </c>
      <c r="AD97" s="124">
        <f ca="1">$H$72</f>
        <v>36220</v>
      </c>
      <c r="AE97" s="71">
        <v>655</v>
      </c>
      <c r="AF97" s="124">
        <f ca="1">$H$72</f>
        <v>36220</v>
      </c>
      <c r="AG97" s="71">
        <v>-509</v>
      </c>
    </row>
    <row r="98" spans="2:33" x14ac:dyDescent="0.2">
      <c r="AD98" s="124">
        <f ca="1">$H$73</f>
        <v>35855</v>
      </c>
      <c r="AE98" s="71">
        <v>753</v>
      </c>
      <c r="AF98" s="124">
        <f ca="1">$H$73</f>
        <v>35855</v>
      </c>
      <c r="AG98" s="71">
        <v>-564</v>
      </c>
    </row>
    <row r="99" spans="2:33" x14ac:dyDescent="0.2">
      <c r="AD99" s="145"/>
      <c r="AE99" s="71"/>
      <c r="AF99" s="145"/>
      <c r="AG99" s="71"/>
    </row>
    <row r="100" spans="2:33" ht="5.25" customHeight="1" x14ac:dyDescent="0.2">
      <c r="D100" s="1"/>
      <c r="E100" s="5"/>
    </row>
    <row r="101" spans="2:33" ht="15" x14ac:dyDescent="0.25">
      <c r="B101" s="18" t="s">
        <v>150</v>
      </c>
      <c r="C101" s="11"/>
      <c r="D101" s="1"/>
      <c r="E101" s="18" t="s">
        <v>151</v>
      </c>
      <c r="F101" s="11"/>
      <c r="G101" s="11"/>
      <c r="H101" s="18" t="s">
        <v>152</v>
      </c>
      <c r="I101" s="11"/>
      <c r="J101" s="11"/>
      <c r="K101" s="156" t="s">
        <v>153</v>
      </c>
      <c r="L101" s="110"/>
      <c r="M101" s="110"/>
      <c r="O101" s="101" t="s">
        <v>125</v>
      </c>
      <c r="P101" s="1" t="s">
        <v>126</v>
      </c>
      <c r="Q101" s="1" t="s">
        <v>127</v>
      </c>
      <c r="R101" s="145" t="s">
        <v>128</v>
      </c>
      <c r="W101" s="1" t="s">
        <v>92</v>
      </c>
    </row>
    <row r="102" spans="2:33" ht="15" x14ac:dyDescent="0.25">
      <c r="B102" s="102"/>
      <c r="C102" s="157">
        <f ca="1">TODAY()</f>
        <v>36601</v>
      </c>
      <c r="D102" s="158">
        <f ca="1">C102-1</f>
        <v>36600</v>
      </c>
      <c r="E102" s="159"/>
      <c r="F102" s="157">
        <f ca="1">TODAY()</f>
        <v>36601</v>
      </c>
      <c r="G102" s="158">
        <f ca="1">F102-1</f>
        <v>36600</v>
      </c>
      <c r="H102" s="102"/>
      <c r="I102" s="157">
        <f ca="1">TODAY()</f>
        <v>36601</v>
      </c>
      <c r="J102" s="158">
        <f ca="1">I102-1</f>
        <v>36600</v>
      </c>
      <c r="K102" s="160"/>
      <c r="L102" s="6">
        <f ca="1">TODAY()</f>
        <v>36601</v>
      </c>
      <c r="M102" s="158">
        <f ca="1">L102-1</f>
        <v>36600</v>
      </c>
      <c r="Q102" s="74">
        <f ca="1">L102</f>
        <v>36601</v>
      </c>
      <c r="S102" s="74">
        <f ca="1">M102</f>
        <v>36600</v>
      </c>
      <c r="W102" s="74">
        <f ca="1">Q102</f>
        <v>36601</v>
      </c>
      <c r="X102" s="74">
        <f ca="1">S102</f>
        <v>36600</v>
      </c>
    </row>
    <row r="103" spans="2:33" x14ac:dyDescent="0.2">
      <c r="B103" s="103" t="s">
        <v>129</v>
      </c>
      <c r="C103" s="72">
        <v>0</v>
      </c>
      <c r="D103" s="105">
        <v>0</v>
      </c>
      <c r="H103" s="103" t="s">
        <v>130</v>
      </c>
      <c r="I103" s="72">
        <f ca="1">VLOOKUP(I$102,[2]NWP_PGT_DAILY!$A$1:$CW$65536,[2]NWP_PGT_DAILY!$CK$1)/1000</f>
        <v>-7.0208665771365766</v>
      </c>
      <c r="J103" s="72">
        <f ca="1">VLOOKUP(J$102,[2]NWP_PGT_DAILY!$A$1:$CW$65536,[2]NWP_PGT_DAILY!$CK$1)/1000</f>
        <v>-7.0208665771365766</v>
      </c>
      <c r="K103" s="161" t="s">
        <v>131</v>
      </c>
      <c r="L103" s="162">
        <v>-45.976999999999997</v>
      </c>
      <c r="M103" s="163">
        <v>-32.125</v>
      </c>
      <c r="O103" s="145" t="s">
        <v>132</v>
      </c>
      <c r="P103" s="164">
        <f>91000*1.047</f>
        <v>95277</v>
      </c>
      <c r="Q103" s="115">
        <v>0</v>
      </c>
      <c r="R103" s="165">
        <f>($P103-Q103)/1000</f>
        <v>95.277000000000001</v>
      </c>
      <c r="S103" s="115">
        <v>0</v>
      </c>
      <c r="T103" s="165">
        <f>($P103-S103)/1000</f>
        <v>95.277000000000001</v>
      </c>
      <c r="W103" s="5">
        <v>0</v>
      </c>
      <c r="X103" s="5">
        <v>0</v>
      </c>
    </row>
    <row r="104" spans="2:33" x14ac:dyDescent="0.2">
      <c r="B104" s="103" t="s">
        <v>133</v>
      </c>
      <c r="C104" s="72">
        <v>-19</v>
      </c>
      <c r="D104" s="105">
        <v>-19</v>
      </c>
      <c r="E104" s="1" t="str">
        <f>[2]NWP_PGT_DAILY!BR2</f>
        <v xml:space="preserve">IDAHO FALLS                        </v>
      </c>
      <c r="F104" s="72">
        <v>-17.109000000000002</v>
      </c>
      <c r="G104" s="166">
        <v>-26.98</v>
      </c>
      <c r="H104" s="103" t="s">
        <v>134</v>
      </c>
      <c r="I104" s="72">
        <f ca="1">VLOOKUP(I$102,[2]NWP_PGT_DAILY!$A$1:$CW$65536,[2]NWP_PGT_DAILY!$CM$1)/1000</f>
        <v>-8.6543340900252872</v>
      </c>
      <c r="J104" s="72">
        <f ca="1">VLOOKUP(J$102,[2]NWP_PGT_DAILY!$A$1:$CW$65536,[2]NWP_PGT_DAILY!$CM$1)/1000</f>
        <v>-8.6543340900252872</v>
      </c>
      <c r="K104" s="161" t="s">
        <v>135</v>
      </c>
      <c r="L104" s="162">
        <v>-28.472000000000001</v>
      </c>
      <c r="M104" s="163">
        <v>-28.472000000000001</v>
      </c>
      <c r="O104" s="145" t="s">
        <v>136</v>
      </c>
      <c r="P104" s="164">
        <f>338000*1.047</f>
        <v>353886</v>
      </c>
      <c r="Q104" s="115">
        <v>95062</v>
      </c>
      <c r="R104" s="165">
        <f>($P104-Q104)/1000</f>
        <v>258.82400000000001</v>
      </c>
      <c r="S104" s="115">
        <v>108720</v>
      </c>
      <c r="T104" s="165">
        <f>($P104-S104)/1000</f>
        <v>245.166</v>
      </c>
    </row>
    <row r="105" spans="2:33" ht="14.25" x14ac:dyDescent="0.2">
      <c r="B105" s="103" t="s">
        <v>137</v>
      </c>
      <c r="C105" s="72">
        <v>-12.225</v>
      </c>
      <c r="D105" s="105">
        <v>-12.225</v>
      </c>
      <c r="E105" s="1" t="str">
        <f>[2]NWP_PGT_DAILY!BT2</f>
        <v xml:space="preserve">POCATELLO # 2                      </v>
      </c>
      <c r="F105" s="72">
        <v>-6.5000000000000002E-2</v>
      </c>
      <c r="G105" s="166">
        <v>-2.343</v>
      </c>
      <c r="H105" s="167" t="s">
        <v>138</v>
      </c>
      <c r="I105" s="72">
        <f ca="1">VLOOKUP(I$102,[2]NWP_PGT_DAILY!$A$1:$CW$65536,[2]NWP_PGT_DAILY!$CO$1)/1000</f>
        <v>-13.554736628691424</v>
      </c>
      <c r="J105" s="72">
        <f ca="1">VLOOKUP(J$102,[2]NWP_PGT_DAILY!$A$1:$CW$65536,[2]NWP_PGT_DAILY!$CO$1)/1000</f>
        <v>-13.554736628691424</v>
      </c>
      <c r="K105" s="161" t="s">
        <v>139</v>
      </c>
      <c r="L105" s="162">
        <v>0</v>
      </c>
      <c r="M105" s="163">
        <v>0</v>
      </c>
      <c r="O105" s="145" t="s">
        <v>140</v>
      </c>
      <c r="P105" s="164">
        <f>700000*1.047</f>
        <v>732900</v>
      </c>
      <c r="Q105" s="115">
        <v>14958</v>
      </c>
      <c r="R105" s="165">
        <f>($P105-Q105)/1000</f>
        <v>717.94200000000001</v>
      </c>
      <c r="S105" s="115">
        <v>31463</v>
      </c>
      <c r="T105" s="165">
        <f>($P105-S105)/1000</f>
        <v>701.43700000000001</v>
      </c>
    </row>
    <row r="106" spans="2:33" ht="14.25" x14ac:dyDescent="0.2">
      <c r="B106" s="103" t="s">
        <v>141</v>
      </c>
      <c r="C106" s="72">
        <v>-19</v>
      </c>
      <c r="D106" s="105">
        <v>-19</v>
      </c>
      <c r="E106" s="1" t="str">
        <f>[2]NWP_PGT_DAILY!BV2</f>
        <v xml:space="preserve">TWIN FALLS                         </v>
      </c>
      <c r="F106" s="72">
        <v>-16.126000000000001</v>
      </c>
      <c r="G106" s="166">
        <v>-16.126000000000001</v>
      </c>
      <c r="H106" s="167" t="s">
        <v>142</v>
      </c>
      <c r="I106" s="72">
        <f ca="1">VLOOKUP(I$102,[2]NWP_PGT_DAILY!$A$1:$CW$65536,[2]NWP_PGT_DAILY!$CQ$1)/1000</f>
        <v>-6.8078055971945703</v>
      </c>
      <c r="J106" s="72">
        <f ca="1">VLOOKUP(J$102,[2]NWP_PGT_DAILY!$A$1:$CW$65536,[2]NWP_PGT_DAILY!$CQ$1)/1000</f>
        <v>-6.8078055971945703</v>
      </c>
      <c r="K106" s="161" t="s">
        <v>143</v>
      </c>
      <c r="L106" s="162">
        <v>-49.581000000000003</v>
      </c>
      <c r="M106" s="163">
        <v>-39.664000000000001</v>
      </c>
      <c r="O106" s="145" t="s">
        <v>144</v>
      </c>
      <c r="P106" s="164">
        <f>700000*1.047</f>
        <v>732900</v>
      </c>
      <c r="Q106" s="115">
        <v>0</v>
      </c>
      <c r="R106" s="165">
        <f>($P106-Q106)/1000</f>
        <v>732.9</v>
      </c>
      <c r="S106" s="115">
        <v>0</v>
      </c>
      <c r="T106" s="165">
        <f>($P106-S106)/1000</f>
        <v>732.9</v>
      </c>
    </row>
    <row r="107" spans="2:33" ht="14.25" x14ac:dyDescent="0.2">
      <c r="B107" s="103" t="s">
        <v>145</v>
      </c>
      <c r="C107" s="72">
        <v>-10.597</v>
      </c>
      <c r="D107" s="105">
        <v>-16.111999999999998</v>
      </c>
      <c r="E107" s="1" t="str">
        <f>[2]NWP_PGT_DAILY!BX2</f>
        <v xml:space="preserve">IDAHO STATE PENITENTIARY           </v>
      </c>
      <c r="F107" s="72">
        <v>-27.966000000000001</v>
      </c>
      <c r="G107" s="166">
        <v>-27.966000000000001</v>
      </c>
      <c r="H107" s="167" t="s">
        <v>146</v>
      </c>
      <c r="I107" s="168">
        <f ca="1">VLOOKUP(I$102,[2]NWP_PGT_DAILY!$A$1:$CW$65536,[2]NWP_PGT_DAILY!$CK$1)/1000</f>
        <v>-7.0208665771365766</v>
      </c>
      <c r="J107" s="168">
        <f ca="1">VLOOKUP(J$102,[2]NWP_PGT_DAILY!$A$1:$CW$65536,[2]NWP_PGT_DAILY!$CK$1)/1000</f>
        <v>-7.0208665771365766</v>
      </c>
      <c r="K107" s="161" t="s">
        <v>146</v>
      </c>
      <c r="L107" s="169">
        <v>-106.01099999999997</v>
      </c>
      <c r="M107" s="170">
        <v>-103.911</v>
      </c>
      <c r="O107" s="145" t="s">
        <v>147</v>
      </c>
      <c r="P107" s="164">
        <f>515500*1.047</f>
        <v>539728.5</v>
      </c>
      <c r="Q107" s="115">
        <v>108820</v>
      </c>
      <c r="R107" s="165">
        <f>($P107-Q107)/1000</f>
        <v>430.9085</v>
      </c>
      <c r="S107" s="115">
        <v>90876</v>
      </c>
      <c r="T107" s="165">
        <f>($P107-S107)/1000</f>
        <v>448.85250000000002</v>
      </c>
    </row>
    <row r="108" spans="2:33" ht="14.25" x14ac:dyDescent="0.2">
      <c r="B108" s="103" t="s">
        <v>148</v>
      </c>
      <c r="C108" s="72">
        <v>-25.213999999999999</v>
      </c>
      <c r="D108" s="105">
        <v>-25.213999999999999</v>
      </c>
      <c r="E108" s="1" t="str">
        <f>[2]NWP_PGT_DAILY!BZ2</f>
        <v xml:space="preserve">MERIDIAN/BOISE                     </v>
      </c>
      <c r="F108" s="72">
        <v>-15.074</v>
      </c>
      <c r="G108" s="166">
        <v>-19.584</v>
      </c>
      <c r="H108" s="167"/>
      <c r="I108" s="21">
        <f ca="1">SUM(I103:I107)</f>
        <v>-43.058609470184436</v>
      </c>
      <c r="J108" s="17">
        <f ca="1">SUM(J103:J107)</f>
        <v>-43.058609470184436</v>
      </c>
      <c r="K108" s="171"/>
      <c r="L108" s="172">
        <f>SUM(L103:L107)</f>
        <v>-230.04099999999997</v>
      </c>
      <c r="M108" s="173">
        <f>SUM(M103:M107)</f>
        <v>-204.172</v>
      </c>
    </row>
    <row r="109" spans="2:33" ht="14.25" x14ac:dyDescent="0.2">
      <c r="B109" s="103" t="s">
        <v>146</v>
      </c>
      <c r="C109" s="174">
        <v>-74.145000000000081</v>
      </c>
      <c r="D109" s="175">
        <v>-72.489999999999995</v>
      </c>
      <c r="E109" s="1" t="str">
        <f>[2]NWP_PGT_DAILY!CB2</f>
        <v xml:space="preserve">NAMPA LNG                          </v>
      </c>
      <c r="F109" s="72">
        <v>-18.045999999999999</v>
      </c>
      <c r="G109" s="166">
        <v>-11.701000000000001</v>
      </c>
      <c r="H109" s="176"/>
      <c r="J109" s="108"/>
      <c r="O109" s="177" t="s">
        <v>132</v>
      </c>
      <c r="P109">
        <v>95.277000000000029</v>
      </c>
    </row>
    <row r="110" spans="2:33" ht="14.25" x14ac:dyDescent="0.2">
      <c r="B110" s="103" t="s">
        <v>149</v>
      </c>
      <c r="C110" s="174">
        <v>102.20699999999999</v>
      </c>
      <c r="D110" s="175">
        <v>79.582999999999998</v>
      </c>
      <c r="E110" s="1" t="str">
        <f>[2]NWP_PGT_DAILY!CD2</f>
        <v xml:space="preserve">CALDWELL                           </v>
      </c>
      <c r="F110" s="72">
        <v>-34.161999999999999</v>
      </c>
      <c r="G110" s="166">
        <v>-34.161999999999999</v>
      </c>
      <c r="H110" s="176"/>
      <c r="J110" s="108"/>
      <c r="O110" s="177" t="s">
        <v>136</v>
      </c>
      <c r="P110">
        <v>279.245</v>
      </c>
    </row>
    <row r="111" spans="2:33" x14ac:dyDescent="0.2">
      <c r="B111" s="171"/>
      <c r="C111" s="172">
        <f>SUM(C103:C109)</f>
        <v>-160.1810000000001</v>
      </c>
      <c r="D111" s="173">
        <f>SUM(D103:D109)</f>
        <v>-164.041</v>
      </c>
      <c r="E111" s="1" t="str">
        <f>[2]NWP_PGT_DAILY!CF2</f>
        <v>OTHERS</v>
      </c>
      <c r="F111" s="174">
        <v>-22.315999999999988</v>
      </c>
      <c r="G111" s="166">
        <v>-22.315999999999988</v>
      </c>
      <c r="H111" s="171"/>
      <c r="I111" s="110"/>
      <c r="J111" s="111"/>
      <c r="O111" s="177" t="s">
        <v>140</v>
      </c>
      <c r="P111">
        <v>732.9</v>
      </c>
    </row>
    <row r="112" spans="2:33" x14ac:dyDescent="0.2">
      <c r="D112" s="1"/>
      <c r="E112" s="110"/>
      <c r="F112" s="172">
        <f>SUM(F104:F111)</f>
        <v>-150.86399999999998</v>
      </c>
      <c r="G112" s="173">
        <f>SUM(G104:G111)</f>
        <v>-161.178</v>
      </c>
      <c r="O112" s="177" t="s">
        <v>144</v>
      </c>
      <c r="P112">
        <v>732.9</v>
      </c>
    </row>
    <row r="113" spans="2:16" x14ac:dyDescent="0.2">
      <c r="B113" s="124">
        <v>36220</v>
      </c>
      <c r="C113" s="178">
        <v>-165.11290322580649</v>
      </c>
      <c r="D113" s="1"/>
      <c r="E113" s="5"/>
      <c r="F113" s="6"/>
      <c r="G113" s="6"/>
      <c r="O113" s="177" t="s">
        <v>147</v>
      </c>
      <c r="P113">
        <v>481.64650000000029</v>
      </c>
    </row>
    <row r="114" spans="2:16" x14ac:dyDescent="0.2">
      <c r="D114" s="1"/>
      <c r="F114" s="72"/>
      <c r="G114" s="72"/>
    </row>
    <row r="115" spans="2:16" x14ac:dyDescent="0.2">
      <c r="D115" s="1"/>
      <c r="E115" s="5"/>
    </row>
    <row r="116" spans="2:16" x14ac:dyDescent="0.2">
      <c r="D116" s="1"/>
      <c r="E116" s="5"/>
      <c r="F116" s="72"/>
      <c r="G116" s="72"/>
    </row>
    <row r="117" spans="2:16" x14ac:dyDescent="0.2">
      <c r="D117" s="1"/>
      <c r="E117" s="5"/>
    </row>
    <row r="118" spans="2:16" x14ac:dyDescent="0.2">
      <c r="D118" s="1"/>
      <c r="E118" s="5"/>
    </row>
    <row r="119" spans="2:16" x14ac:dyDescent="0.2">
      <c r="D119" s="1"/>
    </row>
    <row r="120" spans="2:16" ht="14.25" x14ac:dyDescent="0.2">
      <c r="G120" s="50"/>
    </row>
  </sheetData>
  <sheetCalcPr fullCalcOnLoad="1"/>
  <mergeCells count="4">
    <mergeCell ref="AM51:AO51"/>
    <mergeCell ref="D55:D56"/>
    <mergeCell ref="E55:E56"/>
    <mergeCell ref="F55:F56"/>
  </mergeCells>
  <printOptions verticalCentered="1"/>
  <pageMargins left="0" right="0" top="0" bottom="0" header="0" footer="0"/>
  <pageSetup scale="37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WEST MAP</vt:lpstr>
      <vt:lpstr>'WEST MAP'!DDE_LINK2</vt:lpstr>
      <vt:lpstr>'WEST MAP'!Print_Area</vt:lpstr>
      <vt:lpstr>'WEST MAP'!TABLE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Jan Havlíček</cp:lastModifiedBy>
  <dcterms:created xsi:type="dcterms:W3CDTF">2000-03-16T15:04:21Z</dcterms:created>
  <dcterms:modified xsi:type="dcterms:W3CDTF">2023-09-17T12:09:27Z</dcterms:modified>
</cp:coreProperties>
</file>