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3389A2A-5A0C-4D56-A059-21530D1C9714}" xr6:coauthVersionLast="47" xr6:coauthVersionMax="47" xr10:uidLastSave="{00000000-0000-0000-0000-000000000000}"/>
  <bookViews>
    <workbookView xWindow="-120" yWindow="-120" windowWidth="38640" windowHeight="15720" activeTab="4"/>
  </bookViews>
  <sheets>
    <sheet name="Cover" sheetId="7" r:id="rId1"/>
    <sheet name="Formal BS" sheetId="2" r:id="rId2"/>
    <sheet name="Formal IS" sheetId="1" r:id="rId3"/>
    <sheet name="RE" sheetId="3" r:id="rId4"/>
    <sheet name="Cash Flow" sheetId="4" r:id="rId5"/>
    <sheet name="re_dETAIL" sheetId="5" state="hidden" r:id="rId6"/>
    <sheet name="Formal IS compared to Plan" sheetId="6"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Print_Area" localSheetId="4">'Cash Flow'!$A$1:$F$49</definedName>
    <definedName name="_xlnm.Print_Area" localSheetId="0">Cover!$A$1:$F$21</definedName>
    <definedName name="_xlnm.Print_Area" localSheetId="1">'Formal BS'!$A$1:$H$92</definedName>
    <definedName name="_xlnm.Print_Area" localSheetId="2">'Formal IS'!$A$1:$G$53</definedName>
    <definedName name="_xlnm.Print_Area" localSheetId="6">'Formal IS compared to Plan'!$A$1:$AB$52</definedName>
    <definedName name="_xlnm.Print_Area" localSheetId="3">RE!$A$1:$R$55</definedName>
    <definedName name="_xlnm.Print_Area" localSheetId="5">re_dETAIL!$A$1:$N$71</definedName>
    <definedName name="_xlnm.Print_Titles" localSheetId="1">'Formal BS'!$1:$7</definedName>
  </definedNames>
  <calcPr calcId="0" fullCalcOnLoad="1"/>
</workbook>
</file>

<file path=xl/calcChain.xml><?xml version="1.0" encoding="utf-8"?>
<calcChain xmlns="http://schemas.openxmlformats.org/spreadsheetml/2006/main">
  <c r="F13" i="4" l="1"/>
  <c r="F16" i="4"/>
  <c r="G16" i="4"/>
  <c r="L16" i="4"/>
  <c r="F17" i="4"/>
  <c r="F20" i="4"/>
  <c r="F21" i="4"/>
  <c r="B24" i="4"/>
  <c r="F24" i="4"/>
  <c r="F26" i="4"/>
  <c r="G26" i="4"/>
  <c r="F31" i="4"/>
  <c r="G31" i="4"/>
  <c r="F35" i="4"/>
  <c r="G39" i="4"/>
  <c r="F40" i="4"/>
  <c r="G40" i="4"/>
  <c r="F42" i="4"/>
  <c r="G42" i="4"/>
  <c r="F46" i="4"/>
  <c r="G46" i="4"/>
  <c r="M46" i="4"/>
  <c r="F52" i="4"/>
  <c r="G52" i="4"/>
  <c r="A56" i="4"/>
  <c r="D18" i="2"/>
  <c r="M19" i="2"/>
  <c r="D22" i="2"/>
  <c r="F22" i="2"/>
  <c r="J22" i="2"/>
  <c r="M22" i="2"/>
  <c r="D26" i="2"/>
  <c r="F26" i="2"/>
  <c r="M26" i="2"/>
  <c r="M27" i="2"/>
  <c r="D29" i="2"/>
  <c r="F29" i="2"/>
  <c r="M29" i="2"/>
  <c r="D30" i="2"/>
  <c r="F30" i="2"/>
  <c r="M30" i="2"/>
  <c r="D31" i="2"/>
  <c r="F31" i="2"/>
  <c r="M31" i="2"/>
  <c r="D32" i="2"/>
  <c r="F32" i="2"/>
  <c r="M32" i="2"/>
  <c r="D34" i="2"/>
  <c r="F34" i="2"/>
  <c r="J34" i="2"/>
  <c r="M34" i="2"/>
  <c r="D36" i="2"/>
  <c r="F36" i="2"/>
  <c r="J36" i="2"/>
  <c r="M36" i="2"/>
  <c r="D39" i="2"/>
  <c r="F39" i="2"/>
  <c r="J39" i="2"/>
  <c r="M39" i="2"/>
  <c r="D45" i="2"/>
  <c r="D46" i="2"/>
  <c r="D48" i="2"/>
  <c r="D53" i="2"/>
  <c r="M53" i="2"/>
  <c r="D54" i="2"/>
  <c r="M54" i="2"/>
  <c r="D55" i="2"/>
  <c r="M55" i="2"/>
  <c r="M56" i="2"/>
  <c r="D57" i="2"/>
  <c r="M57" i="2"/>
  <c r="M59" i="2"/>
  <c r="Q59" i="2"/>
  <c r="Q60" i="2"/>
  <c r="Q61" i="2"/>
  <c r="D63" i="2"/>
  <c r="F63" i="2"/>
  <c r="J63" i="2"/>
  <c r="M63" i="2"/>
  <c r="Q63" i="2"/>
  <c r="M66" i="2"/>
  <c r="Q66" i="2"/>
  <c r="D67" i="2"/>
  <c r="M67" i="2"/>
  <c r="D68" i="2"/>
  <c r="M68" i="2"/>
  <c r="D69" i="2"/>
  <c r="D71" i="2"/>
  <c r="F71" i="2"/>
  <c r="J71" i="2"/>
  <c r="M71" i="2"/>
  <c r="M73" i="2"/>
  <c r="M74" i="2"/>
  <c r="M75" i="2"/>
  <c r="D79" i="2"/>
  <c r="M79" i="2"/>
  <c r="Q79" i="2"/>
  <c r="M80" i="2"/>
  <c r="D81" i="2"/>
  <c r="M81" i="2"/>
  <c r="Q81" i="2"/>
  <c r="D82" i="2"/>
  <c r="D83" i="2"/>
  <c r="M83" i="2"/>
  <c r="Q83" i="2"/>
  <c r="Q84" i="2"/>
  <c r="D85" i="2"/>
  <c r="F85" i="2"/>
  <c r="M85" i="2"/>
  <c r="D88" i="2"/>
  <c r="F88" i="2"/>
  <c r="J88" i="2"/>
  <c r="M88" i="2"/>
  <c r="Q88" i="2"/>
  <c r="E14" i="1"/>
  <c r="C17" i="1"/>
  <c r="C19" i="1"/>
  <c r="C21" i="1"/>
  <c r="C22" i="1"/>
  <c r="C26" i="1"/>
  <c r="C39" i="1"/>
  <c r="C43" i="1"/>
  <c r="C45" i="1"/>
  <c r="E45" i="1"/>
  <c r="F51" i="1"/>
  <c r="F52" i="1"/>
  <c r="F53" i="1"/>
  <c r="E15" i="6"/>
  <c r="G15" i="6"/>
  <c r="I15" i="6"/>
  <c r="K15" i="6"/>
  <c r="M15" i="6"/>
  <c r="Q15" i="6"/>
  <c r="S15" i="6"/>
  <c r="U15" i="6"/>
  <c r="W15" i="6"/>
  <c r="Y15" i="6"/>
  <c r="AA15" i="6"/>
  <c r="AD15" i="6"/>
  <c r="AF15" i="6"/>
  <c r="AI15" i="6"/>
  <c r="AK15" i="6"/>
  <c r="AQ15" i="6"/>
  <c r="AS15" i="6"/>
  <c r="I16" i="6"/>
  <c r="Q16" i="6"/>
  <c r="S16" i="6"/>
  <c r="W16" i="6"/>
  <c r="Y16" i="6"/>
  <c r="AI16" i="6"/>
  <c r="Q17" i="6"/>
  <c r="S17" i="6"/>
  <c r="E18" i="6"/>
  <c r="G18" i="6"/>
  <c r="I18" i="6"/>
  <c r="K18" i="6"/>
  <c r="M18" i="6"/>
  <c r="O18" i="6"/>
  <c r="Q18" i="6"/>
  <c r="S18" i="6"/>
  <c r="U18" i="6"/>
  <c r="W18" i="6"/>
  <c r="Y18" i="6"/>
  <c r="AA18" i="6"/>
  <c r="E21" i="6"/>
  <c r="I21" i="6"/>
  <c r="M21" i="6"/>
  <c r="Q21" i="6"/>
  <c r="S21" i="6"/>
  <c r="U21" i="6"/>
  <c r="E22" i="6"/>
  <c r="I22" i="6"/>
  <c r="K22" i="6"/>
  <c r="M22" i="6"/>
  <c r="O22" i="6"/>
  <c r="Q22" i="6"/>
  <c r="S22" i="6"/>
  <c r="U22" i="6"/>
  <c r="W22" i="6"/>
  <c r="Y22" i="6"/>
  <c r="AA22" i="6"/>
  <c r="AI22" i="6"/>
  <c r="AK22" i="6"/>
  <c r="AM22" i="6"/>
  <c r="AQ22" i="6"/>
  <c r="AS22" i="6"/>
  <c r="E23" i="6"/>
  <c r="I23" i="6"/>
  <c r="K23" i="6"/>
  <c r="M23" i="6"/>
  <c r="Q23" i="6"/>
  <c r="S23" i="6"/>
  <c r="U23" i="6"/>
  <c r="W23" i="6"/>
  <c r="Y23" i="6"/>
  <c r="AI23" i="6"/>
  <c r="AO23" i="6"/>
  <c r="AQ23" i="6"/>
  <c r="AS23" i="6"/>
  <c r="E24" i="6"/>
  <c r="G24" i="6"/>
  <c r="I24" i="6"/>
  <c r="K24" i="6"/>
  <c r="M24" i="6"/>
  <c r="O24" i="6"/>
  <c r="Q24" i="6"/>
  <c r="S24" i="6"/>
  <c r="U24" i="6"/>
  <c r="W24" i="6"/>
  <c r="Y24" i="6"/>
  <c r="AA24" i="6"/>
  <c r="AD24" i="6"/>
  <c r="AF24" i="6"/>
  <c r="AI24" i="6"/>
  <c r="AK24" i="6"/>
  <c r="AM24" i="6"/>
  <c r="AO24" i="6"/>
  <c r="AQ24" i="6"/>
  <c r="AS24" i="6"/>
  <c r="E26" i="6"/>
  <c r="G26" i="6"/>
  <c r="I26" i="6"/>
  <c r="K26" i="6"/>
  <c r="M26" i="6"/>
  <c r="O26" i="6"/>
  <c r="Q26" i="6"/>
  <c r="S26" i="6"/>
  <c r="U26" i="6"/>
  <c r="W26" i="6"/>
  <c r="Y26" i="6"/>
  <c r="AA26" i="6"/>
  <c r="AD26" i="6"/>
  <c r="AF26" i="6"/>
  <c r="AI26" i="6"/>
  <c r="AK26" i="6"/>
  <c r="AM26" i="6"/>
  <c r="AO26" i="6"/>
  <c r="AQ26" i="6"/>
  <c r="AS26" i="6"/>
  <c r="E38" i="6"/>
  <c r="I38" i="6"/>
  <c r="M38" i="6"/>
  <c r="Q38" i="6"/>
  <c r="S38" i="6"/>
  <c r="U38" i="6"/>
  <c r="W38" i="6"/>
  <c r="Y38" i="6"/>
  <c r="AD38" i="6"/>
  <c r="AI38" i="6"/>
  <c r="AQ38" i="6"/>
  <c r="AS38" i="6"/>
  <c r="E43" i="6"/>
  <c r="G43" i="6"/>
  <c r="I43" i="6"/>
  <c r="K43" i="6"/>
  <c r="M43" i="6"/>
  <c r="O43" i="6"/>
  <c r="Q43" i="6"/>
  <c r="S43" i="6"/>
  <c r="U43" i="6"/>
  <c r="W43" i="6"/>
  <c r="Y43" i="6"/>
  <c r="AA43" i="6"/>
  <c r="AD43" i="6"/>
  <c r="AF43" i="6"/>
  <c r="AI43" i="6"/>
  <c r="AK43" i="6"/>
  <c r="AM43" i="6"/>
  <c r="AO43" i="6"/>
  <c r="AQ43" i="6"/>
  <c r="AS43" i="6"/>
  <c r="E45" i="6"/>
  <c r="I45" i="6"/>
  <c r="K45" i="6"/>
  <c r="M45" i="6"/>
  <c r="Q45" i="6"/>
  <c r="S45" i="6"/>
  <c r="U45" i="6"/>
  <c r="W45" i="6"/>
  <c r="Y45" i="6"/>
  <c r="AI45" i="6"/>
  <c r="AQ45" i="6"/>
  <c r="AS45" i="6"/>
  <c r="E48" i="6"/>
  <c r="I48" i="6"/>
  <c r="K48" i="6"/>
  <c r="M48" i="6"/>
  <c r="Q48" i="6"/>
  <c r="S48" i="6"/>
  <c r="U48" i="6"/>
  <c r="W48" i="6"/>
  <c r="Y48" i="6"/>
  <c r="AI48" i="6"/>
  <c r="AO48" i="6"/>
  <c r="AQ48" i="6"/>
  <c r="AS48" i="6"/>
  <c r="E49" i="6"/>
  <c r="I49" i="6"/>
  <c r="K49" i="6"/>
  <c r="M49" i="6"/>
  <c r="Q49" i="6"/>
  <c r="S49" i="6"/>
  <c r="U49" i="6"/>
  <c r="W49" i="6"/>
  <c r="Y49" i="6"/>
  <c r="AI49" i="6"/>
  <c r="AQ49" i="6"/>
  <c r="AS49" i="6"/>
  <c r="E51" i="6"/>
  <c r="G51" i="6"/>
  <c r="I51" i="6"/>
  <c r="K51" i="6"/>
  <c r="M51" i="6"/>
  <c r="O51" i="6"/>
  <c r="Q51" i="6"/>
  <c r="S51" i="6"/>
  <c r="U51" i="6"/>
  <c r="W51" i="6"/>
  <c r="Y51" i="6"/>
  <c r="AA51" i="6"/>
  <c r="AD51" i="6"/>
  <c r="AF51" i="6"/>
  <c r="AI51" i="6"/>
  <c r="AK51" i="6"/>
  <c r="AM51" i="6"/>
  <c r="AO51" i="6"/>
  <c r="AQ51" i="6"/>
  <c r="AS51" i="6"/>
  <c r="Q53" i="6"/>
  <c r="S53" i="6"/>
  <c r="Y53" i="6"/>
  <c r="R32" i="3"/>
  <c r="R34" i="3"/>
  <c r="R36" i="3"/>
  <c r="L38" i="3"/>
  <c r="N38" i="3"/>
  <c r="R38" i="3"/>
  <c r="L40" i="3"/>
  <c r="P40" i="3"/>
  <c r="R40" i="3"/>
  <c r="L42" i="3"/>
  <c r="N42" i="3"/>
  <c r="R42" i="3"/>
  <c r="R44" i="3"/>
  <c r="R45" i="3"/>
  <c r="L46" i="3"/>
  <c r="N46" i="3"/>
  <c r="P46" i="3"/>
  <c r="R46" i="3"/>
  <c r="H7" i="5"/>
  <c r="L7" i="5"/>
  <c r="L9" i="5"/>
  <c r="L11" i="5"/>
  <c r="D13" i="5"/>
  <c r="F13" i="5"/>
  <c r="H13" i="5"/>
  <c r="J13" i="5"/>
  <c r="L13" i="5"/>
  <c r="L16" i="5"/>
  <c r="D20" i="5"/>
  <c r="F20" i="5"/>
  <c r="H20" i="5"/>
  <c r="J20" i="5"/>
  <c r="L20" i="5"/>
  <c r="L23" i="5"/>
  <c r="N23" i="5"/>
  <c r="L25" i="5"/>
  <c r="N25" i="5"/>
  <c r="O25" i="5"/>
  <c r="N27" i="5"/>
  <c r="L29" i="5"/>
  <c r="N29" i="5"/>
  <c r="L37" i="5"/>
  <c r="M37" i="5"/>
  <c r="N37" i="5"/>
  <c r="K39" i="5"/>
  <c r="K40" i="5"/>
  <c r="L40" i="5"/>
  <c r="M40" i="5"/>
  <c r="N40" i="5"/>
  <c r="L43" i="5"/>
  <c r="M43" i="5"/>
  <c r="N43" i="5"/>
  <c r="K46" i="5"/>
  <c r="K47" i="5"/>
  <c r="L48" i="5"/>
  <c r="M48" i="5"/>
  <c r="N48" i="5"/>
  <c r="K50" i="5"/>
  <c r="L51" i="5"/>
  <c r="M51" i="5"/>
  <c r="N51" i="5"/>
  <c r="N52" i="5"/>
  <c r="L53" i="5"/>
  <c r="M53" i="5"/>
  <c r="N53" i="5"/>
  <c r="L56" i="5"/>
  <c r="M56" i="5"/>
  <c r="N56" i="5"/>
  <c r="L58" i="5"/>
  <c r="M58" i="5"/>
  <c r="N58" i="5"/>
  <c r="N59" i="5"/>
  <c r="L60" i="5"/>
  <c r="M60" i="5"/>
  <c r="N60" i="5"/>
  <c r="L62" i="5"/>
  <c r="K63" i="5"/>
  <c r="L65" i="5"/>
  <c r="M65" i="5"/>
  <c r="N65" i="5"/>
  <c r="K68" i="5"/>
  <c r="L68" i="5"/>
  <c r="M68" i="5"/>
  <c r="N68" i="5"/>
  <c r="N69" i="5"/>
  <c r="L70" i="5"/>
  <c r="M70" i="5"/>
  <c r="N70" i="5"/>
</calcChain>
</file>

<file path=xl/sharedStrings.xml><?xml version="1.0" encoding="utf-8"?>
<sst xmlns="http://schemas.openxmlformats.org/spreadsheetml/2006/main" count="315" uniqueCount="228">
  <si>
    <t>ENRON ENERGY SERVICES, LLC</t>
  </si>
  <si>
    <t>Combined Statement of Income</t>
  </si>
  <si>
    <t>Unaudited/Proforma</t>
  </si>
  <si>
    <t>( In thousands)</t>
  </si>
  <si>
    <t>Revenues</t>
  </si>
  <si>
    <t>Costs and Expenses</t>
  </si>
  <si>
    <t>Cost of Sales</t>
  </si>
  <si>
    <t>General &amp; Administrative Expense</t>
  </si>
  <si>
    <t>Depreciation &amp; Amortization Expense</t>
  </si>
  <si>
    <t>Operating Loss</t>
  </si>
  <si>
    <t>Miscellaneous Non Operating Expense</t>
  </si>
  <si>
    <t>Gain/Loss on Sale of Assets</t>
  </si>
  <si>
    <t>Other Deductions</t>
  </si>
  <si>
    <t>Other Income and (Expenses)</t>
  </si>
  <si>
    <t>Investment Income (Loss)</t>
  </si>
  <si>
    <t>Other Income</t>
  </si>
  <si>
    <t>Loss Before Interest and Taxes</t>
  </si>
  <si>
    <t>Interest Income (Expense)</t>
  </si>
  <si>
    <t>Income Tax (Benefit) Provision</t>
  </si>
  <si>
    <t>Current</t>
  </si>
  <si>
    <t>Deferred</t>
  </si>
  <si>
    <t>Net Loss</t>
  </si>
  <si>
    <t>Note:</t>
  </si>
  <si>
    <t>Does not include any expense related to the Phantom Equity Plan</t>
  </si>
  <si>
    <t>Adjustments to be made:</t>
  </si>
  <si>
    <t xml:space="preserve">   1.  Adjust 1996 for $13.5 G&amp;A deferral and related taxes</t>
  </si>
  <si>
    <t xml:space="preserve">   2.  Adjust 1995 for RMS activity and related taxes</t>
  </si>
  <si>
    <t xml:space="preserve">   3.  Adjust 1996 for Corporate Charges and related taxes (prior years corporate allocation considered immaterial)</t>
  </si>
  <si>
    <t xml:space="preserve">   4.  Adjust all years I/C interest, taxes and debt for payment of I/C balances annually</t>
  </si>
  <si>
    <t>Pending Items:</t>
  </si>
  <si>
    <t xml:space="preserve">   1.  List of all journal entries and support for stand alone Financials</t>
  </si>
  <si>
    <t xml:space="preserve">   2.  Detail Accounts Receivable and Accounts Payable</t>
  </si>
  <si>
    <t xml:space="preserve">   3.  Find/prepare and review all amortization schedules            </t>
  </si>
  <si>
    <t xml:space="preserve">   4.  AA review</t>
  </si>
  <si>
    <t>Cash and Cash Equivalents</t>
  </si>
  <si>
    <t>Notes Receivable</t>
  </si>
  <si>
    <t>Deferred Taxes</t>
  </si>
  <si>
    <t>Goodwill, net</t>
  </si>
  <si>
    <t>Intangibles, net</t>
  </si>
  <si>
    <t>Other Non-Current Assets</t>
  </si>
  <si>
    <t>Accrued Taxes</t>
  </si>
  <si>
    <t>Other</t>
  </si>
  <si>
    <t>Paid-in Capital</t>
  </si>
  <si>
    <t>Combined Statement of Changes in Members' Equity</t>
  </si>
  <si>
    <t>(In thousands)</t>
  </si>
  <si>
    <t>Additional</t>
  </si>
  <si>
    <t>Retained</t>
  </si>
  <si>
    <t>Common Stock</t>
  </si>
  <si>
    <t>Paid-In</t>
  </si>
  <si>
    <t>Earnings</t>
  </si>
  <si>
    <t>Shares</t>
  </si>
  <si>
    <t>Amount</t>
  </si>
  <si>
    <t>Capital</t>
  </si>
  <si>
    <t>(Deficit)</t>
  </si>
  <si>
    <t>Member's Equity, December 31, 1994</t>
  </si>
  <si>
    <t>Capital Contribution - Enron Corp.</t>
  </si>
  <si>
    <t>Net Income</t>
  </si>
  <si>
    <t>Member's Equity, December 31, 1995</t>
  </si>
  <si>
    <t>Member's Equity, December 31, 1996</t>
  </si>
  <si>
    <t>Capital Contribution - Minority Members</t>
  </si>
  <si>
    <t>Members' Equity, December 31, 1997</t>
  </si>
  <si>
    <t>Members' Equity, September 30, 1998</t>
  </si>
  <si>
    <t>Equity investments</t>
  </si>
  <si>
    <t>Check</t>
  </si>
  <si>
    <t>ENRON ENERGY SERVICES</t>
  </si>
  <si>
    <t>Update tax effect of 1997 PAJE's</t>
  </si>
  <si>
    <t>1'st Qtr Net Loss</t>
  </si>
  <si>
    <t>Reversal of '97 PAJE Expenses W/O in 1'st Qtr '98</t>
  </si>
  <si>
    <t>Members' Equity, March 31, 1998</t>
  </si>
  <si>
    <t>2'nd Qtr Net Loss</t>
  </si>
  <si>
    <t>Deduct: Reversal of '97 PAJE Expenses W/O in 1'st Qtr '98</t>
  </si>
  <si>
    <t>Reversal of '97 PAJE Expenses W/O in 2'nd Qtr '98</t>
  </si>
  <si>
    <t>Net Second Quarter Loss</t>
  </si>
  <si>
    <t>Members' Equity, June 30, 1998</t>
  </si>
  <si>
    <t>1st Quarter</t>
  </si>
  <si>
    <t>2nd Quarter</t>
  </si>
  <si>
    <t>3rd Quarter</t>
  </si>
  <si>
    <t>Nine Months Ended September, 30</t>
  </si>
  <si>
    <t>4th Quarter</t>
  </si>
  <si>
    <t>Total Year 1998</t>
  </si>
  <si>
    <t>Three Months Ended March , 31</t>
  </si>
  <si>
    <t>4th</t>
  </si>
  <si>
    <t>1997</t>
  </si>
  <si>
    <t>Adjusted</t>
  </si>
  <si>
    <t>Actuals</t>
  </si>
  <si>
    <t>Plan</t>
  </si>
  <si>
    <t>Estimate</t>
  </si>
  <si>
    <t>Current Estimate</t>
  </si>
  <si>
    <t>PAJEs</t>
  </si>
  <si>
    <t xml:space="preserve">      Commodity Revenues</t>
  </si>
  <si>
    <t xml:space="preserve">      Investment Earnings</t>
  </si>
  <si>
    <t xml:space="preserve">      Services and Other Revenues</t>
  </si>
  <si>
    <t/>
  </si>
  <si>
    <t>Members' Equity, December 31, 1998</t>
  </si>
  <si>
    <t>Reversal of '97 PAJE Expenses W/O in 4'th Qtr '98</t>
  </si>
  <si>
    <t>QTR</t>
  </si>
  <si>
    <t>Inception</t>
  </si>
  <si>
    <t>To Date</t>
  </si>
  <si>
    <t xml:space="preserve">     Net First Quarter Loss</t>
  </si>
  <si>
    <t>For the Twelve Months Ended December 31, 1998</t>
  </si>
  <si>
    <t>Third Quarter Net Loss</t>
  </si>
  <si>
    <t>Fourth Quarter Net Loss</t>
  </si>
  <si>
    <t>Consolidated Statement of Income</t>
  </si>
  <si>
    <t>Consolidated Balance Sheet</t>
  </si>
  <si>
    <t>Consolidated Statement of Changes in Members' Equity</t>
  </si>
  <si>
    <t>Consolidated Statement of Cash Flows</t>
  </si>
  <si>
    <t>Notes Receivable - Affiliates</t>
  </si>
  <si>
    <t>Commitments and Contingencies (Note 9)</t>
  </si>
  <si>
    <t>Minority Interest</t>
  </si>
  <si>
    <t>Decrease in Notes Receivable</t>
  </si>
  <si>
    <t>ASSETS</t>
  </si>
  <si>
    <t>Liabilities from Price Risk Management Activities</t>
  </si>
  <si>
    <t>Assets from Price Risk Management Activities, net of current</t>
  </si>
  <si>
    <t xml:space="preserve">     Total Investments and Other Assets</t>
  </si>
  <si>
    <t>.</t>
  </si>
  <si>
    <t>Nine Months Ended</t>
  </si>
  <si>
    <t>January 31,</t>
  </si>
  <si>
    <t>2000</t>
  </si>
  <si>
    <t xml:space="preserve">  </t>
  </si>
  <si>
    <t xml:space="preserve"> </t>
  </si>
  <si>
    <t>(Unaudited)</t>
  </si>
  <si>
    <t>Depreciation and amortization expense</t>
  </si>
  <si>
    <t>Interest Receivable</t>
  </si>
  <si>
    <t xml:space="preserve">     Net cash provided by operating activities</t>
  </si>
  <si>
    <t>Operating activities:</t>
  </si>
  <si>
    <t>Investing activities:</t>
  </si>
  <si>
    <t xml:space="preserve">     Net cash used in investing activities</t>
  </si>
  <si>
    <t>Financing activities:</t>
  </si>
  <si>
    <t xml:space="preserve">     Net cash provided by financing activities</t>
  </si>
  <si>
    <t>Increase / (Decrease) in cash and cash equivalents</t>
  </si>
  <si>
    <t>Beginning cash and cash equivalents</t>
  </si>
  <si>
    <t>Ending cash and cash equivalents</t>
  </si>
  <si>
    <t>Current assets:</t>
  </si>
  <si>
    <t>Investments and other assets:</t>
  </si>
  <si>
    <t>LIABILITIES AND MEMBERS' EQUITY</t>
  </si>
  <si>
    <t>Current liabilities:</t>
  </si>
  <si>
    <t xml:space="preserve">     Total current liabilities</t>
  </si>
  <si>
    <t xml:space="preserve">     Total non-current liabilities</t>
  </si>
  <si>
    <t>Revenues:</t>
  </si>
  <si>
    <t>Depreciation and amortization</t>
  </si>
  <si>
    <t xml:space="preserve">     Total revenues</t>
  </si>
  <si>
    <t>Costs and expenses:</t>
  </si>
  <si>
    <t>(In thousands of dollars)</t>
  </si>
  <si>
    <t>Deferred income taxes</t>
  </si>
  <si>
    <t>PRELIMINARY FINANCIAL STATEMENTS</t>
  </si>
  <si>
    <t>Page</t>
  </si>
  <si>
    <t>Balance Sheet ………………………..………………………………………………</t>
  </si>
  <si>
    <t>Statement of Cash Flows …………………………..………………………………..</t>
  </si>
  <si>
    <t>Statement of Income …………………………………………………………………</t>
  </si>
  <si>
    <t>Notes payable</t>
  </si>
  <si>
    <t xml:space="preserve">     Total current assets</t>
  </si>
  <si>
    <t xml:space="preserve">     Total members' equity </t>
  </si>
  <si>
    <t xml:space="preserve">Members' equity: </t>
  </si>
  <si>
    <t>Total assets</t>
  </si>
  <si>
    <t>Total liabilities and members' equity</t>
  </si>
  <si>
    <t>Statement of Changes in Members' Equity ….….………..….....……..…………….</t>
  </si>
  <si>
    <t>FY 2000</t>
  </si>
  <si>
    <t>Previous</t>
  </si>
  <si>
    <t>Income tax expense</t>
  </si>
  <si>
    <t>Taxes Other Than Income</t>
  </si>
  <si>
    <t>Rent expense</t>
  </si>
  <si>
    <t>Income (Loss) before interest and income taxes</t>
  </si>
  <si>
    <t>Deferred income tax (benefit)</t>
  </si>
  <si>
    <t>2001</t>
  </si>
  <si>
    <t>General and administrative expense</t>
  </si>
  <si>
    <t>Retained Earnings</t>
  </si>
  <si>
    <t>Net income</t>
  </si>
  <si>
    <t>Energy savings from DSM projects</t>
  </si>
  <si>
    <t>Other Receivable</t>
  </si>
  <si>
    <t>Other (b)</t>
  </si>
  <si>
    <t xml:space="preserve"> Accounts Receivable, net (a)</t>
  </si>
  <si>
    <t>Lease revenue</t>
  </si>
  <si>
    <t xml:space="preserve">LE HESTEN ENERGY, LLC </t>
  </si>
  <si>
    <t>LE HESTEN ENERGY, LLC</t>
  </si>
  <si>
    <t>Net interest income</t>
  </si>
  <si>
    <t>The LLC made a distribution to Eli Lilly and Company  of $50 M which represented the monetization of a portion of their expected share of savings.  This distribution was an additional inducement for Eli Lilly to enter into this agreement with the LLC.  EES provided the LLC with the funds through a preferred equity contribution.  EES is entitled to a 9% preferred return on its' equity contribution, and it will receive all of the cash normally distributable to Eli Lilly until the preferred interest is fully redeemed.  After the preferred interest is redeemed, the LLC will split gross savings 70/30 to Lilly and EES, respectively.</t>
  </si>
  <si>
    <t>$4,500 M contributed by Class A Members is for mobilization costs and capital replacement costs incurred by the LLC.</t>
  </si>
  <si>
    <t>$4,000 M contributed by Class B Members is for mobilization costs and capital replacement costs incurred by the LLC.</t>
  </si>
  <si>
    <t>Investments</t>
  </si>
  <si>
    <t>Paid-in Capital  (Contribution)</t>
  </si>
  <si>
    <t>Dividends Declared</t>
  </si>
  <si>
    <t>(1)</t>
  </si>
  <si>
    <t>(2)</t>
  </si>
  <si>
    <t>(3)</t>
  </si>
  <si>
    <t>Dividend Paid</t>
  </si>
  <si>
    <t>Proceeds from issuance of preferred equity investment</t>
  </si>
  <si>
    <t>Adjustments to reconcile to net cash provided by operating activities:</t>
  </si>
  <si>
    <t>Five Months Ended May 31, 2001</t>
  </si>
  <si>
    <t>Other financing activities</t>
  </si>
  <si>
    <t xml:space="preserve">     Cash Distribution - Eli Lilly and Company (1)</t>
  </si>
  <si>
    <t>Cash in for passthrough</t>
  </si>
  <si>
    <t>Cash out for passthrough</t>
  </si>
  <si>
    <t>Changes in assets and liabilities:</t>
  </si>
  <si>
    <t>Accounts Payable</t>
  </si>
  <si>
    <t>JUNE 30 2001</t>
  </si>
  <si>
    <t>As of June 30, 2001</t>
  </si>
  <si>
    <t>June 30,</t>
  </si>
  <si>
    <t>Six Months Ended June 30, 2001</t>
  </si>
  <si>
    <t>Members' Equity, June 30, 2001</t>
  </si>
  <si>
    <t>Class C</t>
  </si>
  <si>
    <t>EESO</t>
  </si>
  <si>
    <t>Class A</t>
  </si>
  <si>
    <t>Eli Lilly</t>
  </si>
  <si>
    <t>Class B</t>
  </si>
  <si>
    <t>Total</t>
  </si>
  <si>
    <t>a</t>
  </si>
  <si>
    <t>Mobilization costs</t>
  </si>
  <si>
    <t>Employee Secondment Agreement Accrual</t>
  </si>
  <si>
    <t>Distributions</t>
  </si>
  <si>
    <t>Distributions Payable</t>
  </si>
  <si>
    <t>Cost and Expenses are comprised of the following:</t>
  </si>
  <si>
    <t>b</t>
  </si>
  <si>
    <t>Accounts payable represents moblization costs incurred through</t>
  </si>
  <si>
    <t>6/30/2001 or $1,047 and $67 accrual relating to Employee Secondment</t>
  </si>
  <si>
    <t>Agreement ($8,333) per month to both Lilly and EESO</t>
  </si>
  <si>
    <t>Distributions payable - 4 month of accrual relating to Preferred Return</t>
  </si>
  <si>
    <t xml:space="preserve">($50,000*(9%/12*4)) </t>
  </si>
  <si>
    <t xml:space="preserve">     Capital Contribution (2)</t>
  </si>
  <si>
    <t xml:space="preserve">     Mobilization Expenses (3)</t>
  </si>
  <si>
    <t xml:space="preserve">     Interest Income (3)</t>
  </si>
  <si>
    <t xml:space="preserve">     Employee Secondment Costs (4)</t>
  </si>
  <si>
    <t>(4)</t>
  </si>
  <si>
    <t>(5)</t>
  </si>
  <si>
    <t xml:space="preserve">     Distributions Payable (5)</t>
  </si>
  <si>
    <t xml:space="preserve">     Preferred Equity Investment (1)</t>
  </si>
  <si>
    <t>Accrual as per the Employee Secondment Agmt, allocated as described in 5.04 (g) in the LLC Agreement</t>
  </si>
  <si>
    <t>Costs/Interest allocated per 5.03  and 5.04 (h) of the LLC Agreement</t>
  </si>
  <si>
    <t>Distributions payable - 4 month of accrual relating to Preferred Return Allocated as described in Article 5.01 in the LLC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</si>
</sst>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3" formatCode="_(* #,##0.00_);_(* \(#,##0.00\);_(* &quot;-&quot;??_);_(@_)"/>
    <numFmt numFmtId="165" formatCode="_(* #,##0_);_(* \(#,##0\);_(* &quot;-&quot;??_);_(@_)"/>
    <numFmt numFmtId="177" formatCode="0_)"/>
    <numFmt numFmtId="184" formatCode="mmmm\ dd\,\ yyyy\ \ h:mm\ AM/PM"/>
  </numFmts>
  <fonts count="21" x14ac:knownFonts="1">
    <font>
      <sz val="10"/>
      <name val="Times New Roman"/>
    </font>
    <font>
      <b/>
      <sz val="10"/>
      <name val="Times New Roman"/>
    </font>
    <font>
      <b/>
      <i/>
      <sz val="10"/>
      <name val="Times New Roman"/>
    </font>
    <font>
      <sz val="10"/>
      <name val="Times New Roman"/>
    </font>
    <font>
      <b/>
      <i/>
      <u/>
      <sz val="10"/>
      <name val="Times New Roman"/>
      <family val="1"/>
    </font>
    <font>
      <b/>
      <sz val="16"/>
      <name val="Times New Roman"/>
      <family val="1"/>
    </font>
    <font>
      <sz val="10"/>
      <name val="Times New Roman"/>
      <family val="1"/>
    </font>
    <font>
      <sz val="10"/>
      <name val="Arial"/>
    </font>
    <font>
      <sz val="10"/>
      <color indexed="10"/>
      <name val="Times New Roman"/>
      <family val="1"/>
    </font>
    <font>
      <sz val="10"/>
      <color indexed="8"/>
      <name val="Times New Roman"/>
      <family val="1"/>
    </font>
    <font>
      <sz val="10"/>
      <color indexed="8"/>
      <name val="MS Sans Serif"/>
    </font>
    <font>
      <sz val="10"/>
      <name val="Courier"/>
    </font>
    <font>
      <b/>
      <sz val="10"/>
      <name val="Times New Roman"/>
      <family val="1"/>
    </font>
    <font>
      <b/>
      <i/>
      <sz val="10"/>
      <name val="Times New Roman"/>
      <family val="1"/>
    </font>
    <font>
      <sz val="2"/>
      <name val="Times New Roman"/>
      <family val="1"/>
    </font>
    <font>
      <i/>
      <sz val="10"/>
      <name val="Times New Roman"/>
      <family val="1"/>
    </font>
    <font>
      <b/>
      <u/>
      <sz val="10"/>
      <name val="Times New Roman"/>
      <family val="1"/>
    </font>
    <font>
      <b/>
      <sz val="14"/>
      <name val="Times New Roman"/>
      <family val="1"/>
    </font>
    <font>
      <sz val="14"/>
      <name val="Times New Roman"/>
      <family val="1"/>
    </font>
    <font>
      <b/>
      <sz val="13"/>
      <name val="Times New Roman"/>
      <family val="1"/>
    </font>
    <font>
      <sz val="11"/>
      <name val="Times New Roman"/>
      <family val="1"/>
    </font>
  </fonts>
  <fills count="2">
    <fill>
      <patternFill patternType="none"/>
    </fill>
    <fill>
      <patternFill patternType="gray125"/>
    </fill>
  </fills>
  <borders count="12">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43" fontId="3" fillId="0" borderId="0" applyFont="0" applyFill="0" applyBorder="0" applyAlignment="0" applyProtection="0"/>
    <xf numFmtId="0" fontId="7" fillId="0" borderId="0"/>
    <xf numFmtId="0" fontId="7" fillId="0" borderId="0"/>
    <xf numFmtId="0" fontId="3" fillId="0" borderId="0"/>
    <xf numFmtId="0" fontId="3" fillId="0" borderId="0"/>
  </cellStyleXfs>
  <cellXfs count="179">
    <xf numFmtId="0" fontId="0" fillId="0" borderId="0" xfId="0"/>
    <xf numFmtId="0" fontId="0" fillId="0" borderId="0" xfId="0" applyAlignment="1">
      <alignment horizontal="centerContinuous"/>
    </xf>
    <xf numFmtId="0" fontId="0" fillId="0" borderId="0" xfId="0" applyAlignment="1">
      <alignment horizontal="center"/>
    </xf>
    <xf numFmtId="0" fontId="0" fillId="0" borderId="1" xfId="0" applyBorder="1" applyAlignment="1">
      <alignment horizontal="centerContinuous"/>
    </xf>
    <xf numFmtId="0" fontId="0" fillId="0" borderId="1" xfId="0" applyBorder="1" applyAlignment="1">
      <alignment horizontal="center"/>
    </xf>
    <xf numFmtId="0" fontId="1" fillId="0" borderId="0" xfId="0" applyFont="1" applyAlignment="1">
      <alignment horizontal="centerContinuous"/>
    </xf>
    <xf numFmtId="165" fontId="0" fillId="0" borderId="0" xfId="1" applyNumberFormat="1" applyFont="1"/>
    <xf numFmtId="165" fontId="0" fillId="0" borderId="0" xfId="0" applyNumberFormat="1"/>
    <xf numFmtId="0" fontId="0" fillId="0" borderId="1" xfId="0" applyBorder="1"/>
    <xf numFmtId="165" fontId="0" fillId="0" borderId="1" xfId="1" applyNumberFormat="1" applyFont="1" applyBorder="1"/>
    <xf numFmtId="0" fontId="0" fillId="0" borderId="0" xfId="0" applyBorder="1"/>
    <xf numFmtId="165" fontId="0" fillId="0" borderId="0" xfId="1" applyNumberFormat="1" applyFont="1" applyBorder="1"/>
    <xf numFmtId="165" fontId="0" fillId="0" borderId="2" xfId="1" applyNumberFormat="1" applyFont="1" applyBorder="1"/>
    <xf numFmtId="0" fontId="0" fillId="0" borderId="0" xfId="0" applyBorder="1" applyAlignment="1">
      <alignment horizontal="center"/>
    </xf>
    <xf numFmtId="42" fontId="0" fillId="0" borderId="0" xfId="1" applyNumberFormat="1" applyFont="1"/>
    <xf numFmtId="42" fontId="0" fillId="0" borderId="2" xfId="1" applyNumberFormat="1" applyFont="1" applyBorder="1"/>
    <xf numFmtId="42" fontId="0" fillId="0" borderId="0" xfId="1" applyNumberFormat="1" applyFont="1" applyBorder="1"/>
    <xf numFmtId="42" fontId="0" fillId="0" borderId="0" xfId="0" applyNumberFormat="1"/>
    <xf numFmtId="0" fontId="4" fillId="0" borderId="0" xfId="0" applyFont="1"/>
    <xf numFmtId="0" fontId="5" fillId="0" borderId="0" xfId="0" applyFont="1" applyAlignment="1">
      <alignment horizontal="centerContinuous"/>
    </xf>
    <xf numFmtId="41" fontId="6" fillId="0" borderId="0" xfId="0" applyNumberFormat="1" applyFont="1" applyBorder="1"/>
    <xf numFmtId="0" fontId="0" fillId="0" borderId="3" xfId="0" applyBorder="1"/>
    <xf numFmtId="41" fontId="0" fillId="0" borderId="0" xfId="0" applyNumberFormat="1"/>
    <xf numFmtId="37" fontId="0" fillId="0" borderId="1" xfId="0" applyNumberFormat="1" applyBorder="1"/>
    <xf numFmtId="165" fontId="0" fillId="0" borderId="0" xfId="0" applyNumberFormat="1" applyBorder="1"/>
    <xf numFmtId="42" fontId="0" fillId="0" borderId="2" xfId="0" applyNumberFormat="1" applyBorder="1"/>
    <xf numFmtId="165" fontId="3" fillId="0" borderId="0" xfId="1" applyNumberFormat="1"/>
    <xf numFmtId="42" fontId="3" fillId="0" borderId="0" xfId="1" applyNumberFormat="1"/>
    <xf numFmtId="165" fontId="3" fillId="0" borderId="0" xfId="1" applyNumberFormat="1" applyBorder="1"/>
    <xf numFmtId="165" fontId="3" fillId="0" borderId="1" xfId="1" applyNumberFormat="1" applyBorder="1"/>
    <xf numFmtId="37" fontId="0" fillId="0" borderId="0" xfId="0" applyNumberFormat="1"/>
    <xf numFmtId="0" fontId="6" fillId="0" borderId="0" xfId="0" applyFont="1" applyAlignment="1">
      <alignment horizontal="centerContinuous"/>
    </xf>
    <xf numFmtId="0" fontId="6" fillId="0" borderId="0" xfId="0" applyFont="1"/>
    <xf numFmtId="0" fontId="6" fillId="0" borderId="0" xfId="0" applyFont="1" applyBorder="1" applyAlignment="1">
      <alignment horizontal="centerContinuous"/>
    </xf>
    <xf numFmtId="14" fontId="6" fillId="0" borderId="0" xfId="0" quotePrefix="1" applyNumberFormat="1" applyFont="1" applyBorder="1" applyAlignment="1">
      <alignment horizontal="center"/>
    </xf>
    <xf numFmtId="37" fontId="6" fillId="0" borderId="0" xfId="0" applyNumberFormat="1" applyFont="1" applyAlignment="1">
      <alignment horizontal="center"/>
    </xf>
    <xf numFmtId="37" fontId="6" fillId="0" borderId="0" xfId="0" applyNumberFormat="1" applyFont="1"/>
    <xf numFmtId="37" fontId="6" fillId="0" borderId="1" xfId="0" applyNumberFormat="1" applyFont="1" applyBorder="1" applyAlignment="1">
      <alignment horizontal="center"/>
    </xf>
    <xf numFmtId="0" fontId="6" fillId="0" borderId="4" xfId="0" applyFont="1" applyBorder="1" applyAlignment="1">
      <alignment horizontal="center"/>
    </xf>
    <xf numFmtId="0" fontId="6" fillId="0" borderId="0" xfId="0" applyFont="1" applyBorder="1"/>
    <xf numFmtId="42" fontId="6" fillId="0" borderId="0" xfId="0" applyNumberFormat="1" applyFont="1"/>
    <xf numFmtId="37" fontId="6" fillId="0" borderId="4" xfId="0" applyNumberFormat="1" applyFont="1" applyBorder="1"/>
    <xf numFmtId="37" fontId="6" fillId="0" borderId="0" xfId="0" applyNumberFormat="1" applyFont="1" applyBorder="1"/>
    <xf numFmtId="37" fontId="6" fillId="0" borderId="3" xfId="0" applyNumberFormat="1" applyFont="1" applyBorder="1"/>
    <xf numFmtId="37" fontId="8" fillId="0" borderId="0" xfId="0" applyNumberFormat="1" applyFont="1"/>
    <xf numFmtId="42" fontId="6" fillId="0" borderId="5" xfId="0" applyNumberFormat="1" applyFont="1" applyBorder="1"/>
    <xf numFmtId="0" fontId="2" fillId="0" borderId="0" xfId="0" applyFont="1"/>
    <xf numFmtId="41" fontId="0" fillId="0" borderId="0" xfId="0" applyNumberFormat="1" applyAlignment="1">
      <alignment horizontal="centerContinuous"/>
    </xf>
    <xf numFmtId="37" fontId="0" fillId="0" borderId="0" xfId="0" applyNumberFormat="1" applyAlignment="1">
      <alignment horizontal="centerContinuous"/>
    </xf>
    <xf numFmtId="41" fontId="5" fillId="0" borderId="0" xfId="0" applyNumberFormat="1" applyFont="1" applyAlignment="1">
      <alignment horizontal="centerContinuous"/>
    </xf>
    <xf numFmtId="41" fontId="0" fillId="0" borderId="0" xfId="0" quotePrefix="1" applyNumberFormat="1" applyBorder="1" applyAlignment="1">
      <alignment horizontal="center"/>
    </xf>
    <xf numFmtId="37" fontId="0" fillId="0" borderId="1" xfId="0" quotePrefix="1" applyNumberFormat="1" applyBorder="1" applyAlignment="1">
      <alignment horizontal="center"/>
    </xf>
    <xf numFmtId="41" fontId="0" fillId="0" borderId="0" xfId="0" applyNumberFormat="1" applyBorder="1"/>
    <xf numFmtId="37" fontId="0" fillId="0" borderId="0" xfId="0" applyNumberFormat="1" applyBorder="1"/>
    <xf numFmtId="41" fontId="0" fillId="0" borderId="4" xfId="0" applyNumberFormat="1" applyBorder="1"/>
    <xf numFmtId="37" fontId="0" fillId="0" borderId="4" xfId="0" applyNumberFormat="1" applyBorder="1"/>
    <xf numFmtId="41" fontId="0" fillId="0" borderId="1" xfId="0" applyNumberFormat="1" applyBorder="1"/>
    <xf numFmtId="0" fontId="6" fillId="0" borderId="0" xfId="3" applyFont="1" applyAlignment="1">
      <alignment horizontal="centerContinuous"/>
    </xf>
    <xf numFmtId="0" fontId="6" fillId="0" borderId="0" xfId="3" applyFont="1"/>
    <xf numFmtId="0" fontId="1" fillId="0" borderId="0" xfId="3" applyFont="1" applyAlignment="1">
      <alignment horizontal="centerContinuous"/>
    </xf>
    <xf numFmtId="0" fontId="6" fillId="0" borderId="0" xfId="3" applyFont="1" applyBorder="1"/>
    <xf numFmtId="37" fontId="6" fillId="0" borderId="0" xfId="3" applyNumberFormat="1" applyFont="1" applyBorder="1"/>
    <xf numFmtId="42" fontId="6" fillId="0" borderId="0" xfId="3" applyNumberFormat="1" applyFont="1" applyBorder="1"/>
    <xf numFmtId="41" fontId="9" fillId="0" borderId="0" xfId="3" applyNumberFormat="1" applyFont="1" applyBorder="1"/>
    <xf numFmtId="41" fontId="6" fillId="0" borderId="0" xfId="3" applyNumberFormat="1" applyFont="1" applyBorder="1"/>
    <xf numFmtId="0" fontId="6" fillId="0" borderId="0" xfId="2" applyFont="1"/>
    <xf numFmtId="37" fontId="6" fillId="0" borderId="4" xfId="3" applyNumberFormat="1" applyFont="1" applyBorder="1"/>
    <xf numFmtId="42" fontId="6" fillId="0" borderId="5" xfId="3" applyNumberFormat="1" applyFont="1" applyBorder="1"/>
    <xf numFmtId="37" fontId="6" fillId="0" borderId="0" xfId="3" applyNumberFormat="1" applyFont="1"/>
    <xf numFmtId="42" fontId="6" fillId="0" borderId="0" xfId="3" applyNumberFormat="1" applyFont="1"/>
    <xf numFmtId="41" fontId="6" fillId="0" borderId="0" xfId="3" applyNumberFormat="1" applyFont="1"/>
    <xf numFmtId="37" fontId="6" fillId="0" borderId="1" xfId="3" applyNumberFormat="1" applyFont="1" applyBorder="1"/>
    <xf numFmtId="0" fontId="12" fillId="0" borderId="0" xfId="3" applyFont="1" applyAlignment="1">
      <alignment horizontal="centerContinuous"/>
    </xf>
    <xf numFmtId="41" fontId="6" fillId="0" borderId="4" xfId="3" applyNumberFormat="1" applyFont="1" applyBorder="1"/>
    <xf numFmtId="0" fontId="13" fillId="0" borderId="0" xfId="3" applyFont="1"/>
    <xf numFmtId="0" fontId="6" fillId="0" borderId="1" xfId="0" applyFont="1" applyBorder="1" applyAlignment="1">
      <alignment horizontal="centerContinuous"/>
    </xf>
    <xf numFmtId="10" fontId="6" fillId="0" borderId="1" xfId="0" applyNumberFormat="1" applyFont="1" applyBorder="1" applyAlignment="1">
      <alignment horizontal="centerContinuous"/>
    </xf>
    <xf numFmtId="42" fontId="0" fillId="0" borderId="0" xfId="0" applyNumberFormat="1" applyBorder="1"/>
    <xf numFmtId="184" fontId="6" fillId="0" borderId="0" xfId="0" applyNumberFormat="1" applyFont="1" applyAlignment="1">
      <alignment horizontal="centerContinuous"/>
    </xf>
    <xf numFmtId="43" fontId="14" fillId="0" borderId="0" xfId="1" applyFont="1"/>
    <xf numFmtId="0" fontId="6" fillId="0" borderId="1" xfId="0" applyFont="1" applyBorder="1" applyAlignment="1">
      <alignment horizontal="center"/>
    </xf>
    <xf numFmtId="0" fontId="6" fillId="0" borderId="0" xfId="0" applyFont="1" applyAlignment="1">
      <alignment horizontal="center"/>
    </xf>
    <xf numFmtId="10" fontId="6" fillId="0" borderId="1" xfId="0" quotePrefix="1" applyNumberFormat="1" applyFont="1" applyBorder="1" applyAlignment="1">
      <alignment horizontal="centerContinuous"/>
    </xf>
    <xf numFmtId="0" fontId="6" fillId="0" borderId="0" xfId="0" quotePrefix="1" applyFont="1" applyAlignment="1">
      <alignment horizontal="center"/>
    </xf>
    <xf numFmtId="165" fontId="6" fillId="0" borderId="0" xfId="1" applyNumberFormat="1" applyFont="1"/>
    <xf numFmtId="165" fontId="6" fillId="0" borderId="1" xfId="1" applyNumberFormat="1" applyFont="1" applyBorder="1"/>
    <xf numFmtId="165" fontId="6" fillId="0" borderId="0" xfId="1" applyNumberFormat="1" applyFont="1" applyAlignment="1"/>
    <xf numFmtId="0" fontId="12" fillId="0" borderId="0" xfId="0" applyFont="1"/>
    <xf numFmtId="42" fontId="12" fillId="0" borderId="0" xfId="0" applyNumberFormat="1" applyFont="1"/>
    <xf numFmtId="42" fontId="12" fillId="0" borderId="5" xfId="0" applyNumberFormat="1" applyFont="1" applyBorder="1"/>
    <xf numFmtId="41" fontId="6" fillId="0" borderId="0" xfId="0" applyNumberFormat="1" applyFont="1"/>
    <xf numFmtId="165" fontId="6" fillId="0" borderId="0" xfId="1" applyNumberFormat="1" applyFont="1" applyBorder="1"/>
    <xf numFmtId="42" fontId="6" fillId="0" borderId="0" xfId="0" applyNumberFormat="1" applyFont="1" applyBorder="1"/>
    <xf numFmtId="165" fontId="6" fillId="0" borderId="0" xfId="1" applyNumberFormat="1" applyFont="1" applyFill="1"/>
    <xf numFmtId="0" fontId="6" fillId="0" borderId="0" xfId="0" quotePrefix="1" applyFont="1" applyBorder="1"/>
    <xf numFmtId="0" fontId="0" fillId="0" borderId="6" xfId="0" applyBorder="1"/>
    <xf numFmtId="41" fontId="6" fillId="0" borderId="3" xfId="0" applyNumberFormat="1" applyFont="1" applyBorder="1"/>
    <xf numFmtId="0" fontId="0" fillId="0" borderId="7" xfId="0" applyBorder="1"/>
    <xf numFmtId="41" fontId="6" fillId="0" borderId="0" xfId="0" applyNumberFormat="1" applyFont="1" applyFill="1" applyBorder="1"/>
    <xf numFmtId="0" fontId="12" fillId="0" borderId="7" xfId="0" applyFont="1" applyBorder="1"/>
    <xf numFmtId="0" fontId="12" fillId="0" borderId="8" xfId="0" applyFont="1" applyBorder="1"/>
    <xf numFmtId="41" fontId="6" fillId="0" borderId="1" xfId="0" applyNumberFormat="1" applyFont="1" applyFill="1" applyBorder="1"/>
    <xf numFmtId="41" fontId="6" fillId="0" borderId="1" xfId="0" applyNumberFormat="1" applyFont="1" applyBorder="1"/>
    <xf numFmtId="165" fontId="0" fillId="0" borderId="0" xfId="1" applyNumberFormat="1" applyFont="1" applyAlignment="1">
      <alignment horizontal="centerContinuous"/>
    </xf>
    <xf numFmtId="165" fontId="1" fillId="0" borderId="0" xfId="1" applyNumberFormat="1" applyFont="1" applyAlignment="1">
      <alignment horizontal="centerContinuous"/>
    </xf>
    <xf numFmtId="165" fontId="0" fillId="0" borderId="9" xfId="1" applyNumberFormat="1" applyFont="1" applyBorder="1"/>
    <xf numFmtId="165" fontId="0" fillId="0" borderId="10" xfId="1" applyNumberFormat="1" applyFont="1" applyBorder="1"/>
    <xf numFmtId="165" fontId="0" fillId="0" borderId="11" xfId="1" applyNumberFormat="1" applyFont="1" applyBorder="1"/>
    <xf numFmtId="165" fontId="6" fillId="0" borderId="9" xfId="1" applyNumberFormat="1" applyFont="1" applyBorder="1"/>
    <xf numFmtId="165" fontId="6" fillId="0" borderId="10" xfId="1" applyNumberFormat="1" applyFont="1" applyBorder="1"/>
    <xf numFmtId="165" fontId="0" fillId="0" borderId="1" xfId="0" applyNumberFormat="1" applyBorder="1"/>
    <xf numFmtId="165" fontId="0" fillId="0" borderId="0" xfId="1" applyNumberFormat="1" applyFont="1" applyAlignment="1">
      <alignment horizontal="center"/>
    </xf>
    <xf numFmtId="165" fontId="0" fillId="0" borderId="11" xfId="0" applyNumberFormat="1" applyBorder="1"/>
    <xf numFmtId="0" fontId="6" fillId="0" borderId="7" xfId="0" applyFont="1" applyBorder="1"/>
    <xf numFmtId="37" fontId="6" fillId="0" borderId="1" xfId="0" quotePrefix="1" applyNumberFormat="1" applyFont="1" applyBorder="1" applyAlignment="1">
      <alignment horizontal="center"/>
    </xf>
    <xf numFmtId="37" fontId="0" fillId="0" borderId="0" xfId="0" quotePrefix="1" applyNumberFormat="1" applyBorder="1" applyAlignment="1">
      <alignment horizontal="center"/>
    </xf>
    <xf numFmtId="0" fontId="0" fillId="0" borderId="0" xfId="0" applyBorder="1" applyAlignment="1">
      <alignment horizontal="centerContinuous"/>
    </xf>
    <xf numFmtId="0" fontId="1" fillId="0" borderId="0" xfId="0" quotePrefix="1" applyFont="1" applyAlignment="1">
      <alignment horizontal="centerContinuous"/>
    </xf>
    <xf numFmtId="0" fontId="6" fillId="0" borderId="0" xfId="0" quotePrefix="1" applyFont="1" applyAlignment="1">
      <alignment horizontal="centerContinuous"/>
    </xf>
    <xf numFmtId="0" fontId="12" fillId="0" borderId="0" xfId="0" applyFont="1" applyAlignment="1">
      <alignment horizontal="centerContinuous"/>
    </xf>
    <xf numFmtId="43" fontId="6" fillId="0" borderId="0" xfId="1" applyFont="1"/>
    <xf numFmtId="0" fontId="13" fillId="0" borderId="0" xfId="0" applyFont="1"/>
    <xf numFmtId="0" fontId="6" fillId="0" borderId="0" xfId="3" applyFont="1" applyBorder="1" applyAlignment="1">
      <alignment horizontal="centerContinuous"/>
    </xf>
    <xf numFmtId="0" fontId="12" fillId="0" borderId="0" xfId="3" applyFont="1" applyBorder="1" applyAlignment="1">
      <alignment horizontal="centerContinuous"/>
    </xf>
    <xf numFmtId="0" fontId="12" fillId="0" borderId="1" xfId="0" applyFont="1" applyBorder="1" applyAlignment="1">
      <alignment horizontal="centerContinuous"/>
    </xf>
    <xf numFmtId="0" fontId="12" fillId="0" borderId="0" xfId="0" applyFont="1" applyBorder="1" applyAlignment="1">
      <alignment horizontal="centerContinuous"/>
    </xf>
    <xf numFmtId="37" fontId="12" fillId="0" borderId="1" xfId="0" quotePrefix="1" applyNumberFormat="1" applyFont="1" applyBorder="1" applyAlignment="1">
      <alignment horizontal="center"/>
    </xf>
    <xf numFmtId="37" fontId="12" fillId="0" borderId="1" xfId="0" applyNumberFormat="1" applyFont="1" applyBorder="1" applyAlignment="1">
      <alignment horizontal="center"/>
    </xf>
    <xf numFmtId="37" fontId="12" fillId="0" borderId="0" xfId="0" quotePrefix="1" applyNumberFormat="1" applyFont="1" applyBorder="1" applyAlignment="1">
      <alignment horizontal="center"/>
    </xf>
    <xf numFmtId="0" fontId="12" fillId="0" borderId="0" xfId="3" applyFont="1"/>
    <xf numFmtId="0" fontId="15" fillId="0" borderId="0" xfId="3" applyFont="1"/>
    <xf numFmtId="0" fontId="7" fillId="0" borderId="0" xfId="3" applyFont="1"/>
    <xf numFmtId="41" fontId="15" fillId="0" borderId="0" xfId="3" applyNumberFormat="1" applyFont="1"/>
    <xf numFmtId="0" fontId="12" fillId="0" borderId="0" xfId="0" quotePrefix="1" applyFont="1" applyAlignment="1">
      <alignment horizontal="centerContinuous"/>
    </xf>
    <xf numFmtId="0" fontId="12" fillId="0" borderId="0" xfId="0" quotePrefix="1" applyFont="1" applyBorder="1" applyAlignment="1">
      <alignment horizontal="centerContinuous"/>
    </xf>
    <xf numFmtId="41" fontId="12" fillId="0" borderId="1" xfId="0" quotePrefix="1" applyNumberFormat="1" applyFont="1" applyBorder="1" applyAlignment="1">
      <alignment horizontal="center"/>
    </xf>
    <xf numFmtId="41" fontId="12" fillId="0" borderId="1" xfId="0" applyNumberFormat="1" applyFont="1" applyBorder="1" applyAlignment="1">
      <alignment horizontal="center"/>
    </xf>
    <xf numFmtId="0" fontId="12" fillId="0" borderId="1" xfId="0" applyFont="1" applyBorder="1" applyAlignment="1">
      <alignment horizontal="center"/>
    </xf>
    <xf numFmtId="0" fontId="12" fillId="0" borderId="0" xfId="0" applyFont="1" applyBorder="1" applyAlignment="1">
      <alignment horizontal="center"/>
    </xf>
    <xf numFmtId="37" fontId="12" fillId="0" borderId="0" xfId="0" applyNumberFormat="1" applyFont="1" applyBorder="1" applyAlignment="1">
      <alignment horizontal="center"/>
    </xf>
    <xf numFmtId="0" fontId="6" fillId="0" borderId="0" xfId="0" quotePrefix="1" applyFont="1"/>
    <xf numFmtId="14" fontId="6" fillId="0" borderId="0" xfId="0" quotePrefix="1" applyNumberFormat="1" applyFont="1" applyBorder="1" applyAlignment="1">
      <alignment horizontal="centerContinuous"/>
    </xf>
    <xf numFmtId="14" fontId="12" fillId="0" borderId="0" xfId="0" applyNumberFormat="1" applyFont="1" applyBorder="1" applyAlignment="1">
      <alignment horizontal="centerContinuous"/>
    </xf>
    <xf numFmtId="0" fontId="12" fillId="0" borderId="0" xfId="0" applyFont="1" applyBorder="1"/>
    <xf numFmtId="43" fontId="6" fillId="0" borderId="0" xfId="1" applyFont="1" applyBorder="1"/>
    <xf numFmtId="0" fontId="6" fillId="0" borderId="0" xfId="4" applyFont="1" applyAlignment="1">
      <alignment horizontal="centerContinuous"/>
    </xf>
    <xf numFmtId="0" fontId="12" fillId="0" borderId="0" xfId="4" applyFont="1" applyAlignment="1">
      <alignment horizontal="centerContinuous"/>
    </xf>
    <xf numFmtId="14" fontId="12" fillId="0" borderId="0" xfId="0" applyNumberFormat="1" applyFont="1" applyBorder="1" applyAlignment="1">
      <alignment horizontal="center"/>
    </xf>
    <xf numFmtId="0" fontId="6" fillId="0" borderId="0" xfId="0" applyFont="1" applyBorder="1" applyAlignment="1">
      <alignment horizontal="left"/>
    </xf>
    <xf numFmtId="0" fontId="15" fillId="0" borderId="0" xfId="0" applyFont="1" applyBorder="1"/>
    <xf numFmtId="42" fontId="6" fillId="0" borderId="1" xfId="0" applyNumberFormat="1" applyFont="1" applyBorder="1"/>
    <xf numFmtId="0" fontId="16" fillId="0" borderId="0" xfId="0" applyFont="1" applyAlignment="1">
      <alignment horizontal="center"/>
    </xf>
    <xf numFmtId="0" fontId="18" fillId="0" borderId="0" xfId="0" applyFont="1"/>
    <xf numFmtId="0" fontId="12" fillId="0" borderId="0" xfId="0" applyFont="1" applyAlignment="1">
      <alignment horizontal="center"/>
    </xf>
    <xf numFmtId="0" fontId="6" fillId="0" borderId="0" xfId="5" applyFont="1" applyBorder="1"/>
    <xf numFmtId="0" fontId="6" fillId="0" borderId="0" xfId="3" applyFont="1" applyAlignment="1">
      <alignment horizontal="left"/>
    </xf>
    <xf numFmtId="41" fontId="6" fillId="0" borderId="4" xfId="0" applyNumberFormat="1" applyFont="1" applyBorder="1"/>
    <xf numFmtId="0" fontId="0" fillId="0" borderId="0" xfId="0" quotePrefix="1"/>
    <xf numFmtId="42" fontId="6" fillId="0" borderId="4" xfId="3" applyNumberFormat="1" applyFont="1" applyBorder="1"/>
    <xf numFmtId="0" fontId="0" fillId="0" borderId="0" xfId="0" quotePrefix="1" applyAlignment="1">
      <alignment horizontal="right" vertical="top"/>
    </xf>
    <xf numFmtId="0" fontId="12" fillId="0" borderId="0" xfId="3" applyFont="1" applyAlignment="1">
      <alignment horizontal="center"/>
    </xf>
    <xf numFmtId="16" fontId="12" fillId="0" borderId="0" xfId="0" applyNumberFormat="1" applyFont="1" applyBorder="1" applyAlignment="1">
      <alignment horizontal="centerContinuous"/>
    </xf>
    <xf numFmtId="165" fontId="0" fillId="0" borderId="5" xfId="1" applyNumberFormat="1" applyFont="1" applyBorder="1"/>
    <xf numFmtId="0" fontId="0" fillId="0" borderId="0" xfId="0" applyAlignment="1">
      <alignment vertical="top" wrapText="1"/>
    </xf>
    <xf numFmtId="37" fontId="6" fillId="0" borderId="1" xfId="0" applyNumberFormat="1" applyFont="1" applyBorder="1"/>
    <xf numFmtId="0" fontId="6" fillId="0" borderId="0" xfId="0" applyFont="1" applyAlignment="1">
      <alignment horizontal="right"/>
    </xf>
    <xf numFmtId="37" fontId="6" fillId="0" borderId="0" xfId="0" applyNumberFormat="1" applyFont="1" applyBorder="1" applyAlignment="1">
      <alignment horizontal="center"/>
    </xf>
    <xf numFmtId="0" fontId="6" fillId="0" borderId="0" xfId="0" applyFont="1" applyBorder="1" applyAlignment="1">
      <alignment horizontal="center"/>
    </xf>
    <xf numFmtId="165" fontId="0" fillId="0" borderId="0" xfId="1" applyNumberFormat="1" applyFont="1" applyFill="1"/>
    <xf numFmtId="14" fontId="0" fillId="0" borderId="0" xfId="0" applyNumberFormat="1" applyAlignment="1">
      <alignment horizontal="left"/>
    </xf>
    <xf numFmtId="0" fontId="17" fillId="0" borderId="0" xfId="4" applyFont="1" applyAlignment="1">
      <alignment horizontal="center"/>
    </xf>
    <xf numFmtId="0" fontId="0" fillId="0" borderId="0" xfId="0" applyAlignment="1">
      <alignment horizontal="center"/>
    </xf>
    <xf numFmtId="0" fontId="19" fillId="0" borderId="0" xfId="0" applyFont="1" applyAlignment="1">
      <alignment horizontal="center"/>
    </xf>
    <xf numFmtId="17" fontId="20" fillId="0" borderId="0" xfId="0" quotePrefix="1" applyNumberFormat="1" applyFont="1" applyAlignment="1">
      <alignment horizontal="center"/>
    </xf>
    <xf numFmtId="0" fontId="20" fillId="0" borderId="0" xfId="0" applyFont="1" applyAlignment="1">
      <alignment horizontal="center"/>
    </xf>
    <xf numFmtId="0" fontId="12" fillId="0" borderId="0" xfId="3" applyFont="1" applyAlignment="1">
      <alignment horizontal="center"/>
    </xf>
    <xf numFmtId="0" fontId="12" fillId="0" borderId="0" xfId="0" applyFont="1" applyAlignment="1">
      <alignment horizontal="center"/>
    </xf>
    <xf numFmtId="0" fontId="0" fillId="0" borderId="0" xfId="0" applyAlignment="1">
      <alignment vertical="top" wrapText="1"/>
    </xf>
    <xf numFmtId="0" fontId="12" fillId="0" borderId="0" xfId="4" applyFont="1" applyAlignment="1">
      <alignment horizontal="center"/>
    </xf>
  </cellXfs>
  <cellStyles count="6">
    <cellStyle name="Comma" xfId="1" builtinId="3"/>
    <cellStyle name="Normal" xfId="0" builtinId="0"/>
    <cellStyle name="Normal_eve" xfId="2"/>
    <cellStyle name="Normal_Formal BS" xfId="3"/>
    <cellStyle name="Normal_Formal IS" xfId="4"/>
    <cellStyle name="Normal_IS98"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sumer/Reportin/98financials/1st%20Qtr/cf33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onsumer/Reportin/Owens%20Corning%202001%20Financials/2nd%20Qtr/052001bs_oce_ll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umer/Reportin/98financials/1st%20Qtr/Cashflow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nsumer/Reportin/98financials/1st%20Qtr/1QTR_F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onsumer/Reportin/98financials/2nd%20Qtr/INVESTOR_F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onsumer/Reportin/Owens%20Corning%202000%20Financials/3rd%20Qtr/0100bs_oce_ll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onsumer/Reportin/Owens%20Corning%202000%20Financials/3rd%20Qtr/0200bs_oce_llc.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MP/042001bs_oce_ll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EMP/04%202001workpaper%20fi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EMP/06%202001workpaper%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5"/>
      <sheetName val="1996"/>
      <sheetName val="1997"/>
      <sheetName val="1998"/>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GSVC2"/>
      <sheetName val="IS"/>
      <sheetName val="Balance Sheet"/>
      <sheetName val="JE's"/>
      <sheetName val="JE's booked for prior year adj"/>
    </sheetNames>
    <sheetDataSet>
      <sheetData sheetId="0" refreshError="1"/>
      <sheetData sheetId="1"/>
      <sheetData sheetId="2"/>
      <sheetData sheetId="3">
        <row r="56">
          <cell r="N56">
            <v>938</v>
          </cell>
        </row>
        <row r="58">
          <cell r="H58">
            <v>3338</v>
          </cell>
        </row>
        <row r="59">
          <cell r="N59">
            <v>55</v>
          </cell>
        </row>
        <row r="60">
          <cell r="N60">
            <v>-11</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7"/>
      <sheetName val="Macros"/>
      <sheetName val="EGSVC2"/>
      <sheetName val="IS"/>
      <sheetName val="Balance Sheet"/>
      <sheetName val="JE's"/>
      <sheetName val="JE's booked for prior year adj"/>
    </sheetNames>
    <sheetDataSet>
      <sheetData sheetId="0" refreshError="1">
        <row r="69">
          <cell r="J69">
            <v>97081</v>
          </cell>
        </row>
      </sheetData>
      <sheetData sheetId="1" refreshError="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
      <sheetName val="Formal IS"/>
      <sheetName val="CF"/>
      <sheetName val="Formal BS"/>
    </sheetNames>
    <sheetDataSet>
      <sheetData sheetId="0"/>
      <sheetData sheetId="1">
        <row r="17">
          <cell r="E17">
            <v>187811</v>
          </cell>
        </row>
        <row r="24">
          <cell r="E24">
            <v>40368</v>
          </cell>
        </row>
        <row r="25">
          <cell r="E25">
            <v>4213</v>
          </cell>
        </row>
        <row r="41">
          <cell r="E41">
            <v>-51</v>
          </cell>
        </row>
        <row r="42">
          <cell r="E42">
            <v>837</v>
          </cell>
        </row>
        <row r="47">
          <cell r="E47">
            <v>-247</v>
          </cell>
        </row>
        <row r="50">
          <cell r="E50">
            <v>-18521</v>
          </cell>
        </row>
        <row r="51">
          <cell r="E51">
            <v>10678</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l IS"/>
      <sheetName val="Formal BS"/>
      <sheetName val="RE"/>
      <sheetName val="Cash Flow"/>
      <sheetName val="re_dETAIL"/>
      <sheetName val="Formal IS compared to Plan"/>
    </sheetNames>
    <sheetDataSet>
      <sheetData sheetId="0">
        <row r="16">
          <cell r="E16">
            <v>154717</v>
          </cell>
        </row>
        <row r="24">
          <cell r="E24">
            <v>40731</v>
          </cell>
        </row>
        <row r="25">
          <cell r="E25">
            <v>5553</v>
          </cell>
        </row>
        <row r="40">
          <cell r="E40">
            <v>-676</v>
          </cell>
        </row>
        <row r="47">
          <cell r="E47">
            <v>-253</v>
          </cell>
        </row>
        <row r="50">
          <cell r="E50">
            <v>-14661</v>
          </cell>
        </row>
        <row r="51">
          <cell r="E51">
            <v>930</v>
          </cell>
        </row>
      </sheetData>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IS"/>
      <sheetName val="Balance Sheet"/>
      <sheetName val="JE's"/>
      <sheetName val="EGSVC2"/>
      <sheetName val="Formal IS"/>
      <sheetName val="IS99"/>
    </sheetNames>
    <sheetDataSet>
      <sheetData sheetId="0"/>
      <sheetData sheetId="1"/>
      <sheetData sheetId="2">
        <row r="32">
          <cell r="C32" t="str">
            <v>Price Risk Management</v>
          </cell>
        </row>
        <row r="34">
          <cell r="C34" t="str">
            <v>Notes Receivable - Affiliated Company</v>
          </cell>
        </row>
        <row r="35">
          <cell r="C35" t="str">
            <v>Goodwill</v>
          </cell>
        </row>
        <row r="65">
          <cell r="C65" t="str">
            <v>Accrued Taxes Payable - Other</v>
          </cell>
        </row>
        <row r="66">
          <cell r="C66" t="str">
            <v>Price Risk Management</v>
          </cell>
        </row>
      </sheetData>
      <sheetData sheetId="3"/>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GSVC2"/>
      <sheetName val="Formal IS"/>
      <sheetName val="IS99"/>
      <sheetName val="Formal BS"/>
      <sheetName val="Balance Sheet"/>
      <sheetName val="99 Reclasses"/>
    </sheetNames>
    <sheetDataSet>
      <sheetData sheetId="0" refreshError="1"/>
      <sheetData sheetId="1"/>
      <sheetData sheetId="2"/>
      <sheetData sheetId="3"/>
      <sheetData sheetId="4">
        <row r="65">
          <cell r="E65">
            <v>0</v>
          </cell>
        </row>
      </sheetData>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GSVC2"/>
      <sheetName val="IS"/>
      <sheetName val="Balance Sheet"/>
      <sheetName val="JE's"/>
    </sheetNames>
    <sheetDataSet>
      <sheetData sheetId="0" refreshError="1"/>
      <sheetData sheetId="1"/>
      <sheetData sheetId="2">
        <row r="63">
          <cell r="P63">
            <v>0</v>
          </cell>
        </row>
      </sheetData>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EGSVC2"/>
      <sheetName val="IS"/>
      <sheetName val="Balance Sheet"/>
      <sheetName val="JE's"/>
    </sheetNames>
    <sheetDataSet>
      <sheetData sheetId="0" refreshError="1"/>
      <sheetData sheetId="1"/>
      <sheetData sheetId="2"/>
      <sheetData sheetId="3">
        <row r="41">
          <cell r="W41">
            <v>0</v>
          </cell>
        </row>
      </sheetData>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s"/>
      <sheetName val="IS"/>
      <sheetName val="Balance Sheet"/>
      <sheetName val="JE's"/>
    </sheetNames>
    <sheetDataSet>
      <sheetData sheetId="0" refreshError="1"/>
      <sheetData sheetId="1">
        <row r="18">
          <cell r="P18">
            <v>1047</v>
          </cell>
        </row>
        <row r="25">
          <cell r="P25">
            <v>67</v>
          </cell>
        </row>
        <row r="38">
          <cell r="P38">
            <v>93</v>
          </cell>
        </row>
      </sheetData>
      <sheetData sheetId="2">
        <row r="15">
          <cell r="W15">
            <v>8593</v>
          </cell>
        </row>
        <row r="56">
          <cell r="W56">
            <v>1114</v>
          </cell>
        </row>
        <row r="57">
          <cell r="W57">
            <v>1500</v>
          </cell>
        </row>
        <row r="84">
          <cell r="W84">
            <v>58500</v>
          </cell>
        </row>
        <row r="85">
          <cell r="W85">
            <v>-50000</v>
          </cell>
        </row>
        <row r="86">
          <cell r="W86">
            <v>-1500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1"/>
  <sheetViews>
    <sheetView workbookViewId="0">
      <selection activeCell="B25" sqref="B24:B25"/>
    </sheetView>
  </sheetViews>
  <sheetFormatPr defaultRowHeight="12.75" x14ac:dyDescent="0.2"/>
  <cols>
    <col min="1" max="1" width="30.1640625" customWidth="1"/>
  </cols>
  <sheetData>
    <row r="1" spans="1:15" x14ac:dyDescent="0.2">
      <c r="A1" t="s">
        <v>114</v>
      </c>
    </row>
    <row r="7" spans="1:15" s="32" customFormat="1" ht="18.75" x14ac:dyDescent="0.3">
      <c r="A7" s="170" t="s">
        <v>172</v>
      </c>
      <c r="B7" s="171"/>
      <c r="C7" s="171"/>
      <c r="D7" s="171"/>
      <c r="E7" s="171"/>
      <c r="F7" s="171"/>
      <c r="G7" s="145"/>
      <c r="H7" s="145"/>
      <c r="I7" s="145"/>
      <c r="J7" s="145"/>
      <c r="K7" s="145"/>
      <c r="L7" s="31"/>
      <c r="M7" s="119"/>
      <c r="N7" s="31"/>
      <c r="O7" s="119"/>
    </row>
    <row r="8" spans="1:15" ht="18.75" x14ac:dyDescent="0.3">
      <c r="A8" s="152"/>
    </row>
    <row r="9" spans="1:15" ht="18.75" x14ac:dyDescent="0.3">
      <c r="A9" s="152"/>
    </row>
    <row r="10" spans="1:15" ht="16.5" x14ac:dyDescent="0.25">
      <c r="A10" s="172" t="s">
        <v>144</v>
      </c>
      <c r="B10" s="171"/>
      <c r="C10" s="171"/>
      <c r="D10" s="171"/>
      <c r="E10" s="171"/>
      <c r="F10" s="171"/>
    </row>
    <row r="11" spans="1:15" ht="15" x14ac:dyDescent="0.25">
      <c r="A11" s="173" t="s">
        <v>194</v>
      </c>
      <c r="B11" s="174"/>
      <c r="C11" s="174"/>
      <c r="D11" s="174"/>
      <c r="E11" s="174"/>
      <c r="F11" s="174"/>
    </row>
    <row r="14" spans="1:15" x14ac:dyDescent="0.2">
      <c r="F14" s="151" t="s">
        <v>145</v>
      </c>
    </row>
    <row r="15" spans="1:15" x14ac:dyDescent="0.2">
      <c r="A15" t="s">
        <v>146</v>
      </c>
      <c r="F15" s="2">
        <v>1</v>
      </c>
    </row>
    <row r="16" spans="1:15" x14ac:dyDescent="0.2">
      <c r="F16" s="2"/>
    </row>
    <row r="17" spans="1:6" x14ac:dyDescent="0.2">
      <c r="A17" t="s">
        <v>148</v>
      </c>
      <c r="F17" s="2">
        <v>2</v>
      </c>
    </row>
    <row r="18" spans="1:6" x14ac:dyDescent="0.2">
      <c r="F18" s="2"/>
    </row>
    <row r="19" spans="1:6" x14ac:dyDescent="0.2">
      <c r="A19" t="s">
        <v>147</v>
      </c>
      <c r="F19" s="2">
        <v>3</v>
      </c>
    </row>
    <row r="20" spans="1:6" x14ac:dyDescent="0.2">
      <c r="F20" s="2"/>
    </row>
    <row r="21" spans="1:6" x14ac:dyDescent="0.2">
      <c r="A21" t="s">
        <v>155</v>
      </c>
      <c r="F21" s="2">
        <v>4</v>
      </c>
    </row>
  </sheetData>
  <mergeCells count="3">
    <mergeCell ref="A7:F7"/>
    <mergeCell ref="A10:F10"/>
    <mergeCell ref="A11:F11"/>
  </mergeCells>
  <printOptions horizontalCentered="1"/>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2">
    <pageSetUpPr fitToPage="1"/>
  </sheetPr>
  <dimension ref="A1:U95"/>
  <sheetViews>
    <sheetView topLeftCell="A37" workbookViewId="0">
      <selection activeCell="C93" sqref="C93"/>
    </sheetView>
  </sheetViews>
  <sheetFormatPr defaultRowHeight="12.75" x14ac:dyDescent="0.2"/>
  <cols>
    <col min="1" max="2" width="3.1640625" style="58" customWidth="1"/>
    <col min="3" max="3" width="64.6640625" style="58" customWidth="1"/>
    <col min="4" max="4" width="14.33203125" style="58" customWidth="1"/>
    <col min="5" max="5" width="5.83203125" style="60" customWidth="1"/>
    <col min="6" max="6" width="14.33203125" style="58" hidden="1" customWidth="1"/>
    <col min="7" max="7" width="5.83203125" style="60" hidden="1" customWidth="1"/>
    <col min="8" max="8" width="14.33203125" customWidth="1"/>
    <col min="9" max="9" width="3.1640625" style="58" hidden="1" customWidth="1"/>
    <col min="10" max="10" width="17.33203125" style="58" hidden="1" customWidth="1"/>
    <col min="11" max="12" width="5.5" style="58" hidden="1" customWidth="1"/>
    <col min="13" max="13" width="17.33203125" style="58" hidden="1" customWidth="1"/>
    <col min="14" max="14" width="9.33203125" style="58" hidden="1" customWidth="1"/>
    <col min="15" max="15" width="4.33203125" style="58" customWidth="1"/>
    <col min="16" max="16384" width="9.33203125" style="58"/>
  </cols>
  <sheetData>
    <row r="1" spans="1:14" x14ac:dyDescent="0.2">
      <c r="A1" s="119" t="s">
        <v>173</v>
      </c>
      <c r="B1" s="72"/>
      <c r="C1" s="72"/>
      <c r="D1" s="72"/>
      <c r="E1" s="123"/>
      <c r="F1" s="72"/>
      <c r="G1" s="123"/>
      <c r="I1" s="57"/>
      <c r="J1" s="57"/>
      <c r="K1" s="57"/>
      <c r="L1" s="57"/>
      <c r="M1" s="57"/>
      <c r="N1" s="57"/>
    </row>
    <row r="2" spans="1:14" x14ac:dyDescent="0.2">
      <c r="A2" s="119"/>
      <c r="B2" s="72"/>
      <c r="C2" s="72"/>
      <c r="D2" s="72"/>
      <c r="E2" s="123"/>
      <c r="F2" s="72"/>
      <c r="G2" s="123"/>
      <c r="I2" s="57"/>
      <c r="J2" s="57"/>
      <c r="K2" s="57"/>
      <c r="L2" s="57"/>
      <c r="M2" s="57"/>
      <c r="N2" s="57"/>
    </row>
    <row r="3" spans="1:14" x14ac:dyDescent="0.2">
      <c r="A3" s="72" t="s">
        <v>103</v>
      </c>
      <c r="B3" s="72"/>
      <c r="C3" s="72"/>
      <c r="D3" s="72"/>
      <c r="E3" s="123"/>
      <c r="F3" s="72"/>
      <c r="G3" s="123"/>
      <c r="I3" s="57"/>
      <c r="J3" s="57"/>
      <c r="K3" s="57"/>
      <c r="L3" s="57"/>
      <c r="M3" s="57"/>
      <c r="N3" s="57"/>
    </row>
    <row r="4" spans="1:14" x14ac:dyDescent="0.2">
      <c r="A4" s="72" t="s">
        <v>195</v>
      </c>
      <c r="B4" s="72"/>
      <c r="C4" s="72"/>
      <c r="D4" s="72"/>
      <c r="E4" s="123"/>
      <c r="F4" s="72"/>
      <c r="G4" s="123"/>
      <c r="I4" s="57"/>
      <c r="J4" s="57"/>
      <c r="K4" s="57"/>
      <c r="L4" s="57"/>
      <c r="M4" s="57"/>
      <c r="N4" s="57"/>
    </row>
    <row r="5" spans="1:14" x14ac:dyDescent="0.2">
      <c r="A5" s="72" t="s">
        <v>142</v>
      </c>
      <c r="B5" s="72"/>
      <c r="C5" s="72"/>
      <c r="D5" s="72"/>
      <c r="E5" s="123"/>
      <c r="F5" s="72"/>
      <c r="G5" s="123"/>
      <c r="I5" s="57"/>
      <c r="J5" s="57"/>
      <c r="K5" s="57"/>
      <c r="L5" s="57"/>
      <c r="M5" s="57"/>
      <c r="N5" s="57"/>
    </row>
    <row r="6" spans="1:14" x14ac:dyDescent="0.2">
      <c r="A6" s="146" t="s">
        <v>120</v>
      </c>
      <c r="B6" s="72"/>
      <c r="C6" s="72"/>
      <c r="D6" s="72"/>
      <c r="E6" s="123"/>
      <c r="F6" s="72"/>
      <c r="G6" s="123"/>
      <c r="I6" s="57"/>
      <c r="J6" s="57"/>
      <c r="K6" s="57"/>
      <c r="L6" s="57"/>
      <c r="M6" s="57"/>
      <c r="N6" s="57"/>
    </row>
    <row r="7" spans="1:14" x14ac:dyDescent="0.2">
      <c r="A7" s="72"/>
      <c r="B7" s="72"/>
      <c r="C7" s="72"/>
      <c r="D7" s="72"/>
      <c r="E7" s="123"/>
      <c r="F7" s="72"/>
      <c r="G7" s="123"/>
      <c r="I7" s="57"/>
      <c r="J7" s="57"/>
      <c r="K7" s="57"/>
      <c r="L7" s="57"/>
      <c r="M7" s="57"/>
      <c r="N7" s="57"/>
    </row>
    <row r="8" spans="1:14" ht="13.5" customHeight="1" x14ac:dyDescent="0.2">
      <c r="A8" s="72"/>
      <c r="B8" s="57"/>
      <c r="C8" s="57"/>
      <c r="D8" s="57"/>
      <c r="E8" s="122"/>
      <c r="F8" s="57"/>
      <c r="G8" s="122"/>
      <c r="I8" s="57"/>
      <c r="J8" s="57"/>
      <c r="K8" s="57"/>
      <c r="L8" s="57"/>
      <c r="M8" s="57"/>
      <c r="N8" s="57"/>
    </row>
    <row r="9" spans="1:14" ht="13.5" customHeight="1" x14ac:dyDescent="0.2">
      <c r="A9" s="72"/>
      <c r="B9" s="72"/>
      <c r="C9" s="72"/>
      <c r="D9" s="72"/>
      <c r="E9" s="123"/>
      <c r="F9" s="72"/>
      <c r="G9" s="123"/>
      <c r="I9" s="59"/>
      <c r="J9" s="59"/>
      <c r="K9" s="57"/>
      <c r="L9" s="57"/>
      <c r="M9" s="59"/>
      <c r="N9" s="57"/>
    </row>
    <row r="10" spans="1:14" ht="13.5" customHeight="1" x14ac:dyDescent="0.2">
      <c r="A10" s="57"/>
      <c r="B10" s="57"/>
      <c r="C10" s="57"/>
      <c r="D10" s="161">
        <v>37072</v>
      </c>
      <c r="E10" s="134" t="s">
        <v>92</v>
      </c>
      <c r="F10" s="125" t="s">
        <v>116</v>
      </c>
      <c r="G10" s="134" t="s">
        <v>92</v>
      </c>
      <c r="I10" s="31"/>
      <c r="J10" s="33"/>
      <c r="K10" s="57"/>
      <c r="L10" s="57"/>
      <c r="M10" s="57"/>
      <c r="N10" s="57"/>
    </row>
    <row r="11" spans="1:14" ht="3.95" customHeight="1" x14ac:dyDescent="0.2">
      <c r="A11" s="57"/>
      <c r="B11" s="57"/>
      <c r="C11" s="57"/>
      <c r="D11" s="125"/>
      <c r="E11" s="125"/>
      <c r="F11" s="125"/>
      <c r="G11" s="125"/>
      <c r="I11" s="31"/>
      <c r="J11" s="33"/>
      <c r="K11" s="57"/>
      <c r="L11" s="57"/>
      <c r="M11" s="57"/>
      <c r="N11" s="57"/>
    </row>
    <row r="12" spans="1:14" ht="13.5" customHeight="1" x14ac:dyDescent="0.2">
      <c r="D12" s="126" t="s">
        <v>163</v>
      </c>
      <c r="E12" s="128"/>
      <c r="F12" s="126" t="s">
        <v>117</v>
      </c>
      <c r="G12" s="128"/>
      <c r="I12" s="32"/>
      <c r="J12" s="114" t="s">
        <v>82</v>
      </c>
    </row>
    <row r="13" spans="1:14" ht="6.95" customHeight="1" x14ac:dyDescent="0.2"/>
    <row r="14" spans="1:14" x14ac:dyDescent="0.2">
      <c r="B14" s="175" t="s">
        <v>110</v>
      </c>
      <c r="C14" s="171"/>
      <c r="D14" s="60"/>
      <c r="F14" s="60"/>
      <c r="I14" s="61"/>
      <c r="J14" s="61"/>
      <c r="M14" s="61"/>
    </row>
    <row r="15" spans="1:14" ht="3.95" customHeight="1" x14ac:dyDescent="0.2">
      <c r="D15" s="60"/>
      <c r="F15" s="60"/>
      <c r="I15" s="61"/>
      <c r="J15" s="61"/>
      <c r="M15" s="61"/>
    </row>
    <row r="16" spans="1:14" x14ac:dyDescent="0.2">
      <c r="B16" s="129" t="s">
        <v>132</v>
      </c>
      <c r="D16" s="60"/>
      <c r="F16" s="60"/>
      <c r="I16" s="61"/>
      <c r="J16" s="61"/>
      <c r="M16" s="61"/>
    </row>
    <row r="17" spans="1:21" ht="3.95" customHeight="1" x14ac:dyDescent="0.2">
      <c r="D17" s="60"/>
      <c r="F17" s="60"/>
      <c r="I17" s="61"/>
      <c r="J17" s="61"/>
      <c r="M17" s="61"/>
    </row>
    <row r="18" spans="1:21" x14ac:dyDescent="0.2">
      <c r="C18" s="58" t="s">
        <v>34</v>
      </c>
      <c r="D18" s="63">
        <f>'[9]Balance Sheet'!$W$15</f>
        <v>8593</v>
      </c>
      <c r="E18" s="63"/>
      <c r="F18" s="63"/>
      <c r="G18" s="63"/>
      <c r="I18" s="62"/>
      <c r="J18" s="62">
        <v>1614</v>
      </c>
      <c r="M18" s="62"/>
      <c r="O18" s="130"/>
      <c r="Q18" s="69"/>
      <c r="U18" s="130"/>
    </row>
    <row r="19" spans="1:21" hidden="1" x14ac:dyDescent="0.2">
      <c r="C19" s="58" t="s">
        <v>170</v>
      </c>
      <c r="D19" s="63"/>
      <c r="E19" s="63"/>
      <c r="F19" s="63"/>
      <c r="G19" s="63"/>
      <c r="I19" s="61">
        <v>90266</v>
      </c>
      <c r="J19" s="61">
        <v>140774</v>
      </c>
      <c r="M19" s="61">
        <f>+F19-H19</f>
        <v>0</v>
      </c>
      <c r="O19" s="130"/>
      <c r="Q19" s="69"/>
      <c r="U19" s="130"/>
    </row>
    <row r="20" spans="1:21" hidden="1" x14ac:dyDescent="0.2">
      <c r="C20" s="58" t="s">
        <v>168</v>
      </c>
      <c r="D20" s="63"/>
      <c r="E20" s="63"/>
      <c r="F20" s="63"/>
      <c r="G20" s="63"/>
      <c r="I20" s="61"/>
      <c r="J20" s="64"/>
      <c r="M20" s="61"/>
      <c r="O20" s="130"/>
      <c r="Q20" s="69"/>
      <c r="U20" s="130"/>
    </row>
    <row r="21" spans="1:21" ht="3.95" customHeight="1" x14ac:dyDescent="0.2">
      <c r="D21" s="60"/>
      <c r="F21" s="60"/>
      <c r="I21" s="61"/>
      <c r="J21" s="61">
        <v>140774</v>
      </c>
      <c r="M21" s="61"/>
    </row>
    <row r="22" spans="1:21" x14ac:dyDescent="0.2">
      <c r="B22" s="58" t="s">
        <v>150</v>
      </c>
      <c r="D22" s="158">
        <f>SUM(D18:D21)</f>
        <v>8593</v>
      </c>
      <c r="E22" s="62"/>
      <c r="F22" s="158" t="e">
        <f>F18+F19+#REF!+#REF!+#REF!+#REF!+#REF!+#REF!</f>
        <v>#REF!</v>
      </c>
      <c r="G22" s="62"/>
      <c r="I22" s="61"/>
      <c r="J22" s="66">
        <f>SUM(J18:J19)</f>
        <v>142388</v>
      </c>
      <c r="M22" s="73" t="e">
        <f>M18+M19+#REF!+#REF!+#REF!+#REF!+#REF!+#REF!</f>
        <v>#REF!</v>
      </c>
      <c r="O22" s="130"/>
      <c r="Q22" s="69"/>
      <c r="U22" s="130"/>
    </row>
    <row r="23" spans="1:21" ht="6.95" customHeight="1" x14ac:dyDescent="0.2">
      <c r="D23" s="64"/>
      <c r="E23" s="64"/>
      <c r="F23" s="64"/>
      <c r="G23" s="64"/>
      <c r="I23" s="61"/>
      <c r="J23" s="61"/>
      <c r="M23" s="61"/>
      <c r="O23" s="130"/>
      <c r="U23" s="130"/>
    </row>
    <row r="24" spans="1:21" hidden="1" x14ac:dyDescent="0.2">
      <c r="B24" s="129" t="s">
        <v>133</v>
      </c>
      <c r="D24" s="64"/>
      <c r="E24" s="64"/>
      <c r="F24" s="64"/>
      <c r="G24" s="64"/>
      <c r="I24" s="61"/>
      <c r="J24" s="61"/>
      <c r="M24" s="61"/>
      <c r="O24" s="130"/>
      <c r="U24" s="130"/>
    </row>
    <row r="25" spans="1:21" ht="3.95" hidden="1" customHeight="1" x14ac:dyDescent="0.2">
      <c r="D25" s="60"/>
      <c r="F25" s="60"/>
      <c r="I25" s="61"/>
      <c r="J25" s="61"/>
      <c r="M25" s="61"/>
    </row>
    <row r="26" spans="1:21" hidden="1" x14ac:dyDescent="0.2">
      <c r="C26" s="65" t="s">
        <v>35</v>
      </c>
      <c r="D26" s="63" t="str">
        <f>+'[5]Balance Sheet'!C32</f>
        <v>Price Risk Management</v>
      </c>
      <c r="E26" s="64"/>
      <c r="F26" s="63">
        <f>+'[5]Balance Sheet'!E32</f>
        <v>0</v>
      </c>
      <c r="G26" s="64"/>
      <c r="I26" s="61"/>
      <c r="J26" s="64">
        <v>0</v>
      </c>
      <c r="M26" s="61">
        <f>+F26-H26</f>
        <v>0</v>
      </c>
      <c r="O26" s="130"/>
      <c r="U26" s="130"/>
    </row>
    <row r="27" spans="1:21" hidden="1" x14ac:dyDescent="0.2">
      <c r="C27" s="65" t="s">
        <v>106</v>
      </c>
      <c r="D27" s="63">
        <v>0</v>
      </c>
      <c r="E27" s="64"/>
      <c r="F27" s="63">
        <v>0</v>
      </c>
      <c r="G27" s="64"/>
      <c r="I27" s="61"/>
      <c r="J27" s="64">
        <v>0</v>
      </c>
      <c r="M27" s="61">
        <f>+F27-H27</f>
        <v>0</v>
      </c>
      <c r="O27" s="130"/>
      <c r="U27" s="130"/>
    </row>
    <row r="28" spans="1:21" hidden="1" x14ac:dyDescent="0.2">
      <c r="C28" s="65" t="s">
        <v>122</v>
      </c>
      <c r="D28" s="63"/>
      <c r="E28" s="64"/>
      <c r="F28" s="63"/>
      <c r="G28" s="64"/>
      <c r="I28" s="61"/>
      <c r="J28" s="64"/>
      <c r="M28" s="61"/>
      <c r="O28" s="130"/>
      <c r="U28" s="130"/>
    </row>
    <row r="29" spans="1:21" hidden="1" x14ac:dyDescent="0.2">
      <c r="C29" s="58" t="s">
        <v>112</v>
      </c>
      <c r="D29" s="63">
        <f>+'[5]Balance Sheet'!C31</f>
        <v>0</v>
      </c>
      <c r="E29" s="64"/>
      <c r="F29" s="63">
        <f>+'[5]Balance Sheet'!E31</f>
        <v>0</v>
      </c>
      <c r="G29" s="64"/>
      <c r="I29" s="61"/>
      <c r="J29" s="64"/>
      <c r="M29" s="61">
        <f>+F29-H29</f>
        <v>0</v>
      </c>
      <c r="N29" s="70"/>
      <c r="O29" s="130"/>
      <c r="U29" s="130"/>
    </row>
    <row r="30" spans="1:21" hidden="1" x14ac:dyDescent="0.2">
      <c r="C30" s="58" t="s">
        <v>38</v>
      </c>
      <c r="D30" s="63" t="str">
        <f>+'[5]Balance Sheet'!C34</f>
        <v>Notes Receivable - Affiliated Company</v>
      </c>
      <c r="E30" s="64"/>
      <c r="F30" s="63">
        <f>+'[5]Balance Sheet'!E34</f>
        <v>0</v>
      </c>
      <c r="G30" s="64"/>
      <c r="I30" s="61"/>
      <c r="J30" s="61">
        <v>5650</v>
      </c>
      <c r="M30" s="61">
        <f>+F30-H30</f>
        <v>0</v>
      </c>
      <c r="O30" s="130"/>
      <c r="U30" s="130"/>
    </row>
    <row r="31" spans="1:21" hidden="1" x14ac:dyDescent="0.2">
      <c r="C31" s="58" t="s">
        <v>37</v>
      </c>
      <c r="D31" s="63">
        <f>+'[5]Balance Sheet'!C30</f>
        <v>0</v>
      </c>
      <c r="E31" s="64"/>
      <c r="F31" s="63">
        <f>+'[5]Balance Sheet'!E30</f>
        <v>0</v>
      </c>
      <c r="G31" s="64"/>
      <c r="I31" s="61"/>
      <c r="J31" s="61"/>
      <c r="M31" s="61">
        <f>+F31-H31</f>
        <v>0</v>
      </c>
      <c r="O31" s="130"/>
      <c r="U31" s="130"/>
    </row>
    <row r="32" spans="1:21" s="131" customFormat="1" hidden="1" x14ac:dyDescent="0.2">
      <c r="A32" s="58"/>
      <c r="B32" s="58"/>
      <c r="C32" s="58" t="s">
        <v>39</v>
      </c>
      <c r="D32" s="63" t="str">
        <f>+'[5]Balance Sheet'!C35</f>
        <v>Goodwill</v>
      </c>
      <c r="E32" s="64"/>
      <c r="F32" s="63">
        <f>+'[5]Balance Sheet'!E35</f>
        <v>0</v>
      </c>
      <c r="G32" s="64"/>
      <c r="H32"/>
      <c r="J32" s="64">
        <v>0</v>
      </c>
      <c r="M32" s="61">
        <f>+F32-H32</f>
        <v>0</v>
      </c>
      <c r="O32" s="130"/>
      <c r="U32" s="130"/>
    </row>
    <row r="33" spans="1:21" s="131" customFormat="1" ht="3.95" hidden="1" customHeight="1" x14ac:dyDescent="0.2">
      <c r="A33" s="58"/>
      <c r="B33" s="58"/>
      <c r="C33" s="58"/>
      <c r="D33" s="64"/>
      <c r="E33" s="64"/>
      <c r="F33" s="64"/>
      <c r="G33" s="64"/>
      <c r="H33"/>
      <c r="J33" s="64"/>
      <c r="M33" s="61"/>
      <c r="O33" s="130"/>
      <c r="U33" s="130"/>
    </row>
    <row r="34" spans="1:21" hidden="1" x14ac:dyDescent="0.2">
      <c r="B34" s="58" t="s">
        <v>113</v>
      </c>
      <c r="D34" s="73">
        <f>+D31+D29+D26+D27+D30+D32</f>
        <v>0</v>
      </c>
      <c r="E34" s="64"/>
      <c r="F34" s="73">
        <f>+F31+F29+F26+F27+F30+F32</f>
        <v>0</v>
      </c>
      <c r="G34" s="64"/>
      <c r="I34" s="61"/>
      <c r="J34" s="66">
        <f>SUM(J26:J32)</f>
        <v>5650</v>
      </c>
      <c r="M34" s="73">
        <f>+M31+M29+M26+M27+M30+M32</f>
        <v>0</v>
      </c>
      <c r="O34" s="132"/>
      <c r="P34" s="70"/>
      <c r="U34" s="132"/>
    </row>
    <row r="35" spans="1:21" ht="6.95" customHeight="1" x14ac:dyDescent="0.2">
      <c r="D35" s="64"/>
      <c r="E35" s="64"/>
      <c r="F35" s="64"/>
      <c r="G35" s="64"/>
      <c r="I35" s="61"/>
      <c r="J35" s="61"/>
      <c r="M35" s="61"/>
      <c r="O35" s="130"/>
      <c r="U35" s="130"/>
    </row>
    <row r="36" spans="1:21" x14ac:dyDescent="0.2">
      <c r="B36" s="129" t="s">
        <v>178</v>
      </c>
      <c r="D36" s="64">
        <f>'[8]Balance Sheet'!$W$41</f>
        <v>0</v>
      </c>
      <c r="E36" s="64"/>
      <c r="F36" s="73" t="e">
        <f>+#REF!-#REF!</f>
        <v>#REF!</v>
      </c>
      <c r="G36" s="64"/>
      <c r="I36" s="61"/>
      <c r="J36" s="66" t="e">
        <f>+#REF!-#REF!</f>
        <v>#REF!</v>
      </c>
      <c r="M36" s="73" t="e">
        <f>+#REF!-#REF!</f>
        <v>#REF!</v>
      </c>
      <c r="O36" s="130"/>
      <c r="Q36" s="69"/>
      <c r="U36" s="130"/>
    </row>
    <row r="37" spans="1:21" ht="6.95" customHeight="1" x14ac:dyDescent="0.2">
      <c r="D37" s="64"/>
      <c r="E37" s="64"/>
      <c r="F37" s="64"/>
      <c r="G37" s="64"/>
      <c r="I37" s="61"/>
      <c r="J37" s="61"/>
      <c r="K37" s="120"/>
      <c r="M37" s="61"/>
      <c r="O37" s="130"/>
      <c r="U37" s="130"/>
    </row>
    <row r="38" spans="1:21" x14ac:dyDescent="0.2">
      <c r="D38" s="61"/>
      <c r="E38" s="61"/>
      <c r="F38" s="61"/>
      <c r="G38" s="61"/>
      <c r="I38" s="61"/>
      <c r="J38" s="61"/>
      <c r="M38" s="61"/>
      <c r="O38" s="130"/>
      <c r="U38" s="130"/>
    </row>
    <row r="39" spans="1:21" ht="13.5" thickBot="1" x14ac:dyDescent="0.25">
      <c r="B39" s="129" t="s">
        <v>153</v>
      </c>
      <c r="D39" s="67">
        <f>D22+D36</f>
        <v>8593</v>
      </c>
      <c r="E39" s="62"/>
      <c r="F39" s="67" t="e">
        <f>+F36+F34+F22</f>
        <v>#REF!</v>
      </c>
      <c r="G39" s="62"/>
      <c r="I39" s="62"/>
      <c r="J39" s="67" t="e">
        <f>+J36+J34+J22</f>
        <v>#REF!</v>
      </c>
      <c r="M39" s="67" t="e">
        <f>+M36+M34+M22</f>
        <v>#REF!</v>
      </c>
      <c r="O39" s="130"/>
      <c r="U39" s="130"/>
    </row>
    <row r="40" spans="1:21" ht="13.5" thickTop="1" x14ac:dyDescent="0.2">
      <c r="D40" s="61"/>
      <c r="E40" s="61"/>
      <c r="F40" s="61"/>
      <c r="G40" s="61"/>
      <c r="I40" s="61"/>
      <c r="J40" s="61"/>
      <c r="M40" s="61"/>
      <c r="O40" s="130"/>
      <c r="U40" s="130"/>
    </row>
    <row r="41" spans="1:21" x14ac:dyDescent="0.2">
      <c r="B41" s="175" t="s">
        <v>134</v>
      </c>
      <c r="C41" s="171"/>
      <c r="D41" s="61"/>
      <c r="E41" s="61"/>
      <c r="F41" s="61"/>
      <c r="G41" s="61"/>
      <c r="I41" s="61"/>
      <c r="J41" s="61"/>
      <c r="M41" s="61"/>
      <c r="O41" s="130"/>
      <c r="U41" s="130"/>
    </row>
    <row r="42" spans="1:21" x14ac:dyDescent="0.2">
      <c r="B42" s="160"/>
      <c r="C42" s="2"/>
      <c r="D42" s="61"/>
      <c r="E42" s="61"/>
      <c r="F42" s="61"/>
      <c r="G42" s="61"/>
      <c r="I42" s="61"/>
      <c r="J42" s="61"/>
      <c r="M42" s="61"/>
      <c r="O42" s="130"/>
      <c r="U42" s="130"/>
    </row>
    <row r="43" spans="1:21" x14ac:dyDescent="0.2">
      <c r="B43" s="129" t="s">
        <v>135</v>
      </c>
      <c r="D43" s="68"/>
      <c r="E43" s="61"/>
      <c r="F43" s="61"/>
      <c r="G43" s="61"/>
      <c r="I43" s="61"/>
      <c r="J43" s="61"/>
      <c r="M43" s="61"/>
      <c r="O43" s="130"/>
      <c r="U43" s="130"/>
    </row>
    <row r="44" spans="1:21" x14ac:dyDescent="0.2">
      <c r="D44" s="68"/>
      <c r="E44" s="61"/>
      <c r="F44" s="61"/>
      <c r="G44" s="61"/>
      <c r="I44" s="61"/>
      <c r="J44" s="61"/>
      <c r="M44" s="61"/>
      <c r="O44" s="130"/>
      <c r="U44" s="130"/>
    </row>
    <row r="45" spans="1:21" x14ac:dyDescent="0.2">
      <c r="C45" s="58" t="s">
        <v>193</v>
      </c>
      <c r="D45" s="69">
        <f>'[9]Balance Sheet'!$W$56</f>
        <v>1114</v>
      </c>
      <c r="E45" s="61"/>
      <c r="F45" s="61"/>
      <c r="G45" s="61"/>
      <c r="I45" s="61"/>
      <c r="J45" s="61"/>
      <c r="M45" s="61"/>
      <c r="O45" s="130"/>
      <c r="U45" s="130"/>
    </row>
    <row r="46" spans="1:21" x14ac:dyDescent="0.2">
      <c r="C46" s="58" t="s">
        <v>209</v>
      </c>
      <c r="D46" s="69">
        <f>'[9]Balance Sheet'!$W$57</f>
        <v>1500</v>
      </c>
      <c r="E46" s="61"/>
      <c r="F46" s="61"/>
      <c r="G46" s="61"/>
      <c r="I46" s="61"/>
      <c r="J46" s="61"/>
      <c r="M46" s="61"/>
      <c r="O46" s="130"/>
      <c r="U46" s="130"/>
    </row>
    <row r="47" spans="1:21" ht="6" customHeight="1" x14ac:dyDescent="0.2">
      <c r="D47" s="69"/>
      <c r="E47" s="61"/>
      <c r="F47" s="61"/>
      <c r="G47" s="61"/>
      <c r="I47" s="61"/>
      <c r="J47" s="61"/>
      <c r="M47" s="61"/>
      <c r="O47" s="130"/>
      <c r="U47" s="130"/>
    </row>
    <row r="48" spans="1:21" x14ac:dyDescent="0.2">
      <c r="B48" s="58" t="s">
        <v>136</v>
      </c>
      <c r="D48" s="66">
        <f>SUM(D45:D47)</f>
        <v>2614</v>
      </c>
      <c r="E48" s="61"/>
      <c r="F48" s="61"/>
      <c r="G48" s="61"/>
      <c r="I48" s="61"/>
      <c r="J48" s="61"/>
      <c r="M48" s="61"/>
      <c r="O48" s="130"/>
      <c r="U48" s="130"/>
    </row>
    <row r="49" spans="2:21" x14ac:dyDescent="0.2">
      <c r="D49" s="70"/>
      <c r="E49" s="61"/>
      <c r="F49" s="61"/>
      <c r="G49" s="61"/>
      <c r="I49" s="61"/>
      <c r="J49" s="61"/>
      <c r="M49" s="61"/>
      <c r="O49" s="130"/>
      <c r="U49" s="130"/>
    </row>
    <row r="50" spans="2:21" ht="6" customHeight="1" x14ac:dyDescent="0.2">
      <c r="D50" s="70"/>
      <c r="E50" s="61"/>
      <c r="F50" s="68"/>
      <c r="G50" s="61"/>
      <c r="I50" s="68"/>
      <c r="J50" s="68"/>
      <c r="M50" s="68"/>
      <c r="O50" s="130"/>
      <c r="U50" s="130"/>
    </row>
    <row r="51" spans="2:21" hidden="1" x14ac:dyDescent="0.2">
      <c r="C51" s="58" t="s">
        <v>36</v>
      </c>
      <c r="D51" s="70"/>
      <c r="E51" s="61"/>
      <c r="F51" s="68"/>
      <c r="G51" s="61"/>
      <c r="I51" s="68"/>
      <c r="J51" s="68"/>
      <c r="M51" s="68"/>
      <c r="O51" s="130"/>
      <c r="U51" s="130"/>
    </row>
    <row r="52" spans="2:21" ht="3.75" hidden="1" customHeight="1" x14ac:dyDescent="0.2">
      <c r="C52" s="58" t="s">
        <v>111</v>
      </c>
      <c r="D52" s="70"/>
      <c r="E52" s="61"/>
      <c r="F52" s="68"/>
      <c r="G52" s="61"/>
      <c r="I52" s="68"/>
      <c r="J52" s="68"/>
      <c r="M52" s="68"/>
      <c r="O52" s="130"/>
      <c r="U52" s="130"/>
    </row>
    <row r="53" spans="2:21" hidden="1" x14ac:dyDescent="0.2">
      <c r="C53" s="155" t="s">
        <v>149</v>
      </c>
      <c r="D53" s="69">
        <f>'[10]Balance Sheet'!$H$58</f>
        <v>3338</v>
      </c>
      <c r="E53" s="62"/>
      <c r="F53" s="69"/>
      <c r="G53" s="62"/>
      <c r="I53" s="69"/>
      <c r="J53" s="69">
        <v>41474</v>
      </c>
      <c r="M53" s="69">
        <f>+F53-H53</f>
        <v>0</v>
      </c>
      <c r="O53" s="130"/>
      <c r="U53" s="130"/>
    </row>
    <row r="54" spans="2:21" ht="12.75" hidden="1" customHeight="1" x14ac:dyDescent="0.2">
      <c r="C54" s="155" t="s">
        <v>40</v>
      </c>
      <c r="D54" s="70">
        <f>'[10]Balance Sheet'!$N$59</f>
        <v>55</v>
      </c>
      <c r="E54" s="64"/>
      <c r="F54" s="70"/>
      <c r="G54" s="64"/>
      <c r="I54" s="68"/>
      <c r="J54" s="68">
        <v>62858</v>
      </c>
      <c r="M54" s="68">
        <f>+F54-H54</f>
        <v>0</v>
      </c>
      <c r="O54" s="130"/>
      <c r="U54" s="130"/>
    </row>
    <row r="55" spans="2:21" ht="12.75" hidden="1" customHeight="1" x14ac:dyDescent="0.2">
      <c r="C55" s="155" t="s">
        <v>169</v>
      </c>
      <c r="D55" s="70">
        <f>'[10]Balance Sheet'!$N$56+'[10]Balance Sheet'!$N$60</f>
        <v>927</v>
      </c>
      <c r="E55" s="64"/>
      <c r="F55" s="70">
        <v>0</v>
      </c>
      <c r="G55" s="64"/>
      <c r="I55" s="68"/>
      <c r="J55" s="68"/>
      <c r="M55" s="68">
        <f>+F55-H55</f>
        <v>0</v>
      </c>
      <c r="O55" s="130"/>
      <c r="U55" s="130"/>
    </row>
    <row r="56" spans="2:21" hidden="1" x14ac:dyDescent="0.2">
      <c r="C56" s="155"/>
      <c r="D56" s="70"/>
      <c r="E56" s="64"/>
      <c r="F56" s="70"/>
      <c r="G56" s="64"/>
      <c r="I56" s="68"/>
      <c r="J56" s="68">
        <v>885</v>
      </c>
      <c r="M56" s="68">
        <f>+F56-H56</f>
        <v>0</v>
      </c>
      <c r="O56" s="130"/>
      <c r="U56" s="130"/>
    </row>
    <row r="57" spans="2:21" hidden="1" x14ac:dyDescent="0.2">
      <c r="B57" s="58" t="s">
        <v>136</v>
      </c>
      <c r="D57" s="66">
        <f>SUM(D53:D55)</f>
        <v>4320</v>
      </c>
      <c r="E57" s="64"/>
      <c r="F57" s="70"/>
      <c r="G57" s="64"/>
      <c r="I57" s="68"/>
      <c r="J57" s="68"/>
      <c r="M57" s="68">
        <f>+F57-H57</f>
        <v>0</v>
      </c>
      <c r="O57" s="130"/>
      <c r="U57" s="130"/>
    </row>
    <row r="58" spans="2:21" hidden="1" x14ac:dyDescent="0.2">
      <c r="C58" s="58" t="s">
        <v>111</v>
      </c>
      <c r="D58" s="70"/>
      <c r="E58" s="64"/>
      <c r="F58" s="70"/>
      <c r="G58" s="64"/>
      <c r="I58" s="68"/>
      <c r="J58" s="68">
        <v>27732</v>
      </c>
      <c r="M58" s="68"/>
      <c r="N58" s="70"/>
      <c r="O58" s="130"/>
      <c r="U58" s="130"/>
    </row>
    <row r="59" spans="2:21" hidden="1" x14ac:dyDescent="0.2">
      <c r="C59" s="155" t="s">
        <v>149</v>
      </c>
      <c r="D59" s="69"/>
      <c r="E59" s="62"/>
      <c r="F59" s="69"/>
      <c r="G59" s="62"/>
      <c r="I59" s="68"/>
      <c r="J59" s="70">
        <v>0</v>
      </c>
      <c r="M59" s="68">
        <f>+F59-H59</f>
        <v>0</v>
      </c>
      <c r="O59" s="130"/>
      <c r="Q59" s="69">
        <f>H59-D59</f>
        <v>0</v>
      </c>
      <c r="U59" s="130"/>
    </row>
    <row r="60" spans="2:21" hidden="1" x14ac:dyDescent="0.2">
      <c r="C60" s="155" t="s">
        <v>40</v>
      </c>
      <c r="D60" s="70"/>
      <c r="E60" s="64"/>
      <c r="F60" s="70"/>
      <c r="G60" s="64"/>
      <c r="I60" s="68"/>
      <c r="J60" s="70"/>
      <c r="M60" s="68"/>
      <c r="O60" s="130"/>
      <c r="Q60" s="69">
        <f>H60-D60</f>
        <v>0</v>
      </c>
      <c r="U60" s="130"/>
    </row>
    <row r="61" spans="2:21" hidden="1" x14ac:dyDescent="0.2">
      <c r="C61" s="155" t="s">
        <v>169</v>
      </c>
      <c r="D61" s="70"/>
      <c r="E61" s="64"/>
      <c r="F61" s="70"/>
      <c r="G61" s="64"/>
      <c r="I61" s="68"/>
      <c r="J61" s="68"/>
      <c r="M61" s="68"/>
      <c r="O61" s="130"/>
      <c r="Q61" s="69">
        <f>H61-D61</f>
        <v>0</v>
      </c>
      <c r="U61" s="130"/>
    </row>
    <row r="62" spans="2:21" ht="4.5" hidden="1" customHeight="1" x14ac:dyDescent="0.2">
      <c r="C62" s="155"/>
      <c r="D62" s="70"/>
      <c r="E62" s="64"/>
      <c r="F62" s="70"/>
      <c r="G62" s="64"/>
      <c r="I62" s="68"/>
      <c r="J62" s="68"/>
      <c r="M62" s="68"/>
      <c r="O62" s="130"/>
      <c r="U62" s="130"/>
    </row>
    <row r="63" spans="2:21" hidden="1" x14ac:dyDescent="0.2">
      <c r="B63" s="58" t="s">
        <v>136</v>
      </c>
      <c r="D63" s="66">
        <f>SUM(D59:D61)</f>
        <v>0</v>
      </c>
      <c r="E63" s="61"/>
      <c r="F63" s="66">
        <f>SUM(F53:F59)</f>
        <v>0</v>
      </c>
      <c r="G63" s="61"/>
      <c r="I63" s="68"/>
      <c r="J63" s="66">
        <f>SUM(J53:J59)</f>
        <v>132949</v>
      </c>
      <c r="M63" s="66">
        <f>SUM(M53:M59)</f>
        <v>0</v>
      </c>
      <c r="O63" s="130"/>
      <c r="Q63" s="69">
        <f>H63-D63</f>
        <v>0</v>
      </c>
      <c r="U63" s="130"/>
    </row>
    <row r="64" spans="2:21" ht="6.95" hidden="1" customHeight="1" x14ac:dyDescent="0.2">
      <c r="D64" s="68"/>
      <c r="E64" s="61"/>
      <c r="F64" s="68"/>
      <c r="G64" s="61"/>
      <c r="I64" s="68"/>
      <c r="J64" s="68"/>
      <c r="M64" s="68"/>
      <c r="O64" s="130"/>
      <c r="U64" s="130"/>
    </row>
    <row r="65" spans="2:21" ht="4.5" hidden="1" customHeight="1" x14ac:dyDescent="0.2">
      <c r="D65" s="68"/>
      <c r="E65" s="61"/>
      <c r="F65" s="68"/>
      <c r="G65" s="61"/>
      <c r="J65" s="68"/>
      <c r="M65" s="68"/>
      <c r="O65" s="130"/>
      <c r="U65" s="130"/>
    </row>
    <row r="66" spans="2:21" hidden="1" x14ac:dyDescent="0.2">
      <c r="C66" s="58" t="s">
        <v>149</v>
      </c>
      <c r="D66" s="70"/>
      <c r="E66" s="61"/>
      <c r="F66" s="70"/>
      <c r="G66" s="61"/>
      <c r="J66" s="70">
        <v>0</v>
      </c>
      <c r="M66" s="68">
        <f>+F66-H66</f>
        <v>0</v>
      </c>
      <c r="O66" s="130"/>
      <c r="Q66" s="69">
        <f>H66-D66</f>
        <v>0</v>
      </c>
      <c r="U66" s="130"/>
    </row>
    <row r="67" spans="2:21" hidden="1" x14ac:dyDescent="0.2">
      <c r="C67" s="58" t="s">
        <v>36</v>
      </c>
      <c r="D67" s="70" t="str">
        <f>+'[5]Balance Sheet'!C65</f>
        <v>Accrued Taxes Payable - Other</v>
      </c>
      <c r="E67" s="64"/>
      <c r="F67" s="70">
        <v>0</v>
      </c>
      <c r="G67" s="64"/>
      <c r="J67" s="68">
        <v>4618</v>
      </c>
      <c r="M67" s="68">
        <f>+F67-H67</f>
        <v>0</v>
      </c>
      <c r="O67" s="130"/>
      <c r="U67" s="130"/>
    </row>
    <row r="68" spans="2:21" hidden="1" x14ac:dyDescent="0.2">
      <c r="C68" s="58" t="s">
        <v>41</v>
      </c>
      <c r="D68" s="70" t="str">
        <f>+'[5]Balance Sheet'!C66</f>
        <v>Price Risk Management</v>
      </c>
      <c r="E68" s="61"/>
      <c r="F68" s="70">
        <v>0</v>
      </c>
      <c r="G68" s="61"/>
      <c r="J68" s="68">
        <v>522</v>
      </c>
      <c r="M68" s="68">
        <f>+F68-H68</f>
        <v>0</v>
      </c>
      <c r="O68" s="130"/>
      <c r="U68" s="130"/>
    </row>
    <row r="69" spans="2:21" hidden="1" x14ac:dyDescent="0.2">
      <c r="C69" s="58" t="s">
        <v>143</v>
      </c>
      <c r="D69" s="70">
        <f>+'[6]Formal BS'!E65</f>
        <v>0</v>
      </c>
      <c r="E69" s="61"/>
      <c r="F69" s="70">
        <v>88</v>
      </c>
      <c r="G69" s="61"/>
      <c r="J69" s="68"/>
      <c r="M69" s="68"/>
      <c r="O69" s="130"/>
      <c r="U69" s="130"/>
    </row>
    <row r="70" spans="2:21" ht="4.5" hidden="1" customHeight="1" x14ac:dyDescent="0.2">
      <c r="D70" s="68"/>
      <c r="E70" s="61"/>
      <c r="F70" s="68"/>
      <c r="G70" s="61"/>
      <c r="J70" s="68"/>
      <c r="M70" s="68"/>
      <c r="O70" s="130"/>
      <c r="U70" s="130"/>
    </row>
    <row r="71" spans="2:21" hidden="1" x14ac:dyDescent="0.2">
      <c r="B71" s="58" t="s">
        <v>137</v>
      </c>
      <c r="D71" s="66">
        <f>D66</f>
        <v>0</v>
      </c>
      <c r="E71" s="61"/>
      <c r="F71" s="66">
        <f>SUM(F66:F69)</f>
        <v>88</v>
      </c>
      <c r="G71" s="61"/>
      <c r="J71" s="66">
        <f>SUM(J66:J68)</f>
        <v>5140</v>
      </c>
      <c r="M71" s="66">
        <f>SUM(M66:M68)</f>
        <v>0</v>
      </c>
      <c r="O71" s="130"/>
      <c r="U71" s="130"/>
    </row>
    <row r="72" spans="2:21" ht="6.95" hidden="1" customHeight="1" x14ac:dyDescent="0.2">
      <c r="D72" s="61"/>
      <c r="E72" s="61"/>
      <c r="F72" s="61"/>
      <c r="G72" s="61"/>
      <c r="J72" s="61"/>
      <c r="M72" s="61"/>
      <c r="O72" s="130"/>
      <c r="U72" s="130"/>
    </row>
    <row r="73" spans="2:21" hidden="1" x14ac:dyDescent="0.2">
      <c r="B73" s="129" t="s">
        <v>107</v>
      </c>
      <c r="D73" s="61"/>
      <c r="E73" s="61"/>
      <c r="F73" s="61"/>
      <c r="G73" s="61"/>
      <c r="J73" s="61"/>
      <c r="M73" s="61">
        <f>+F73-H73</f>
        <v>0</v>
      </c>
      <c r="O73" s="130"/>
      <c r="U73" s="130"/>
    </row>
    <row r="74" spans="2:21" ht="6.95" hidden="1" customHeight="1" x14ac:dyDescent="0.2">
      <c r="D74" s="61"/>
      <c r="E74" s="61"/>
      <c r="F74" s="61"/>
      <c r="G74" s="61"/>
      <c r="J74" s="61"/>
      <c r="M74" s="61">
        <f>+F74-H74</f>
        <v>0</v>
      </c>
      <c r="O74" s="130"/>
      <c r="U74" s="130"/>
    </row>
    <row r="75" spans="2:21" hidden="1" x14ac:dyDescent="0.2">
      <c r="B75" s="129" t="s">
        <v>108</v>
      </c>
      <c r="D75" s="70">
        <v>0</v>
      </c>
      <c r="E75" s="61"/>
      <c r="F75" s="70">
        <v>0</v>
      </c>
      <c r="G75" s="61"/>
      <c r="J75" s="61"/>
      <c r="M75" s="61">
        <f>+F75-H75</f>
        <v>0</v>
      </c>
      <c r="N75" s="70"/>
      <c r="O75" s="130"/>
      <c r="U75" s="130"/>
    </row>
    <row r="76" spans="2:21" ht="6.95" hidden="1" customHeight="1" x14ac:dyDescent="0.2">
      <c r="D76" s="68"/>
      <c r="E76" s="61"/>
      <c r="F76" s="68"/>
      <c r="G76" s="61"/>
      <c r="J76" s="68"/>
      <c r="M76" s="68"/>
      <c r="O76" s="130"/>
      <c r="U76" s="130"/>
    </row>
    <row r="77" spans="2:21" ht="13.5" customHeight="1" x14ac:dyDescent="0.2">
      <c r="B77" s="129" t="s">
        <v>152</v>
      </c>
      <c r="D77" s="68"/>
      <c r="E77" s="61"/>
      <c r="F77" s="68"/>
      <c r="G77" s="61"/>
      <c r="J77" s="68"/>
      <c r="M77" s="68"/>
      <c r="O77" s="130"/>
      <c r="U77" s="130"/>
    </row>
    <row r="78" spans="2:21" ht="4.5" customHeight="1" x14ac:dyDescent="0.2">
      <c r="D78" s="68"/>
      <c r="E78" s="61"/>
      <c r="F78" s="68"/>
      <c r="G78" s="61"/>
      <c r="J78" s="68"/>
      <c r="M78" s="68"/>
      <c r="O78" s="130"/>
      <c r="U78" s="130"/>
    </row>
    <row r="79" spans="2:21" x14ac:dyDescent="0.2">
      <c r="C79" s="58" t="s">
        <v>179</v>
      </c>
      <c r="D79" s="70">
        <f>'[9]Balance Sheet'!$W$84</f>
        <v>58500</v>
      </c>
      <c r="E79" s="64"/>
      <c r="F79" s="70"/>
      <c r="G79" s="64"/>
      <c r="J79" s="70"/>
      <c r="M79" s="70">
        <f>+F79-H79</f>
        <v>0</v>
      </c>
      <c r="O79" s="130"/>
      <c r="Q79" s="69">
        <f>H79-D79</f>
        <v>-58500</v>
      </c>
      <c r="U79" s="130"/>
    </row>
    <row r="80" spans="2:21" ht="14.25" hidden="1" customHeight="1" x14ac:dyDescent="0.2">
      <c r="C80" s="58" t="s">
        <v>42</v>
      </c>
      <c r="D80" s="68"/>
      <c r="E80" s="61"/>
      <c r="F80" s="68"/>
      <c r="G80" s="61"/>
      <c r="J80" s="68"/>
      <c r="M80" s="68">
        <f>+F80-H80</f>
        <v>0</v>
      </c>
      <c r="O80" s="130"/>
      <c r="U80" s="130"/>
    </row>
    <row r="81" spans="2:21" x14ac:dyDescent="0.2">
      <c r="C81" s="58" t="s">
        <v>180</v>
      </c>
      <c r="D81" s="68">
        <f>'[9]Balance Sheet'!$W$85</f>
        <v>-50000</v>
      </c>
      <c r="E81" s="61"/>
      <c r="F81" s="68"/>
      <c r="G81" s="61"/>
      <c r="J81" s="68"/>
      <c r="M81" s="68">
        <f>+F81-H81</f>
        <v>0</v>
      </c>
      <c r="O81" s="130"/>
      <c r="Q81" s="69">
        <f>H81-D81</f>
        <v>50000</v>
      </c>
      <c r="U81" s="130"/>
    </row>
    <row r="82" spans="2:21" x14ac:dyDescent="0.2">
      <c r="C82" s="58" t="s">
        <v>208</v>
      </c>
      <c r="D82" s="68">
        <f>'[9]Balance Sheet'!$W$86</f>
        <v>-1500</v>
      </c>
      <c r="E82" s="61"/>
      <c r="F82" s="68"/>
      <c r="G82" s="61"/>
      <c r="J82" s="68"/>
      <c r="M82" s="68"/>
      <c r="O82" s="130"/>
      <c r="Q82" s="69"/>
      <c r="U82" s="130"/>
    </row>
    <row r="83" spans="2:21" x14ac:dyDescent="0.2">
      <c r="C83" s="58" t="s">
        <v>165</v>
      </c>
      <c r="D83" s="64">
        <f>'Formal IS'!C45</f>
        <v>-1021</v>
      </c>
      <c r="E83" s="64"/>
      <c r="F83" s="64"/>
      <c r="G83" s="64"/>
      <c r="I83" s="70"/>
      <c r="J83" s="70"/>
      <c r="K83" s="70"/>
      <c r="L83" s="70"/>
      <c r="M83" s="70">
        <f>+F83-H83</f>
        <v>0</v>
      </c>
      <c r="N83" s="70"/>
      <c r="O83" s="132"/>
      <c r="P83" s="70"/>
      <c r="Q83" s="69">
        <f>H83-D83</f>
        <v>1021</v>
      </c>
      <c r="U83" s="130"/>
    </row>
    <row r="84" spans="2:21" ht="4.5" customHeight="1" x14ac:dyDescent="0.2">
      <c r="D84" s="71"/>
      <c r="E84" s="61"/>
      <c r="F84" s="71"/>
      <c r="G84" s="61"/>
      <c r="J84" s="68"/>
      <c r="M84" s="68"/>
      <c r="O84" s="130"/>
      <c r="Q84" s="70">
        <f>H84-D84</f>
        <v>0</v>
      </c>
      <c r="U84" s="130"/>
    </row>
    <row r="85" spans="2:21" x14ac:dyDescent="0.2">
      <c r="B85" s="58" t="s">
        <v>151</v>
      </c>
      <c r="D85" s="71">
        <f>SUM(D79:D83)</f>
        <v>5979</v>
      </c>
      <c r="E85" s="61"/>
      <c r="F85" s="71">
        <f>SUM(F79:F83)</f>
        <v>0</v>
      </c>
      <c r="G85" s="61"/>
      <c r="J85" s="71">
        <v>82442</v>
      </c>
      <c r="M85" s="71">
        <f>+F85-H85</f>
        <v>0</v>
      </c>
      <c r="O85" s="130"/>
      <c r="U85" s="130"/>
    </row>
    <row r="86" spans="2:21" ht="6.95" customHeight="1" x14ac:dyDescent="0.2">
      <c r="D86" s="68"/>
      <c r="E86" s="61"/>
      <c r="F86" s="68"/>
      <c r="G86" s="61"/>
      <c r="J86" s="68"/>
      <c r="M86" s="68"/>
      <c r="O86" s="130"/>
      <c r="U86" s="130"/>
    </row>
    <row r="87" spans="2:21" x14ac:dyDescent="0.2">
      <c r="D87" s="68"/>
      <c r="E87" s="61"/>
      <c r="F87" s="68"/>
      <c r="G87" s="61"/>
      <c r="J87" s="68"/>
      <c r="M87" s="68"/>
      <c r="O87" s="130"/>
      <c r="U87" s="130"/>
    </row>
    <row r="88" spans="2:21" ht="13.5" thickBot="1" x14ac:dyDescent="0.25">
      <c r="B88" s="129" t="s">
        <v>154</v>
      </c>
      <c r="D88" s="67">
        <f>D48+D85</f>
        <v>8593</v>
      </c>
      <c r="E88" s="62"/>
      <c r="F88" s="67">
        <f>+F85+F75+F71+F63</f>
        <v>88</v>
      </c>
      <c r="G88" s="62"/>
      <c r="I88" s="69"/>
      <c r="J88" s="67">
        <f>+J85+J71+J63</f>
        <v>220531</v>
      </c>
      <c r="M88" s="67">
        <f>+M85+M71+M63+M75</f>
        <v>0</v>
      </c>
      <c r="O88" s="130"/>
      <c r="Q88" s="69">
        <f>SUM(Q20:Q87)</f>
        <v>-7479</v>
      </c>
      <c r="U88" s="130"/>
    </row>
    <row r="89" spans="2:21" ht="6.75" customHeight="1" thickTop="1" x14ac:dyDescent="0.2">
      <c r="D89" s="68"/>
      <c r="E89" s="61"/>
      <c r="F89" s="68"/>
      <c r="G89" s="61"/>
      <c r="J89" s="68"/>
      <c r="M89" s="68"/>
      <c r="O89" s="130"/>
      <c r="U89" s="130"/>
    </row>
    <row r="90" spans="2:21" ht="15.75" customHeight="1" x14ac:dyDescent="0.2">
      <c r="B90" s="58" t="s">
        <v>205</v>
      </c>
      <c r="C90" s="58" t="s">
        <v>212</v>
      </c>
      <c r="D90" s="68"/>
      <c r="E90" s="61"/>
      <c r="F90" s="68"/>
      <c r="G90" s="61"/>
      <c r="J90" s="68"/>
      <c r="M90" s="68"/>
      <c r="O90" s="130"/>
      <c r="U90" s="130"/>
    </row>
    <row r="91" spans="2:21" ht="13.5" customHeight="1" x14ac:dyDescent="0.25">
      <c r="B91" s="74"/>
      <c r="C91" s="169" t="s">
        <v>213</v>
      </c>
      <c r="D91"/>
      <c r="E91"/>
      <c r="F91"/>
      <c r="G91"/>
      <c r="J91" s="68"/>
      <c r="M91" s="68"/>
      <c r="O91" s="130"/>
      <c r="U91" s="130"/>
    </row>
    <row r="92" spans="2:21" ht="12" customHeight="1" x14ac:dyDescent="0.2">
      <c r="C92" t="s">
        <v>214</v>
      </c>
      <c r="D92"/>
      <c r="E92"/>
      <c r="F92"/>
      <c r="G92"/>
      <c r="J92" s="68"/>
      <c r="M92" s="68"/>
      <c r="O92" s="130"/>
      <c r="U92" s="130"/>
    </row>
    <row r="93" spans="2:21" customFormat="1" x14ac:dyDescent="0.2">
      <c r="B93" t="s">
        <v>211</v>
      </c>
      <c r="C93" t="s">
        <v>215</v>
      </c>
    </row>
    <row r="94" spans="2:21" customFormat="1" x14ac:dyDescent="0.2">
      <c r="C94" t="s">
        <v>216</v>
      </c>
    </row>
    <row r="95" spans="2:21" customFormat="1" x14ac:dyDescent="0.2"/>
  </sheetData>
  <mergeCells count="2">
    <mergeCell ref="B14:C14"/>
    <mergeCell ref="B41:C41"/>
  </mergeCells>
  <printOptions horizontalCentered="1"/>
  <pageMargins left="0.5" right="0.25" top="0.5" bottom="0" header="0.25" footer="0"/>
  <pageSetup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82"/>
  <sheetViews>
    <sheetView zoomScaleNormal="100" workbookViewId="0">
      <selection activeCell="C39" sqref="C39"/>
    </sheetView>
  </sheetViews>
  <sheetFormatPr defaultRowHeight="12.75" x14ac:dyDescent="0.2"/>
  <cols>
    <col min="1" max="1" width="3.1640625" style="32" customWidth="1"/>
    <col min="2" max="2" width="53.5" style="32" customWidth="1"/>
    <col min="3" max="3" width="17.1640625" style="32" bestFit="1" customWidth="1"/>
    <col min="4" max="8" width="17.1640625" style="32" customWidth="1"/>
    <col min="9" max="9" width="13.83203125" style="32" customWidth="1"/>
    <col min="10" max="10" width="3.83203125" style="39" customWidth="1"/>
    <col min="11" max="11" width="13.83203125" style="32" customWidth="1"/>
    <col min="12" max="12" width="3.83203125" style="32" customWidth="1"/>
    <col min="13" max="13" width="13.83203125" style="32" customWidth="1"/>
    <col min="14" max="14" width="3.83203125" style="32" customWidth="1"/>
    <col min="15" max="15" width="13.83203125" style="32" customWidth="1"/>
    <col min="16" max="16" width="3.83203125" style="32" customWidth="1"/>
    <col min="17" max="17" width="9.83203125" style="32" bestFit="1" customWidth="1"/>
    <col min="18" max="16384" width="9.33203125" style="32"/>
  </cols>
  <sheetData>
    <row r="1" spans="1:16" x14ac:dyDescent="0.2">
      <c r="A1" s="176" t="s">
        <v>173</v>
      </c>
      <c r="B1" s="176"/>
      <c r="C1" s="176"/>
      <c r="D1" s="176"/>
      <c r="E1" s="176"/>
      <c r="F1" s="176"/>
      <c r="G1" s="176"/>
      <c r="J1" s="32"/>
    </row>
    <row r="2" spans="1:16" x14ac:dyDescent="0.2">
      <c r="J2" s="32"/>
    </row>
    <row r="3" spans="1:16" x14ac:dyDescent="0.2">
      <c r="A3" s="176" t="s">
        <v>102</v>
      </c>
      <c r="B3" s="176"/>
      <c r="C3" s="176"/>
      <c r="D3" s="176"/>
      <c r="E3" s="176"/>
      <c r="F3" s="176"/>
      <c r="G3" s="176"/>
      <c r="J3" s="32"/>
    </row>
    <row r="4" spans="1:16" x14ac:dyDescent="0.2">
      <c r="A4" s="176" t="s">
        <v>197</v>
      </c>
      <c r="B4" s="176"/>
      <c r="C4" s="176"/>
      <c r="D4" s="176"/>
      <c r="E4" s="176"/>
      <c r="F4" s="176"/>
      <c r="G4" s="176"/>
      <c r="J4" s="32"/>
    </row>
    <row r="5" spans="1:16" x14ac:dyDescent="0.2">
      <c r="A5" s="176" t="s">
        <v>142</v>
      </c>
      <c r="B5" s="176"/>
      <c r="C5" s="176"/>
      <c r="D5" s="176"/>
      <c r="E5" s="176"/>
      <c r="F5" s="176"/>
      <c r="G5" s="176"/>
      <c r="J5" s="32"/>
    </row>
    <row r="6" spans="1:16" ht="12.75" customHeight="1" x14ac:dyDescent="0.2">
      <c r="A6" s="176" t="s">
        <v>120</v>
      </c>
      <c r="B6" s="176"/>
      <c r="C6" s="176"/>
      <c r="D6" s="176"/>
      <c r="E6" s="176"/>
      <c r="F6" s="176"/>
      <c r="G6" s="176"/>
      <c r="J6" s="32"/>
    </row>
    <row r="7" spans="1:16" x14ac:dyDescent="0.2">
      <c r="J7" s="32"/>
    </row>
    <row r="8" spans="1:16" x14ac:dyDescent="0.2">
      <c r="J8" s="32"/>
    </row>
    <row r="9" spans="1:16" x14ac:dyDescent="0.2">
      <c r="C9" s="147"/>
      <c r="D9" s="147"/>
      <c r="E9" s="147"/>
      <c r="F9" s="147"/>
      <c r="G9" s="147"/>
      <c r="H9" s="147"/>
      <c r="I9" s="141"/>
      <c r="J9" s="33"/>
      <c r="K9" s="141"/>
      <c r="L9" s="140" t="s">
        <v>92</v>
      </c>
      <c r="M9" s="142" t="s">
        <v>115</v>
      </c>
      <c r="N9" s="31"/>
      <c r="O9" s="141"/>
      <c r="P9" s="140" t="s">
        <v>92</v>
      </c>
    </row>
    <row r="10" spans="1:16" ht="13.5" customHeight="1" x14ac:dyDescent="0.2">
      <c r="C10" s="138" t="s">
        <v>196</v>
      </c>
      <c r="D10" s="138"/>
      <c r="E10" s="138" t="s">
        <v>157</v>
      </c>
      <c r="F10" s="138"/>
      <c r="G10" s="138"/>
      <c r="H10" s="138"/>
      <c r="I10" s="125"/>
      <c r="J10" s="134"/>
      <c r="K10" s="125"/>
      <c r="L10" s="94"/>
      <c r="M10" s="125"/>
      <c r="N10" s="33"/>
      <c r="O10" s="125"/>
    </row>
    <row r="11" spans="1:16" ht="15" customHeight="1" x14ac:dyDescent="0.2">
      <c r="C11" s="126" t="s">
        <v>163</v>
      </c>
      <c r="D11" s="126"/>
      <c r="E11" s="127" t="s">
        <v>156</v>
      </c>
      <c r="F11" s="128"/>
      <c r="G11" s="128"/>
      <c r="H11" s="128"/>
      <c r="I11" s="139"/>
      <c r="J11" s="143"/>
      <c r="K11" s="128"/>
      <c r="L11" s="166"/>
      <c r="M11" s="128"/>
      <c r="N11" s="139"/>
      <c r="O11" s="128"/>
    </row>
    <row r="12" spans="1:16" x14ac:dyDescent="0.2">
      <c r="A12" s="87" t="s">
        <v>138</v>
      </c>
      <c r="F12" s="39"/>
      <c r="G12" s="39"/>
      <c r="H12" s="39"/>
      <c r="I12" s="167"/>
      <c r="K12" s="39"/>
      <c r="L12" s="39"/>
      <c r="M12" s="39"/>
      <c r="N12" s="39"/>
      <c r="O12" s="39"/>
    </row>
    <row r="13" spans="1:16" ht="3.95" customHeight="1" x14ac:dyDescent="0.2">
      <c r="F13" s="39"/>
      <c r="G13" s="39"/>
      <c r="H13" s="39"/>
      <c r="I13" s="39"/>
      <c r="K13" s="39"/>
      <c r="L13" s="39"/>
      <c r="M13" s="39"/>
      <c r="N13" s="39"/>
      <c r="O13" s="39"/>
    </row>
    <row r="14" spans="1:16" hidden="1" x14ac:dyDescent="0.2">
      <c r="B14" s="32" t="s">
        <v>171</v>
      </c>
      <c r="C14" s="20"/>
      <c r="D14" s="40"/>
      <c r="E14" s="150">
        <f>[5]IS!$F$20</f>
        <v>0</v>
      </c>
      <c r="F14" s="92"/>
      <c r="G14" s="92"/>
      <c r="H14" s="92"/>
      <c r="I14" s="92"/>
      <c r="J14" s="92"/>
      <c r="K14" s="92"/>
      <c r="L14" s="92"/>
      <c r="M14" s="39"/>
      <c r="N14" s="39"/>
      <c r="O14" s="92"/>
    </row>
    <row r="15" spans="1:16" hidden="1" x14ac:dyDescent="0.2">
      <c r="B15" s="32" t="s">
        <v>167</v>
      </c>
      <c r="C15" s="102"/>
      <c r="D15" s="40"/>
      <c r="E15" s="92"/>
      <c r="F15" s="92"/>
      <c r="G15" s="92"/>
      <c r="H15" s="92"/>
      <c r="I15" s="92"/>
      <c r="J15" s="92"/>
      <c r="K15" s="92"/>
      <c r="L15" s="92"/>
      <c r="M15" s="39"/>
      <c r="N15" s="39"/>
      <c r="O15" s="92"/>
    </row>
    <row r="16" spans="1:16" s="39" customFormat="1" ht="3.95" customHeight="1" x14ac:dyDescent="0.2">
      <c r="C16" s="42"/>
      <c r="D16" s="42"/>
      <c r="E16" s="42"/>
      <c r="F16" s="42"/>
      <c r="G16" s="42"/>
      <c r="H16" s="42"/>
      <c r="I16" s="42"/>
      <c r="J16" s="20"/>
      <c r="K16" s="42"/>
      <c r="L16" s="149"/>
      <c r="O16" s="20"/>
    </row>
    <row r="17" spans="1:15" s="39" customFormat="1" x14ac:dyDescent="0.2">
      <c r="B17" s="148" t="s">
        <v>140</v>
      </c>
      <c r="C17" s="150">
        <f>SUM(C14:C15)</f>
        <v>0</v>
      </c>
      <c r="D17" s="42"/>
      <c r="E17" s="42"/>
      <c r="F17" s="42"/>
      <c r="G17" s="42"/>
      <c r="H17" s="42"/>
      <c r="I17" s="42"/>
      <c r="J17" s="42"/>
      <c r="K17" s="42"/>
      <c r="L17" s="42"/>
      <c r="O17" s="42"/>
    </row>
    <row r="18" spans="1:15" x14ac:dyDescent="0.2">
      <c r="C18" s="36"/>
      <c r="D18" s="36"/>
      <c r="E18" s="36"/>
      <c r="F18" s="42"/>
      <c r="G18" s="42"/>
      <c r="H18" s="42"/>
      <c r="I18" s="42"/>
      <c r="J18" s="42"/>
      <c r="K18" s="42"/>
      <c r="L18" s="42"/>
      <c r="M18" s="39"/>
      <c r="N18" s="39"/>
      <c r="O18" s="42"/>
    </row>
    <row r="19" spans="1:15" x14ac:dyDescent="0.2">
      <c r="A19" s="87" t="s">
        <v>141</v>
      </c>
      <c r="C19" s="36">
        <f>[9]IS!$P$18+[9]IS!$P$25</f>
        <v>1114</v>
      </c>
      <c r="D19" s="36" t="s">
        <v>205</v>
      </c>
      <c r="E19" s="36"/>
      <c r="F19" s="42"/>
      <c r="G19" s="42"/>
      <c r="H19" s="42"/>
      <c r="I19" s="42"/>
      <c r="J19" s="42"/>
      <c r="K19" s="42"/>
      <c r="L19" s="42"/>
      <c r="M19" s="39"/>
      <c r="N19" s="39"/>
      <c r="O19" s="42"/>
    </row>
    <row r="20" spans="1:15" ht="3.95" customHeight="1" x14ac:dyDescent="0.2">
      <c r="C20" s="36"/>
      <c r="D20" s="36"/>
      <c r="E20" s="36"/>
      <c r="F20" s="42"/>
      <c r="G20" s="42"/>
      <c r="H20" s="42"/>
      <c r="I20" s="42"/>
      <c r="J20" s="42"/>
      <c r="K20" s="42"/>
      <c r="L20" s="42"/>
      <c r="M20" s="39"/>
      <c r="N20" s="39"/>
      <c r="O20" s="42"/>
    </row>
    <row r="21" spans="1:15" hidden="1" x14ac:dyDescent="0.2">
      <c r="B21" s="32" t="s">
        <v>160</v>
      </c>
      <c r="C21" s="20">
        <f>[7]IS!$P$30</f>
        <v>0</v>
      </c>
      <c r="D21" s="90"/>
      <c r="E21" s="102"/>
      <c r="F21" s="20"/>
      <c r="G21" s="20"/>
      <c r="H21" s="20"/>
      <c r="I21" s="20"/>
      <c r="J21" s="42"/>
      <c r="K21" s="20"/>
      <c r="L21" s="42"/>
      <c r="M21" s="39"/>
      <c r="N21" s="39"/>
      <c r="O21" s="42"/>
    </row>
    <row r="22" spans="1:15" hidden="1" x14ac:dyDescent="0.2">
      <c r="B22" s="32" t="s">
        <v>164</v>
      </c>
      <c r="C22" s="20" t="e">
        <f>#REF!</f>
        <v>#REF!</v>
      </c>
      <c r="D22" s="90"/>
      <c r="E22" s="102"/>
      <c r="F22" s="20"/>
      <c r="G22" s="20"/>
      <c r="H22" s="20"/>
      <c r="I22" s="20"/>
      <c r="J22" s="42"/>
      <c r="K22" s="20"/>
      <c r="L22" s="42"/>
      <c r="M22" s="39"/>
      <c r="N22" s="39"/>
      <c r="O22" s="42"/>
    </row>
    <row r="23" spans="1:15" hidden="1" x14ac:dyDescent="0.2">
      <c r="B23" s="32" t="s">
        <v>139</v>
      </c>
      <c r="C23" s="20"/>
      <c r="D23" s="90"/>
      <c r="E23" s="102"/>
      <c r="F23" s="20"/>
      <c r="G23" s="20"/>
      <c r="H23" s="20"/>
      <c r="I23" s="20"/>
      <c r="J23" s="42"/>
      <c r="K23" s="20"/>
      <c r="L23" s="42"/>
      <c r="M23" s="39"/>
      <c r="N23" s="39"/>
      <c r="O23" s="42"/>
    </row>
    <row r="24" spans="1:15" hidden="1" x14ac:dyDescent="0.2">
      <c r="B24" s="154" t="s">
        <v>159</v>
      </c>
      <c r="C24" s="102"/>
      <c r="D24" s="90"/>
      <c r="E24" s="20"/>
      <c r="F24" s="20"/>
      <c r="G24" s="20"/>
      <c r="H24" s="20"/>
      <c r="I24" s="20"/>
      <c r="J24" s="42"/>
      <c r="K24" s="20"/>
      <c r="L24" s="42"/>
      <c r="M24" s="39"/>
      <c r="N24" s="39"/>
      <c r="O24" s="42"/>
    </row>
    <row r="25" spans="1:15" s="39" customFormat="1" ht="3.95" customHeight="1" x14ac:dyDescent="0.2">
      <c r="C25" s="42"/>
      <c r="D25" s="42"/>
      <c r="E25" s="42"/>
      <c r="F25" s="42"/>
      <c r="G25" s="42"/>
      <c r="H25" s="42"/>
      <c r="I25" s="42"/>
      <c r="J25" s="42"/>
      <c r="K25" s="42"/>
      <c r="L25" s="42"/>
      <c r="O25" s="42"/>
    </row>
    <row r="26" spans="1:15" x14ac:dyDescent="0.2">
      <c r="A26" s="87" t="s">
        <v>161</v>
      </c>
      <c r="C26" s="150">
        <f>C17-C23-C24</f>
        <v>0</v>
      </c>
      <c r="D26" s="36"/>
      <c r="E26" s="41"/>
      <c r="F26" s="42"/>
      <c r="G26" s="42"/>
      <c r="H26" s="42"/>
      <c r="I26" s="42"/>
      <c r="J26" s="42"/>
      <c r="K26" s="42"/>
      <c r="L26" s="42"/>
      <c r="M26" s="39"/>
      <c r="N26" s="39"/>
      <c r="O26" s="42"/>
    </row>
    <row r="27" spans="1:15" hidden="1" x14ac:dyDescent="0.2">
      <c r="C27" s="36"/>
      <c r="D27" s="36"/>
      <c r="E27" s="36"/>
      <c r="F27" s="42"/>
      <c r="G27" s="42"/>
      <c r="H27" s="42"/>
      <c r="I27" s="42"/>
      <c r="J27" s="42"/>
      <c r="K27" s="42"/>
      <c r="L27" s="42"/>
      <c r="M27" s="39"/>
      <c r="N27" s="39"/>
      <c r="O27" s="42"/>
    </row>
    <row r="28" spans="1:15" hidden="1" x14ac:dyDescent="0.2">
      <c r="C28" s="36"/>
      <c r="D28" s="36"/>
      <c r="E28" s="36"/>
      <c r="F28" s="42"/>
      <c r="G28" s="42"/>
      <c r="H28" s="42"/>
      <c r="I28" s="42"/>
      <c r="J28" s="42"/>
      <c r="K28" s="42"/>
      <c r="L28" s="42"/>
      <c r="M28" s="39"/>
      <c r="N28" s="39"/>
      <c r="O28" s="42"/>
    </row>
    <row r="29" spans="1:15" hidden="1" x14ac:dyDescent="0.2">
      <c r="C29" s="36"/>
      <c r="D29" s="36"/>
      <c r="E29" s="36"/>
      <c r="F29" s="42"/>
      <c r="G29" s="42"/>
      <c r="H29" s="42"/>
      <c r="I29" s="42"/>
      <c r="J29" s="42"/>
      <c r="K29" s="42"/>
      <c r="L29" s="42"/>
      <c r="M29" s="39"/>
      <c r="N29" s="39"/>
      <c r="O29" s="42"/>
    </row>
    <row r="30" spans="1:15" hidden="1" x14ac:dyDescent="0.2">
      <c r="C30" s="36"/>
      <c r="D30" s="36"/>
      <c r="E30" s="36"/>
      <c r="F30" s="42"/>
      <c r="G30" s="42"/>
      <c r="H30" s="42"/>
      <c r="I30" s="42"/>
      <c r="J30" s="42"/>
      <c r="K30" s="42"/>
      <c r="L30" s="42"/>
      <c r="M30" s="39"/>
      <c r="N30" s="39"/>
      <c r="O30" s="42"/>
    </row>
    <row r="31" spans="1:15" hidden="1" x14ac:dyDescent="0.2">
      <c r="C31" s="36"/>
      <c r="D31" s="36"/>
      <c r="E31" s="36"/>
      <c r="F31" s="42"/>
      <c r="G31" s="42"/>
      <c r="H31" s="42"/>
      <c r="I31" s="42"/>
      <c r="J31" s="42"/>
      <c r="K31" s="42"/>
      <c r="L31" s="42"/>
      <c r="M31" s="39"/>
      <c r="N31" s="39"/>
      <c r="O31" s="42"/>
    </row>
    <row r="32" spans="1:15" x14ac:dyDescent="0.2">
      <c r="C32" s="36"/>
      <c r="D32" s="36"/>
      <c r="E32" s="36"/>
      <c r="F32" s="42"/>
      <c r="G32" s="42"/>
      <c r="H32" s="42"/>
      <c r="I32" s="42"/>
      <c r="J32" s="42"/>
      <c r="K32" s="42"/>
      <c r="L32" s="42"/>
      <c r="M32" s="39"/>
      <c r="N32" s="39"/>
      <c r="O32" s="42"/>
    </row>
    <row r="33" spans="1:15" hidden="1" x14ac:dyDescent="0.2">
      <c r="C33" s="36"/>
      <c r="D33" s="36"/>
      <c r="E33" s="36"/>
      <c r="F33" s="42"/>
      <c r="G33" s="42"/>
      <c r="H33" s="42"/>
      <c r="I33" s="42"/>
      <c r="J33" s="42"/>
      <c r="K33" s="42"/>
      <c r="L33" s="42"/>
      <c r="M33" s="39"/>
      <c r="N33" s="39"/>
      <c r="O33" s="42"/>
    </row>
    <row r="34" spans="1:15" hidden="1" x14ac:dyDescent="0.2">
      <c r="C34" s="36"/>
      <c r="D34" s="36"/>
      <c r="E34" s="36"/>
      <c r="F34" s="42"/>
      <c r="G34" s="42"/>
      <c r="H34" s="42"/>
      <c r="I34" s="42"/>
      <c r="J34" s="42"/>
      <c r="K34" s="42"/>
      <c r="L34" s="42"/>
      <c r="M34" s="39"/>
      <c r="N34" s="39"/>
      <c r="O34" s="42"/>
    </row>
    <row r="35" spans="1:15" hidden="1" x14ac:dyDescent="0.2">
      <c r="B35" s="32" t="s">
        <v>10</v>
      </c>
      <c r="C35" s="36"/>
      <c r="D35" s="36"/>
      <c r="E35" s="36"/>
      <c r="F35" s="42"/>
      <c r="G35" s="42"/>
      <c r="H35" s="42"/>
      <c r="I35" s="42"/>
      <c r="J35" s="42"/>
      <c r="K35" s="42"/>
      <c r="L35" s="42"/>
      <c r="M35" s="39"/>
      <c r="N35" s="39"/>
      <c r="O35" s="42"/>
    </row>
    <row r="36" spans="1:15" hidden="1" x14ac:dyDescent="0.2">
      <c r="B36" s="32" t="s">
        <v>11</v>
      </c>
      <c r="C36" s="36"/>
      <c r="D36" s="36"/>
      <c r="E36" s="36"/>
      <c r="F36" s="42"/>
      <c r="G36" s="42"/>
      <c r="H36" s="42"/>
      <c r="I36" s="42"/>
      <c r="J36" s="42"/>
      <c r="K36" s="42"/>
      <c r="L36" s="42"/>
      <c r="M36" s="39"/>
      <c r="N36" s="39"/>
      <c r="O36" s="42"/>
    </row>
    <row r="37" spans="1:15" hidden="1" x14ac:dyDescent="0.2">
      <c r="B37" s="32" t="s">
        <v>12</v>
      </c>
      <c r="C37" s="36"/>
      <c r="D37" s="36"/>
      <c r="E37" s="36"/>
      <c r="F37" s="42"/>
      <c r="G37" s="42"/>
      <c r="H37" s="42"/>
      <c r="I37" s="42"/>
      <c r="J37" s="42"/>
      <c r="K37" s="42"/>
      <c r="L37" s="42"/>
      <c r="M37" s="39"/>
      <c r="N37" s="39"/>
      <c r="O37" s="42"/>
    </row>
    <row r="38" spans="1:15" hidden="1" x14ac:dyDescent="0.2">
      <c r="C38" s="36"/>
      <c r="D38" s="36"/>
      <c r="E38" s="36"/>
      <c r="F38" s="42"/>
      <c r="G38" s="42"/>
      <c r="H38" s="42"/>
      <c r="I38" s="42"/>
      <c r="J38" s="42"/>
      <c r="K38" s="42"/>
      <c r="L38" s="42"/>
      <c r="M38" s="39"/>
      <c r="N38" s="39"/>
      <c r="O38" s="42"/>
    </row>
    <row r="39" spans="1:15" x14ac:dyDescent="0.2">
      <c r="A39" s="87" t="s">
        <v>174</v>
      </c>
      <c r="C39" s="90">
        <f>[9]IS!$P$38</f>
        <v>93</v>
      </c>
      <c r="D39" s="36"/>
      <c r="E39" s="90"/>
      <c r="F39" s="42"/>
      <c r="G39" s="42"/>
      <c r="H39" s="42"/>
      <c r="I39" s="42"/>
      <c r="J39" s="42"/>
      <c r="K39" s="42"/>
      <c r="L39" s="42"/>
      <c r="M39" s="39"/>
      <c r="N39" s="39"/>
      <c r="O39" s="42"/>
    </row>
    <row r="40" spans="1:15" x14ac:dyDescent="0.2">
      <c r="C40" s="36"/>
      <c r="D40" s="36"/>
      <c r="E40" s="36"/>
      <c r="F40" s="42"/>
      <c r="G40" s="42"/>
      <c r="H40" s="42"/>
      <c r="I40" s="42"/>
      <c r="J40" s="42"/>
      <c r="K40" s="42"/>
      <c r="L40" s="42"/>
      <c r="M40" s="39"/>
      <c r="N40" s="39"/>
      <c r="O40" s="42"/>
    </row>
    <row r="41" spans="1:15" x14ac:dyDescent="0.2">
      <c r="A41" s="87" t="s">
        <v>158</v>
      </c>
      <c r="C41" s="120"/>
      <c r="D41" s="120"/>
      <c r="E41" s="120"/>
      <c r="F41" s="144"/>
      <c r="G41" s="144"/>
      <c r="H41" s="144"/>
      <c r="I41" s="144"/>
      <c r="J41" s="144"/>
      <c r="K41" s="144"/>
      <c r="L41" s="39"/>
      <c r="M41" s="39"/>
      <c r="N41" s="39"/>
      <c r="O41" s="144"/>
    </row>
    <row r="42" spans="1:15" ht="3.95" customHeight="1" x14ac:dyDescent="0.2">
      <c r="C42" s="120"/>
      <c r="D42" s="120"/>
      <c r="E42" s="120"/>
      <c r="F42" s="144"/>
      <c r="G42" s="144"/>
      <c r="H42" s="144"/>
      <c r="I42" s="144"/>
      <c r="J42" s="144"/>
      <c r="K42" s="144"/>
      <c r="L42" s="39"/>
      <c r="M42" s="39"/>
      <c r="N42" s="39"/>
      <c r="O42" s="144"/>
    </row>
    <row r="43" spans="1:15" x14ac:dyDescent="0.2">
      <c r="B43" s="32" t="s">
        <v>162</v>
      </c>
      <c r="C43" s="20">
        <f>[7]IS!$P$63</f>
        <v>0</v>
      </c>
      <c r="D43" s="90"/>
      <c r="E43" s="90"/>
      <c r="F43" s="20"/>
      <c r="G43" s="20"/>
      <c r="H43" s="20"/>
      <c r="I43" s="20"/>
      <c r="J43" s="42"/>
      <c r="K43" s="20"/>
      <c r="L43" s="39"/>
      <c r="M43" s="39"/>
      <c r="N43" s="39"/>
      <c r="O43" s="42"/>
    </row>
    <row r="44" spans="1:15" x14ac:dyDescent="0.2">
      <c r="C44" s="90"/>
      <c r="D44" s="90"/>
      <c r="E44" s="90"/>
      <c r="F44" s="20"/>
      <c r="G44" s="20"/>
      <c r="H44" s="20"/>
      <c r="I44" s="20"/>
      <c r="J44" s="42"/>
      <c r="K44" s="20"/>
      <c r="L44" s="39"/>
      <c r="M44" s="39"/>
      <c r="N44" s="39"/>
      <c r="O44" s="42"/>
    </row>
    <row r="45" spans="1:15" ht="13.5" thickBot="1" x14ac:dyDescent="0.25">
      <c r="A45" s="87" t="s">
        <v>166</v>
      </c>
      <c r="C45" s="45">
        <f>C39-C19</f>
        <v>-1021</v>
      </c>
      <c r="D45" s="45"/>
      <c r="E45" s="45">
        <f>SUM(E26:E40)-E43</f>
        <v>0</v>
      </c>
      <c r="F45" s="92"/>
      <c r="G45" s="92"/>
      <c r="H45" s="92"/>
      <c r="I45" s="92"/>
      <c r="J45" s="92"/>
      <c r="K45" s="92"/>
      <c r="L45" s="92"/>
      <c r="M45" s="39"/>
      <c r="N45" s="39"/>
      <c r="O45" s="92"/>
    </row>
    <row r="46" spans="1:15" ht="13.5" thickTop="1" x14ac:dyDescent="0.2">
      <c r="C46" s="36"/>
      <c r="D46" s="36"/>
      <c r="E46" s="36"/>
      <c r="F46" s="36"/>
      <c r="G46" s="36"/>
      <c r="H46" s="42"/>
      <c r="I46" s="42"/>
      <c r="K46" s="42"/>
      <c r="L46" s="42"/>
      <c r="M46" s="39"/>
      <c r="N46" s="39"/>
      <c r="O46" s="42"/>
    </row>
    <row r="47" spans="1:15" x14ac:dyDescent="0.2">
      <c r="C47" s="36"/>
      <c r="D47" s="36"/>
      <c r="E47" s="36"/>
      <c r="F47" s="36"/>
      <c r="G47" s="36"/>
      <c r="H47" s="36"/>
      <c r="I47" s="36"/>
      <c r="K47" s="36"/>
      <c r="L47" s="36"/>
      <c r="O47" s="36"/>
    </row>
    <row r="48" spans="1:15" x14ac:dyDescent="0.2">
      <c r="B48" s="165" t="s">
        <v>205</v>
      </c>
      <c r="C48" s="36" t="s">
        <v>210</v>
      </c>
      <c r="D48" s="36"/>
      <c r="E48" s="36"/>
      <c r="F48" s="36"/>
      <c r="G48" s="36"/>
      <c r="H48" s="36"/>
      <c r="I48" s="36"/>
      <c r="K48" s="36"/>
      <c r="L48" s="36"/>
      <c r="O48" s="36"/>
    </row>
    <row r="49" spans="1:15" ht="13.5" hidden="1" x14ac:dyDescent="0.25">
      <c r="A49" s="121" t="s">
        <v>22</v>
      </c>
      <c r="C49" s="36"/>
      <c r="D49" s="36"/>
      <c r="E49" s="36"/>
      <c r="F49" s="36"/>
      <c r="G49" s="36"/>
      <c r="H49" s="36"/>
      <c r="I49" s="36"/>
      <c r="K49" s="36"/>
      <c r="L49" s="36"/>
      <c r="O49" s="36"/>
    </row>
    <row r="50" spans="1:15" hidden="1" x14ac:dyDescent="0.2">
      <c r="A50" s="32" t="s">
        <v>23</v>
      </c>
      <c r="C50" s="36"/>
      <c r="D50" s="36"/>
      <c r="E50" s="36"/>
      <c r="F50" s="36"/>
      <c r="G50" s="36"/>
      <c r="H50" s="36"/>
      <c r="I50" s="36"/>
      <c r="K50" s="36"/>
      <c r="L50" s="36"/>
      <c r="O50" s="36"/>
    </row>
    <row r="51" spans="1:15" x14ac:dyDescent="0.2">
      <c r="C51" s="36" t="s">
        <v>206</v>
      </c>
      <c r="D51" s="36"/>
      <c r="E51" s="36"/>
      <c r="F51" s="36">
        <f>[9]IS!$P$18</f>
        <v>1047</v>
      </c>
      <c r="G51" s="36"/>
      <c r="H51" s="36"/>
      <c r="I51" s="36"/>
      <c r="K51" s="36"/>
      <c r="L51" s="36"/>
      <c r="O51" s="36"/>
    </row>
    <row r="52" spans="1:15" x14ac:dyDescent="0.2">
      <c r="C52" s="36" t="s">
        <v>207</v>
      </c>
      <c r="D52" s="36"/>
      <c r="E52" s="36"/>
      <c r="F52" s="164">
        <f>[9]IS!$P$25</f>
        <v>67</v>
      </c>
      <c r="G52" s="36"/>
      <c r="H52" s="36"/>
      <c r="I52" s="36"/>
      <c r="K52" s="36"/>
      <c r="L52" s="36"/>
      <c r="O52" s="36"/>
    </row>
    <row r="53" spans="1:15" x14ac:dyDescent="0.2">
      <c r="C53" s="36"/>
      <c r="D53" s="36"/>
      <c r="E53" s="36"/>
      <c r="F53" s="36">
        <f>SUM(F51:F52)</f>
        <v>1114</v>
      </c>
      <c r="G53" s="36"/>
      <c r="H53" s="36"/>
      <c r="I53" s="36"/>
      <c r="K53" s="36"/>
      <c r="L53" s="36"/>
      <c r="O53" s="36"/>
    </row>
    <row r="54" spans="1:15" x14ac:dyDescent="0.2">
      <c r="C54" s="36"/>
      <c r="D54" s="36"/>
      <c r="E54" s="36"/>
      <c r="F54" s="36"/>
      <c r="G54" s="36"/>
      <c r="H54" s="36"/>
      <c r="I54" s="36"/>
      <c r="K54" s="36"/>
      <c r="L54" s="36"/>
      <c r="O54" s="36"/>
    </row>
    <row r="55" spans="1:15" x14ac:dyDescent="0.2">
      <c r="C55" s="36"/>
      <c r="D55" s="36"/>
      <c r="E55" s="36"/>
      <c r="F55" s="36"/>
      <c r="G55" s="36"/>
      <c r="H55" s="36"/>
      <c r="I55" s="36"/>
      <c r="K55" s="36"/>
      <c r="L55" s="36"/>
      <c r="O55" s="36"/>
    </row>
    <row r="56" spans="1:15" x14ac:dyDescent="0.2">
      <c r="C56" s="36"/>
      <c r="D56" s="36"/>
      <c r="E56" s="36"/>
      <c r="F56" s="36"/>
      <c r="G56" s="36"/>
      <c r="H56" s="36"/>
      <c r="I56" s="36"/>
      <c r="K56" s="36"/>
      <c r="L56" s="36"/>
      <c r="O56" s="36"/>
    </row>
    <row r="57" spans="1:15" x14ac:dyDescent="0.2">
      <c r="C57" s="36"/>
      <c r="D57" s="36"/>
      <c r="E57" s="36"/>
      <c r="F57" s="36"/>
      <c r="G57" s="36"/>
      <c r="H57" s="36"/>
      <c r="I57" s="36"/>
      <c r="K57" s="36"/>
      <c r="L57" s="36"/>
      <c r="O57" s="36"/>
    </row>
    <row r="58" spans="1:15" x14ac:dyDescent="0.2">
      <c r="C58" s="36"/>
      <c r="D58" s="36"/>
      <c r="E58" s="36"/>
      <c r="F58" s="36"/>
      <c r="G58" s="36"/>
      <c r="H58" s="36"/>
      <c r="I58" s="36"/>
      <c r="K58" s="36"/>
      <c r="L58" s="36"/>
      <c r="O58" s="36"/>
    </row>
    <row r="59" spans="1:15" x14ac:dyDescent="0.2">
      <c r="C59" s="36"/>
      <c r="D59" s="36"/>
      <c r="E59" s="36"/>
      <c r="F59" s="36"/>
      <c r="G59" s="36"/>
      <c r="H59" s="36"/>
      <c r="I59" s="36"/>
      <c r="K59" s="36"/>
      <c r="L59" s="36"/>
      <c r="O59" s="36"/>
    </row>
    <row r="60" spans="1:15" x14ac:dyDescent="0.2">
      <c r="C60" s="36"/>
      <c r="D60" s="36"/>
      <c r="E60" s="36"/>
      <c r="F60" s="36"/>
      <c r="G60" s="36"/>
      <c r="H60" s="36"/>
      <c r="I60" s="36"/>
      <c r="K60" s="36"/>
      <c r="L60" s="36"/>
      <c r="O60" s="36"/>
    </row>
    <row r="61" spans="1:15" x14ac:dyDescent="0.2">
      <c r="C61" s="36"/>
      <c r="D61" s="36"/>
      <c r="E61" s="36"/>
      <c r="F61" s="36"/>
      <c r="G61" s="36"/>
      <c r="H61" s="36"/>
      <c r="I61" s="36"/>
      <c r="K61" s="36"/>
      <c r="L61" s="36"/>
      <c r="O61" s="36"/>
    </row>
    <row r="62" spans="1:15" x14ac:dyDescent="0.2">
      <c r="C62" s="36"/>
      <c r="D62" s="36"/>
      <c r="E62" s="36"/>
      <c r="F62" s="36"/>
      <c r="G62" s="36"/>
      <c r="H62" s="36"/>
      <c r="I62" s="36"/>
      <c r="K62" s="36"/>
      <c r="L62" s="36"/>
      <c r="O62" s="36"/>
    </row>
    <row r="63" spans="1:15" x14ac:dyDescent="0.2">
      <c r="A63" s="31"/>
      <c r="B63" s="31"/>
      <c r="C63" s="36"/>
      <c r="D63" s="36"/>
      <c r="E63" s="36"/>
      <c r="F63" s="36"/>
      <c r="G63" s="36"/>
      <c r="H63" s="36"/>
      <c r="I63" s="36"/>
      <c r="K63" s="36"/>
      <c r="L63" s="36"/>
      <c r="O63" s="36"/>
    </row>
    <row r="64" spans="1:15" x14ac:dyDescent="0.2">
      <c r="C64" s="36"/>
      <c r="D64" s="36"/>
      <c r="E64" s="36"/>
      <c r="F64" s="36"/>
      <c r="G64" s="36"/>
      <c r="H64" s="36"/>
      <c r="I64" s="36"/>
      <c r="K64" s="36"/>
      <c r="L64" s="36"/>
      <c r="O64" s="36"/>
    </row>
    <row r="65" spans="2:15" x14ac:dyDescent="0.2">
      <c r="C65" s="36"/>
      <c r="D65" s="36"/>
      <c r="E65" s="36"/>
      <c r="F65" s="36"/>
      <c r="G65" s="36"/>
      <c r="H65" s="36"/>
      <c r="I65" s="36"/>
      <c r="K65" s="36"/>
      <c r="L65" s="36"/>
      <c r="O65" s="36"/>
    </row>
    <row r="66" spans="2:15" x14ac:dyDescent="0.2">
      <c r="C66" s="36"/>
      <c r="D66" s="36"/>
      <c r="E66" s="36"/>
      <c r="F66" s="36"/>
      <c r="G66" s="36"/>
      <c r="H66" s="36"/>
      <c r="I66" s="36"/>
      <c r="K66" s="36"/>
      <c r="L66" s="36"/>
      <c r="O66" s="36"/>
    </row>
    <row r="67" spans="2:15" x14ac:dyDescent="0.2">
      <c r="C67" s="36"/>
      <c r="D67" s="36"/>
      <c r="E67" s="36"/>
      <c r="F67" s="36"/>
      <c r="G67" s="36"/>
      <c r="H67" s="36"/>
      <c r="I67" s="36"/>
      <c r="K67" s="36"/>
      <c r="L67" s="36"/>
      <c r="O67" s="36"/>
    </row>
    <row r="68" spans="2:15" hidden="1" x14ac:dyDescent="0.2">
      <c r="C68" s="36"/>
      <c r="D68" s="36"/>
      <c r="E68" s="36"/>
      <c r="F68" s="36"/>
      <c r="G68" s="36"/>
      <c r="H68" s="36"/>
      <c r="I68" s="36"/>
      <c r="K68" s="36"/>
      <c r="L68" s="36"/>
      <c r="O68" s="36"/>
    </row>
    <row r="69" spans="2:15" hidden="1" x14ac:dyDescent="0.2">
      <c r="C69" s="36"/>
      <c r="D69" s="36"/>
      <c r="E69" s="36"/>
      <c r="F69" s="36"/>
      <c r="G69" s="36"/>
      <c r="H69" s="36"/>
      <c r="I69" s="36"/>
      <c r="K69" s="36"/>
      <c r="L69" s="36"/>
      <c r="O69" s="36"/>
    </row>
    <row r="70" spans="2:15" ht="13.5" hidden="1" x14ac:dyDescent="0.25">
      <c r="B70" s="18" t="s">
        <v>24</v>
      </c>
      <c r="C70" s="36"/>
      <c r="D70" s="36"/>
      <c r="E70" s="36"/>
      <c r="F70" s="36"/>
      <c r="G70" s="36"/>
      <c r="H70" s="36"/>
      <c r="I70" s="36"/>
      <c r="K70" s="36"/>
      <c r="L70" s="36"/>
      <c r="O70" s="36"/>
    </row>
    <row r="71" spans="2:15" hidden="1" x14ac:dyDescent="0.2">
      <c r="B71" s="32" t="s">
        <v>25</v>
      </c>
      <c r="C71" s="36"/>
      <c r="D71" s="36"/>
      <c r="E71" s="36"/>
      <c r="F71" s="36"/>
      <c r="G71" s="36"/>
      <c r="H71" s="36"/>
      <c r="I71" s="36"/>
      <c r="K71" s="36"/>
      <c r="L71" s="36"/>
      <c r="O71" s="36"/>
    </row>
    <row r="72" spans="2:15" hidden="1" x14ac:dyDescent="0.2">
      <c r="B72" s="32" t="s">
        <v>26</v>
      </c>
      <c r="C72" s="36"/>
      <c r="D72" s="36"/>
      <c r="E72" s="36"/>
      <c r="F72" s="36"/>
      <c r="G72" s="36"/>
      <c r="H72" s="36"/>
      <c r="I72" s="36"/>
      <c r="K72" s="36"/>
      <c r="L72" s="36"/>
      <c r="O72" s="36"/>
    </row>
    <row r="73" spans="2:15" hidden="1" x14ac:dyDescent="0.2">
      <c r="B73" s="32" t="s">
        <v>27</v>
      </c>
      <c r="C73" s="36"/>
      <c r="D73" s="36"/>
      <c r="E73" s="36"/>
      <c r="F73" s="36"/>
      <c r="G73" s="36"/>
      <c r="H73" s="36"/>
      <c r="I73" s="36"/>
      <c r="K73" s="36"/>
      <c r="L73" s="36"/>
      <c r="O73" s="36"/>
    </row>
    <row r="74" spans="2:15" hidden="1" x14ac:dyDescent="0.2">
      <c r="B74" s="32" t="s">
        <v>28</v>
      </c>
      <c r="C74" s="36"/>
      <c r="D74" s="36"/>
      <c r="E74" s="36"/>
      <c r="F74" s="36"/>
      <c r="G74" s="36"/>
      <c r="H74" s="36"/>
      <c r="I74" s="36"/>
      <c r="K74" s="36"/>
      <c r="L74" s="36"/>
      <c r="O74" s="36"/>
    </row>
    <row r="75" spans="2:15" hidden="1" x14ac:dyDescent="0.2">
      <c r="C75" s="36"/>
      <c r="D75" s="36"/>
      <c r="E75" s="36"/>
      <c r="F75" s="36"/>
      <c r="G75" s="36"/>
      <c r="H75" s="36"/>
      <c r="I75" s="36"/>
      <c r="K75" s="36"/>
      <c r="L75" s="36"/>
      <c r="O75" s="36"/>
    </row>
    <row r="76" spans="2:15" hidden="1" x14ac:dyDescent="0.2">
      <c r="C76" s="36"/>
      <c r="D76" s="36"/>
      <c r="E76" s="36"/>
      <c r="F76" s="36"/>
      <c r="G76" s="36"/>
      <c r="H76" s="36"/>
      <c r="I76" s="36"/>
      <c r="K76" s="36"/>
      <c r="L76" s="36"/>
      <c r="O76" s="36"/>
    </row>
    <row r="77" spans="2:15" ht="13.5" hidden="1" x14ac:dyDescent="0.25">
      <c r="B77" s="18" t="s">
        <v>29</v>
      </c>
      <c r="C77" s="36"/>
      <c r="D77" s="36"/>
      <c r="E77" s="36"/>
      <c r="F77" s="36"/>
      <c r="G77" s="36"/>
      <c r="H77" s="36"/>
      <c r="I77" s="36"/>
      <c r="K77" s="36"/>
      <c r="L77" s="36"/>
      <c r="O77" s="36"/>
    </row>
    <row r="78" spans="2:15" hidden="1" x14ac:dyDescent="0.2">
      <c r="B78" s="32" t="s">
        <v>30</v>
      </c>
      <c r="C78" s="36"/>
      <c r="D78" s="36"/>
      <c r="E78" s="36"/>
      <c r="F78" s="36"/>
      <c r="G78" s="36"/>
      <c r="H78" s="36"/>
      <c r="I78" s="36"/>
      <c r="K78" s="36"/>
      <c r="L78" s="36"/>
      <c r="O78" s="36"/>
    </row>
    <row r="79" spans="2:15" hidden="1" x14ac:dyDescent="0.2">
      <c r="B79" s="32" t="s">
        <v>31</v>
      </c>
      <c r="C79" s="36"/>
      <c r="D79" s="36"/>
      <c r="E79" s="36"/>
      <c r="F79" s="36"/>
      <c r="G79" s="36"/>
      <c r="H79" s="36"/>
      <c r="I79" s="36"/>
      <c r="K79" s="36"/>
      <c r="L79" s="36"/>
      <c r="O79" s="36"/>
    </row>
    <row r="80" spans="2:15" hidden="1" x14ac:dyDescent="0.2">
      <c r="B80" s="32" t="s">
        <v>32</v>
      </c>
    </row>
    <row r="81" spans="2:2" hidden="1" x14ac:dyDescent="0.2">
      <c r="B81" s="32" t="s">
        <v>33</v>
      </c>
    </row>
    <row r="82" spans="2:2" hidden="1" x14ac:dyDescent="0.2"/>
  </sheetData>
  <mergeCells count="5">
    <mergeCell ref="A6:G6"/>
    <mergeCell ref="A1:G1"/>
    <mergeCell ref="A3:G3"/>
    <mergeCell ref="A4:G4"/>
    <mergeCell ref="A5:G5"/>
  </mergeCells>
  <printOptions horizontalCentered="1"/>
  <pageMargins left="0.5" right="0.5" top="1" bottom="1" header="0" footer="0"/>
  <pageSetup scale="74"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R81"/>
  <sheetViews>
    <sheetView view="pageBreakPreview" zoomScale="60" zoomScaleNormal="100" workbookViewId="0">
      <selection activeCell="P49" sqref="P49"/>
    </sheetView>
  </sheetViews>
  <sheetFormatPr defaultRowHeight="12.75" x14ac:dyDescent="0.2"/>
  <cols>
    <col min="2" max="2" width="49.83203125" customWidth="1"/>
    <col min="3" max="3" width="18.83203125" hidden="1" customWidth="1"/>
    <col min="4" max="4" width="12.83203125" hidden="1" customWidth="1"/>
    <col min="5" max="5" width="3.83203125" hidden="1" customWidth="1"/>
    <col min="6" max="6" width="12.83203125" hidden="1" customWidth="1"/>
    <col min="7" max="7" width="9.33203125" hidden="1" customWidth="1"/>
    <col min="8" max="8" width="12.83203125" hidden="1" customWidth="1"/>
    <col min="9" max="10" width="9.33203125" hidden="1" customWidth="1"/>
    <col min="11" max="11" width="1.83203125" customWidth="1"/>
    <col min="12" max="12" width="13.83203125" customWidth="1"/>
    <col min="13" max="13" width="1.83203125" customWidth="1"/>
    <col min="14" max="14" width="13.83203125" customWidth="1"/>
    <col min="15" max="15" width="1.1640625" customWidth="1"/>
    <col min="16" max="16" width="14.6640625" customWidth="1"/>
    <col min="17" max="17" width="1.5" customWidth="1"/>
    <col min="18" max="18" width="11.83203125" customWidth="1"/>
  </cols>
  <sheetData>
    <row r="1" spans="1:18" x14ac:dyDescent="0.2">
      <c r="A1" s="176" t="s">
        <v>173</v>
      </c>
      <c r="B1" s="176"/>
      <c r="C1" s="176"/>
      <c r="D1" s="176"/>
      <c r="E1" s="176"/>
      <c r="F1" s="176"/>
      <c r="G1" s="176"/>
      <c r="H1" s="176"/>
      <c r="I1" s="176"/>
      <c r="J1" s="176"/>
      <c r="K1" s="176"/>
      <c r="L1" s="176"/>
      <c r="M1" s="176"/>
      <c r="N1" s="176"/>
      <c r="O1" s="176"/>
      <c r="P1" s="176"/>
      <c r="Q1" s="176"/>
      <c r="R1" s="176"/>
    </row>
    <row r="2" spans="1:18" x14ac:dyDescent="0.2">
      <c r="A2" s="176" t="s">
        <v>104</v>
      </c>
      <c r="B2" s="176"/>
      <c r="C2" s="176"/>
      <c r="D2" s="176"/>
      <c r="E2" s="176"/>
      <c r="F2" s="176"/>
      <c r="G2" s="176"/>
      <c r="H2" s="176"/>
      <c r="I2" s="176"/>
      <c r="J2" s="176"/>
      <c r="K2" s="176"/>
      <c r="L2" s="176"/>
      <c r="M2" s="176"/>
      <c r="N2" s="176"/>
      <c r="O2" s="176"/>
      <c r="P2" s="176"/>
      <c r="Q2" s="176"/>
      <c r="R2" s="176"/>
    </row>
    <row r="3" spans="1:18" x14ac:dyDescent="0.2">
      <c r="A3" s="176"/>
      <c r="B3" s="176"/>
      <c r="C3" s="176"/>
      <c r="D3" s="176"/>
      <c r="E3" s="176"/>
      <c r="F3" s="176"/>
      <c r="G3" s="176"/>
      <c r="H3" s="176"/>
      <c r="I3" s="176"/>
      <c r="J3" s="176"/>
      <c r="K3" s="176"/>
      <c r="L3" s="176"/>
      <c r="M3" s="176"/>
      <c r="N3" s="176"/>
      <c r="O3" s="176"/>
      <c r="P3" s="176"/>
      <c r="Q3" s="176"/>
      <c r="R3" s="176"/>
    </row>
    <row r="4" spans="1:18" x14ac:dyDescent="0.2">
      <c r="A4" s="178" t="s">
        <v>120</v>
      </c>
      <c r="B4" s="178"/>
      <c r="C4" s="178"/>
      <c r="D4" s="178"/>
      <c r="E4" s="178"/>
      <c r="F4" s="178"/>
      <c r="G4" s="178"/>
      <c r="H4" s="178"/>
      <c r="I4" s="178"/>
      <c r="J4" s="178"/>
      <c r="K4" s="178"/>
      <c r="L4" s="178"/>
      <c r="M4" s="178"/>
      <c r="N4" s="178"/>
      <c r="O4" s="178"/>
      <c r="P4" s="178"/>
      <c r="Q4" s="178"/>
      <c r="R4" s="178"/>
    </row>
    <row r="5" spans="1:18" x14ac:dyDescent="0.2">
      <c r="B5" s="5"/>
      <c r="C5" s="5"/>
      <c r="D5" s="5"/>
      <c r="E5" s="5"/>
      <c r="F5" s="5"/>
      <c r="G5" s="5"/>
      <c r="H5" s="5"/>
      <c r="I5" s="5"/>
      <c r="J5" s="5"/>
      <c r="K5" s="5"/>
      <c r="L5" s="5"/>
      <c r="M5" s="5"/>
      <c r="N5" s="5"/>
      <c r="O5" s="5"/>
    </row>
    <row r="6" spans="1:18" x14ac:dyDescent="0.2">
      <c r="A6" s="1"/>
      <c r="B6" s="5"/>
      <c r="C6" s="5"/>
      <c r="D6" s="5"/>
      <c r="E6" s="5"/>
      <c r="F6" s="5"/>
      <c r="G6" s="5"/>
      <c r="H6" s="5"/>
      <c r="I6" s="5"/>
      <c r="J6" s="5"/>
      <c r="K6" s="5"/>
      <c r="M6" s="118" t="s">
        <v>92</v>
      </c>
      <c r="O6" s="117" t="s">
        <v>92</v>
      </c>
      <c r="P6" s="153"/>
    </row>
    <row r="7" spans="1:18" x14ac:dyDescent="0.2">
      <c r="A7" s="1"/>
      <c r="B7" s="5"/>
      <c r="C7" s="5"/>
      <c r="D7" s="5"/>
      <c r="E7" s="5"/>
      <c r="F7" s="5"/>
      <c r="G7" s="5"/>
      <c r="H7" s="5"/>
      <c r="I7" s="5"/>
      <c r="J7" s="5"/>
      <c r="K7" s="119"/>
      <c r="L7" s="119" t="s">
        <v>200</v>
      </c>
      <c r="M7" s="133" t="s">
        <v>92</v>
      </c>
      <c r="N7" s="153" t="s">
        <v>202</v>
      </c>
      <c r="O7" s="117" t="s">
        <v>92</v>
      </c>
      <c r="P7" s="119" t="s">
        <v>200</v>
      </c>
    </row>
    <row r="8" spans="1:18" x14ac:dyDescent="0.2">
      <c r="A8" s="1"/>
      <c r="B8" s="5"/>
      <c r="C8" s="5"/>
      <c r="D8" s="5"/>
      <c r="E8" s="5"/>
      <c r="F8" s="5"/>
      <c r="G8" s="5"/>
      <c r="H8" s="5"/>
      <c r="I8" s="5"/>
      <c r="J8" s="5"/>
      <c r="K8" s="134" t="s">
        <v>92</v>
      </c>
      <c r="L8" s="124" t="s">
        <v>201</v>
      </c>
      <c r="M8" s="133" t="s">
        <v>92</v>
      </c>
      <c r="N8" s="137" t="s">
        <v>203</v>
      </c>
      <c r="O8" s="117" t="s">
        <v>92</v>
      </c>
      <c r="P8" s="124" t="s">
        <v>199</v>
      </c>
      <c r="R8" s="137" t="s">
        <v>204</v>
      </c>
    </row>
    <row r="9" spans="1:18" ht="13.5" customHeight="1" x14ac:dyDescent="0.3">
      <c r="A9" s="19"/>
      <c r="B9" s="19"/>
      <c r="C9" s="19"/>
      <c r="D9" s="19"/>
      <c r="E9" s="19"/>
      <c r="F9" s="19"/>
      <c r="G9" s="19"/>
      <c r="H9" s="19"/>
      <c r="I9" s="19"/>
      <c r="J9" s="19"/>
      <c r="K9" s="19"/>
      <c r="L9" s="19"/>
      <c r="M9" s="19"/>
      <c r="N9" s="19"/>
      <c r="O9" s="19"/>
    </row>
    <row r="10" spans="1:18" hidden="1" x14ac:dyDescent="0.2"/>
    <row r="11" spans="1:18" hidden="1" x14ac:dyDescent="0.2"/>
    <row r="12" spans="1:18" hidden="1" x14ac:dyDescent="0.2">
      <c r="H12" s="2" t="s">
        <v>45</v>
      </c>
      <c r="J12" s="2" t="s">
        <v>46</v>
      </c>
      <c r="K12" s="2"/>
      <c r="M12" s="2"/>
    </row>
    <row r="13" spans="1:18" hidden="1" x14ac:dyDescent="0.2">
      <c r="D13" s="3" t="s">
        <v>47</v>
      </c>
      <c r="E13" s="3"/>
      <c r="F13" s="3"/>
      <c r="H13" s="2" t="s">
        <v>48</v>
      </c>
      <c r="J13" s="2" t="s">
        <v>49</v>
      </c>
      <c r="K13" s="2"/>
      <c r="M13" s="2"/>
    </row>
    <row r="14" spans="1:18" hidden="1" x14ac:dyDescent="0.2">
      <c r="D14" s="4" t="s">
        <v>50</v>
      </c>
      <c r="E14" s="13"/>
      <c r="F14" s="4" t="s">
        <v>51</v>
      </c>
      <c r="H14" s="4" t="s">
        <v>52</v>
      </c>
      <c r="J14" s="4" t="s">
        <v>53</v>
      </c>
      <c r="K14" s="13"/>
      <c r="L14" s="13"/>
      <c r="M14" s="13"/>
      <c r="N14" s="13"/>
      <c r="O14" s="13"/>
    </row>
    <row r="15" spans="1:18" hidden="1" x14ac:dyDescent="0.2">
      <c r="J15" s="2"/>
      <c r="K15" s="2"/>
      <c r="L15" s="10"/>
      <c r="M15" s="2"/>
      <c r="N15" s="10"/>
      <c r="O15" s="10"/>
    </row>
    <row r="16" spans="1:18" hidden="1" x14ac:dyDescent="0.2">
      <c r="B16" t="s">
        <v>54</v>
      </c>
      <c r="D16" s="26">
        <v>1000</v>
      </c>
      <c r="E16" s="26"/>
      <c r="F16" s="27">
        <v>1</v>
      </c>
      <c r="G16" s="27"/>
      <c r="H16" s="27">
        <v>68961</v>
      </c>
      <c r="I16" s="27"/>
      <c r="J16" s="27">
        <v>-9952</v>
      </c>
      <c r="K16" s="27"/>
      <c r="L16" s="17"/>
      <c r="M16" s="27"/>
      <c r="N16" s="17"/>
      <c r="O16" s="17">
        <v>59010</v>
      </c>
      <c r="Q16" s="7"/>
    </row>
    <row r="17" spans="2:18" hidden="1" x14ac:dyDescent="0.2">
      <c r="J17" s="2"/>
      <c r="K17" s="2"/>
      <c r="M17" s="2"/>
    </row>
    <row r="18" spans="2:18" hidden="1" x14ac:dyDescent="0.2">
      <c r="B18" t="s">
        <v>55</v>
      </c>
      <c r="H18" s="26">
        <v>7130</v>
      </c>
      <c r="J18" s="2"/>
      <c r="K18" s="2"/>
      <c r="L18" s="7"/>
      <c r="M18" s="2"/>
      <c r="N18" s="7"/>
      <c r="O18" s="7">
        <v>7130</v>
      </c>
      <c r="Q18" s="7"/>
    </row>
    <row r="19" spans="2:18" hidden="1" x14ac:dyDescent="0.2">
      <c r="G19" s="10"/>
      <c r="I19" s="10"/>
      <c r="J19" s="2"/>
      <c r="K19" s="2"/>
      <c r="M19" s="2"/>
    </row>
    <row r="20" spans="2:18" hidden="1" x14ac:dyDescent="0.2">
      <c r="B20" t="s">
        <v>56</v>
      </c>
      <c r="G20" s="10"/>
      <c r="I20" s="10"/>
      <c r="J20" s="26">
        <v>5030</v>
      </c>
      <c r="K20" s="26"/>
      <c r="L20" s="7"/>
      <c r="M20" s="26"/>
      <c r="N20" s="7"/>
      <c r="O20" s="7">
        <v>5030</v>
      </c>
      <c r="Q20" s="7"/>
    </row>
    <row r="21" spans="2:18" hidden="1" x14ac:dyDescent="0.2">
      <c r="D21" s="8"/>
      <c r="E21" s="10"/>
      <c r="F21" s="8">
        <v>90266</v>
      </c>
      <c r="G21" s="10"/>
      <c r="H21" s="8"/>
      <c r="I21" s="10"/>
      <c r="J21" s="4"/>
      <c r="K21" s="4"/>
      <c r="L21" s="8"/>
      <c r="M21" s="4"/>
      <c r="N21" s="8"/>
      <c r="O21" s="8"/>
    </row>
    <row r="22" spans="2:18" hidden="1" x14ac:dyDescent="0.2">
      <c r="B22" t="s">
        <v>57</v>
      </c>
      <c r="D22" s="26">
        <v>1000</v>
      </c>
      <c r="E22" s="28"/>
      <c r="F22" s="26">
        <v>1</v>
      </c>
      <c r="G22" s="28"/>
      <c r="H22" s="26">
        <v>76091</v>
      </c>
      <c r="I22" s="28"/>
      <c r="J22" s="26">
        <v>-4922</v>
      </c>
      <c r="K22" s="26"/>
      <c r="L22" s="27"/>
      <c r="M22" s="26"/>
      <c r="N22" s="27"/>
      <c r="O22" s="27">
        <v>71170</v>
      </c>
      <c r="Q22" s="7"/>
    </row>
    <row r="23" spans="2:18" hidden="1" x14ac:dyDescent="0.2">
      <c r="D23" s="26"/>
      <c r="E23" s="28"/>
      <c r="F23" s="26"/>
      <c r="G23" s="28"/>
      <c r="H23" s="27">
        <v>68961</v>
      </c>
      <c r="I23" s="28"/>
      <c r="J23" s="26"/>
      <c r="K23" s="26"/>
      <c r="M23" s="26"/>
    </row>
    <row r="24" spans="2:18" hidden="1" x14ac:dyDescent="0.2">
      <c r="D24" s="26"/>
      <c r="E24" s="28"/>
      <c r="F24" s="26"/>
      <c r="G24" s="28"/>
      <c r="H24" s="26"/>
      <c r="I24" s="28"/>
      <c r="J24" s="26"/>
      <c r="K24" s="26"/>
      <c r="M24" s="26"/>
    </row>
    <row r="25" spans="2:18" hidden="1" x14ac:dyDescent="0.2">
      <c r="D25" s="26"/>
      <c r="E25" s="28"/>
      <c r="F25" s="26"/>
      <c r="G25" s="28"/>
      <c r="H25" s="26"/>
      <c r="I25" s="28"/>
      <c r="J25" s="26"/>
      <c r="K25" s="26"/>
      <c r="M25" s="26"/>
    </row>
    <row r="26" spans="2:18" hidden="1" x14ac:dyDescent="0.2">
      <c r="D26" s="26"/>
      <c r="E26" s="28"/>
      <c r="F26" s="26"/>
      <c r="G26" s="28"/>
      <c r="H26" s="26"/>
      <c r="I26" s="28"/>
      <c r="J26" s="26"/>
      <c r="K26" s="26"/>
      <c r="M26" s="26"/>
    </row>
    <row r="27" spans="2:18" hidden="1" x14ac:dyDescent="0.2">
      <c r="D27" s="26"/>
      <c r="E27" s="28"/>
      <c r="F27" s="26"/>
      <c r="G27" s="28"/>
      <c r="H27" s="26"/>
      <c r="I27" s="28"/>
      <c r="J27" s="26"/>
      <c r="K27" s="26"/>
      <c r="M27" s="26"/>
    </row>
    <row r="28" spans="2:18" hidden="1" x14ac:dyDescent="0.2">
      <c r="B28" t="s">
        <v>55</v>
      </c>
      <c r="D28" s="26"/>
      <c r="E28" s="28"/>
      <c r="F28" s="26"/>
      <c r="G28" s="28"/>
      <c r="H28" s="26">
        <v>34757</v>
      </c>
      <c r="I28" s="28"/>
      <c r="J28" s="26"/>
      <c r="K28" s="26"/>
      <c r="L28" s="7"/>
      <c r="M28" s="26"/>
      <c r="N28" s="7"/>
      <c r="O28" s="7">
        <v>34757</v>
      </c>
      <c r="Q28" s="7"/>
    </row>
    <row r="29" spans="2:18" hidden="1" x14ac:dyDescent="0.2">
      <c r="D29" s="26"/>
      <c r="E29" s="28"/>
      <c r="F29" s="26"/>
      <c r="G29" s="28"/>
      <c r="H29" s="26"/>
      <c r="I29" s="28"/>
      <c r="J29" s="26"/>
      <c r="K29" s="26"/>
      <c r="M29" s="26"/>
    </row>
    <row r="30" spans="2:18" hidden="1" x14ac:dyDescent="0.2">
      <c r="B30" t="s">
        <v>21</v>
      </c>
      <c r="D30" s="26"/>
      <c r="E30" s="28"/>
      <c r="F30" s="26"/>
      <c r="G30" s="28"/>
      <c r="H30" s="26"/>
      <c r="I30" s="28"/>
      <c r="J30" s="26">
        <v>-23806</v>
      </c>
      <c r="K30" s="26"/>
      <c r="L30" s="7"/>
      <c r="M30" s="26"/>
      <c r="N30" s="7"/>
      <c r="O30" s="7">
        <v>-23485</v>
      </c>
      <c r="Q30" s="7"/>
    </row>
    <row r="31" spans="2:18" hidden="1" x14ac:dyDescent="0.2">
      <c r="D31" s="29"/>
      <c r="E31" s="28"/>
      <c r="F31" s="29"/>
      <c r="G31" s="28"/>
      <c r="H31" s="29"/>
      <c r="I31" s="28"/>
      <c r="J31" s="29"/>
      <c r="K31" s="29"/>
      <c r="L31" s="8"/>
      <c r="M31" s="29"/>
      <c r="N31" s="8"/>
      <c r="O31" s="8"/>
    </row>
    <row r="32" spans="2:18" x14ac:dyDescent="0.2">
      <c r="B32" t="s">
        <v>224</v>
      </c>
      <c r="E32" s="10"/>
      <c r="I32" s="10"/>
      <c r="K32" s="6"/>
      <c r="L32" s="6">
        <v>0</v>
      </c>
      <c r="M32" s="6"/>
      <c r="N32" s="6">
        <v>0</v>
      </c>
      <c r="O32" s="6">
        <v>97081</v>
      </c>
      <c r="P32" s="6">
        <v>50000</v>
      </c>
      <c r="Q32" s="6"/>
      <c r="R32" s="6">
        <f>L32+N32+P32</f>
        <v>50000</v>
      </c>
    </row>
    <row r="33" spans="2:18" x14ac:dyDescent="0.2">
      <c r="E33" s="10"/>
      <c r="I33" s="10"/>
      <c r="K33" s="6"/>
      <c r="L33" s="6"/>
      <c r="M33" s="6"/>
      <c r="N33" s="6"/>
      <c r="O33" s="6"/>
      <c r="P33" s="6"/>
      <c r="Q33" s="6"/>
      <c r="R33" s="6"/>
    </row>
    <row r="34" spans="2:18" x14ac:dyDescent="0.2">
      <c r="B34" s="157" t="s">
        <v>189</v>
      </c>
      <c r="E34" s="10"/>
      <c r="I34" s="10"/>
      <c r="K34" s="6"/>
      <c r="L34" s="6"/>
      <c r="M34" s="6"/>
      <c r="N34" s="168">
        <v>-50000</v>
      </c>
      <c r="O34" s="6">
        <v>165000</v>
      </c>
      <c r="P34" s="6"/>
      <c r="Q34" s="6"/>
      <c r="R34" s="6">
        <f>L34+N34+P34</f>
        <v>-50000</v>
      </c>
    </row>
    <row r="35" spans="2:18" x14ac:dyDescent="0.2">
      <c r="E35" s="10"/>
      <c r="I35" s="10"/>
      <c r="K35" s="6"/>
      <c r="L35" s="6"/>
      <c r="M35" s="6"/>
      <c r="N35" s="6"/>
      <c r="O35" s="6"/>
      <c r="P35" s="6"/>
      <c r="Q35" s="6"/>
      <c r="R35" s="6"/>
    </row>
    <row r="36" spans="2:18" x14ac:dyDescent="0.2">
      <c r="B36" s="157" t="s">
        <v>217</v>
      </c>
      <c r="K36" s="6"/>
      <c r="L36" s="6">
        <v>4500</v>
      </c>
      <c r="M36" s="6"/>
      <c r="N36" s="6">
        <v>4000</v>
      </c>
      <c r="O36" s="6"/>
      <c r="P36" s="6">
        <v>0</v>
      </c>
      <c r="Q36" s="6"/>
      <c r="R36" s="6">
        <f>L36+N36+P36</f>
        <v>8500</v>
      </c>
    </row>
    <row r="38" spans="2:18" x14ac:dyDescent="0.2">
      <c r="B38" s="157" t="s">
        <v>218</v>
      </c>
      <c r="K38" s="6"/>
      <c r="L38" s="6">
        <f>-'Formal IS'!F51*0.5</f>
        <v>-523.5</v>
      </c>
      <c r="M38" s="6"/>
      <c r="N38" s="6">
        <f>-'Formal IS'!F51*0.5</f>
        <v>-523.5</v>
      </c>
      <c r="O38" s="6"/>
      <c r="P38" s="6">
        <v>0</v>
      </c>
      <c r="Q38" s="6"/>
      <c r="R38" s="6">
        <f>SUM(L38:P38)</f>
        <v>-1047</v>
      </c>
    </row>
    <row r="39" spans="2:18" x14ac:dyDescent="0.2">
      <c r="K39" s="6"/>
      <c r="L39" s="6"/>
      <c r="M39" s="6"/>
      <c r="N39" s="6"/>
      <c r="O39" s="6"/>
      <c r="P39" s="6"/>
      <c r="Q39" s="6"/>
      <c r="R39" s="6"/>
    </row>
    <row r="40" spans="2:18" x14ac:dyDescent="0.2">
      <c r="B40" t="s">
        <v>219</v>
      </c>
      <c r="K40" s="7"/>
      <c r="L40" s="6">
        <f>'Formal IS'!C39*0.3</f>
        <v>27.9</v>
      </c>
      <c r="M40" s="6"/>
      <c r="N40" s="6">
        <v>0</v>
      </c>
      <c r="O40" s="6">
        <v>-83838</v>
      </c>
      <c r="P40" s="6">
        <f>'Formal IS'!C39*0.7</f>
        <v>65.099999999999994</v>
      </c>
      <c r="Q40" s="6"/>
      <c r="R40" s="6">
        <f>L40+N40+P40</f>
        <v>93</v>
      </c>
    </row>
    <row r="41" spans="2:18" x14ac:dyDescent="0.2">
      <c r="K41" s="7"/>
      <c r="L41" s="6"/>
      <c r="M41" s="6"/>
      <c r="N41" s="6"/>
      <c r="O41" s="6"/>
      <c r="P41" s="6"/>
      <c r="Q41" s="6"/>
      <c r="R41" s="6"/>
    </row>
    <row r="42" spans="2:18" x14ac:dyDescent="0.2">
      <c r="B42" t="s">
        <v>220</v>
      </c>
      <c r="K42" s="7"/>
      <c r="L42" s="6">
        <f>-'Formal IS'!F52*0.5</f>
        <v>-33.5</v>
      </c>
      <c r="M42" s="6"/>
      <c r="N42" s="6">
        <f>-'Formal IS'!F52*0.5</f>
        <v>-33.5</v>
      </c>
      <c r="O42" s="6"/>
      <c r="P42" s="6"/>
      <c r="Q42" s="6"/>
      <c r="R42" s="6">
        <f>SUM(L42:P42)</f>
        <v>-67</v>
      </c>
    </row>
    <row r="43" spans="2:18" x14ac:dyDescent="0.2">
      <c r="K43" s="7"/>
      <c r="L43" s="6"/>
      <c r="M43" s="6"/>
      <c r="N43" s="6"/>
      <c r="O43" s="6"/>
      <c r="P43" s="6"/>
      <c r="Q43" s="6"/>
      <c r="R43" s="6"/>
    </row>
    <row r="44" spans="2:18" x14ac:dyDescent="0.2">
      <c r="B44" t="s">
        <v>223</v>
      </c>
      <c r="K44" s="7"/>
      <c r="L44" s="6"/>
      <c r="M44" s="6"/>
      <c r="N44" s="6"/>
      <c r="O44" s="6"/>
      <c r="P44" s="6">
        <v>-1500</v>
      </c>
      <c r="Q44" s="6"/>
      <c r="R44" s="6">
        <f>SUM(L44:P44)</f>
        <v>-1500</v>
      </c>
    </row>
    <row r="45" spans="2:18" x14ac:dyDescent="0.2">
      <c r="L45" s="6"/>
      <c r="M45" s="6"/>
      <c r="N45" s="6"/>
      <c r="O45" s="6"/>
      <c r="P45" s="6"/>
      <c r="Q45" s="6"/>
      <c r="R45" s="6">
        <f>L45+N45+P45</f>
        <v>0</v>
      </c>
    </row>
    <row r="46" spans="2:18" ht="13.5" thickBot="1" x14ac:dyDescent="0.25">
      <c r="B46" s="87" t="s">
        <v>198</v>
      </c>
      <c r="K46" s="24"/>
      <c r="L46" s="162">
        <f>SUM(L32:L45)</f>
        <v>3970.9</v>
      </c>
      <c r="M46" s="11"/>
      <c r="N46" s="162">
        <f>SUM(N32:N45)</f>
        <v>-46557</v>
      </c>
      <c r="O46" s="11">
        <v>260685</v>
      </c>
      <c r="P46" s="162">
        <f>SUM(P32:P45)</f>
        <v>48565.1</v>
      </c>
      <c r="Q46" s="6"/>
      <c r="R46" s="162">
        <f>SUM(R32:R44)</f>
        <v>5979</v>
      </c>
    </row>
    <row r="47" spans="2:18" ht="14.25" customHeight="1" thickTop="1" x14ac:dyDescent="0.2"/>
    <row r="48" spans="2:18" x14ac:dyDescent="0.2">
      <c r="R48" s="7"/>
    </row>
    <row r="49" spans="1:18" ht="107.25" customHeight="1" x14ac:dyDescent="0.2">
      <c r="A49" s="159" t="s">
        <v>181</v>
      </c>
      <c r="B49" s="177" t="s">
        <v>175</v>
      </c>
      <c r="C49" s="177"/>
      <c r="D49" s="177"/>
      <c r="E49" s="177"/>
      <c r="F49" s="177"/>
      <c r="G49" s="177"/>
      <c r="H49" s="177"/>
      <c r="I49" s="177"/>
      <c r="J49" s="177"/>
      <c r="K49" s="177"/>
      <c r="L49" s="177"/>
      <c r="M49" s="177"/>
      <c r="N49" s="177"/>
    </row>
    <row r="50" spans="1:18" ht="1.5" customHeight="1" x14ac:dyDescent="0.2"/>
    <row r="51" spans="1:18" ht="26.25" customHeight="1" x14ac:dyDescent="0.2">
      <c r="A51" s="159" t="s">
        <v>182</v>
      </c>
      <c r="B51" s="177" t="s">
        <v>176</v>
      </c>
      <c r="C51" s="177"/>
      <c r="D51" s="177"/>
      <c r="E51" s="177"/>
      <c r="F51" s="177"/>
      <c r="G51" s="177"/>
      <c r="H51" s="177"/>
      <c r="I51" s="177"/>
      <c r="J51" s="177"/>
      <c r="K51" s="177"/>
      <c r="L51" s="177"/>
      <c r="M51" s="177"/>
      <c r="N51" s="177"/>
      <c r="R51" s="30"/>
    </row>
    <row r="52" spans="1:18" x14ac:dyDescent="0.2">
      <c r="B52" s="177" t="s">
        <v>177</v>
      </c>
      <c r="C52" s="177"/>
      <c r="D52" s="177"/>
      <c r="E52" s="177"/>
      <c r="F52" s="177"/>
      <c r="G52" s="177"/>
      <c r="H52" s="177"/>
      <c r="I52" s="177"/>
      <c r="J52" s="177"/>
      <c r="K52" s="177"/>
      <c r="L52" s="177"/>
      <c r="M52" s="177"/>
      <c r="N52" s="177"/>
    </row>
    <row r="53" spans="1:18" ht="16.5" customHeight="1" x14ac:dyDescent="0.2">
      <c r="A53" s="159" t="s">
        <v>183</v>
      </c>
      <c r="B53" s="177" t="s">
        <v>226</v>
      </c>
      <c r="C53" s="177"/>
      <c r="D53" s="177"/>
      <c r="E53" s="177"/>
      <c r="F53" s="177"/>
      <c r="G53" s="177"/>
      <c r="H53" s="177"/>
      <c r="I53" s="177"/>
      <c r="J53" s="177"/>
      <c r="K53" s="177"/>
      <c r="L53" s="177"/>
      <c r="M53" s="177"/>
      <c r="N53" s="177"/>
    </row>
    <row r="54" spans="1:18" ht="16.5" customHeight="1" x14ac:dyDescent="0.2">
      <c r="A54" s="159" t="s">
        <v>221</v>
      </c>
      <c r="B54" s="163" t="s">
        <v>225</v>
      </c>
      <c r="C54" s="163"/>
      <c r="D54" s="163"/>
      <c r="E54" s="163"/>
      <c r="F54" s="163"/>
      <c r="G54" s="163"/>
      <c r="H54" s="163"/>
      <c r="I54" s="163"/>
      <c r="J54" s="163"/>
      <c r="K54" s="163"/>
      <c r="L54" s="163"/>
      <c r="M54" s="163"/>
      <c r="N54" s="163"/>
    </row>
    <row r="55" spans="1:18" ht="29.25" customHeight="1" x14ac:dyDescent="0.2">
      <c r="A55" s="159" t="s">
        <v>222</v>
      </c>
      <c r="B55" s="177" t="s">
        <v>227</v>
      </c>
      <c r="C55" s="177"/>
      <c r="D55" s="177"/>
      <c r="E55" s="177"/>
      <c r="F55" s="177"/>
      <c r="G55" s="177"/>
      <c r="H55" s="177"/>
      <c r="I55" s="177"/>
      <c r="J55" s="177"/>
      <c r="K55" s="177"/>
      <c r="L55" s="177"/>
      <c r="M55" s="177"/>
      <c r="N55" s="177"/>
    </row>
    <row r="60" spans="1:18" x14ac:dyDescent="0.2">
      <c r="B60" s="1"/>
    </row>
    <row r="81" spans="3:3" x14ac:dyDescent="0.2">
      <c r="C81" t="s">
        <v>114</v>
      </c>
    </row>
  </sheetData>
  <mergeCells count="9">
    <mergeCell ref="B49:N49"/>
    <mergeCell ref="B51:N51"/>
    <mergeCell ref="B52:N52"/>
    <mergeCell ref="B55:N55"/>
    <mergeCell ref="B53:N53"/>
    <mergeCell ref="A1:R1"/>
    <mergeCell ref="A2:R2"/>
    <mergeCell ref="A3:R3"/>
    <mergeCell ref="A4:R4"/>
  </mergeCells>
  <printOptions horizontalCentered="1"/>
  <pageMargins left="0.5" right="0.75" top="1" bottom="1" header="0.5" footer="0.5"/>
  <pageSetup scale="86" orientation="portrait"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60"/>
  <sheetViews>
    <sheetView tabSelected="1" workbookViewId="0">
      <selection activeCell="F26" sqref="F26"/>
    </sheetView>
  </sheetViews>
  <sheetFormatPr defaultRowHeight="12.75" x14ac:dyDescent="0.2"/>
  <cols>
    <col min="3" max="3" width="39.1640625" customWidth="1"/>
    <col min="5" max="5" width="7.33203125" customWidth="1"/>
    <col min="6" max="6" width="17.1640625" style="22" bestFit="1" customWidth="1"/>
    <col min="7" max="7" width="15" style="22" hidden="1" customWidth="1"/>
    <col min="8" max="8" width="5.83203125" hidden="1" customWidth="1"/>
    <col min="9" max="9" width="15" style="30" hidden="1" customWidth="1"/>
    <col min="10" max="10" width="5.83203125" hidden="1" customWidth="1"/>
    <col min="11" max="11" width="13.33203125" hidden="1" customWidth="1"/>
    <col min="12" max="14" width="13.33203125" customWidth="1"/>
    <col min="15" max="15" width="5.6640625" style="10" customWidth="1"/>
    <col min="16" max="16" width="13.33203125" customWidth="1"/>
  </cols>
  <sheetData>
    <row r="1" spans="1:16" x14ac:dyDescent="0.2">
      <c r="A1" s="119" t="s">
        <v>173</v>
      </c>
      <c r="B1" s="1"/>
      <c r="C1" s="1"/>
      <c r="D1" s="1"/>
      <c r="E1" s="1"/>
      <c r="F1" s="47"/>
      <c r="G1" s="47"/>
      <c r="H1" s="1"/>
      <c r="I1" s="48"/>
      <c r="J1" s="1"/>
      <c r="K1" s="1"/>
      <c r="L1" s="1" t="s">
        <v>118</v>
      </c>
      <c r="M1" s="1"/>
      <c r="N1" s="1"/>
      <c r="O1" s="116"/>
    </row>
    <row r="2" spans="1:16" x14ac:dyDescent="0.2">
      <c r="A2" s="119"/>
      <c r="B2" s="1"/>
      <c r="C2" s="1"/>
      <c r="D2" s="1"/>
      <c r="E2" s="1"/>
      <c r="F2" s="47"/>
      <c r="G2" s="47"/>
      <c r="H2" s="1"/>
      <c r="I2" s="48"/>
      <c r="J2" s="1"/>
      <c r="K2" s="1"/>
      <c r="L2" s="1"/>
      <c r="M2" s="1"/>
      <c r="N2" s="1"/>
      <c r="O2" s="116"/>
    </row>
    <row r="3" spans="1:16" x14ac:dyDescent="0.2">
      <c r="A3" s="119" t="s">
        <v>105</v>
      </c>
      <c r="B3" s="1"/>
      <c r="C3" s="1"/>
      <c r="D3" s="1"/>
      <c r="E3" s="1"/>
      <c r="F3" s="47"/>
      <c r="G3" s="47"/>
      <c r="H3" s="1"/>
      <c r="I3" s="48"/>
      <c r="J3" s="1"/>
      <c r="K3" s="1"/>
      <c r="L3" s="1" t="s">
        <v>118</v>
      </c>
      <c r="M3" s="1"/>
      <c r="N3" s="1"/>
      <c r="O3" s="116"/>
    </row>
    <row r="4" spans="1:16" s="32" customFormat="1" x14ac:dyDescent="0.2">
      <c r="A4" s="178" t="s">
        <v>187</v>
      </c>
      <c r="B4" s="171"/>
      <c r="C4" s="171"/>
      <c r="D4" s="171"/>
      <c r="E4" s="171"/>
      <c r="F4" s="171"/>
      <c r="G4" s="145"/>
      <c r="H4" s="145"/>
      <c r="I4" s="145"/>
      <c r="J4" s="145"/>
      <c r="K4" s="145"/>
      <c r="L4" s="31" t="s">
        <v>118</v>
      </c>
      <c r="M4" s="119"/>
      <c r="N4" s="31"/>
      <c r="O4" s="119"/>
      <c r="P4"/>
    </row>
    <row r="5" spans="1:16" x14ac:dyDescent="0.2">
      <c r="A5" s="119" t="s">
        <v>142</v>
      </c>
      <c r="B5" s="1"/>
      <c r="C5" s="1"/>
      <c r="D5" s="1"/>
      <c r="E5" s="1"/>
      <c r="F5" s="47"/>
      <c r="G5" s="47"/>
      <c r="H5" s="1"/>
      <c r="I5" s="48"/>
      <c r="J5" s="1"/>
      <c r="K5" s="1"/>
      <c r="L5" s="1" t="s">
        <v>119</v>
      </c>
      <c r="M5" s="1"/>
      <c r="N5" s="1"/>
      <c r="O5" s="116"/>
    </row>
    <row r="6" spans="1:16" x14ac:dyDescent="0.2">
      <c r="A6" s="146" t="s">
        <v>120</v>
      </c>
      <c r="B6" s="1"/>
      <c r="C6" s="1"/>
      <c r="D6" s="1"/>
      <c r="E6" s="1"/>
      <c r="F6" s="47"/>
      <c r="G6" s="47"/>
      <c r="H6" s="1"/>
      <c r="I6" s="48"/>
      <c r="J6" s="1"/>
      <c r="K6" s="1"/>
      <c r="L6" s="1" t="s">
        <v>119</v>
      </c>
      <c r="M6" s="1"/>
      <c r="N6" s="1"/>
      <c r="O6" s="116"/>
    </row>
    <row r="7" spans="1:16" x14ac:dyDescent="0.2">
      <c r="B7" s="1"/>
      <c r="C7" s="1"/>
      <c r="D7" s="1"/>
      <c r="E7" s="1"/>
      <c r="F7" s="47"/>
      <c r="G7" s="47"/>
      <c r="H7" s="1"/>
      <c r="I7" s="48"/>
      <c r="J7" s="1"/>
      <c r="K7" s="1"/>
      <c r="L7" s="1"/>
      <c r="M7" s="1"/>
      <c r="N7" s="1"/>
      <c r="O7" s="116"/>
    </row>
    <row r="8" spans="1:16" x14ac:dyDescent="0.2">
      <c r="A8" s="119"/>
      <c r="B8" s="1"/>
      <c r="C8" s="1"/>
      <c r="D8" s="1"/>
      <c r="E8" s="1"/>
      <c r="F8" s="147"/>
      <c r="G8" s="47"/>
      <c r="H8" s="1"/>
      <c r="I8" s="48"/>
      <c r="J8" s="1"/>
      <c r="K8" s="1"/>
      <c r="L8" s="1"/>
      <c r="M8" s="1"/>
      <c r="N8" s="1"/>
      <c r="O8" s="116"/>
    </row>
    <row r="9" spans="1:16" ht="12.75" customHeight="1" x14ac:dyDescent="0.3">
      <c r="A9" s="19"/>
      <c r="B9" s="19"/>
      <c r="C9" s="19"/>
      <c r="D9" s="19"/>
      <c r="E9" s="19"/>
      <c r="F9" s="138" t="s">
        <v>196</v>
      </c>
      <c r="G9" s="49"/>
      <c r="H9" s="1"/>
      <c r="I9" s="48"/>
      <c r="J9" s="1"/>
      <c r="K9" s="1"/>
      <c r="L9" s="1"/>
      <c r="M9" s="1"/>
      <c r="N9" s="1"/>
      <c r="O9" s="116"/>
    </row>
    <row r="10" spans="1:16" x14ac:dyDescent="0.2">
      <c r="F10" s="135" t="s">
        <v>163</v>
      </c>
      <c r="G10" s="136"/>
      <c r="H10" s="137"/>
      <c r="I10" s="127"/>
      <c r="J10" s="137"/>
      <c r="K10" s="137"/>
      <c r="L10" s="138"/>
      <c r="M10" s="138"/>
      <c r="N10" s="138"/>
      <c r="O10" s="138"/>
    </row>
    <row r="11" spans="1:16" x14ac:dyDescent="0.2">
      <c r="F11" s="50"/>
      <c r="G11" s="50"/>
      <c r="I11" s="51"/>
      <c r="K11" s="51"/>
      <c r="L11" s="115"/>
      <c r="M11" s="115"/>
      <c r="N11" s="115"/>
      <c r="O11" s="115"/>
    </row>
    <row r="12" spans="1:16" x14ac:dyDescent="0.2">
      <c r="A12" s="87" t="s">
        <v>124</v>
      </c>
    </row>
    <row r="13" spans="1:16" x14ac:dyDescent="0.2">
      <c r="B13" t="s">
        <v>166</v>
      </c>
      <c r="F13" s="17">
        <f>+'Formal IS'!C45</f>
        <v>-1021</v>
      </c>
      <c r="G13" s="17">
        <v>-45581</v>
      </c>
      <c r="I13" s="17"/>
      <c r="K13" s="17"/>
      <c r="L13" s="17"/>
      <c r="M13" s="17"/>
      <c r="N13" s="17"/>
      <c r="O13" s="77"/>
    </row>
    <row r="14" spans="1:16" hidden="1" x14ac:dyDescent="0.2">
      <c r="A14" s="87" t="s">
        <v>186</v>
      </c>
      <c r="K14" s="30"/>
      <c r="L14" s="30"/>
      <c r="M14" s="30"/>
      <c r="N14" s="30"/>
      <c r="O14" s="53"/>
    </row>
    <row r="15" spans="1:16" ht="4.5" hidden="1" customHeight="1" x14ac:dyDescent="0.2">
      <c r="K15" s="30"/>
      <c r="L15" s="30"/>
      <c r="M15" s="30"/>
      <c r="N15" s="30"/>
      <c r="O15" s="53"/>
    </row>
    <row r="16" spans="1:16" hidden="1" x14ac:dyDescent="0.2">
      <c r="B16" t="s">
        <v>121</v>
      </c>
      <c r="F16" s="22">
        <f>'Formal IS'!C23</f>
        <v>0</v>
      </c>
      <c r="G16" s="22">
        <f>9765+1</f>
        <v>9766</v>
      </c>
      <c r="K16" s="30"/>
      <c r="L16" s="30">
        <f>F16-F17</f>
        <v>0</v>
      </c>
      <c r="M16" s="30"/>
      <c r="N16" s="30"/>
      <c r="O16" s="53"/>
    </row>
    <row r="17" spans="1:256" hidden="1" x14ac:dyDescent="0.2">
      <c r="B17" t="s">
        <v>143</v>
      </c>
      <c r="F17" s="22">
        <f>'Formal IS'!C43</f>
        <v>0</v>
      </c>
      <c r="K17" s="30"/>
      <c r="L17" s="30"/>
      <c r="M17" s="30"/>
      <c r="N17" s="30"/>
      <c r="O17" s="53"/>
    </row>
    <row r="18" spans="1:256" hidden="1" x14ac:dyDescent="0.2">
      <c r="K18" s="30"/>
      <c r="L18" s="30"/>
      <c r="M18" s="30"/>
      <c r="N18" s="30"/>
      <c r="O18" s="53"/>
    </row>
    <row r="19" spans="1:256" hidden="1" x14ac:dyDescent="0.2">
      <c r="K19" s="30"/>
      <c r="L19" s="30"/>
      <c r="M19" s="30"/>
      <c r="N19" s="30"/>
      <c r="O19" s="53"/>
    </row>
    <row r="20" spans="1:256" x14ac:dyDescent="0.2">
      <c r="B20" t="s">
        <v>190</v>
      </c>
      <c r="F20" s="22">
        <f>4188+373</f>
        <v>4561</v>
      </c>
      <c r="K20" s="30"/>
      <c r="L20" s="30"/>
      <c r="M20" s="30"/>
      <c r="N20" s="30"/>
      <c r="O20" s="53"/>
    </row>
    <row r="21" spans="1:256" x14ac:dyDescent="0.2">
      <c r="B21" t="s">
        <v>191</v>
      </c>
      <c r="F21" s="22">
        <f>-4188-373</f>
        <v>-4561</v>
      </c>
      <c r="K21" s="30"/>
      <c r="L21" s="30"/>
      <c r="M21" s="30"/>
      <c r="N21" s="30"/>
      <c r="O21" s="53"/>
    </row>
    <row r="22" spans="1:256" ht="11.25" customHeight="1" x14ac:dyDescent="0.2">
      <c r="K22" s="30"/>
      <c r="L22" s="30"/>
      <c r="M22" s="30"/>
      <c r="N22" s="30"/>
      <c r="O22" s="53"/>
    </row>
    <row r="23" spans="1:256" x14ac:dyDescent="0.2">
      <c r="B23" s="87" t="s">
        <v>192</v>
      </c>
      <c r="K23" s="30"/>
      <c r="L23" s="30"/>
      <c r="M23" s="30"/>
      <c r="N23" s="30"/>
      <c r="O23" s="53"/>
    </row>
    <row r="24" spans="1:256" x14ac:dyDescent="0.2">
      <c r="B24" t="str">
        <f>'Formal BS'!C45</f>
        <v>Accounts Payable</v>
      </c>
      <c r="F24" s="22">
        <f>'Formal BS'!D45</f>
        <v>1114</v>
      </c>
      <c r="K24" s="30"/>
      <c r="L24" s="30"/>
      <c r="M24" s="30"/>
      <c r="N24" s="30"/>
      <c r="O24" s="53"/>
    </row>
    <row r="25" spans="1:256" ht="4.5" customHeight="1" x14ac:dyDescent="0.2">
      <c r="F25" s="52"/>
      <c r="G25" s="52"/>
      <c r="I25" s="53"/>
      <c r="K25" s="53"/>
      <c r="L25" s="53"/>
      <c r="M25" s="53"/>
      <c r="N25" s="53"/>
      <c r="O25" s="53"/>
      <c r="IV25">
        <v>0</v>
      </c>
    </row>
    <row r="26" spans="1:256" x14ac:dyDescent="0.2">
      <c r="A26" s="87" t="s">
        <v>123</v>
      </c>
      <c r="F26" s="156">
        <f>SUM(F13:F24)</f>
        <v>93</v>
      </c>
      <c r="G26" s="54">
        <f>SUM(G13:G16)</f>
        <v>-35815</v>
      </c>
      <c r="I26" s="55"/>
      <c r="K26" s="55"/>
      <c r="L26" s="53"/>
      <c r="M26" s="53"/>
      <c r="N26" s="53"/>
      <c r="O26" s="53"/>
    </row>
    <row r="27" spans="1:256" x14ac:dyDescent="0.2">
      <c r="K27" s="30"/>
      <c r="L27" s="30"/>
      <c r="M27" s="30"/>
      <c r="N27" s="30"/>
      <c r="O27" s="53"/>
    </row>
    <row r="28" spans="1:256" ht="12.75" customHeight="1" x14ac:dyDescent="0.2">
      <c r="A28" s="87" t="s">
        <v>125</v>
      </c>
      <c r="K28" s="30"/>
      <c r="L28" s="30"/>
      <c r="M28" s="30"/>
      <c r="N28" s="30"/>
      <c r="O28" s="53"/>
      <c r="R28" s="22"/>
    </row>
    <row r="29" spans="1:256" ht="12.75" hidden="1" customHeight="1" x14ac:dyDescent="0.2">
      <c r="B29" t="s">
        <v>62</v>
      </c>
      <c r="F29" s="52">
        <v>0</v>
      </c>
      <c r="G29" s="52">
        <v>0</v>
      </c>
      <c r="K29" s="52"/>
      <c r="L29" s="52"/>
      <c r="M29" s="52"/>
      <c r="N29" s="52"/>
      <c r="O29" s="52"/>
    </row>
    <row r="30" spans="1:256" ht="12.75" hidden="1" customHeight="1" x14ac:dyDescent="0.2">
      <c r="F30" s="52"/>
      <c r="G30" s="52"/>
      <c r="K30" s="52"/>
      <c r="L30" s="52"/>
      <c r="M30" s="52"/>
      <c r="N30" s="52"/>
      <c r="O30" s="52"/>
    </row>
    <row r="31" spans="1:256" ht="11.25" customHeight="1" x14ac:dyDescent="0.2">
      <c r="A31" s="87" t="s">
        <v>126</v>
      </c>
      <c r="F31" s="54">
        <f>SUM(F29:F29)</f>
        <v>0</v>
      </c>
      <c r="G31" s="54">
        <f>SUM(G29:G29)</f>
        <v>0</v>
      </c>
      <c r="I31" s="55"/>
      <c r="K31" s="55"/>
      <c r="L31" s="53"/>
      <c r="M31" s="53"/>
      <c r="N31" s="53"/>
      <c r="O31" s="53"/>
    </row>
    <row r="32" spans="1:256" x14ac:dyDescent="0.2">
      <c r="F32" s="52"/>
      <c r="G32" s="52"/>
      <c r="I32" s="53"/>
      <c r="K32" s="53"/>
      <c r="L32" s="53"/>
      <c r="M32" s="53"/>
      <c r="N32" s="53"/>
      <c r="O32" s="53"/>
    </row>
    <row r="33" spans="1:17" ht="15" customHeight="1" x14ac:dyDescent="0.2">
      <c r="A33" s="87" t="s">
        <v>127</v>
      </c>
      <c r="F33" s="52"/>
      <c r="G33" s="52"/>
      <c r="I33" s="53"/>
      <c r="K33" s="53"/>
      <c r="L33" s="53"/>
      <c r="M33" s="53"/>
      <c r="N33" s="53"/>
      <c r="O33" s="53"/>
    </row>
    <row r="34" spans="1:17" ht="15" customHeight="1" x14ac:dyDescent="0.2">
      <c r="A34" s="87"/>
      <c r="B34" t="s">
        <v>185</v>
      </c>
      <c r="F34" s="52">
        <v>50000</v>
      </c>
      <c r="G34" s="52"/>
      <c r="I34" s="53"/>
      <c r="K34" s="53"/>
      <c r="L34" s="53"/>
      <c r="M34" s="53"/>
      <c r="N34" s="53"/>
      <c r="O34" s="53"/>
    </row>
    <row r="35" spans="1:17" ht="15" customHeight="1" x14ac:dyDescent="0.2">
      <c r="A35" s="87"/>
      <c r="B35" s="58" t="s">
        <v>184</v>
      </c>
      <c r="F35" s="22">
        <f>'Formal BS'!D81</f>
        <v>-50000</v>
      </c>
      <c r="G35" s="52"/>
      <c r="I35" s="53"/>
      <c r="K35" s="53"/>
      <c r="L35" s="53"/>
      <c r="M35" s="53"/>
      <c r="N35" s="53"/>
      <c r="O35" s="53"/>
    </row>
    <row r="36" spans="1:17" ht="15" customHeight="1" x14ac:dyDescent="0.2">
      <c r="A36" s="87"/>
      <c r="B36" s="58" t="s">
        <v>188</v>
      </c>
      <c r="F36" s="22">
        <v>8500</v>
      </c>
      <c r="G36" s="52"/>
      <c r="I36" s="53"/>
      <c r="K36" s="53"/>
      <c r="L36" s="53"/>
      <c r="M36" s="53"/>
      <c r="N36" s="53"/>
      <c r="O36" s="53"/>
    </row>
    <row r="37" spans="1:17" ht="4.5" customHeight="1" x14ac:dyDescent="0.2">
      <c r="F37" s="52"/>
      <c r="G37" s="52"/>
      <c r="I37" s="53"/>
      <c r="K37" s="53"/>
      <c r="L37" s="53"/>
      <c r="M37" s="53"/>
      <c r="N37" s="53"/>
      <c r="O37" s="53"/>
    </row>
    <row r="38" spans="1:17" ht="6" customHeight="1" x14ac:dyDescent="0.2">
      <c r="F38" s="7"/>
      <c r="G38" s="52">
        <v>71773</v>
      </c>
      <c r="I38" s="53"/>
      <c r="K38" s="53"/>
      <c r="L38" s="53"/>
      <c r="M38" s="53"/>
      <c r="N38" s="53"/>
      <c r="O38" s="53"/>
      <c r="Q38" s="22"/>
    </row>
    <row r="39" spans="1:17" hidden="1" x14ac:dyDescent="0.2">
      <c r="B39" t="s">
        <v>109</v>
      </c>
      <c r="F39" s="52"/>
      <c r="G39" s="52">
        <f>'[1]1998'!$L$65+70355</f>
        <v>70355</v>
      </c>
      <c r="I39" s="52"/>
      <c r="K39" s="53"/>
      <c r="L39" s="53"/>
      <c r="M39" s="53"/>
      <c r="N39" s="53"/>
      <c r="O39" s="53"/>
    </row>
    <row r="40" spans="1:17" x14ac:dyDescent="0.2">
      <c r="A40" s="87" t="s">
        <v>128</v>
      </c>
      <c r="F40" s="54">
        <f>SUM(F34:F39)</f>
        <v>8500</v>
      </c>
      <c r="G40" s="54">
        <f>SUM(G38:G39)</f>
        <v>142128</v>
      </c>
      <c r="I40" s="55"/>
      <c r="K40" s="55"/>
      <c r="L40" s="53"/>
      <c r="M40" s="53"/>
      <c r="N40" s="53"/>
      <c r="O40" s="53"/>
    </row>
    <row r="41" spans="1:17" x14ac:dyDescent="0.2">
      <c r="F41" s="52"/>
      <c r="G41" s="52"/>
      <c r="I41" s="53"/>
      <c r="K41" s="53"/>
      <c r="L41" s="53"/>
      <c r="M41" s="53"/>
      <c r="N41" s="53"/>
      <c r="O41" s="53"/>
    </row>
    <row r="42" spans="1:17" x14ac:dyDescent="0.2">
      <c r="A42" s="87" t="s">
        <v>129</v>
      </c>
      <c r="F42" s="52">
        <f>+F40+F31+F26</f>
        <v>8593</v>
      </c>
      <c r="G42" s="52">
        <f>+G40+G31+G26</f>
        <v>106313</v>
      </c>
      <c r="I42" s="53"/>
      <c r="K42" s="53"/>
      <c r="L42" s="53"/>
      <c r="M42" s="53"/>
      <c r="N42" s="53"/>
      <c r="O42" s="53"/>
    </row>
    <row r="43" spans="1:17" ht="4.5" customHeight="1" x14ac:dyDescent="0.2">
      <c r="A43" s="87"/>
      <c r="F43" s="52"/>
      <c r="G43" s="52"/>
      <c r="H43" s="10"/>
      <c r="I43" s="53"/>
      <c r="J43" s="10"/>
      <c r="K43" s="53"/>
      <c r="L43" s="53"/>
      <c r="M43" s="53"/>
      <c r="N43" s="53"/>
      <c r="O43" s="53"/>
    </row>
    <row r="44" spans="1:17" x14ac:dyDescent="0.2">
      <c r="A44" s="87" t="s">
        <v>130</v>
      </c>
      <c r="F44" s="56">
        <v>0</v>
      </c>
      <c r="G44" s="56">
        <v>0</v>
      </c>
      <c r="I44" s="23"/>
      <c r="K44" s="23"/>
      <c r="L44" s="53"/>
      <c r="M44" s="53"/>
      <c r="N44" s="53"/>
      <c r="O44" s="53"/>
    </row>
    <row r="45" spans="1:17" ht="4.5" customHeight="1" x14ac:dyDescent="0.2">
      <c r="A45" s="87"/>
      <c r="F45" s="52"/>
      <c r="G45" s="52"/>
      <c r="I45" s="53"/>
      <c r="K45" s="53"/>
      <c r="L45" s="53"/>
      <c r="M45" s="53"/>
      <c r="N45" s="53"/>
      <c r="O45" s="53"/>
    </row>
    <row r="46" spans="1:17" ht="13.5" thickBot="1" x14ac:dyDescent="0.25">
      <c r="A46" s="87" t="s">
        <v>131</v>
      </c>
      <c r="F46" s="25">
        <f>F42+F44</f>
        <v>8593</v>
      </c>
      <c r="G46" s="25">
        <f>G42+G44</f>
        <v>106313</v>
      </c>
      <c r="I46" s="25"/>
      <c r="K46" s="25"/>
      <c r="L46" s="77"/>
      <c r="M46" s="77">
        <f>'Formal BS'!D18</f>
        <v>8593</v>
      </c>
      <c r="N46" s="77"/>
      <c r="O46" s="77"/>
    </row>
    <row r="47" spans="1:17" ht="13.5" thickTop="1" x14ac:dyDescent="0.2">
      <c r="F47" s="77"/>
      <c r="G47" s="77"/>
      <c r="I47" s="77"/>
      <c r="K47" s="77"/>
      <c r="L47" s="77"/>
      <c r="M47" s="77"/>
      <c r="N47" s="77"/>
      <c r="O47" s="77"/>
    </row>
    <row r="48" spans="1:17" x14ac:dyDescent="0.2">
      <c r="F48" s="77"/>
      <c r="G48" s="77"/>
      <c r="I48" s="77"/>
      <c r="K48" s="77"/>
      <c r="L48" s="77"/>
      <c r="M48" s="77"/>
      <c r="N48" s="77"/>
      <c r="O48" s="77"/>
    </row>
    <row r="49" spans="1:15" x14ac:dyDescent="0.2">
      <c r="K49" s="17"/>
      <c r="L49" s="17"/>
      <c r="M49" s="17"/>
      <c r="N49" s="17"/>
      <c r="O49" s="77"/>
    </row>
    <row r="50" spans="1:15" x14ac:dyDescent="0.2">
      <c r="G50" s="22">
        <v>6037</v>
      </c>
    </row>
    <row r="52" spans="1:15" x14ac:dyDescent="0.2">
      <c r="E52" t="s">
        <v>63</v>
      </c>
      <c r="F52" s="22">
        <f>F46-M46</f>
        <v>0</v>
      </c>
      <c r="G52" s="22">
        <f>+G46-G50</f>
        <v>100276</v>
      </c>
    </row>
    <row r="56" spans="1:15" x14ac:dyDescent="0.2">
      <c r="A56" s="78">
        <f ca="1">NOW()</f>
        <v>37106.397235879631</v>
      </c>
      <c r="B56" s="1"/>
      <c r="C56" s="1"/>
    </row>
    <row r="60" spans="1:15" x14ac:dyDescent="0.2">
      <c r="H60" s="79"/>
    </row>
  </sheetData>
  <mergeCells count="1">
    <mergeCell ref="A4:F4"/>
  </mergeCells>
  <printOptions horizontalCentered="1"/>
  <pageMargins left="0.75" right="0.75" top="1" bottom="1" header="0.5" footer="0.5"/>
  <pageSetup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Q70"/>
  <sheetViews>
    <sheetView topLeftCell="A53" workbookViewId="0">
      <selection activeCell="B75" sqref="B75"/>
    </sheetView>
  </sheetViews>
  <sheetFormatPr defaultRowHeight="12.75" x14ac:dyDescent="0.2"/>
  <cols>
    <col min="2" max="2" width="30.83203125" customWidth="1"/>
    <col min="3" max="3" width="35.83203125" customWidth="1"/>
    <col min="4" max="4" width="12.83203125" hidden="1" customWidth="1"/>
    <col min="5" max="5" width="3.83203125" hidden="1" customWidth="1"/>
    <col min="6" max="6" width="12.83203125" hidden="1" customWidth="1"/>
    <col min="7" max="7" width="0" hidden="1" customWidth="1"/>
    <col min="8" max="8" width="12.83203125" hidden="1" customWidth="1"/>
    <col min="9" max="10" width="0" hidden="1" customWidth="1"/>
    <col min="12" max="13" width="11.6640625" style="6" customWidth="1"/>
    <col min="14" max="16" width="11.1640625" style="6" customWidth="1"/>
  </cols>
  <sheetData>
    <row r="1" spans="1:14" x14ac:dyDescent="0.2">
      <c r="A1" s="1" t="s">
        <v>64</v>
      </c>
      <c r="B1" s="1"/>
      <c r="C1" s="1"/>
      <c r="D1" s="1"/>
      <c r="E1" s="1"/>
      <c r="F1" s="1"/>
      <c r="G1" s="1"/>
      <c r="H1" s="1"/>
      <c r="I1" s="1"/>
      <c r="J1" s="1"/>
      <c r="K1" s="1"/>
      <c r="L1" s="103"/>
      <c r="M1" s="103"/>
    </row>
    <row r="2" spans="1:14" x14ac:dyDescent="0.2">
      <c r="A2" s="1" t="s">
        <v>43</v>
      </c>
      <c r="B2" s="1"/>
      <c r="C2" s="1"/>
      <c r="D2" s="1"/>
      <c r="E2" s="1"/>
      <c r="F2" s="1"/>
      <c r="G2" s="1"/>
      <c r="H2" s="1"/>
      <c r="I2" s="1"/>
      <c r="J2" s="1"/>
      <c r="K2" s="1"/>
      <c r="L2" s="103"/>
      <c r="M2" s="103"/>
    </row>
    <row r="3" spans="1:14" x14ac:dyDescent="0.2">
      <c r="A3" s="31" t="s">
        <v>99</v>
      </c>
      <c r="B3" s="5"/>
      <c r="C3" s="5"/>
      <c r="D3" s="5"/>
      <c r="E3" s="5"/>
      <c r="F3" s="5"/>
      <c r="G3" s="5"/>
      <c r="H3" s="5"/>
      <c r="I3" s="5"/>
      <c r="J3" s="5"/>
      <c r="K3" s="5"/>
      <c r="L3" s="104"/>
      <c r="M3" s="104"/>
    </row>
    <row r="4" spans="1:14" x14ac:dyDescent="0.2">
      <c r="A4" s="1" t="s">
        <v>2</v>
      </c>
      <c r="B4" s="1"/>
      <c r="C4" s="1"/>
      <c r="D4" s="1"/>
      <c r="E4" s="1"/>
      <c r="F4" s="1"/>
      <c r="G4" s="1"/>
      <c r="H4" s="1"/>
      <c r="I4" s="1"/>
      <c r="J4" s="1"/>
      <c r="K4" s="1"/>
      <c r="L4" s="103"/>
      <c r="M4" s="103"/>
    </row>
    <row r="5" spans="1:14" x14ac:dyDescent="0.2">
      <c r="A5" s="1" t="s">
        <v>44</v>
      </c>
      <c r="B5" s="5"/>
      <c r="C5" s="5"/>
      <c r="D5" s="5"/>
      <c r="E5" s="5"/>
      <c r="F5" s="5"/>
      <c r="G5" s="5"/>
      <c r="H5" s="5"/>
      <c r="I5" s="5"/>
      <c r="J5" s="5"/>
      <c r="K5" s="5"/>
      <c r="L5" s="104"/>
      <c r="M5" s="104"/>
    </row>
    <row r="6" spans="1:14" x14ac:dyDescent="0.2">
      <c r="J6" s="2"/>
      <c r="K6" s="2"/>
      <c r="L6" s="11"/>
      <c r="M6" s="11"/>
    </row>
    <row r="7" spans="1:14" x14ac:dyDescent="0.2">
      <c r="B7" t="s">
        <v>54</v>
      </c>
      <c r="D7" s="6">
        <v>1000</v>
      </c>
      <c r="E7" s="6"/>
      <c r="F7" s="14">
        <v>1</v>
      </c>
      <c r="G7" s="14"/>
      <c r="H7" s="14">
        <f>25506+43455</f>
        <v>68961</v>
      </c>
      <c r="I7" s="14"/>
      <c r="J7" s="14">
        <v>-9952</v>
      </c>
      <c r="K7" s="14"/>
      <c r="L7" s="6">
        <f>+J7+H7+F7</f>
        <v>59010</v>
      </c>
    </row>
    <row r="8" spans="1:14" ht="3.95" customHeight="1" x14ac:dyDescent="0.2">
      <c r="J8" s="2"/>
      <c r="K8" s="2"/>
    </row>
    <row r="9" spans="1:14" x14ac:dyDescent="0.2">
      <c r="B9" t="s">
        <v>55</v>
      </c>
      <c r="H9" s="6">
        <v>7130</v>
      </c>
      <c r="J9" s="2"/>
      <c r="K9" s="2"/>
      <c r="L9" s="6">
        <f>+J9+H9+F9</f>
        <v>7130</v>
      </c>
      <c r="N9" s="6">
        <v>18725</v>
      </c>
    </row>
    <row r="10" spans="1:14" ht="3.95" customHeight="1" x14ac:dyDescent="0.2">
      <c r="G10" s="10"/>
      <c r="I10" s="10"/>
      <c r="J10" s="2"/>
      <c r="K10" s="2"/>
    </row>
    <row r="11" spans="1:14" x14ac:dyDescent="0.2">
      <c r="B11" t="s">
        <v>56</v>
      </c>
      <c r="G11" s="10"/>
      <c r="I11" s="10"/>
      <c r="J11" s="6">
        <v>5030</v>
      </c>
      <c r="K11" s="6"/>
      <c r="L11" s="6">
        <f>+J11+H11+F11</f>
        <v>5030</v>
      </c>
      <c r="N11" s="6">
        <v>40285</v>
      </c>
    </row>
    <row r="12" spans="1:14" ht="3.95" customHeight="1" x14ac:dyDescent="0.2">
      <c r="D12" s="8"/>
      <c r="E12" s="10"/>
      <c r="F12" s="8"/>
      <c r="G12" s="10"/>
      <c r="H12" s="8"/>
      <c r="I12" s="10"/>
      <c r="J12" s="4"/>
      <c r="K12" s="13"/>
      <c r="L12" s="9"/>
      <c r="M12" s="11"/>
    </row>
    <row r="13" spans="1:14" x14ac:dyDescent="0.2">
      <c r="B13" t="s">
        <v>57</v>
      </c>
      <c r="D13" s="6">
        <f>SUM(D7:D12)</f>
        <v>1000</v>
      </c>
      <c r="E13" s="11"/>
      <c r="F13" s="6">
        <f>SUM(F7:F12)</f>
        <v>1</v>
      </c>
      <c r="G13" s="11"/>
      <c r="H13" s="6">
        <f>SUM(H7:H12)</f>
        <v>76091</v>
      </c>
      <c r="I13" s="11"/>
      <c r="J13" s="6">
        <f>SUM(J7:J12)</f>
        <v>-4922</v>
      </c>
      <c r="K13" s="6"/>
      <c r="L13" s="6">
        <f>SUM(L7:L12)</f>
        <v>71170</v>
      </c>
    </row>
    <row r="14" spans="1:14" x14ac:dyDescent="0.2">
      <c r="D14" s="6"/>
      <c r="E14" s="11"/>
      <c r="F14" s="6"/>
      <c r="G14" s="11"/>
      <c r="H14" s="6"/>
      <c r="I14" s="11"/>
      <c r="J14" s="6"/>
      <c r="K14" s="6"/>
    </row>
    <row r="15" spans="1:14" x14ac:dyDescent="0.2">
      <c r="D15" s="6"/>
      <c r="E15" s="11"/>
      <c r="F15" s="6"/>
      <c r="G15" s="11"/>
      <c r="H15" s="6"/>
      <c r="I15" s="11"/>
      <c r="J15" s="6"/>
      <c r="K15" s="6"/>
    </row>
    <row r="16" spans="1:14" x14ac:dyDescent="0.2">
      <c r="B16" t="s">
        <v>55</v>
      </c>
      <c r="D16" s="6"/>
      <c r="E16" s="11"/>
      <c r="F16" s="6"/>
      <c r="G16" s="11"/>
      <c r="H16" s="6">
        <v>34757</v>
      </c>
      <c r="I16" s="11"/>
      <c r="J16" s="6"/>
      <c r="K16" s="6"/>
      <c r="L16" s="6">
        <f>+J16+H16+F16</f>
        <v>34757</v>
      </c>
    </row>
    <row r="17" spans="2:15" ht="3.95" customHeight="1" x14ac:dyDescent="0.2">
      <c r="D17" s="6"/>
      <c r="E17" s="11"/>
      <c r="F17" s="6"/>
      <c r="G17" s="11"/>
      <c r="H17" s="6"/>
      <c r="I17" s="11"/>
      <c r="J17" s="6"/>
      <c r="K17" s="6"/>
    </row>
    <row r="18" spans="2:15" x14ac:dyDescent="0.2">
      <c r="B18" t="s">
        <v>21</v>
      </c>
      <c r="D18" s="6"/>
      <c r="E18" s="11"/>
      <c r="F18" s="6"/>
      <c r="G18" s="11"/>
      <c r="H18" s="6"/>
      <c r="I18" s="11"/>
      <c r="J18" s="6">
        <v>-23806</v>
      </c>
      <c r="K18" s="6"/>
      <c r="L18" s="6">
        <v>-23485</v>
      </c>
    </row>
    <row r="19" spans="2:15" ht="3.95" customHeight="1" x14ac:dyDescent="0.2">
      <c r="D19" s="9"/>
      <c r="E19" s="11"/>
      <c r="F19" s="9"/>
      <c r="G19" s="11"/>
      <c r="H19" s="9"/>
      <c r="I19" s="11"/>
      <c r="J19" s="9"/>
      <c r="K19" s="11"/>
      <c r="L19" s="9"/>
      <c r="M19" s="11"/>
    </row>
    <row r="20" spans="2:15" ht="13.5" thickBot="1" x14ac:dyDescent="0.25">
      <c r="B20" t="s">
        <v>58</v>
      </c>
      <c r="D20" s="12">
        <f>SUM(D13:D19)</f>
        <v>1000</v>
      </c>
      <c r="E20" s="11"/>
      <c r="F20" s="15">
        <f>SUM(F13:F19)</f>
        <v>1</v>
      </c>
      <c r="G20" s="16"/>
      <c r="H20" s="15">
        <f>SUM(H13:H19)</f>
        <v>110848</v>
      </c>
      <c r="I20" s="16"/>
      <c r="J20" s="15">
        <f>SUM(J13:J19)</f>
        <v>-28728</v>
      </c>
      <c r="K20" s="16"/>
      <c r="L20" s="6">
        <f>SUM(L13:L19)</f>
        <v>82442</v>
      </c>
    </row>
    <row r="21" spans="2:15" ht="13.5" thickTop="1" x14ac:dyDescent="0.2">
      <c r="D21" s="11"/>
      <c r="E21" s="11"/>
      <c r="F21" s="16"/>
      <c r="G21" s="16"/>
      <c r="H21" s="16"/>
      <c r="I21" s="16"/>
      <c r="J21" s="16"/>
      <c r="K21" s="16"/>
    </row>
    <row r="22" spans="2:15" x14ac:dyDescent="0.2">
      <c r="E22" s="10"/>
      <c r="G22" s="10"/>
      <c r="I22" s="10"/>
    </row>
    <row r="23" spans="2:15" x14ac:dyDescent="0.2">
      <c r="B23" t="s">
        <v>55</v>
      </c>
      <c r="E23" s="10"/>
      <c r="I23" s="10"/>
      <c r="L23" s="6">
        <f>'[2]1997'!$J$69</f>
        <v>97081</v>
      </c>
      <c r="N23" s="6">
        <f>+L23+L16+L9+N11</f>
        <v>179253</v>
      </c>
    </row>
    <row r="24" spans="2:15" ht="3.95" customHeight="1" x14ac:dyDescent="0.2">
      <c r="E24" s="10"/>
      <c r="I24" s="10"/>
    </row>
    <row r="25" spans="2:15" x14ac:dyDescent="0.2">
      <c r="B25" t="s">
        <v>59</v>
      </c>
      <c r="E25" s="10"/>
      <c r="I25" s="10"/>
      <c r="L25" s="6">
        <f>130000+35000</f>
        <v>165000</v>
      </c>
      <c r="N25" s="6">
        <f>+L25</f>
        <v>165000</v>
      </c>
      <c r="O25" s="6">
        <f>344253-N25-N23</f>
        <v>0</v>
      </c>
    </row>
    <row r="26" spans="2:15" ht="3.95" customHeight="1" x14ac:dyDescent="0.2"/>
    <row r="27" spans="2:15" x14ac:dyDescent="0.2">
      <c r="B27" t="s">
        <v>21</v>
      </c>
      <c r="L27" s="9">
        <v>-83838</v>
      </c>
      <c r="N27" s="6">
        <f>+L27+L18+L11+N9</f>
        <v>-83568</v>
      </c>
    </row>
    <row r="28" spans="2:15" ht="3.95" customHeight="1" x14ac:dyDescent="0.2"/>
    <row r="29" spans="2:15" x14ac:dyDescent="0.2">
      <c r="B29" t="s">
        <v>60</v>
      </c>
      <c r="L29" s="11">
        <f>SUM(L20:L28)</f>
        <v>260685</v>
      </c>
      <c r="M29" s="11"/>
      <c r="N29" s="6">
        <f>SUM(N23:N27)</f>
        <v>260685</v>
      </c>
    </row>
    <row r="32" spans="2:15" x14ac:dyDescent="0.2">
      <c r="K32" s="2"/>
      <c r="L32" s="111"/>
      <c r="M32" s="111"/>
      <c r="N32" s="111" t="s">
        <v>96</v>
      </c>
    </row>
    <row r="33" spans="2:14" x14ac:dyDescent="0.2">
      <c r="K33" s="2" t="s">
        <v>95</v>
      </c>
      <c r="L33" s="111"/>
      <c r="M33" s="111"/>
      <c r="N33" s="111" t="s">
        <v>97</v>
      </c>
    </row>
    <row r="34" spans="2:14" ht="4.5" customHeight="1" x14ac:dyDescent="0.2">
      <c r="B34" s="95"/>
      <c r="C34" s="21"/>
      <c r="D34" s="21"/>
      <c r="E34" s="21"/>
      <c r="F34" s="21"/>
      <c r="G34" s="21"/>
      <c r="H34" s="21"/>
      <c r="I34" s="21"/>
      <c r="J34" s="21"/>
      <c r="K34" s="21"/>
      <c r="L34" s="105"/>
      <c r="M34" s="11"/>
    </row>
    <row r="35" spans="2:14" x14ac:dyDescent="0.2">
      <c r="B35" s="95" t="s">
        <v>66</v>
      </c>
      <c r="C35" s="21"/>
      <c r="D35" s="21"/>
      <c r="E35" s="21"/>
      <c r="F35" s="21"/>
      <c r="G35" s="21"/>
      <c r="H35" s="21"/>
      <c r="I35" s="21"/>
      <c r="J35" s="21"/>
      <c r="K35" s="96">
        <v>-19368</v>
      </c>
      <c r="L35" s="105"/>
      <c r="M35" s="11"/>
    </row>
    <row r="36" spans="2:14" x14ac:dyDescent="0.2">
      <c r="B36" s="97" t="s">
        <v>67</v>
      </c>
      <c r="C36" s="10"/>
      <c r="D36" s="10"/>
      <c r="E36" s="10"/>
      <c r="F36" s="10"/>
      <c r="G36" s="10"/>
      <c r="H36" s="10"/>
      <c r="I36" s="10"/>
      <c r="J36" s="10"/>
      <c r="K36" s="102">
        <v>3266</v>
      </c>
      <c r="L36" s="106"/>
      <c r="M36" s="11"/>
    </row>
    <row r="37" spans="2:14" x14ac:dyDescent="0.2">
      <c r="B37" s="113" t="s">
        <v>98</v>
      </c>
      <c r="C37" s="10"/>
      <c r="D37" s="10"/>
      <c r="E37" s="10"/>
      <c r="F37" s="10"/>
      <c r="G37" s="10"/>
      <c r="H37" s="10"/>
      <c r="I37" s="10"/>
      <c r="J37" s="10"/>
      <c r="K37" s="52"/>
      <c r="L37" s="106">
        <f>SUM(K35:K36)</f>
        <v>-16102</v>
      </c>
      <c r="M37" s="11">
        <f>+L37</f>
        <v>-16102</v>
      </c>
      <c r="N37" s="11">
        <f>+L37+L27+L18+L11+80728</f>
        <v>-37667</v>
      </c>
    </row>
    <row r="38" spans="2:14" x14ac:dyDescent="0.2">
      <c r="B38" s="99"/>
      <c r="C38" s="10"/>
      <c r="D38" s="10"/>
      <c r="E38" s="10"/>
      <c r="F38" s="10"/>
      <c r="G38" s="10"/>
      <c r="H38" s="10"/>
      <c r="I38" s="10"/>
      <c r="J38" s="10"/>
      <c r="K38" s="52"/>
      <c r="L38" s="106"/>
      <c r="M38" s="11"/>
      <c r="N38" s="11"/>
    </row>
    <row r="39" spans="2:14" x14ac:dyDescent="0.2">
      <c r="B39" s="97" t="s">
        <v>55</v>
      </c>
      <c r="C39" s="10"/>
      <c r="D39" s="10"/>
      <c r="E39" s="10"/>
      <c r="F39" s="10"/>
      <c r="G39" s="10"/>
      <c r="H39" s="10"/>
      <c r="I39" s="10"/>
      <c r="J39" s="10"/>
      <c r="K39" s="24">
        <f>27905</f>
        <v>27905</v>
      </c>
      <c r="L39" s="106"/>
      <c r="M39" s="11"/>
      <c r="N39" s="11"/>
    </row>
    <row r="40" spans="2:14" x14ac:dyDescent="0.2">
      <c r="B40" s="97" t="s">
        <v>65</v>
      </c>
      <c r="C40" s="10"/>
      <c r="D40" s="10"/>
      <c r="E40" s="10"/>
      <c r="F40" s="10"/>
      <c r="G40" s="10"/>
      <c r="H40" s="10"/>
      <c r="I40" s="10"/>
      <c r="J40" s="10"/>
      <c r="K40" s="110">
        <f>300-844</f>
        <v>-544</v>
      </c>
      <c r="L40" s="106">
        <f>SUM(K39:K40)</f>
        <v>27361</v>
      </c>
      <c r="M40" s="11">
        <f>+L40</f>
        <v>27361</v>
      </c>
      <c r="N40" s="11">
        <f>+L23+L40+L16+L9-21718</f>
        <v>144611</v>
      </c>
    </row>
    <row r="41" spans="2:14" x14ac:dyDescent="0.2">
      <c r="B41" s="97"/>
      <c r="C41" s="10"/>
      <c r="D41" s="10"/>
      <c r="E41" s="10"/>
      <c r="F41" s="10"/>
      <c r="G41" s="10"/>
      <c r="H41" s="10"/>
      <c r="I41" s="10"/>
      <c r="J41" s="10"/>
      <c r="K41" s="24"/>
      <c r="L41" s="107"/>
      <c r="M41" s="9"/>
      <c r="N41" s="9">
        <v>165000</v>
      </c>
    </row>
    <row r="42" spans="2:14" x14ac:dyDescent="0.2">
      <c r="B42" s="97"/>
      <c r="C42" s="10"/>
      <c r="D42" s="10"/>
      <c r="E42" s="10"/>
      <c r="F42" s="10"/>
      <c r="G42" s="10"/>
      <c r="H42" s="10"/>
      <c r="I42" s="10"/>
      <c r="J42" s="10"/>
      <c r="K42" s="10"/>
      <c r="L42" s="106"/>
      <c r="M42" s="11"/>
    </row>
    <row r="43" spans="2:14" x14ac:dyDescent="0.2">
      <c r="B43" s="100" t="s">
        <v>68</v>
      </c>
      <c r="C43" s="8"/>
      <c r="D43" s="8"/>
      <c r="E43" s="8"/>
      <c r="F43" s="8"/>
      <c r="G43" s="8"/>
      <c r="H43" s="8"/>
      <c r="I43" s="8"/>
      <c r="J43" s="8"/>
      <c r="K43" s="8"/>
      <c r="L43" s="107">
        <f>+L29+L37+L40</f>
        <v>271944</v>
      </c>
      <c r="M43" s="11">
        <f>SUM(M37:M40)</f>
        <v>11259</v>
      </c>
      <c r="N43" s="11">
        <f>+L29+L40+L37</f>
        <v>271944</v>
      </c>
    </row>
    <row r="44" spans="2:14" ht="6" customHeight="1" x14ac:dyDescent="0.2">
      <c r="L44" s="11"/>
      <c r="M44" s="11"/>
    </row>
    <row r="45" spans="2:14" x14ac:dyDescent="0.2">
      <c r="B45" s="95" t="s">
        <v>69</v>
      </c>
      <c r="C45" s="21"/>
      <c r="D45" s="21"/>
      <c r="E45" s="21"/>
      <c r="F45" s="21"/>
      <c r="G45" s="21"/>
      <c r="H45" s="21"/>
      <c r="I45" s="21"/>
      <c r="J45" s="21"/>
      <c r="K45" s="96">
        <v>-30531.998000000029</v>
      </c>
      <c r="L45" s="108"/>
      <c r="M45" s="91"/>
      <c r="N45" s="91"/>
    </row>
    <row r="46" spans="2:14" x14ac:dyDescent="0.2">
      <c r="B46" s="97" t="s">
        <v>70</v>
      </c>
      <c r="C46" s="10"/>
      <c r="D46" s="10"/>
      <c r="E46" s="10"/>
      <c r="F46" s="10"/>
      <c r="G46" s="10"/>
      <c r="H46" s="10"/>
      <c r="I46" s="10"/>
      <c r="J46" s="10"/>
      <c r="K46" s="98">
        <f>-3266</f>
        <v>-3266</v>
      </c>
      <c r="L46" s="109"/>
      <c r="M46" s="91"/>
      <c r="N46" s="91"/>
    </row>
    <row r="47" spans="2:14" x14ac:dyDescent="0.2">
      <c r="B47" s="97" t="s">
        <v>71</v>
      </c>
      <c r="C47" s="10"/>
      <c r="D47" s="10"/>
      <c r="E47" s="10"/>
      <c r="F47" s="10"/>
      <c r="G47" s="10"/>
      <c r="H47" s="10"/>
      <c r="I47" s="10"/>
      <c r="J47" s="10"/>
      <c r="K47" s="101">
        <f>2410+169+932+2141+993-2326</f>
        <v>4319</v>
      </c>
      <c r="L47" s="109"/>
      <c r="M47" s="91"/>
      <c r="N47" s="91"/>
    </row>
    <row r="48" spans="2:14" x14ac:dyDescent="0.2">
      <c r="B48" s="97" t="s">
        <v>72</v>
      </c>
      <c r="C48" s="10"/>
      <c r="D48" s="10"/>
      <c r="E48" s="10"/>
      <c r="F48" s="10"/>
      <c r="G48" s="10"/>
      <c r="H48" s="10"/>
      <c r="I48" s="10"/>
      <c r="J48" s="10"/>
      <c r="K48" s="98"/>
      <c r="L48" s="106">
        <f>SUM(K45:K47)</f>
        <v>-29478.998000000029</v>
      </c>
      <c r="M48" s="11">
        <f>+M37+L48</f>
        <v>-45580.998000000029</v>
      </c>
      <c r="N48" s="91">
        <f>+N37+L48</f>
        <v>-67145.998000000021</v>
      </c>
    </row>
    <row r="49" spans="2:17" x14ac:dyDescent="0.2">
      <c r="B49" s="97"/>
      <c r="C49" s="10"/>
      <c r="D49" s="10"/>
      <c r="E49" s="10"/>
      <c r="F49" s="10"/>
      <c r="G49" s="10"/>
      <c r="H49" s="10"/>
      <c r="I49" s="10"/>
      <c r="J49" s="10"/>
      <c r="K49" s="20"/>
      <c r="L49" s="106"/>
      <c r="M49" s="11"/>
      <c r="N49" s="91"/>
    </row>
    <row r="50" spans="2:17" x14ac:dyDescent="0.2">
      <c r="B50" s="97" t="s">
        <v>55</v>
      </c>
      <c r="C50" s="10"/>
      <c r="D50" s="10"/>
      <c r="E50" s="10"/>
      <c r="F50" s="10"/>
      <c r="G50" s="10"/>
      <c r="H50" s="10"/>
      <c r="I50" s="10"/>
      <c r="J50" s="10"/>
      <c r="K50" s="20">
        <f>44082.4</f>
        <v>44082.400000000001</v>
      </c>
      <c r="L50" s="106"/>
      <c r="M50" s="11"/>
      <c r="N50" s="11"/>
    </row>
    <row r="51" spans="2:17" x14ac:dyDescent="0.2">
      <c r="B51" s="97" t="s">
        <v>65</v>
      </c>
      <c r="C51" s="10"/>
      <c r="D51" s="10"/>
      <c r="E51" s="10"/>
      <c r="F51" s="10"/>
      <c r="G51" s="10"/>
      <c r="H51" s="10"/>
      <c r="I51" s="10"/>
      <c r="J51" s="10"/>
      <c r="K51" s="102">
        <v>329.4</v>
      </c>
      <c r="L51" s="106">
        <f>SUM(K50:K51)</f>
        <v>44411.8</v>
      </c>
      <c r="M51" s="11">
        <f>+L51+M40</f>
        <v>71772.800000000003</v>
      </c>
      <c r="N51" s="11">
        <f>+N40+L51</f>
        <v>189022.8</v>
      </c>
      <c r="Q51" s="20"/>
    </row>
    <row r="52" spans="2:17" x14ac:dyDescent="0.2">
      <c r="B52" s="97"/>
      <c r="C52" s="10"/>
      <c r="D52" s="10"/>
      <c r="E52" s="10"/>
      <c r="F52" s="10"/>
      <c r="G52" s="10"/>
      <c r="H52" s="10"/>
      <c r="I52" s="10"/>
      <c r="J52" s="10"/>
      <c r="K52" s="52"/>
      <c r="L52" s="107"/>
      <c r="M52" s="9"/>
      <c r="N52" s="9">
        <f>+N41</f>
        <v>165000</v>
      </c>
    </row>
    <row r="53" spans="2:17" x14ac:dyDescent="0.2">
      <c r="B53" s="100" t="s">
        <v>73</v>
      </c>
      <c r="C53" s="8"/>
      <c r="D53" s="8"/>
      <c r="E53" s="8"/>
      <c r="F53" s="8"/>
      <c r="G53" s="8"/>
      <c r="H53" s="8"/>
      <c r="I53" s="8"/>
      <c r="J53" s="8"/>
      <c r="K53" s="8"/>
      <c r="L53" s="107">
        <f>SUM(L43:L51)</f>
        <v>286876.80199999997</v>
      </c>
      <c r="M53" s="11">
        <f>SUM(M48:M51)</f>
        <v>26191.801999999974</v>
      </c>
      <c r="N53" s="11">
        <f>+N43+L48+L51</f>
        <v>286876.80199999997</v>
      </c>
    </row>
    <row r="54" spans="2:17" ht="6" customHeight="1" x14ac:dyDescent="0.2">
      <c r="K54" s="24"/>
      <c r="O54" s="93"/>
    </row>
    <row r="55" spans="2:17" ht="2.25" customHeight="1" x14ac:dyDescent="0.2">
      <c r="B55" s="95"/>
      <c r="C55" s="21"/>
      <c r="D55" s="21"/>
      <c r="E55" s="21"/>
      <c r="F55" s="21"/>
      <c r="G55" s="21"/>
      <c r="H55" s="21"/>
      <c r="I55" s="21"/>
      <c r="J55" s="21"/>
      <c r="K55" s="21"/>
      <c r="L55" s="105"/>
      <c r="M55" s="11"/>
    </row>
    <row r="56" spans="2:17" ht="14.25" customHeight="1" x14ac:dyDescent="0.2">
      <c r="B56" s="97" t="s">
        <v>100</v>
      </c>
      <c r="C56" s="10"/>
      <c r="D56" s="10"/>
      <c r="E56" s="10"/>
      <c r="F56" s="10"/>
      <c r="G56" s="10"/>
      <c r="H56" s="10"/>
      <c r="I56" s="10"/>
      <c r="J56" s="10"/>
      <c r="K56" s="24">
        <v>-19414</v>
      </c>
      <c r="L56" s="106">
        <f>+K56</f>
        <v>-19414</v>
      </c>
      <c r="M56" s="11">
        <f>+M48+L56</f>
        <v>-64994.998000000029</v>
      </c>
      <c r="N56" s="11">
        <f>+L56+N48</f>
        <v>-86559.998000000021</v>
      </c>
    </row>
    <row r="57" spans="2:17" ht="14.25" customHeight="1" x14ac:dyDescent="0.2">
      <c r="B57" s="97"/>
      <c r="C57" s="10"/>
      <c r="D57" s="10"/>
      <c r="E57" s="10"/>
      <c r="F57" s="10"/>
      <c r="G57" s="10"/>
      <c r="H57" s="10"/>
      <c r="I57" s="10"/>
      <c r="J57" s="10"/>
      <c r="K57" s="24"/>
      <c r="L57" s="106"/>
      <c r="M57" s="11"/>
      <c r="N57" s="11"/>
    </row>
    <row r="58" spans="2:17" ht="14.25" customHeight="1" x14ac:dyDescent="0.2">
      <c r="B58" s="97" t="s">
        <v>55</v>
      </c>
      <c r="C58" s="10"/>
      <c r="D58" s="10"/>
      <c r="E58" s="10"/>
      <c r="F58" s="10"/>
      <c r="G58" s="10"/>
      <c r="H58" s="10"/>
      <c r="I58" s="10"/>
      <c r="J58" s="10"/>
      <c r="K58" s="24">
        <v>66561</v>
      </c>
      <c r="L58" s="106">
        <f>+K58</f>
        <v>66561</v>
      </c>
      <c r="M58" s="11">
        <f>+L58+M51</f>
        <v>138333.79999999999</v>
      </c>
      <c r="N58" s="11">
        <f>+L58+N51</f>
        <v>255583.8</v>
      </c>
    </row>
    <row r="59" spans="2:17" x14ac:dyDescent="0.2">
      <c r="B59" s="97"/>
      <c r="C59" s="10"/>
      <c r="D59" s="10"/>
      <c r="E59" s="10"/>
      <c r="F59" s="10"/>
      <c r="G59" s="10"/>
      <c r="H59" s="10"/>
      <c r="I59" s="10"/>
      <c r="J59" s="10"/>
      <c r="K59" s="24"/>
      <c r="L59" s="107"/>
      <c r="M59" s="9"/>
      <c r="N59" s="9">
        <f>+N52</f>
        <v>165000</v>
      </c>
    </row>
    <row r="60" spans="2:17" x14ac:dyDescent="0.2">
      <c r="B60" s="100" t="s">
        <v>61</v>
      </c>
      <c r="C60" s="8"/>
      <c r="D60" s="8"/>
      <c r="E60" s="8"/>
      <c r="F60" s="8"/>
      <c r="G60" s="8"/>
      <c r="H60" s="8"/>
      <c r="I60" s="8"/>
      <c r="J60" s="8"/>
      <c r="K60" s="110"/>
      <c r="L60" s="112">
        <f>SUM(L53:L58)</f>
        <v>334023.80199999997</v>
      </c>
      <c r="M60" s="24">
        <f>SUM(M55:M59)</f>
        <v>73338.801999999967</v>
      </c>
      <c r="N60" s="11">
        <f>+N53+L56+L58</f>
        <v>334023.80199999997</v>
      </c>
    </row>
    <row r="61" spans="2:17" ht="6" customHeight="1" x14ac:dyDescent="0.2"/>
    <row r="62" spans="2:17" ht="3" customHeight="1" x14ac:dyDescent="0.2">
      <c r="B62" s="95"/>
      <c r="C62" s="21"/>
      <c r="D62" s="21"/>
      <c r="E62" s="21"/>
      <c r="F62" s="21"/>
      <c r="G62" s="21"/>
      <c r="H62" s="21"/>
      <c r="I62" s="21"/>
      <c r="J62" s="21"/>
      <c r="K62" s="21"/>
      <c r="L62" s="105">
        <f>+L55</f>
        <v>0</v>
      </c>
      <c r="M62" s="11"/>
    </row>
    <row r="63" spans="2:17" x14ac:dyDescent="0.2">
      <c r="B63" s="97" t="s">
        <v>21</v>
      </c>
      <c r="C63" s="10"/>
      <c r="D63" s="10"/>
      <c r="E63" s="10"/>
      <c r="F63" s="10"/>
      <c r="G63" s="10"/>
      <c r="H63" s="10"/>
      <c r="I63" s="10"/>
      <c r="J63" s="10"/>
      <c r="K63" s="24" t="e">
        <f>+'Formal IS'!#REF!</f>
        <v>#REF!</v>
      </c>
      <c r="L63" s="106"/>
      <c r="M63" s="11"/>
    </row>
    <row r="64" spans="2:17" x14ac:dyDescent="0.2">
      <c r="B64" s="97" t="s">
        <v>94</v>
      </c>
      <c r="C64" s="10"/>
      <c r="D64" s="10"/>
      <c r="E64" s="10"/>
      <c r="F64" s="10"/>
      <c r="G64" s="10"/>
      <c r="H64" s="10"/>
      <c r="I64" s="10"/>
      <c r="J64" s="10"/>
      <c r="K64" s="110">
        <v>4750</v>
      </c>
      <c r="L64" s="106"/>
      <c r="M64" s="11"/>
    </row>
    <row r="65" spans="2:14" x14ac:dyDescent="0.2">
      <c r="B65" s="97" t="s">
        <v>101</v>
      </c>
      <c r="C65" s="10"/>
      <c r="D65" s="10"/>
      <c r="E65" s="10"/>
      <c r="F65" s="10"/>
      <c r="G65" s="10"/>
      <c r="H65" s="10"/>
      <c r="I65" s="10"/>
      <c r="J65" s="10"/>
      <c r="K65" s="24"/>
      <c r="L65" s="106" t="e">
        <f>SUM(K63:K64)</f>
        <v>#REF!</v>
      </c>
      <c r="M65" s="11" t="e">
        <f>+M56+L65</f>
        <v>#REF!</v>
      </c>
      <c r="N65" s="6" t="e">
        <f>+N56+L65</f>
        <v>#REF!</v>
      </c>
    </row>
    <row r="66" spans="2:14" x14ac:dyDescent="0.2">
      <c r="B66" s="97"/>
      <c r="C66" s="10"/>
      <c r="D66" s="10"/>
      <c r="E66" s="10"/>
      <c r="F66" s="10"/>
      <c r="G66" s="10"/>
      <c r="H66" s="10"/>
      <c r="I66" s="10"/>
      <c r="J66" s="10"/>
      <c r="K66" s="24"/>
      <c r="L66" s="106"/>
      <c r="M66" s="11"/>
    </row>
    <row r="67" spans="2:14" x14ac:dyDescent="0.2">
      <c r="B67" s="97" t="s">
        <v>55</v>
      </c>
      <c r="C67" s="10"/>
      <c r="D67" s="10"/>
      <c r="E67" s="10"/>
      <c r="F67" s="10"/>
      <c r="G67" s="10"/>
      <c r="H67" s="10"/>
      <c r="I67" s="10"/>
      <c r="J67" s="10"/>
      <c r="K67" s="24">
        <v>54089</v>
      </c>
      <c r="L67" s="106"/>
      <c r="M67" s="11"/>
    </row>
    <row r="68" spans="2:14" x14ac:dyDescent="0.2">
      <c r="B68" s="97" t="s">
        <v>65</v>
      </c>
      <c r="C68" s="10"/>
      <c r="D68" s="10"/>
      <c r="E68" s="10"/>
      <c r="F68" s="10"/>
      <c r="G68" s="10"/>
      <c r="H68" s="10"/>
      <c r="I68" s="10"/>
      <c r="J68" s="10"/>
      <c r="K68" s="110">
        <f>-3229+50</f>
        <v>-3179</v>
      </c>
      <c r="L68" s="106">
        <f>SUM(K67:K68)</f>
        <v>50910</v>
      </c>
      <c r="M68" s="11">
        <f>+M58+L68</f>
        <v>189243.8</v>
      </c>
      <c r="N68" s="6">
        <f>+N58+L68</f>
        <v>306493.8</v>
      </c>
    </row>
    <row r="69" spans="2:14" x14ac:dyDescent="0.2">
      <c r="B69" s="97"/>
      <c r="C69" s="10"/>
      <c r="D69" s="10"/>
      <c r="E69" s="10"/>
      <c r="F69" s="10"/>
      <c r="G69" s="10"/>
      <c r="H69" s="10"/>
      <c r="I69" s="10"/>
      <c r="J69" s="10"/>
      <c r="K69" s="10"/>
      <c r="L69" s="107"/>
      <c r="M69" s="9"/>
      <c r="N69" s="9">
        <f>+N59</f>
        <v>165000</v>
      </c>
    </row>
    <row r="70" spans="2:14" x14ac:dyDescent="0.2">
      <c r="B70" s="100" t="s">
        <v>93</v>
      </c>
      <c r="C70" s="8"/>
      <c r="D70" s="8"/>
      <c r="E70" s="8"/>
      <c r="F70" s="8"/>
      <c r="G70" s="8"/>
      <c r="H70" s="8"/>
      <c r="I70" s="8"/>
      <c r="J70" s="8"/>
      <c r="K70" s="110"/>
      <c r="L70" s="107" t="e">
        <f>SUM(L60:L68)</f>
        <v>#REF!</v>
      </c>
      <c r="M70" s="11" t="e">
        <f>SUM(M63:M69)</f>
        <v>#REF!</v>
      </c>
      <c r="N70" s="6" t="e">
        <f>+L68+L65+N60</f>
        <v>#REF!</v>
      </c>
    </row>
  </sheetData>
  <printOptions horizontalCentered="1"/>
  <pageMargins left="0.25" right="0.25" top="0.25" bottom="0.25" header="0" footer="0"/>
  <pageSetup scale="95" orientation="portrait"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T88"/>
  <sheetViews>
    <sheetView workbookViewId="0">
      <selection activeCell="B75" sqref="B75"/>
    </sheetView>
  </sheetViews>
  <sheetFormatPr defaultRowHeight="12.75" x14ac:dyDescent="0.2"/>
  <cols>
    <col min="1" max="2" width="3.1640625" style="32" customWidth="1"/>
    <col min="3" max="3" width="43" style="32" customWidth="1"/>
    <col min="4" max="4" width="2.6640625" style="32" customWidth="1"/>
    <col min="5" max="5" width="14.33203125" style="32" customWidth="1"/>
    <col min="6" max="6" width="2.6640625" style="32" customWidth="1"/>
    <col min="7" max="7" width="14.33203125" style="32" customWidth="1"/>
    <col min="8" max="8" width="3.1640625" style="32" customWidth="1"/>
    <col min="9" max="9" width="14.33203125" style="32" customWidth="1"/>
    <col min="10" max="10" width="2.5" style="32" customWidth="1"/>
    <col min="11" max="11" width="11.83203125" style="32" customWidth="1"/>
    <col min="12" max="12" width="3.33203125" style="32" customWidth="1"/>
    <col min="13" max="13" width="14.33203125" style="32" customWidth="1"/>
    <col min="14" max="14" width="2.5" style="32" customWidth="1"/>
    <col min="15" max="15" width="11.83203125" style="32" customWidth="1"/>
    <col min="16" max="16" width="3.33203125" style="32" customWidth="1"/>
    <col min="17" max="17" width="15.5" style="32" customWidth="1"/>
    <col min="18" max="18" width="4.5" style="32" customWidth="1"/>
    <col min="19" max="19" width="14" style="32" customWidth="1"/>
    <col min="20" max="20" width="4.5" style="32" customWidth="1"/>
    <col min="21" max="21" width="14" style="32" hidden="1" customWidth="1"/>
    <col min="22" max="22" width="4.5" style="32" hidden="1" customWidth="1"/>
    <col min="23" max="23" width="14" style="32" hidden="1" customWidth="1"/>
    <col min="24" max="24" width="3.1640625" style="32" hidden="1" customWidth="1"/>
    <col min="25" max="25" width="15.5" style="32" hidden="1" customWidth="1"/>
    <col min="26" max="26" width="3.1640625" style="32" hidden="1" customWidth="1"/>
    <col min="27" max="27" width="15.5" style="32" hidden="1" customWidth="1"/>
    <col min="28" max="28" width="3.1640625" style="32" customWidth="1"/>
    <col min="29" max="29" width="9.33203125" style="32"/>
    <col min="30" max="30" width="15.5" style="32" customWidth="1"/>
    <col min="31" max="31" width="2.5" style="32" customWidth="1"/>
    <col min="32" max="32" width="15.5" style="32" customWidth="1"/>
    <col min="33" max="33" width="4.5" style="32" customWidth="1"/>
    <col min="34" max="34" width="9.33203125" style="32"/>
    <col min="35" max="35" width="15.5" style="32" customWidth="1"/>
    <col min="36" max="36" width="2.1640625" style="32" customWidth="1"/>
    <col min="37" max="37" width="15.5" style="32" customWidth="1"/>
    <col min="38" max="38" width="2.1640625" style="32" customWidth="1"/>
    <col min="39" max="39" width="15.5" style="32" customWidth="1"/>
    <col min="40" max="40" width="2.1640625" style="32" customWidth="1"/>
    <col min="41" max="41" width="9.33203125" style="32"/>
    <col min="42" max="42" width="2.1640625" style="32" customWidth="1"/>
    <col min="43" max="43" width="11.5" style="32" customWidth="1"/>
    <col min="44" max="44" width="2.1640625" style="32" customWidth="1"/>
    <col min="45" max="45" width="15.5" style="32" customWidth="1"/>
    <col min="46" max="16384" width="9.33203125" style="32"/>
  </cols>
  <sheetData>
    <row r="1" spans="1:45" x14ac:dyDescent="0.2">
      <c r="A1" s="31" t="s">
        <v>0</v>
      </c>
      <c r="B1" s="31"/>
      <c r="C1" s="31"/>
      <c r="D1" s="31"/>
      <c r="E1" s="31"/>
      <c r="F1" s="31"/>
      <c r="G1" s="31"/>
      <c r="H1" s="31"/>
      <c r="I1" s="31"/>
      <c r="J1" s="31"/>
      <c r="K1" s="31"/>
      <c r="L1" s="31"/>
      <c r="M1" s="31"/>
      <c r="N1" s="31"/>
      <c r="O1" s="31"/>
      <c r="P1" s="31"/>
      <c r="Q1" s="31"/>
      <c r="R1" s="31"/>
      <c r="S1" s="1"/>
      <c r="T1" s="31"/>
      <c r="U1" s="1"/>
      <c r="V1" s="31"/>
      <c r="W1" s="1"/>
      <c r="X1" s="31"/>
      <c r="Y1" s="31"/>
      <c r="Z1" s="31"/>
      <c r="AA1" s="31"/>
      <c r="AB1" s="31"/>
      <c r="AC1" s="31"/>
      <c r="AD1" s="31"/>
      <c r="AF1" s="31"/>
      <c r="AG1" s="31"/>
      <c r="AI1" s="31"/>
      <c r="AK1" s="31"/>
      <c r="AM1" s="31"/>
      <c r="AS1" s="31"/>
    </row>
    <row r="2" spans="1:45" x14ac:dyDescent="0.2">
      <c r="A2" s="31" t="s">
        <v>1</v>
      </c>
      <c r="B2" s="31"/>
      <c r="C2" s="31"/>
      <c r="D2" s="31"/>
      <c r="E2" s="31"/>
      <c r="F2" s="31"/>
      <c r="G2" s="31"/>
      <c r="H2" s="31"/>
      <c r="I2" s="31"/>
      <c r="J2" s="31"/>
      <c r="K2" s="31"/>
      <c r="L2" s="31"/>
      <c r="M2" s="31"/>
      <c r="N2" s="31"/>
      <c r="O2" s="31"/>
      <c r="P2" s="31"/>
      <c r="Q2" s="31"/>
      <c r="R2" s="31"/>
      <c r="S2" s="1"/>
      <c r="T2" s="31"/>
      <c r="U2" s="1"/>
      <c r="V2" s="31"/>
      <c r="W2" s="1"/>
      <c r="X2" s="31"/>
      <c r="Y2" s="31"/>
      <c r="Z2" s="31"/>
      <c r="AA2" s="31"/>
      <c r="AB2" s="31"/>
      <c r="AC2" s="31"/>
      <c r="AD2" s="31"/>
      <c r="AF2" s="31"/>
      <c r="AG2" s="31"/>
      <c r="AI2" s="31"/>
      <c r="AK2" s="31"/>
      <c r="AM2" s="31"/>
      <c r="AS2" s="31"/>
    </row>
    <row r="3" spans="1:45" x14ac:dyDescent="0.2">
      <c r="A3" s="31" t="s">
        <v>2</v>
      </c>
      <c r="B3" s="31"/>
      <c r="C3" s="31"/>
      <c r="D3" s="31"/>
      <c r="E3" s="31"/>
      <c r="F3" s="31"/>
      <c r="G3" s="31"/>
      <c r="H3" s="31"/>
      <c r="I3" s="31"/>
      <c r="J3" s="31"/>
      <c r="K3" s="31"/>
      <c r="L3" s="31"/>
      <c r="M3" s="31"/>
      <c r="N3" s="31"/>
      <c r="O3" s="31"/>
      <c r="P3" s="31"/>
      <c r="Q3" s="31"/>
      <c r="R3" s="31"/>
      <c r="S3" s="1"/>
      <c r="T3" s="31"/>
      <c r="U3" s="1"/>
      <c r="V3" s="31"/>
      <c r="W3" s="1"/>
      <c r="X3" s="31"/>
      <c r="Y3" s="31"/>
      <c r="Z3" s="31"/>
      <c r="AA3" s="31"/>
      <c r="AB3" s="31"/>
      <c r="AC3" s="31"/>
      <c r="AD3" s="31"/>
      <c r="AF3" s="31"/>
      <c r="AG3" s="31"/>
      <c r="AI3" s="31"/>
      <c r="AK3" s="31"/>
      <c r="AM3" s="31"/>
      <c r="AS3" s="31"/>
    </row>
    <row r="4" spans="1:45" x14ac:dyDescent="0.2">
      <c r="A4" s="31" t="s">
        <v>3</v>
      </c>
      <c r="B4" s="31"/>
      <c r="C4" s="31"/>
      <c r="D4" s="31"/>
      <c r="E4" s="31"/>
      <c r="F4" s="31"/>
      <c r="G4" s="31"/>
      <c r="H4" s="31"/>
      <c r="I4" s="31"/>
      <c r="J4" s="31"/>
      <c r="K4" s="31"/>
      <c r="L4" s="31"/>
      <c r="M4" s="31"/>
      <c r="N4" s="31"/>
      <c r="O4" s="31"/>
      <c r="P4" s="31"/>
      <c r="Q4" s="31"/>
      <c r="R4" s="31"/>
      <c r="S4" s="1"/>
      <c r="T4" s="31"/>
      <c r="U4" s="1"/>
      <c r="V4" s="31"/>
      <c r="W4" s="1"/>
      <c r="X4" s="31"/>
      <c r="Y4" s="31"/>
      <c r="Z4" s="31"/>
      <c r="AA4" s="31"/>
      <c r="AB4" s="31"/>
      <c r="AC4" s="31"/>
      <c r="AD4" s="31"/>
      <c r="AF4" s="31"/>
      <c r="AG4" s="31"/>
      <c r="AI4" s="31"/>
      <c r="AK4" s="31"/>
      <c r="AM4" s="31"/>
      <c r="AS4" s="31"/>
    </row>
    <row r="5" spans="1:45" ht="20.25" x14ac:dyDescent="0.3">
      <c r="A5" s="19"/>
      <c r="B5" s="5"/>
      <c r="C5" s="5"/>
      <c r="D5" s="5"/>
      <c r="E5" s="5"/>
      <c r="F5" s="5"/>
      <c r="G5" s="5"/>
      <c r="H5" s="5"/>
      <c r="I5" s="5"/>
      <c r="J5" s="5"/>
      <c r="K5" s="5"/>
      <c r="L5" s="5"/>
      <c r="M5" s="5"/>
      <c r="N5" s="5"/>
      <c r="O5" s="5"/>
      <c r="P5" s="5"/>
      <c r="Q5" s="5"/>
      <c r="R5" s="5"/>
      <c r="S5"/>
      <c r="T5" s="5"/>
      <c r="U5"/>
      <c r="V5" s="5"/>
      <c r="W5"/>
      <c r="X5" s="31"/>
      <c r="Y5" s="5"/>
      <c r="Z5" s="31"/>
      <c r="AA5" s="5"/>
      <c r="AB5" s="31"/>
      <c r="AD5" s="5"/>
      <c r="AF5" s="5"/>
      <c r="AG5" s="5"/>
      <c r="AI5" s="5"/>
      <c r="AK5" s="5"/>
      <c r="AM5" s="5"/>
      <c r="AS5" s="5"/>
    </row>
    <row r="6" spans="1:45" hidden="1" x14ac:dyDescent="0.2">
      <c r="S6"/>
      <c r="U6"/>
      <c r="W6"/>
    </row>
    <row r="7" spans="1:45" hidden="1" x14ac:dyDescent="0.2"/>
    <row r="8" spans="1:45" hidden="1" x14ac:dyDescent="0.2"/>
    <row r="9" spans="1:45" x14ac:dyDescent="0.2">
      <c r="E9" s="33"/>
      <c r="G9" s="33"/>
      <c r="I9" s="33"/>
      <c r="M9" s="33"/>
      <c r="Q9" s="33"/>
      <c r="R9" s="33"/>
      <c r="T9" s="33"/>
      <c r="V9" s="33"/>
      <c r="Y9" s="33"/>
      <c r="AA9" s="33"/>
      <c r="AD9" s="33"/>
      <c r="AF9" s="33"/>
      <c r="AG9" s="33"/>
      <c r="AI9" s="33"/>
      <c r="AK9" s="33"/>
      <c r="AM9" s="33"/>
      <c r="AS9" s="33"/>
    </row>
    <row r="10" spans="1:45" x14ac:dyDescent="0.2">
      <c r="E10" s="34"/>
      <c r="G10" s="34"/>
      <c r="I10" s="34"/>
      <c r="M10" s="34"/>
      <c r="Q10" s="34"/>
      <c r="Y10" s="34"/>
      <c r="AA10" s="34"/>
      <c r="AD10" s="34"/>
      <c r="AF10" s="34"/>
      <c r="AI10" s="34"/>
      <c r="AK10" s="34"/>
      <c r="AM10" s="34"/>
      <c r="AS10" s="34"/>
    </row>
    <row r="11" spans="1:45" x14ac:dyDescent="0.2">
      <c r="E11" s="75" t="s">
        <v>74</v>
      </c>
      <c r="F11" s="75"/>
      <c r="G11" s="75"/>
      <c r="I11" s="75" t="s">
        <v>75</v>
      </c>
      <c r="J11" s="75"/>
      <c r="K11" s="75"/>
      <c r="M11" s="75" t="s">
        <v>76</v>
      </c>
      <c r="N11" s="75"/>
      <c r="O11" s="75"/>
      <c r="Q11" s="75" t="s">
        <v>77</v>
      </c>
      <c r="R11" s="75"/>
      <c r="S11" s="75"/>
      <c r="T11" s="33"/>
      <c r="U11" s="75" t="s">
        <v>78</v>
      </c>
      <c r="V11" s="75"/>
      <c r="W11" s="75"/>
      <c r="Y11" s="76" t="s">
        <v>79</v>
      </c>
      <c r="Z11" s="75"/>
      <c r="AA11" s="76"/>
      <c r="AD11" s="75" t="s">
        <v>80</v>
      </c>
      <c r="AE11" s="75"/>
      <c r="AF11" s="75"/>
      <c r="AI11" s="75" t="s">
        <v>63</v>
      </c>
      <c r="AK11" s="76" t="s">
        <v>79</v>
      </c>
      <c r="AM11" s="82" t="s">
        <v>81</v>
      </c>
      <c r="AO11" s="83" t="s">
        <v>82</v>
      </c>
      <c r="AQ11" s="32" t="s">
        <v>83</v>
      </c>
      <c r="AS11" s="75" t="s">
        <v>63</v>
      </c>
    </row>
    <row r="12" spans="1:45" ht="15" customHeight="1" x14ac:dyDescent="0.2">
      <c r="E12" s="38" t="s">
        <v>84</v>
      </c>
      <c r="G12" s="38" t="s">
        <v>85</v>
      </c>
      <c r="I12" s="37" t="s">
        <v>84</v>
      </c>
      <c r="K12" s="38" t="s">
        <v>85</v>
      </c>
      <c r="M12" s="37" t="s">
        <v>84</v>
      </c>
      <c r="O12" s="38" t="s">
        <v>85</v>
      </c>
      <c r="Q12" s="37" t="s">
        <v>84</v>
      </c>
      <c r="S12" s="38" t="s">
        <v>85</v>
      </c>
      <c r="T12" s="39"/>
      <c r="U12" s="37" t="s">
        <v>86</v>
      </c>
      <c r="W12" s="80" t="s">
        <v>85</v>
      </c>
      <c r="Y12" s="37" t="s">
        <v>87</v>
      </c>
      <c r="Z12" s="35"/>
      <c r="AA12" s="37" t="s">
        <v>85</v>
      </c>
      <c r="AD12" s="37" t="s">
        <v>84</v>
      </c>
      <c r="AF12" s="37" t="s">
        <v>85</v>
      </c>
      <c r="AG12" s="35"/>
      <c r="AI12" s="37"/>
      <c r="AK12" s="37" t="s">
        <v>87</v>
      </c>
      <c r="AM12" s="37" t="s">
        <v>87</v>
      </c>
      <c r="AO12" s="81" t="s">
        <v>88</v>
      </c>
      <c r="AS12" s="37"/>
    </row>
    <row r="14" spans="1:45" x14ac:dyDescent="0.2">
      <c r="C14" s="32" t="s">
        <v>4</v>
      </c>
      <c r="E14"/>
      <c r="G14"/>
      <c r="I14"/>
      <c r="M14"/>
      <c r="Q14"/>
      <c r="R14"/>
      <c r="S14"/>
      <c r="T14"/>
      <c r="U14"/>
      <c r="W14"/>
      <c r="Y14"/>
      <c r="AA14"/>
      <c r="AD14"/>
      <c r="AF14"/>
      <c r="AG14"/>
      <c r="AI14"/>
      <c r="AK14"/>
      <c r="AM14"/>
      <c r="AS14"/>
    </row>
    <row r="15" spans="1:45" x14ac:dyDescent="0.2">
      <c r="C15" s="32" t="s">
        <v>89</v>
      </c>
      <c r="E15" s="40">
        <f>+'[3]Formal IS'!$E$17-15000+548</f>
        <v>173359</v>
      </c>
      <c r="G15" s="40">
        <f>251100</f>
        <v>251100</v>
      </c>
      <c r="I15" s="40">
        <f>+'[4]Formal IS'!E16</f>
        <v>154717</v>
      </c>
      <c r="K15" s="40">
        <f>103300+125900+161600</f>
        <v>390800</v>
      </c>
      <c r="M15" s="40" t="e">
        <f>+'Formal IS'!#REF!</f>
        <v>#REF!</v>
      </c>
      <c r="O15" s="40">
        <v>605500</v>
      </c>
      <c r="Q15" s="40" t="e">
        <f>+I15+E15+M15</f>
        <v>#REF!</v>
      </c>
      <c r="R15" s="40"/>
      <c r="S15" s="40">
        <f>+K15+G15+O15</f>
        <v>1247400</v>
      </c>
      <c r="T15" s="40"/>
      <c r="U15" s="40">
        <f>319700-125000+335+2850</f>
        <v>197885</v>
      </c>
      <c r="W15" s="40">
        <f>+AA15-S15</f>
        <v>747100</v>
      </c>
      <c r="Y15" s="40" t="e">
        <f>+Q15+U15</f>
        <v>#REF!</v>
      </c>
      <c r="AA15" s="40">
        <f>1845000+160000-10700+200</f>
        <v>1994500</v>
      </c>
      <c r="AD15" s="40">
        <f>187811-14451</f>
        <v>173360</v>
      </c>
      <c r="AF15" s="40">
        <f>245800+16000</f>
        <v>261800</v>
      </c>
      <c r="AG15" s="40"/>
      <c r="AI15" s="40">
        <f>+AF15+K15-S15</f>
        <v>-594800</v>
      </c>
      <c r="AK15" s="40">
        <f>1842000+160000</f>
        <v>2002000</v>
      </c>
      <c r="AM15" s="40">
        <v>1070200</v>
      </c>
      <c r="AQ15" s="40">
        <f>+AM15-AO15</f>
        <v>1070200</v>
      </c>
      <c r="AS15" s="40" t="e">
        <f>+AQ15-Y15</f>
        <v>#REF!</v>
      </c>
    </row>
    <row r="16" spans="1:45" x14ac:dyDescent="0.2">
      <c r="C16" s="32" t="s">
        <v>90</v>
      </c>
      <c r="E16" s="42">
        <v>15000</v>
      </c>
      <c r="F16" s="39"/>
      <c r="G16" s="42">
        <v>0</v>
      </c>
      <c r="H16" s="39"/>
      <c r="I16" s="42">
        <f>+'[4]Formal IS'!E11</f>
        <v>0</v>
      </c>
      <c r="J16" s="39"/>
      <c r="K16" s="42">
        <v>0</v>
      </c>
      <c r="L16" s="39"/>
      <c r="M16" s="42">
        <v>-500</v>
      </c>
      <c r="N16" s="39"/>
      <c r="O16" s="42">
        <v>0</v>
      </c>
      <c r="P16" s="39"/>
      <c r="Q16" s="42">
        <f>+I16+E16+M16</f>
        <v>14500</v>
      </c>
      <c r="R16" s="92"/>
      <c r="S16" s="42">
        <f>+K16+G16+O16</f>
        <v>0</v>
      </c>
      <c r="T16" s="92"/>
      <c r="U16" s="42">
        <v>0</v>
      </c>
      <c r="V16" s="39"/>
      <c r="W16" s="42">
        <f>+AA16-S16</f>
        <v>12000</v>
      </c>
      <c r="X16" s="39"/>
      <c r="Y16" s="42">
        <f>+U16+Q16</f>
        <v>14500</v>
      </c>
      <c r="Z16" s="39"/>
      <c r="AA16" s="42">
        <v>12000</v>
      </c>
      <c r="AB16" s="39"/>
      <c r="AC16" s="39"/>
      <c r="AD16" s="42">
        <v>15000</v>
      </c>
      <c r="AF16" s="36">
        <v>0</v>
      </c>
      <c r="AG16" s="40"/>
      <c r="AI16" s="36">
        <f>+AF16+K16-S16</f>
        <v>0</v>
      </c>
      <c r="AK16" s="36">
        <v>15000</v>
      </c>
      <c r="AM16" s="36"/>
      <c r="AS16" s="36"/>
    </row>
    <row r="17" spans="2:46" s="84" customFormat="1" x14ac:dyDescent="0.2">
      <c r="C17" s="32" t="s">
        <v>91</v>
      </c>
      <c r="E17" s="85">
        <v>8016.5</v>
      </c>
      <c r="G17" s="85">
        <v>10700</v>
      </c>
      <c r="I17" s="85">
        <v>-993</v>
      </c>
      <c r="K17" s="85"/>
      <c r="M17" s="85">
        <v>227213</v>
      </c>
      <c r="O17" s="85"/>
      <c r="Q17" s="85">
        <f>+I17+E17+M17</f>
        <v>234236.5</v>
      </c>
      <c r="S17" s="85">
        <f>+K17+G17+O17</f>
        <v>10700</v>
      </c>
      <c r="U17" s="85"/>
      <c r="W17" s="85"/>
      <c r="Y17" s="85"/>
      <c r="AA17" s="85"/>
    </row>
    <row r="18" spans="2:46" x14ac:dyDescent="0.2">
      <c r="E18" s="84">
        <f>SUM(E15:E17)</f>
        <v>196375.5</v>
      </c>
      <c r="G18" s="84">
        <f>SUM(G15:G17)</f>
        <v>261800</v>
      </c>
      <c r="I18" s="84">
        <f>SUM(I15:I17)</f>
        <v>153724</v>
      </c>
      <c r="K18" s="84">
        <f>SUM(K15:K17)</f>
        <v>390800</v>
      </c>
      <c r="M18" s="84" t="e">
        <f>SUM(M15:M17)</f>
        <v>#REF!</v>
      </c>
      <c r="O18" s="84">
        <f>SUM(O15:O17)</f>
        <v>605500</v>
      </c>
      <c r="Q18" s="84" t="e">
        <f>SUM(Q15:Q17)</f>
        <v>#REF!</v>
      </c>
      <c r="R18" s="40"/>
      <c r="S18" s="84">
        <f>SUM(S15:S17)</f>
        <v>1258100</v>
      </c>
      <c r="T18" s="40"/>
      <c r="U18" s="84">
        <f>SUM(U15:U17)</f>
        <v>197885</v>
      </c>
      <c r="W18" s="84">
        <f>SUM(W15:W17)</f>
        <v>759100</v>
      </c>
      <c r="Y18" s="84" t="e">
        <f>SUM(Y15:Y17)</f>
        <v>#REF!</v>
      </c>
      <c r="AA18" s="84">
        <f>SUM(AA15:AA17)</f>
        <v>2006500</v>
      </c>
      <c r="AD18" s="40"/>
      <c r="AF18" s="40"/>
      <c r="AG18" s="40"/>
      <c r="AI18" s="40"/>
      <c r="AK18" s="40"/>
      <c r="AM18" s="40"/>
      <c r="AQ18" s="40"/>
      <c r="AS18" s="40"/>
    </row>
    <row r="19" spans="2:46" x14ac:dyDescent="0.2">
      <c r="E19" s="36"/>
      <c r="G19" s="36"/>
      <c r="I19" s="36"/>
      <c r="K19" s="36"/>
      <c r="M19" s="36"/>
      <c r="O19" s="36"/>
      <c r="Q19" s="36"/>
      <c r="R19" s="36"/>
      <c r="S19" s="36"/>
      <c r="T19" s="36"/>
      <c r="U19" s="36"/>
      <c r="W19" s="36"/>
      <c r="Y19" s="36"/>
      <c r="AA19" s="36"/>
      <c r="AD19" s="36"/>
      <c r="AF19" s="36"/>
      <c r="AG19" s="36"/>
      <c r="AI19" s="36"/>
      <c r="AK19" s="36"/>
      <c r="AM19" s="36"/>
      <c r="AS19" s="36"/>
    </row>
    <row r="20" spans="2:46" x14ac:dyDescent="0.2">
      <c r="B20" s="32" t="s">
        <v>5</v>
      </c>
      <c r="E20" s="36"/>
      <c r="G20" s="36"/>
      <c r="I20" s="36"/>
      <c r="K20" s="36"/>
      <c r="M20" s="36"/>
      <c r="O20" s="36"/>
      <c r="Q20" s="36"/>
      <c r="R20" s="36"/>
      <c r="S20" s="36"/>
      <c r="T20" s="36"/>
      <c r="U20" s="36"/>
      <c r="W20" s="36"/>
      <c r="Y20" s="36"/>
      <c r="AA20" s="36"/>
      <c r="AD20" s="36"/>
      <c r="AF20" s="36"/>
      <c r="AG20" s="36"/>
      <c r="AI20" s="36"/>
      <c r="AK20" s="36"/>
      <c r="AM20" s="36"/>
      <c r="AS20" s="36"/>
    </row>
    <row r="21" spans="2:46" s="84" customFormat="1" x14ac:dyDescent="0.2">
      <c r="C21" s="86" t="s">
        <v>6</v>
      </c>
      <c r="E21" s="91">
        <f>176279</f>
        <v>176279</v>
      </c>
      <c r="F21" s="91"/>
      <c r="G21" s="91">
        <v>255000</v>
      </c>
      <c r="H21" s="91"/>
      <c r="I21" s="91">
        <f>149721</f>
        <v>149721</v>
      </c>
      <c r="J21" s="91"/>
      <c r="K21" s="91">
        <v>379100</v>
      </c>
      <c r="L21" s="91"/>
      <c r="M21" s="91">
        <f>350520</f>
        <v>350520</v>
      </c>
      <c r="N21" s="91"/>
      <c r="O21" s="91">
        <v>583200</v>
      </c>
      <c r="P21" s="91"/>
      <c r="Q21" s="91">
        <f>+I21+E21+M21</f>
        <v>676520</v>
      </c>
      <c r="R21" s="91"/>
      <c r="S21" s="91">
        <f>+K21+G21+O21</f>
        <v>1217300</v>
      </c>
      <c r="T21" s="91"/>
      <c r="U21" s="91">
        <f>266880-125219</f>
        <v>141661</v>
      </c>
      <c r="V21" s="91"/>
      <c r="W21" s="91">
        <v>729900</v>
      </c>
      <c r="X21" s="91"/>
      <c r="Y21" s="91">
        <v>943400</v>
      </c>
      <c r="Z21" s="91"/>
      <c r="AA21" s="91">
        <v>1947200</v>
      </c>
      <c r="AB21" s="91"/>
      <c r="AC21" s="91"/>
      <c r="AD21" s="91">
        <v>176279</v>
      </c>
      <c r="AE21" s="91"/>
      <c r="AF21" s="91">
        <v>278200</v>
      </c>
      <c r="AG21" s="91"/>
      <c r="AH21" s="91"/>
      <c r="AI21" s="91">
        <v>-560000</v>
      </c>
      <c r="AJ21" s="91"/>
      <c r="AK21" s="91">
        <v>2036710</v>
      </c>
      <c r="AL21" s="91"/>
      <c r="AM21" s="91">
        <v>943400</v>
      </c>
      <c r="AN21" s="91"/>
      <c r="AO21" s="91"/>
      <c r="AP21" s="91"/>
      <c r="AQ21" s="91">
        <v>943400</v>
      </c>
      <c r="AR21" s="91"/>
      <c r="AS21" s="91">
        <v>0</v>
      </c>
      <c r="AT21" s="91"/>
    </row>
    <row r="22" spans="2:46" x14ac:dyDescent="0.2">
      <c r="C22" s="32" t="s">
        <v>7</v>
      </c>
      <c r="E22" s="36">
        <f>+'[3]Formal IS'!E24-0.6</f>
        <v>40367.4</v>
      </c>
      <c r="G22" s="36">
        <v>37100</v>
      </c>
      <c r="I22" s="36">
        <f>+'[4]Formal IS'!E24</f>
        <v>40731</v>
      </c>
      <c r="K22" s="36">
        <f>12800+13000+13100+500+500+500</f>
        <v>40400</v>
      </c>
      <c r="M22" s="36" t="e">
        <f>+'Formal IS'!#REF!</f>
        <v>#REF!</v>
      </c>
      <c r="O22" s="36">
        <f>43100-4200</f>
        <v>38900</v>
      </c>
      <c r="Q22" s="36" t="e">
        <f>+I22+E22+M22</f>
        <v>#REF!</v>
      </c>
      <c r="R22" s="36"/>
      <c r="S22" s="36">
        <f>+K22+G22+O22</f>
        <v>116400</v>
      </c>
      <c r="T22" s="36"/>
      <c r="U22" s="36">
        <f>64200-830</f>
        <v>63370</v>
      </c>
      <c r="W22" s="36">
        <f>+AA22-S22</f>
        <v>53600</v>
      </c>
      <c r="Y22" s="36" t="e">
        <f>+U22+Q22</f>
        <v>#REF!</v>
      </c>
      <c r="AA22" s="36">
        <f>163400+6600</f>
        <v>170000</v>
      </c>
      <c r="AD22" s="36">
        <v>40368</v>
      </c>
      <c r="AF22" s="36">
        <v>13900</v>
      </c>
      <c r="AG22" s="36"/>
      <c r="AI22" s="36">
        <f>+AF22+K22-S22</f>
        <v>-62100</v>
      </c>
      <c r="AK22" s="36">
        <f>80290</f>
        <v>80290</v>
      </c>
      <c r="AM22" s="36">
        <f>207600+4200</f>
        <v>211800</v>
      </c>
      <c r="AQ22" s="36">
        <f>+AM22-AO22</f>
        <v>211800</v>
      </c>
      <c r="AS22" s="36" t="e">
        <f>+AQ22-Y22</f>
        <v>#REF!</v>
      </c>
    </row>
    <row r="23" spans="2:46" x14ac:dyDescent="0.2">
      <c r="C23" s="32" t="s">
        <v>8</v>
      </c>
      <c r="E23" s="36">
        <f>+'[3]Formal IS'!E25</f>
        <v>4213</v>
      </c>
      <c r="G23" s="36">
        <v>4200</v>
      </c>
      <c r="I23" s="36">
        <f>+'[4]Formal IS'!E25</f>
        <v>5553</v>
      </c>
      <c r="K23" s="36">
        <f>1400+1400+1400</f>
        <v>4200</v>
      </c>
      <c r="M23" s="36" t="e">
        <f>+'Formal IS'!#REF!</f>
        <v>#REF!</v>
      </c>
      <c r="O23" s="36">
        <v>4200</v>
      </c>
      <c r="Q23" s="36" t="e">
        <f>+I23+E23+M23</f>
        <v>#REF!</v>
      </c>
      <c r="R23" s="36"/>
      <c r="S23" s="36">
        <f>+K23+G23+O23</f>
        <v>12600</v>
      </c>
      <c r="T23" s="36"/>
      <c r="U23" s="36">
        <f>6600-2853</f>
        <v>3747</v>
      </c>
      <c r="W23" s="36">
        <f>+AA23-S23</f>
        <v>4200</v>
      </c>
      <c r="Y23" s="36" t="e">
        <f>+U23+Q23</f>
        <v>#REF!</v>
      </c>
      <c r="AA23" s="36">
        <v>16800</v>
      </c>
      <c r="AD23" s="36">
        <v>4213</v>
      </c>
      <c r="AF23" s="36">
        <v>4200</v>
      </c>
      <c r="AG23" s="36"/>
      <c r="AI23" s="36">
        <f>+AF23+K23-S23</f>
        <v>-4200</v>
      </c>
      <c r="AK23" s="36">
        <v>16800</v>
      </c>
      <c r="AM23" s="36">
        <v>28200</v>
      </c>
      <c r="AO23" s="32">
        <f>993+4281+932+608</f>
        <v>6814</v>
      </c>
      <c r="AQ23" s="36">
        <f>+AM23-AO23</f>
        <v>21386</v>
      </c>
      <c r="AS23" s="36" t="e">
        <f>+AQ23-Y23</f>
        <v>#REF!</v>
      </c>
    </row>
    <row r="24" spans="2:46" x14ac:dyDescent="0.2">
      <c r="E24" s="41">
        <f>SUM(E21:E23)</f>
        <v>220859.4</v>
      </c>
      <c r="G24" s="41">
        <f>SUM(G21:G23)</f>
        <v>296300</v>
      </c>
      <c r="I24" s="41">
        <f>SUM(I21:I23)</f>
        <v>196005</v>
      </c>
      <c r="K24" s="41">
        <f>SUM(K21:K23)</f>
        <v>423700</v>
      </c>
      <c r="M24" s="41" t="e">
        <f>SUM(M21:M23)</f>
        <v>#REF!</v>
      </c>
      <c r="O24" s="41">
        <f>SUM(O21:O23)</f>
        <v>626300</v>
      </c>
      <c r="Q24" s="41" t="e">
        <f>SUM(Q21:Q23)</f>
        <v>#REF!</v>
      </c>
      <c r="R24" s="36"/>
      <c r="S24" s="41">
        <f>SUM(S21:S23)</f>
        <v>1346300</v>
      </c>
      <c r="T24" s="36"/>
      <c r="U24" s="41">
        <f>SUM(U21:U23)</f>
        <v>208778</v>
      </c>
      <c r="W24" s="41">
        <f>SUM(W21:W23)</f>
        <v>787700</v>
      </c>
      <c r="Y24" s="41" t="e">
        <f>SUM(Y21:Y23)</f>
        <v>#REF!</v>
      </c>
      <c r="Z24" s="36"/>
      <c r="AA24" s="41">
        <f>SUM(AA21:AA23)</f>
        <v>2134000</v>
      </c>
      <c r="AD24" s="41">
        <f>SUM(AD21:AD23)</f>
        <v>220860</v>
      </c>
      <c r="AF24" s="41">
        <f>SUM(AF21:AF23)</f>
        <v>296300</v>
      </c>
      <c r="AG24" s="36"/>
      <c r="AI24" s="41">
        <f>SUM(AI21:AI23)</f>
        <v>-626300</v>
      </c>
      <c r="AK24" s="41">
        <f>SUM(AK21:AK23)</f>
        <v>2133800</v>
      </c>
      <c r="AM24" s="41">
        <f>SUM(AM21:AM23)</f>
        <v>1183400</v>
      </c>
      <c r="AO24" s="41">
        <f>SUM(AO21:AO23)</f>
        <v>6814</v>
      </c>
      <c r="AQ24" s="41">
        <f>SUM(AQ21:AQ23)</f>
        <v>1176586</v>
      </c>
      <c r="AS24" s="41" t="e">
        <f>SUM(AS21:AS23)</f>
        <v>#REF!</v>
      </c>
    </row>
    <row r="25" spans="2:46" x14ac:dyDescent="0.2">
      <c r="E25" s="36"/>
      <c r="G25" s="36"/>
      <c r="I25" s="36"/>
      <c r="K25" s="36"/>
      <c r="M25" s="36"/>
      <c r="O25" s="36"/>
      <c r="Q25" s="36"/>
      <c r="R25" s="36"/>
      <c r="S25" s="36"/>
      <c r="T25" s="36"/>
      <c r="U25" s="36"/>
      <c r="W25" s="36"/>
      <c r="Y25" s="36"/>
      <c r="AA25" s="36"/>
      <c r="AD25" s="36"/>
      <c r="AF25" s="36"/>
      <c r="AG25" s="36"/>
      <c r="AI25" s="36"/>
      <c r="AK25" s="36"/>
      <c r="AM25" s="36"/>
      <c r="AO25" s="36"/>
      <c r="AQ25" s="36"/>
      <c r="AS25" s="36"/>
    </row>
    <row r="26" spans="2:46" x14ac:dyDescent="0.2">
      <c r="B26" s="32" t="s">
        <v>9</v>
      </c>
      <c r="E26" s="36">
        <f>+E18-E24</f>
        <v>-24483.899999999994</v>
      </c>
      <c r="G26" s="36">
        <f>+G18-G24</f>
        <v>-34500</v>
      </c>
      <c r="I26" s="36">
        <f>+I18-I24</f>
        <v>-42281</v>
      </c>
      <c r="K26" s="36">
        <f>+K18-K24</f>
        <v>-32900</v>
      </c>
      <c r="M26" s="36" t="e">
        <f>+M18-M24</f>
        <v>#REF!</v>
      </c>
      <c r="O26" s="36">
        <f>+O18-O24</f>
        <v>-20800</v>
      </c>
      <c r="Q26" s="36" t="e">
        <f>+Q18-Q24</f>
        <v>#REF!</v>
      </c>
      <c r="R26" s="36"/>
      <c r="S26" s="36">
        <f>+S18-S24</f>
        <v>-88200</v>
      </c>
      <c r="T26" s="36"/>
      <c r="U26" s="36">
        <f>+U18-U24</f>
        <v>-10893</v>
      </c>
      <c r="W26" s="36">
        <f>+W18-W24</f>
        <v>-28600</v>
      </c>
      <c r="Y26" s="36" t="e">
        <f>+Y18-Y24</f>
        <v>#REF!</v>
      </c>
      <c r="Z26" s="36"/>
      <c r="AA26" s="36">
        <f>+AA18-AA24</f>
        <v>-127500</v>
      </c>
      <c r="AD26" s="36" t="e">
        <f>+#REF!-AD24</f>
        <v>#REF!</v>
      </c>
      <c r="AF26" s="36" t="e">
        <f>+#REF!-AF24</f>
        <v>#REF!</v>
      </c>
      <c r="AG26" s="36"/>
      <c r="AI26" s="36" t="e">
        <f>+#REF!-AI24</f>
        <v>#REF!</v>
      </c>
      <c r="AK26" s="36" t="e">
        <f>+#REF!-AK24</f>
        <v>#REF!</v>
      </c>
      <c r="AM26" s="36" t="e">
        <f>+#REF!-AM24</f>
        <v>#REF!</v>
      </c>
      <c r="AO26" s="36" t="e">
        <f>+#REF!-AO24</f>
        <v>#REF!</v>
      </c>
      <c r="AQ26" s="36" t="e">
        <f>+#REF!-AQ24</f>
        <v>#REF!</v>
      </c>
      <c r="AS26" s="36" t="e">
        <f>+#REF!-AS24</f>
        <v>#REF!</v>
      </c>
    </row>
    <row r="27" spans="2:46" hidden="1" x14ac:dyDescent="0.2">
      <c r="E27" s="36"/>
      <c r="G27" s="36"/>
      <c r="I27" s="36"/>
      <c r="K27" s="36"/>
      <c r="M27" s="36"/>
      <c r="O27" s="36"/>
      <c r="Q27" s="36"/>
      <c r="R27" s="36"/>
      <c r="S27" s="36"/>
      <c r="T27" s="36"/>
      <c r="U27" s="36"/>
      <c r="W27" s="36"/>
      <c r="Y27" s="36"/>
      <c r="AA27" s="36"/>
      <c r="AD27" s="36"/>
      <c r="AF27" s="36"/>
      <c r="AG27" s="36"/>
      <c r="AI27" s="36"/>
      <c r="AK27" s="36"/>
      <c r="AM27" s="36"/>
      <c r="AS27" s="36"/>
    </row>
    <row r="28" spans="2:46" hidden="1" x14ac:dyDescent="0.2">
      <c r="E28" s="36"/>
      <c r="G28" s="36"/>
      <c r="I28" s="36"/>
      <c r="K28" s="36"/>
      <c r="M28" s="36"/>
      <c r="O28" s="36"/>
      <c r="Q28" s="36"/>
      <c r="R28" s="36"/>
      <c r="S28" s="36"/>
      <c r="T28" s="36"/>
      <c r="U28" s="36"/>
      <c r="W28" s="36"/>
      <c r="Y28" s="36"/>
      <c r="AA28" s="36"/>
      <c r="AD28" s="36"/>
      <c r="AF28" s="36"/>
      <c r="AG28" s="36"/>
      <c r="AI28" s="36"/>
      <c r="AK28" s="36"/>
      <c r="AM28" s="36"/>
      <c r="AS28" s="36"/>
    </row>
    <row r="29" spans="2:46" hidden="1" x14ac:dyDescent="0.2">
      <c r="E29" s="36"/>
      <c r="G29" s="36"/>
      <c r="I29" s="36"/>
      <c r="K29" s="36"/>
      <c r="M29" s="36"/>
      <c r="O29" s="36"/>
      <c r="Q29" s="36"/>
      <c r="R29" s="36"/>
      <c r="S29" s="36"/>
      <c r="T29" s="36"/>
      <c r="U29" s="36"/>
      <c r="W29" s="36"/>
      <c r="Y29" s="36"/>
      <c r="AA29" s="36"/>
      <c r="AD29" s="36"/>
      <c r="AF29" s="36"/>
      <c r="AG29" s="36"/>
      <c r="AI29" s="36"/>
      <c r="AK29" s="36"/>
      <c r="AM29" s="36"/>
      <c r="AS29" s="36"/>
    </row>
    <row r="30" spans="2:46" hidden="1" x14ac:dyDescent="0.2">
      <c r="E30" s="36"/>
      <c r="G30" s="36"/>
      <c r="I30" s="36"/>
      <c r="K30" s="36"/>
      <c r="M30" s="36"/>
      <c r="O30" s="36"/>
      <c r="Q30" s="36"/>
      <c r="R30" s="36"/>
      <c r="S30" s="36"/>
      <c r="T30" s="36"/>
      <c r="U30" s="36"/>
      <c r="W30" s="36"/>
      <c r="Y30" s="36"/>
      <c r="AA30" s="36"/>
      <c r="AD30" s="36"/>
      <c r="AF30" s="36"/>
      <c r="AG30" s="36"/>
      <c r="AI30" s="36"/>
      <c r="AK30" s="36"/>
      <c r="AM30" s="36"/>
      <c r="AS30" s="36"/>
    </row>
    <row r="31" spans="2:46" hidden="1" x14ac:dyDescent="0.2">
      <c r="E31" s="36"/>
      <c r="G31" s="36"/>
      <c r="I31" s="36"/>
      <c r="K31" s="36"/>
      <c r="M31" s="36"/>
      <c r="O31" s="36"/>
      <c r="Q31" s="36"/>
      <c r="R31" s="36"/>
      <c r="S31" s="36"/>
      <c r="T31" s="36"/>
      <c r="U31" s="36"/>
      <c r="W31" s="36"/>
      <c r="Y31" s="36"/>
      <c r="AA31" s="36"/>
      <c r="AD31" s="36"/>
      <c r="AF31" s="36"/>
      <c r="AG31" s="36"/>
      <c r="AI31" s="36"/>
      <c r="AK31" s="36"/>
      <c r="AM31" s="36"/>
      <c r="AS31" s="36"/>
    </row>
    <row r="32" spans="2:46" x14ac:dyDescent="0.2">
      <c r="E32" s="36"/>
      <c r="G32" s="36"/>
      <c r="I32" s="36"/>
      <c r="K32" s="36"/>
      <c r="M32" s="36"/>
      <c r="O32" s="36"/>
      <c r="Q32" s="36"/>
      <c r="R32" s="36"/>
      <c r="S32" s="36"/>
      <c r="T32" s="36"/>
      <c r="U32" s="36"/>
      <c r="W32" s="36"/>
      <c r="Y32" s="36"/>
      <c r="AA32" s="36"/>
      <c r="AD32" s="36"/>
      <c r="AF32" s="36"/>
      <c r="AG32" s="36"/>
      <c r="AI32" s="36"/>
      <c r="AK32" s="36"/>
      <c r="AM32" s="36"/>
      <c r="AS32" s="36"/>
    </row>
    <row r="33" spans="2:45" hidden="1" x14ac:dyDescent="0.2">
      <c r="E33" s="36"/>
      <c r="G33" s="36"/>
      <c r="I33" s="36"/>
      <c r="K33" s="36"/>
      <c r="M33" s="36"/>
      <c r="O33" s="36"/>
      <c r="Q33" s="36"/>
      <c r="R33" s="36"/>
      <c r="S33" s="36"/>
      <c r="T33" s="36"/>
      <c r="U33" s="36"/>
      <c r="W33" s="36"/>
      <c r="Y33" s="36"/>
      <c r="AA33" s="36"/>
      <c r="AD33" s="36"/>
      <c r="AF33" s="36"/>
      <c r="AG33" s="36"/>
      <c r="AI33" s="36"/>
      <c r="AK33" s="36"/>
      <c r="AM33" s="36"/>
      <c r="AS33" s="36"/>
    </row>
    <row r="34" spans="2:45" hidden="1" x14ac:dyDescent="0.2">
      <c r="B34"/>
      <c r="E34" s="36"/>
      <c r="G34" s="36"/>
      <c r="I34" s="36"/>
      <c r="K34" s="36"/>
      <c r="M34" s="36"/>
      <c r="O34" s="36"/>
      <c r="Q34" s="36"/>
      <c r="R34" s="36"/>
      <c r="S34" s="36"/>
      <c r="T34" s="36"/>
      <c r="U34" s="36"/>
      <c r="W34" s="36"/>
      <c r="Y34" s="36"/>
      <c r="AA34" s="36"/>
      <c r="AD34" s="36"/>
      <c r="AF34" s="36"/>
      <c r="AG34" s="36"/>
      <c r="AI34" s="36"/>
      <c r="AK34" s="36"/>
      <c r="AM34" s="36"/>
      <c r="AS34" s="36"/>
    </row>
    <row r="35" spans="2:45" hidden="1" x14ac:dyDescent="0.2">
      <c r="C35" s="32" t="s">
        <v>10</v>
      </c>
      <c r="E35" s="36"/>
      <c r="G35" s="36"/>
      <c r="I35" s="36"/>
      <c r="K35" s="36"/>
      <c r="M35" s="36"/>
      <c r="O35" s="36"/>
      <c r="Q35" s="36"/>
      <c r="R35" s="36"/>
      <c r="S35" s="36"/>
      <c r="T35" s="36"/>
      <c r="U35" s="36"/>
      <c r="W35" s="36"/>
      <c r="Y35" s="36"/>
      <c r="AA35" s="36"/>
      <c r="AD35" s="36"/>
      <c r="AF35" s="36"/>
      <c r="AG35" s="36"/>
      <c r="AI35" s="36"/>
      <c r="AK35" s="36"/>
      <c r="AM35" s="36"/>
      <c r="AS35" s="36"/>
    </row>
    <row r="36" spans="2:45" hidden="1" x14ac:dyDescent="0.2">
      <c r="C36" s="32" t="s">
        <v>11</v>
      </c>
      <c r="E36" s="36"/>
      <c r="G36" s="36"/>
      <c r="I36" s="36"/>
      <c r="K36" s="36"/>
      <c r="M36" s="36"/>
      <c r="O36" s="36"/>
      <c r="Q36" s="36"/>
      <c r="R36" s="36"/>
      <c r="S36" s="36"/>
      <c r="T36" s="36"/>
      <c r="U36" s="36"/>
      <c r="W36" s="36"/>
      <c r="Y36" s="36"/>
      <c r="AA36" s="36"/>
      <c r="AD36" s="36"/>
      <c r="AF36" s="36"/>
      <c r="AG36" s="36"/>
      <c r="AI36" s="36"/>
      <c r="AK36" s="36"/>
      <c r="AM36" s="36"/>
      <c r="AS36" s="36"/>
    </row>
    <row r="37" spans="2:45" hidden="1" x14ac:dyDescent="0.2">
      <c r="C37" s="32" t="s">
        <v>12</v>
      </c>
      <c r="E37" s="36"/>
      <c r="G37" s="36"/>
      <c r="I37" s="36"/>
      <c r="K37" s="36"/>
      <c r="M37" s="36"/>
      <c r="O37" s="36"/>
      <c r="Q37" s="36"/>
      <c r="R37" s="36"/>
      <c r="S37" s="36"/>
      <c r="T37" s="36"/>
      <c r="U37" s="36"/>
      <c r="W37" s="36"/>
      <c r="Y37" s="36"/>
      <c r="AA37" s="36"/>
      <c r="AD37" s="36"/>
      <c r="AF37" s="36"/>
      <c r="AG37" s="36"/>
      <c r="AI37" s="36"/>
      <c r="AK37" s="36"/>
      <c r="AM37" s="36"/>
      <c r="AS37" s="36"/>
    </row>
    <row r="38" spans="2:45" x14ac:dyDescent="0.2">
      <c r="B38" s="32" t="s">
        <v>13</v>
      </c>
      <c r="E38" s="36">
        <f>+'[3]Formal IS'!$E$41+'[3]Formal IS'!$E$42</f>
        <v>786</v>
      </c>
      <c r="G38" s="36">
        <v>7500</v>
      </c>
      <c r="I38" s="36">
        <f>+'[4]Formal IS'!E40</f>
        <v>-676</v>
      </c>
      <c r="K38" s="36">
        <v>-3000</v>
      </c>
      <c r="M38" s="36" t="e">
        <f>+'Formal IS'!#REF!</f>
        <v>#REF!</v>
      </c>
      <c r="O38" s="36">
        <v>-3000</v>
      </c>
      <c r="Q38" s="42" t="e">
        <f>+I38+E38+M38</f>
        <v>#REF!</v>
      </c>
      <c r="R38" s="42"/>
      <c r="S38" s="36">
        <f>+K38+G38+O38</f>
        <v>1500</v>
      </c>
      <c r="T38" s="42"/>
      <c r="U38" s="36">
        <f>-1000+73</f>
        <v>-927</v>
      </c>
      <c r="W38" s="36">
        <f>+AA38-S38</f>
        <v>-1500</v>
      </c>
      <c r="Y38" s="42" t="e">
        <f>+U38+Q38</f>
        <v>#REF!</v>
      </c>
      <c r="AA38" s="42">
        <v>0</v>
      </c>
      <c r="AD38" s="42">
        <f>-51+837</f>
        <v>786</v>
      </c>
      <c r="AF38" s="42">
        <v>7500</v>
      </c>
      <c r="AG38" s="42"/>
      <c r="AI38" s="42">
        <f>+AF38+K38-S38</f>
        <v>3000</v>
      </c>
      <c r="AK38" s="42">
        <v>0</v>
      </c>
      <c r="AM38" s="42">
        <v>-3500</v>
      </c>
      <c r="AO38" s="36">
        <v>-2410</v>
      </c>
      <c r="AQ38" s="36">
        <f>+AM38-AO38</f>
        <v>-1090</v>
      </c>
      <c r="AS38" s="42" t="e">
        <f>+AQ38-Y38</f>
        <v>#REF!</v>
      </c>
    </row>
    <row r="39" spans="2:45" hidden="1" x14ac:dyDescent="0.2">
      <c r="C39" s="32" t="s">
        <v>14</v>
      </c>
      <c r="E39" s="42"/>
      <c r="G39" s="42"/>
      <c r="I39" s="42"/>
      <c r="K39" s="42"/>
      <c r="M39" s="42"/>
      <c r="O39" s="42"/>
      <c r="Q39" s="42"/>
      <c r="R39" s="42"/>
      <c r="S39" s="42"/>
      <c r="T39" s="42"/>
      <c r="U39" s="42"/>
      <c r="W39" s="42"/>
      <c r="Y39" s="42"/>
      <c r="AA39" s="42"/>
      <c r="AD39" s="42"/>
      <c r="AF39" s="42"/>
      <c r="AG39" s="42"/>
      <c r="AI39" s="42"/>
      <c r="AK39" s="42"/>
      <c r="AM39" s="42"/>
      <c r="AS39" s="42"/>
    </row>
    <row r="40" spans="2:45" hidden="1" x14ac:dyDescent="0.2">
      <c r="C40" s="32" t="s">
        <v>15</v>
      </c>
      <c r="E40" s="42"/>
      <c r="G40" s="42"/>
      <c r="I40" s="42"/>
      <c r="K40" s="42"/>
      <c r="M40" s="42"/>
      <c r="O40" s="42"/>
      <c r="Q40" s="42"/>
      <c r="R40" s="42"/>
      <c r="S40" s="42"/>
      <c r="T40" s="42"/>
      <c r="U40" s="42"/>
      <c r="W40" s="42"/>
      <c r="Y40" s="42"/>
      <c r="AA40" s="42"/>
      <c r="AD40" s="42"/>
      <c r="AF40" s="42"/>
      <c r="AG40" s="42"/>
      <c r="AI40" s="42"/>
      <c r="AK40" s="42"/>
      <c r="AM40" s="42"/>
      <c r="AS40" s="42"/>
    </row>
    <row r="41" spans="2:45" x14ac:dyDescent="0.2">
      <c r="E41" s="43"/>
      <c r="G41" s="43"/>
      <c r="I41" s="43"/>
      <c r="K41" s="43"/>
      <c r="M41" s="43"/>
      <c r="O41" s="43"/>
      <c r="Q41" s="43"/>
      <c r="R41" s="42"/>
      <c r="S41" s="43"/>
      <c r="T41" s="42"/>
      <c r="U41" s="43"/>
      <c r="W41" s="43"/>
      <c r="Y41" s="43"/>
      <c r="AA41" s="43"/>
      <c r="AD41" s="43"/>
      <c r="AF41" s="43"/>
      <c r="AG41" s="42"/>
      <c r="AI41" s="43"/>
      <c r="AK41" s="43"/>
      <c r="AM41" s="43"/>
      <c r="AS41" s="43"/>
    </row>
    <row r="42" spans="2:45" hidden="1" x14ac:dyDescent="0.2">
      <c r="E42" s="36"/>
      <c r="G42" s="36"/>
      <c r="I42" s="36"/>
      <c r="K42" s="36"/>
      <c r="M42" s="36"/>
      <c r="O42" s="36"/>
      <c r="Q42" s="36"/>
      <c r="R42" s="36"/>
      <c r="S42" s="36"/>
      <c r="T42" s="36"/>
      <c r="U42" s="36"/>
      <c r="W42" s="36"/>
      <c r="Y42" s="36"/>
      <c r="AA42" s="36"/>
      <c r="AD42" s="36"/>
      <c r="AF42" s="36"/>
      <c r="AG42" s="36"/>
      <c r="AI42" s="36"/>
      <c r="AK42" s="36"/>
      <c r="AM42" s="36"/>
      <c r="AS42" s="36"/>
    </row>
    <row r="43" spans="2:45" x14ac:dyDescent="0.2">
      <c r="B43" s="32" t="s">
        <v>16</v>
      </c>
      <c r="C43"/>
      <c r="D43"/>
      <c r="E43" s="36">
        <f>E26+E39+E40+E38</f>
        <v>-23697.899999999994</v>
      </c>
      <c r="G43" s="36">
        <f>G26+G39+G40+G38</f>
        <v>-27000</v>
      </c>
      <c r="I43" s="36">
        <f>I26+I39+I40+I38</f>
        <v>-42957</v>
      </c>
      <c r="K43" s="36">
        <f>K26+K39+K40+K38</f>
        <v>-35900</v>
      </c>
      <c r="M43" s="36" t="e">
        <f>M26+M39+M40+M38</f>
        <v>#REF!</v>
      </c>
      <c r="O43" s="36">
        <f>O26+O39+O40+O38</f>
        <v>-23800</v>
      </c>
      <c r="Q43" s="36" t="e">
        <f>Q26+Q39+Q40+Q38</f>
        <v>#REF!</v>
      </c>
      <c r="R43" s="36"/>
      <c r="S43" s="36">
        <f>S26+S39+S40+S38</f>
        <v>-86700</v>
      </c>
      <c r="T43" s="36"/>
      <c r="U43" s="36">
        <f>U26+U39+U40+U38</f>
        <v>-11820</v>
      </c>
      <c r="W43" s="36">
        <f>W26+W39+W40+W38</f>
        <v>-30100</v>
      </c>
      <c r="Y43" s="36" t="e">
        <f>Y26+Y39+Y40+Y38</f>
        <v>#REF!</v>
      </c>
      <c r="Z43" s="36"/>
      <c r="AA43" s="36">
        <f>AA26+AA39+AA40+AA38</f>
        <v>-127500</v>
      </c>
      <c r="AD43" s="36" t="e">
        <f>AD26+AD39+AD40+AD38</f>
        <v>#REF!</v>
      </c>
      <c r="AF43" s="36" t="e">
        <f>AF26+AF39+AF40+AF38</f>
        <v>#REF!</v>
      </c>
      <c r="AG43" s="36"/>
      <c r="AI43" s="36" t="e">
        <f>AI26+AI39+AI40+AI38</f>
        <v>#REF!</v>
      </c>
      <c r="AK43" s="36" t="e">
        <f>AK26+AK39+AK40+AK38</f>
        <v>#REF!</v>
      </c>
      <c r="AM43" s="36" t="e">
        <f>AM26+AM39+AM40+AM38</f>
        <v>#REF!</v>
      </c>
      <c r="AO43" s="36" t="e">
        <f>AO26+AO39+AO40+AO38</f>
        <v>#REF!</v>
      </c>
      <c r="AQ43" s="36" t="e">
        <f>AQ26+AQ39+AQ40+AQ38</f>
        <v>#REF!</v>
      </c>
      <c r="AS43" s="36" t="e">
        <f>AS26+AS39+AS40+AS38</f>
        <v>#REF!</v>
      </c>
    </row>
    <row r="44" spans="2:45" x14ac:dyDescent="0.2">
      <c r="E44" s="36"/>
      <c r="G44" s="36"/>
      <c r="I44" s="36"/>
      <c r="K44" s="36"/>
      <c r="M44" s="36"/>
      <c r="O44" s="36"/>
      <c r="Q44" s="36"/>
      <c r="R44" s="36"/>
      <c r="S44" s="36"/>
      <c r="T44" s="36"/>
      <c r="U44" s="36"/>
      <c r="W44" s="36"/>
      <c r="Y44" s="36"/>
      <c r="AA44" s="36"/>
      <c r="AD44" s="36"/>
      <c r="AF44" s="36"/>
      <c r="AG44" s="36"/>
      <c r="AI44" s="36"/>
      <c r="AK44" s="36"/>
      <c r="AM44" s="36"/>
      <c r="AS44" s="36"/>
    </row>
    <row r="45" spans="2:45" x14ac:dyDescent="0.2">
      <c r="B45" s="32" t="s">
        <v>17</v>
      </c>
      <c r="E45" s="36">
        <f>+'[3]Formal IS'!E47</f>
        <v>-247</v>
      </c>
      <c r="G45" s="36">
        <v>400</v>
      </c>
      <c r="I45" s="36">
        <f>+'[4]Formal IS'!E47</f>
        <v>-253</v>
      </c>
      <c r="K45" s="36">
        <f>-200-300-400</f>
        <v>-900</v>
      </c>
      <c r="M45" s="36" t="e">
        <f>+'Formal IS'!#REF!</f>
        <v>#REF!</v>
      </c>
      <c r="O45" s="36">
        <v>-1800</v>
      </c>
      <c r="Q45" s="36" t="e">
        <f>+I45+E45+M45</f>
        <v>#REF!</v>
      </c>
      <c r="R45" s="36"/>
      <c r="S45" s="36">
        <f>+K45+G45+O45</f>
        <v>-2300</v>
      </c>
      <c r="T45" s="36"/>
      <c r="U45" s="36">
        <f>-1000-1937</f>
        <v>-2937</v>
      </c>
      <c r="W45" s="36">
        <f>+AA45-S45</f>
        <v>-2600</v>
      </c>
      <c r="Y45" s="36" t="e">
        <f>+U45+Q45</f>
        <v>#REF!</v>
      </c>
      <c r="AA45" s="36">
        <v>-4900</v>
      </c>
      <c r="AD45" s="36">
        <v>-247</v>
      </c>
      <c r="AF45" s="36">
        <v>400</v>
      </c>
      <c r="AG45" s="36"/>
      <c r="AI45" s="36">
        <f>+AF45+K45-S45</f>
        <v>1800</v>
      </c>
      <c r="AK45" s="36">
        <v>-4900</v>
      </c>
      <c r="AM45" s="36">
        <v>-5300</v>
      </c>
      <c r="AO45" s="32">
        <v>1916</v>
      </c>
      <c r="AQ45" s="36">
        <f>+AM45-AO45</f>
        <v>-7216</v>
      </c>
      <c r="AS45" s="36" t="e">
        <f>+AQ45-Y45</f>
        <v>#REF!</v>
      </c>
    </row>
    <row r="46" spans="2:45" hidden="1" x14ac:dyDescent="0.2">
      <c r="E46" s="36"/>
      <c r="G46" s="36"/>
      <c r="I46" s="36"/>
      <c r="K46" s="36"/>
      <c r="M46" s="36"/>
      <c r="O46" s="36"/>
      <c r="Q46" s="36"/>
      <c r="R46" s="36"/>
      <c r="S46" s="36"/>
      <c r="T46" s="36"/>
      <c r="U46" s="36"/>
      <c r="W46" s="36"/>
      <c r="Y46" s="36"/>
      <c r="AA46" s="36"/>
      <c r="AD46" s="36"/>
      <c r="AF46" s="36"/>
      <c r="AG46" s="36"/>
      <c r="AI46" s="36"/>
      <c r="AK46" s="36"/>
      <c r="AM46" s="36"/>
      <c r="AS46" s="36"/>
    </row>
    <row r="47" spans="2:45" x14ac:dyDescent="0.2">
      <c r="B47" s="32" t="s">
        <v>18</v>
      </c>
      <c r="E47" s="30"/>
      <c r="G47" s="30"/>
      <c r="I47" s="30"/>
      <c r="K47" s="30"/>
      <c r="M47" s="30"/>
      <c r="O47" s="30"/>
      <c r="Q47" s="30"/>
      <c r="R47"/>
      <c r="S47" s="30"/>
      <c r="T47"/>
      <c r="U47" s="30"/>
      <c r="W47" s="30"/>
      <c r="Y47" s="30"/>
      <c r="AA47" s="30"/>
      <c r="AD47" s="30"/>
      <c r="AF47" s="30"/>
      <c r="AG47"/>
      <c r="AI47" s="30"/>
      <c r="AK47" s="30"/>
      <c r="AM47" s="30"/>
      <c r="AS47" s="30"/>
    </row>
    <row r="48" spans="2:45" x14ac:dyDescent="0.2">
      <c r="C48" s="32" t="s">
        <v>19</v>
      </c>
      <c r="E48" s="36">
        <f>+'[3]Formal IS'!E50</f>
        <v>-18521</v>
      </c>
      <c r="G48" s="36">
        <v>-12800</v>
      </c>
      <c r="I48" s="36">
        <f>+'[4]Formal IS'!E50</f>
        <v>-14661</v>
      </c>
      <c r="K48" s="36">
        <f>-5000-4800-4500</f>
        <v>-14300</v>
      </c>
      <c r="M48" s="36" t="e">
        <f>+'Formal IS'!#REF!</f>
        <v>#REF!</v>
      </c>
      <c r="O48" s="36">
        <v>-10400</v>
      </c>
      <c r="Q48" s="30" t="e">
        <f>+I48+E48+M48</f>
        <v>#REF!</v>
      </c>
      <c r="R48"/>
      <c r="S48" s="36">
        <f>+K48+G48+O48</f>
        <v>-37500</v>
      </c>
      <c r="T48"/>
      <c r="U48" s="36">
        <f>-18800+4457</f>
        <v>-14343</v>
      </c>
      <c r="W48" s="36">
        <f>+AA48-S48</f>
        <v>-8600</v>
      </c>
      <c r="Y48" s="30" t="e">
        <f>+U48+Q48</f>
        <v>#REF!</v>
      </c>
      <c r="AA48" s="30">
        <v>-46100</v>
      </c>
      <c r="AD48" s="30">
        <v>-18521</v>
      </c>
      <c r="AF48" s="30">
        <v>-12800</v>
      </c>
      <c r="AG48"/>
      <c r="AI48" s="30">
        <f>+AF48+K48-S48</f>
        <v>10400</v>
      </c>
      <c r="AK48" s="30">
        <v>-56000</v>
      </c>
      <c r="AM48" s="30">
        <v>-64100</v>
      </c>
      <c r="AO48" s="36">
        <f>671-903</f>
        <v>-232</v>
      </c>
      <c r="AQ48" s="36">
        <f>+AM48-AO48</f>
        <v>-63868</v>
      </c>
      <c r="AS48" s="30" t="e">
        <f>+AQ48-Y48</f>
        <v>#REF!</v>
      </c>
    </row>
    <row r="49" spans="2:45" x14ac:dyDescent="0.2">
      <c r="C49" s="32" t="s">
        <v>20</v>
      </c>
      <c r="E49" s="36">
        <f>+'[3]Formal IS'!E51</f>
        <v>10678</v>
      </c>
      <c r="G49" s="36">
        <v>4800</v>
      </c>
      <c r="I49" s="36">
        <f>+'[4]Formal IS'!E51</f>
        <v>930</v>
      </c>
      <c r="K49" s="36">
        <f>900+900+900</f>
        <v>2700</v>
      </c>
      <c r="M49" s="36" t="e">
        <f>+'Formal IS'!#REF!</f>
        <v>#REF!</v>
      </c>
      <c r="O49" s="36">
        <v>2700</v>
      </c>
      <c r="Q49" s="30" t="e">
        <f>+I49+E49+M49</f>
        <v>#REF!</v>
      </c>
      <c r="R49"/>
      <c r="S49" s="36">
        <f>+K49+G49+O49</f>
        <v>10200</v>
      </c>
      <c r="T49"/>
      <c r="U49" s="36">
        <f>11500+1822</f>
        <v>13322</v>
      </c>
      <c r="W49" s="36">
        <f>+AA49-S49</f>
        <v>-1300</v>
      </c>
      <c r="Y49" s="30" t="e">
        <f>+U49+Q49</f>
        <v>#REF!</v>
      </c>
      <c r="AA49" s="30">
        <v>8900</v>
      </c>
      <c r="AD49" s="30">
        <v>10678</v>
      </c>
      <c r="AF49" s="30">
        <v>4800</v>
      </c>
      <c r="AG49"/>
      <c r="AI49" s="30">
        <f>+AF49+K49-S49</f>
        <v>-2700</v>
      </c>
      <c r="AK49" s="30">
        <v>15800</v>
      </c>
      <c r="AM49" s="30">
        <v>25800</v>
      </c>
      <c r="AO49" s="36">
        <v>-2326</v>
      </c>
      <c r="AQ49" s="36">
        <f>+AM49-AO49</f>
        <v>28126</v>
      </c>
      <c r="AS49" s="30" t="e">
        <f>+AQ49-Y49</f>
        <v>#REF!</v>
      </c>
    </row>
    <row r="50" spans="2:45" x14ac:dyDescent="0.2">
      <c r="E50" s="44"/>
      <c r="G50" s="44"/>
      <c r="I50" s="44"/>
      <c r="K50" s="44"/>
      <c r="M50" s="44"/>
      <c r="O50" s="44"/>
      <c r="Q50" s="44"/>
      <c r="R50" s="44"/>
      <c r="S50" s="44"/>
      <c r="T50" s="44"/>
      <c r="U50" s="44"/>
      <c r="W50" s="44"/>
      <c r="Y50" s="44"/>
      <c r="AA50" s="44"/>
      <c r="AD50" s="44"/>
      <c r="AF50" s="44"/>
      <c r="AG50" s="44"/>
      <c r="AI50" s="44"/>
      <c r="AK50" s="44"/>
      <c r="AM50" s="44"/>
      <c r="AS50" s="44"/>
    </row>
    <row r="51" spans="2:45" s="87" customFormat="1" ht="13.5" thickBot="1" x14ac:dyDescent="0.25">
      <c r="B51" s="87" t="s">
        <v>21</v>
      </c>
      <c r="E51" s="89">
        <f>E43+E45-E48-E49</f>
        <v>-16101.899999999994</v>
      </c>
      <c r="G51" s="89">
        <f>G43+G45-G48-G49</f>
        <v>-18600</v>
      </c>
      <c r="I51" s="89">
        <f>I43+I45-I48-I49</f>
        <v>-29479</v>
      </c>
      <c r="K51" s="89">
        <f>K43+K45-K48-K49</f>
        <v>-25200</v>
      </c>
      <c r="M51" s="89" t="e">
        <f>M43+M45-M48-M49</f>
        <v>#REF!</v>
      </c>
      <c r="O51" s="89">
        <f>O43+O45-O48-O49</f>
        <v>-17900</v>
      </c>
      <c r="Q51" s="89" t="e">
        <f>Q43+Q45-Q48-Q49</f>
        <v>#REF!</v>
      </c>
      <c r="R51" s="88"/>
      <c r="S51" s="89">
        <f>S43+S45-S48-S49</f>
        <v>-61700</v>
      </c>
      <c r="T51" s="88"/>
      <c r="U51" s="89">
        <f>U43+U45-U48-U49</f>
        <v>-13736</v>
      </c>
      <c r="W51" s="89">
        <f>W43+W45-W48-W49</f>
        <v>-22800</v>
      </c>
      <c r="Y51" s="89" t="e">
        <f>Y43+Y45-Y48-Y49</f>
        <v>#REF!</v>
      </c>
      <c r="Z51" s="88"/>
      <c r="AA51" s="89">
        <f>AA43+AA45-AA48-AA49</f>
        <v>-95200</v>
      </c>
      <c r="AD51" s="89" t="e">
        <f>AD43+AD45-AD48-AD49</f>
        <v>#REF!</v>
      </c>
      <c r="AF51" s="89" t="e">
        <f>AF43+AF45-AF48-AF49</f>
        <v>#REF!</v>
      </c>
      <c r="AG51" s="88"/>
      <c r="AI51" s="89" t="e">
        <f>AI43+AI45-AI48-AI49</f>
        <v>#REF!</v>
      </c>
      <c r="AK51" s="89" t="e">
        <f>AK43+AK45-AK48-AK49</f>
        <v>#REF!</v>
      </c>
      <c r="AM51" s="89" t="e">
        <f>AM43+AM45-AM48-AM49</f>
        <v>#REF!</v>
      </c>
      <c r="AO51" s="89" t="e">
        <f>AO43+AO45-AO48-AO49</f>
        <v>#REF!</v>
      </c>
      <c r="AQ51" s="89" t="e">
        <f>AQ43+AQ45-AQ48-AQ49</f>
        <v>#REF!</v>
      </c>
      <c r="AS51" s="89" t="e">
        <f>AS43+AS45-AS48-AS49</f>
        <v>#REF!</v>
      </c>
    </row>
    <row r="52" spans="2:45" ht="13.5" thickTop="1" x14ac:dyDescent="0.2">
      <c r="E52" s="36"/>
      <c r="G52" s="36"/>
      <c r="I52" s="36"/>
      <c r="K52" s="36"/>
      <c r="M52" s="36"/>
      <c r="O52" s="36"/>
      <c r="Q52" s="36"/>
      <c r="R52" s="36"/>
      <c r="S52" s="36"/>
      <c r="T52" s="36"/>
      <c r="U52" s="36"/>
      <c r="W52" s="36"/>
      <c r="Y52" s="36"/>
      <c r="AA52" s="36"/>
      <c r="AD52" s="36"/>
      <c r="AF52" s="36"/>
      <c r="AG52" s="36"/>
      <c r="AI52" s="36"/>
      <c r="AK52" s="36"/>
      <c r="AM52" s="36"/>
      <c r="AS52" s="36"/>
    </row>
    <row r="53" spans="2:45" x14ac:dyDescent="0.2">
      <c r="E53" s="36"/>
      <c r="G53" s="36"/>
      <c r="I53" s="36"/>
      <c r="M53" s="36"/>
      <c r="Q53" s="36" t="e">
        <f>+I51+E51+M51-Q51</f>
        <v>#REF!</v>
      </c>
      <c r="R53" s="36"/>
      <c r="S53" s="36">
        <f>+K51+G51+O51-S51</f>
        <v>0</v>
      </c>
      <c r="T53" s="36"/>
      <c r="U53" s="36"/>
      <c r="W53" s="36"/>
      <c r="Y53" s="36" t="e">
        <f>+U51+Q51-Y51</f>
        <v>#REF!</v>
      </c>
      <c r="AA53" s="36"/>
      <c r="AD53" s="36"/>
      <c r="AF53" s="36"/>
      <c r="AG53" s="36"/>
      <c r="AI53" s="36"/>
      <c r="AK53" s="36"/>
      <c r="AM53" s="36"/>
      <c r="AS53" s="36"/>
    </row>
    <row r="54" spans="2:45" x14ac:dyDescent="0.2">
      <c r="E54" s="36"/>
      <c r="G54" s="36"/>
      <c r="I54" s="36"/>
      <c r="M54" s="36"/>
      <c r="Q54" s="36"/>
      <c r="R54" s="36"/>
      <c r="S54" s="36"/>
      <c r="T54" s="36"/>
      <c r="U54" s="36"/>
      <c r="V54" s="36"/>
      <c r="W54" s="36"/>
      <c r="Y54" s="36"/>
      <c r="AA54" s="36"/>
      <c r="AD54" s="36"/>
      <c r="AF54" s="36"/>
      <c r="AG54" s="36"/>
      <c r="AI54" s="36"/>
      <c r="AK54" s="36"/>
      <c r="AM54" s="36"/>
      <c r="AS54" s="36"/>
    </row>
    <row r="55" spans="2:45" ht="13.5" hidden="1" x14ac:dyDescent="0.25">
      <c r="B55" s="46" t="s">
        <v>22</v>
      </c>
      <c r="E55" s="36"/>
      <c r="G55" s="36"/>
      <c r="I55" s="36"/>
      <c r="M55" s="36"/>
      <c r="Q55" s="36"/>
      <c r="R55" s="36"/>
      <c r="S55" s="36"/>
      <c r="T55" s="36"/>
      <c r="U55" s="36"/>
      <c r="V55" s="36"/>
      <c r="W55" s="36"/>
      <c r="Y55" s="36"/>
      <c r="AA55" s="36"/>
      <c r="AD55" s="36"/>
      <c r="AF55" s="36"/>
      <c r="AG55" s="36"/>
      <c r="AI55" s="36"/>
      <c r="AK55" s="36"/>
      <c r="AM55" s="36"/>
      <c r="AS55" s="36"/>
    </row>
    <row r="56" spans="2:45" hidden="1" x14ac:dyDescent="0.2">
      <c r="B56" s="32" t="s">
        <v>23</v>
      </c>
      <c r="E56" s="36"/>
      <c r="G56" s="36"/>
      <c r="I56" s="36"/>
      <c r="M56" s="36"/>
      <c r="Q56" s="36"/>
      <c r="R56" s="36"/>
      <c r="S56" s="36"/>
      <c r="T56" s="36"/>
      <c r="U56" s="36"/>
      <c r="V56" s="36"/>
      <c r="W56" s="36"/>
      <c r="Y56" s="36"/>
      <c r="AA56" s="36"/>
      <c r="AD56" s="36"/>
      <c r="AF56" s="36"/>
      <c r="AG56" s="36"/>
      <c r="AI56" s="36"/>
      <c r="AK56" s="36"/>
      <c r="AM56" s="36"/>
      <c r="AS56" s="36"/>
    </row>
    <row r="57" spans="2:45" x14ac:dyDescent="0.2">
      <c r="E57" s="36"/>
      <c r="G57" s="36"/>
      <c r="I57" s="36"/>
      <c r="M57" s="36"/>
      <c r="Q57" s="36"/>
      <c r="R57" s="36"/>
      <c r="S57" s="36"/>
      <c r="T57" s="36"/>
      <c r="U57" s="36"/>
      <c r="V57" s="36"/>
      <c r="W57" s="36"/>
      <c r="Y57" s="36"/>
      <c r="AA57" s="36"/>
      <c r="AD57" s="36"/>
      <c r="AF57" s="36"/>
      <c r="AG57" s="36"/>
      <c r="AI57" s="36"/>
      <c r="AK57" s="36"/>
      <c r="AM57" s="36"/>
      <c r="AS57" s="36"/>
    </row>
    <row r="58" spans="2:45" x14ac:dyDescent="0.2">
      <c r="E58" s="36"/>
      <c r="G58" s="36"/>
      <c r="I58" s="36"/>
      <c r="K58" s="40"/>
      <c r="M58" s="36"/>
      <c r="O58" s="40"/>
      <c r="Q58" s="36"/>
      <c r="R58" s="36"/>
      <c r="S58" s="36"/>
      <c r="T58" s="36"/>
      <c r="U58" s="36"/>
      <c r="V58" s="36"/>
      <c r="W58" s="36"/>
      <c r="Y58" s="36"/>
      <c r="AA58" s="36"/>
      <c r="AD58" s="36"/>
      <c r="AF58" s="36"/>
      <c r="AG58" s="36"/>
      <c r="AI58" s="36"/>
      <c r="AK58" s="36"/>
      <c r="AM58" s="36"/>
      <c r="AS58" s="36"/>
    </row>
    <row r="59" spans="2:45" x14ac:dyDescent="0.2">
      <c r="E59" s="36"/>
      <c r="G59" s="36"/>
      <c r="I59" s="36"/>
      <c r="M59" s="36"/>
      <c r="Q59" s="36"/>
      <c r="R59" s="36"/>
      <c r="S59" s="36"/>
      <c r="T59" s="36"/>
      <c r="U59" s="36"/>
      <c r="V59" s="36"/>
      <c r="W59" s="36"/>
      <c r="Y59" s="36"/>
      <c r="AA59" s="36"/>
      <c r="AD59" s="36"/>
      <c r="AF59" s="36"/>
      <c r="AG59" s="36"/>
      <c r="AI59" s="36"/>
      <c r="AK59" s="36"/>
      <c r="AM59" s="36"/>
      <c r="AS59" s="36"/>
    </row>
    <row r="60" spans="2:45" x14ac:dyDescent="0.2">
      <c r="E60" s="36"/>
      <c r="G60" s="36"/>
      <c r="I60" s="36"/>
      <c r="M60" s="36"/>
      <c r="Q60" s="36"/>
      <c r="R60" s="36"/>
      <c r="S60" s="36"/>
      <c r="T60" s="36"/>
      <c r="U60" s="36"/>
      <c r="V60" s="36"/>
      <c r="W60" s="36"/>
      <c r="Y60" s="36"/>
      <c r="AA60" s="36"/>
      <c r="AD60" s="36"/>
      <c r="AF60" s="36"/>
      <c r="AG60" s="36"/>
      <c r="AI60" s="36"/>
      <c r="AK60" s="36"/>
      <c r="AM60" s="36"/>
      <c r="AS60" s="36"/>
    </row>
    <row r="61" spans="2:45" x14ac:dyDescent="0.2">
      <c r="E61" s="36"/>
      <c r="G61" s="36"/>
      <c r="I61" s="36"/>
      <c r="M61" s="36"/>
      <c r="Q61" s="36"/>
      <c r="R61" s="36"/>
      <c r="S61" s="36"/>
      <c r="T61" s="36"/>
      <c r="U61" s="36"/>
      <c r="V61" s="36"/>
      <c r="W61" s="36"/>
      <c r="Y61" s="36"/>
      <c r="AA61" s="36"/>
      <c r="AD61" s="36"/>
      <c r="AF61" s="36"/>
      <c r="AG61" s="36"/>
      <c r="AI61" s="36"/>
      <c r="AK61" s="36"/>
      <c r="AM61" s="36"/>
      <c r="AS61" s="36"/>
    </row>
    <row r="62" spans="2:45" x14ac:dyDescent="0.2">
      <c r="E62" s="36"/>
      <c r="G62" s="36"/>
      <c r="I62" s="36"/>
      <c r="M62" s="36"/>
      <c r="Q62" s="36"/>
      <c r="R62" s="36"/>
      <c r="S62" s="36"/>
      <c r="T62" s="36"/>
      <c r="U62" s="36"/>
      <c r="V62" s="36"/>
      <c r="W62" s="36"/>
      <c r="Y62" s="36"/>
      <c r="AA62" s="36"/>
      <c r="AD62" s="36"/>
      <c r="AF62" s="36"/>
      <c r="AG62" s="36"/>
      <c r="AI62" s="36"/>
      <c r="AK62" s="36"/>
      <c r="AM62" s="36"/>
      <c r="AS62" s="36"/>
    </row>
    <row r="63" spans="2:45" x14ac:dyDescent="0.2">
      <c r="E63" s="36"/>
      <c r="G63" s="36"/>
      <c r="I63" s="36"/>
      <c r="M63" s="36"/>
      <c r="Q63" s="36"/>
      <c r="R63" s="36"/>
      <c r="S63" s="36"/>
      <c r="T63" s="36"/>
      <c r="U63" s="36"/>
      <c r="V63" s="36"/>
      <c r="W63" s="36"/>
      <c r="Y63" s="36"/>
      <c r="AA63" s="36"/>
      <c r="AD63" s="36"/>
      <c r="AF63" s="36"/>
      <c r="AG63" s="36"/>
      <c r="AI63" s="36"/>
      <c r="AK63" s="36"/>
      <c r="AM63" s="36"/>
      <c r="AS63" s="36"/>
    </row>
    <row r="64" spans="2:45" x14ac:dyDescent="0.2">
      <c r="E64" s="36"/>
      <c r="G64" s="36"/>
      <c r="I64" s="36"/>
      <c r="M64" s="36"/>
      <c r="Q64" s="36"/>
      <c r="R64" s="36"/>
      <c r="S64" s="36"/>
      <c r="T64" s="36"/>
      <c r="U64" s="36"/>
      <c r="V64" s="36"/>
      <c r="W64" s="36"/>
      <c r="Y64" s="36"/>
      <c r="AA64" s="36"/>
      <c r="AD64" s="36"/>
      <c r="AF64" s="36"/>
      <c r="AG64" s="36"/>
      <c r="AI64" s="36"/>
      <c r="AK64" s="36"/>
      <c r="AM64" s="36"/>
      <c r="AS64" s="36"/>
    </row>
    <row r="65" spans="3:45" x14ac:dyDescent="0.2">
      <c r="E65" s="36"/>
      <c r="G65" s="36"/>
      <c r="I65" s="36"/>
      <c r="M65" s="36"/>
      <c r="Q65" s="36"/>
      <c r="R65" s="36"/>
      <c r="S65" s="36"/>
      <c r="T65" s="36"/>
      <c r="U65" s="36"/>
      <c r="V65" s="36"/>
      <c r="W65" s="36"/>
      <c r="Y65" s="36"/>
      <c r="AA65" s="36"/>
      <c r="AD65" s="36"/>
      <c r="AF65" s="36"/>
      <c r="AG65" s="36"/>
      <c r="AI65" s="36"/>
      <c r="AK65" s="36"/>
      <c r="AM65" s="36"/>
      <c r="AS65" s="36"/>
    </row>
    <row r="66" spans="3:45" x14ac:dyDescent="0.2">
      <c r="E66" s="36"/>
      <c r="G66" s="36"/>
      <c r="I66" s="36"/>
      <c r="M66" s="36"/>
      <c r="Q66" s="36"/>
      <c r="R66" s="36"/>
      <c r="S66" s="36"/>
      <c r="T66" s="36"/>
      <c r="U66" s="36"/>
      <c r="V66" s="36"/>
      <c r="W66" s="36"/>
      <c r="Y66" s="36"/>
      <c r="AA66" s="36"/>
      <c r="AD66" s="36"/>
      <c r="AF66" s="36"/>
      <c r="AG66" s="36"/>
      <c r="AI66" s="36"/>
      <c r="AK66" s="36"/>
      <c r="AM66" s="36"/>
      <c r="AS66" s="36"/>
    </row>
    <row r="67" spans="3:45" x14ac:dyDescent="0.2">
      <c r="E67" s="36"/>
      <c r="G67" s="36"/>
      <c r="I67" s="36"/>
      <c r="M67" s="36"/>
      <c r="Q67" s="36"/>
      <c r="R67" s="36"/>
      <c r="S67" s="36"/>
      <c r="T67" s="36"/>
      <c r="U67" s="36"/>
      <c r="V67" s="36"/>
      <c r="W67" s="36"/>
      <c r="Y67" s="36"/>
      <c r="AA67" s="36"/>
      <c r="AD67" s="36"/>
      <c r="AF67" s="36"/>
      <c r="AG67" s="36"/>
      <c r="AI67" s="36"/>
      <c r="AK67" s="36"/>
      <c r="AM67" s="36"/>
      <c r="AS67" s="36"/>
    </row>
    <row r="68" spans="3:45" x14ac:dyDescent="0.2">
      <c r="E68" s="36"/>
      <c r="G68" s="36"/>
      <c r="I68" s="36"/>
      <c r="M68" s="36"/>
      <c r="Q68" s="36"/>
      <c r="R68" s="36"/>
      <c r="S68" s="36"/>
      <c r="T68" s="36"/>
      <c r="U68" s="36"/>
      <c r="V68" s="36"/>
      <c r="W68" s="36"/>
      <c r="Y68" s="36"/>
      <c r="AA68" s="36"/>
      <c r="AD68" s="36"/>
      <c r="AF68" s="36"/>
      <c r="AG68" s="36"/>
      <c r="AI68" s="36"/>
      <c r="AK68" s="36"/>
      <c r="AM68" s="36"/>
      <c r="AS68" s="36"/>
    </row>
    <row r="69" spans="3:45" x14ac:dyDescent="0.2">
      <c r="E69" s="36"/>
      <c r="G69" s="36"/>
      <c r="I69" s="36"/>
      <c r="M69" s="36"/>
      <c r="Q69" s="36"/>
      <c r="R69" s="36"/>
      <c r="S69" s="36"/>
      <c r="T69" s="36"/>
      <c r="U69" s="36"/>
      <c r="V69" s="36"/>
      <c r="W69" s="36"/>
      <c r="Y69" s="36"/>
      <c r="AA69" s="36"/>
      <c r="AD69" s="36"/>
      <c r="AF69" s="36"/>
      <c r="AG69" s="36"/>
      <c r="AI69" s="36"/>
      <c r="AK69" s="36"/>
      <c r="AM69" s="36"/>
      <c r="AS69" s="36"/>
    </row>
    <row r="70" spans="3:45" x14ac:dyDescent="0.2">
      <c r="E70" s="36"/>
      <c r="G70" s="36"/>
      <c r="I70" s="36"/>
      <c r="M70" s="36"/>
      <c r="Q70" s="36"/>
      <c r="R70" s="36"/>
      <c r="S70" s="36"/>
      <c r="T70" s="36"/>
      <c r="U70" s="36"/>
      <c r="V70" s="36"/>
      <c r="W70" s="36"/>
      <c r="Y70" s="36"/>
      <c r="AA70" s="36"/>
      <c r="AD70" s="36"/>
      <c r="AF70" s="36"/>
      <c r="AG70" s="36"/>
      <c r="AI70" s="36"/>
      <c r="AK70" s="36"/>
      <c r="AM70" s="36"/>
      <c r="AS70" s="36"/>
    </row>
    <row r="71" spans="3:45" x14ac:dyDescent="0.2">
      <c r="E71" s="36"/>
      <c r="G71" s="36"/>
      <c r="I71" s="36"/>
      <c r="M71" s="36"/>
      <c r="Q71" s="36"/>
      <c r="R71" s="36"/>
      <c r="S71" s="36"/>
      <c r="T71" s="36"/>
      <c r="U71" s="36"/>
      <c r="V71" s="36"/>
      <c r="W71" s="36"/>
      <c r="Y71" s="36"/>
      <c r="AA71" s="36"/>
      <c r="AD71" s="36"/>
      <c r="AF71" s="36"/>
      <c r="AG71" s="36"/>
      <c r="AI71" s="36"/>
      <c r="AK71" s="36"/>
      <c r="AM71" s="36"/>
      <c r="AS71" s="36"/>
    </row>
    <row r="72" spans="3:45" x14ac:dyDescent="0.2">
      <c r="E72" s="36"/>
      <c r="G72" s="36"/>
      <c r="I72" s="36"/>
      <c r="M72" s="36"/>
      <c r="Q72" s="36"/>
      <c r="R72" s="36"/>
      <c r="S72" s="36"/>
      <c r="T72" s="36"/>
      <c r="U72" s="36"/>
      <c r="V72" s="36"/>
      <c r="W72" s="36"/>
      <c r="Y72" s="36"/>
      <c r="AA72" s="36"/>
      <c r="AD72" s="36"/>
      <c r="AF72" s="36"/>
      <c r="AG72" s="36"/>
      <c r="AI72" s="36"/>
      <c r="AK72" s="36"/>
      <c r="AM72" s="36"/>
      <c r="AS72" s="36"/>
    </row>
    <row r="73" spans="3:45" x14ac:dyDescent="0.2">
      <c r="E73" s="36"/>
      <c r="G73" s="36"/>
      <c r="I73" s="36"/>
      <c r="M73" s="36"/>
      <c r="Q73" s="36"/>
      <c r="R73" s="36"/>
      <c r="S73" s="36"/>
      <c r="T73" s="36"/>
      <c r="U73" s="36"/>
      <c r="V73" s="36"/>
      <c r="W73" s="36"/>
      <c r="Y73" s="36"/>
      <c r="AA73" s="36"/>
      <c r="AD73" s="36"/>
      <c r="AF73" s="36"/>
      <c r="AG73" s="36"/>
      <c r="AI73" s="36"/>
      <c r="AK73" s="36"/>
      <c r="AM73" s="36"/>
      <c r="AS73" s="36"/>
    </row>
    <row r="74" spans="3:45" hidden="1" x14ac:dyDescent="0.2">
      <c r="E74" s="36"/>
      <c r="G74" s="36"/>
      <c r="I74" s="36"/>
      <c r="M74" s="36"/>
      <c r="Q74" s="36"/>
      <c r="R74" s="36"/>
      <c r="S74" s="36"/>
      <c r="T74" s="36"/>
      <c r="U74" s="36"/>
      <c r="V74" s="36"/>
      <c r="W74" s="36"/>
      <c r="Y74" s="36"/>
      <c r="AA74" s="36"/>
      <c r="AD74" s="36"/>
      <c r="AF74" s="36"/>
      <c r="AG74" s="36"/>
      <c r="AI74" s="36"/>
      <c r="AK74" s="36"/>
      <c r="AM74" s="36"/>
      <c r="AS74" s="36"/>
    </row>
    <row r="75" spans="3:45" hidden="1" x14ac:dyDescent="0.2">
      <c r="E75" s="36"/>
      <c r="G75" s="36"/>
      <c r="I75" s="36"/>
      <c r="M75" s="36"/>
      <c r="Q75" s="36"/>
      <c r="R75" s="36"/>
      <c r="S75" s="36"/>
      <c r="T75" s="36"/>
      <c r="U75" s="36"/>
      <c r="V75" s="36"/>
      <c r="W75" s="36"/>
      <c r="Y75" s="36"/>
      <c r="AA75" s="36"/>
      <c r="AD75" s="36"/>
      <c r="AF75" s="36"/>
      <c r="AG75" s="36"/>
      <c r="AI75" s="36"/>
      <c r="AK75" s="36"/>
      <c r="AM75" s="36"/>
      <c r="AS75" s="36"/>
    </row>
    <row r="76" spans="3:45" ht="13.5" hidden="1" x14ac:dyDescent="0.25">
      <c r="C76" s="18" t="s">
        <v>24</v>
      </c>
      <c r="D76" s="18"/>
      <c r="E76" s="36"/>
      <c r="F76" s="18"/>
      <c r="G76" s="36"/>
      <c r="I76" s="36"/>
      <c r="M76" s="36"/>
      <c r="Q76" s="36"/>
      <c r="R76" s="36"/>
      <c r="S76" s="36"/>
      <c r="T76" s="36"/>
      <c r="U76" s="36"/>
      <c r="V76" s="36"/>
      <c r="W76" s="36"/>
      <c r="Y76" s="36"/>
      <c r="AA76" s="36"/>
      <c r="AD76" s="36"/>
      <c r="AF76" s="36"/>
      <c r="AG76" s="36"/>
      <c r="AI76" s="36"/>
      <c r="AK76" s="36"/>
      <c r="AM76" s="36"/>
      <c r="AS76" s="36"/>
    </row>
    <row r="77" spans="3:45" hidden="1" x14ac:dyDescent="0.2">
      <c r="C77" s="32" t="s">
        <v>25</v>
      </c>
      <c r="E77" s="36"/>
      <c r="G77" s="36"/>
      <c r="I77" s="36"/>
      <c r="M77" s="36"/>
      <c r="Q77" s="36"/>
      <c r="R77" s="36"/>
      <c r="S77" s="36"/>
      <c r="T77" s="36"/>
      <c r="U77" s="36"/>
      <c r="V77" s="36"/>
      <c r="W77" s="36"/>
      <c r="Y77" s="36"/>
      <c r="AA77" s="36"/>
      <c r="AD77" s="36"/>
      <c r="AF77" s="36"/>
      <c r="AG77" s="36"/>
      <c r="AI77" s="36"/>
      <c r="AK77" s="36"/>
      <c r="AM77" s="36"/>
      <c r="AS77" s="36"/>
    </row>
    <row r="78" spans="3:45" hidden="1" x14ac:dyDescent="0.2">
      <c r="C78" s="32" t="s">
        <v>26</v>
      </c>
      <c r="E78" s="36"/>
      <c r="G78" s="36"/>
      <c r="I78" s="36"/>
      <c r="M78" s="36"/>
      <c r="Q78" s="36"/>
      <c r="R78" s="36"/>
      <c r="S78" s="36"/>
      <c r="T78" s="36"/>
      <c r="U78" s="36"/>
      <c r="V78" s="36"/>
      <c r="W78" s="36"/>
      <c r="Y78" s="36"/>
      <c r="AA78" s="36"/>
      <c r="AD78" s="36"/>
      <c r="AF78" s="36"/>
      <c r="AG78" s="36"/>
      <c r="AI78" s="36"/>
      <c r="AK78" s="36"/>
      <c r="AM78" s="36"/>
      <c r="AS78" s="36"/>
    </row>
    <row r="79" spans="3:45" hidden="1" x14ac:dyDescent="0.2">
      <c r="C79" s="32" t="s">
        <v>27</v>
      </c>
      <c r="E79" s="36"/>
      <c r="G79" s="36"/>
      <c r="I79" s="36"/>
      <c r="M79" s="36"/>
      <c r="Q79" s="36"/>
      <c r="R79" s="36"/>
      <c r="S79" s="36"/>
      <c r="T79" s="36"/>
      <c r="U79" s="36"/>
      <c r="V79" s="36"/>
      <c r="W79" s="36"/>
      <c r="Y79" s="36"/>
      <c r="AA79" s="36"/>
      <c r="AD79" s="36"/>
      <c r="AF79" s="36"/>
      <c r="AG79" s="36"/>
      <c r="AI79" s="36"/>
      <c r="AK79" s="36"/>
      <c r="AM79" s="36"/>
      <c r="AS79" s="36"/>
    </row>
    <row r="80" spans="3:45" hidden="1" x14ac:dyDescent="0.2">
      <c r="C80" s="32" t="s">
        <v>28</v>
      </c>
      <c r="E80" s="36"/>
      <c r="G80" s="36"/>
      <c r="I80" s="36"/>
      <c r="M80" s="36"/>
      <c r="Q80" s="36"/>
      <c r="R80" s="36"/>
      <c r="S80" s="36"/>
      <c r="T80" s="36"/>
      <c r="U80" s="36"/>
      <c r="V80" s="36"/>
      <c r="W80" s="36"/>
      <c r="Y80" s="36"/>
      <c r="AA80" s="36"/>
      <c r="AD80" s="36"/>
      <c r="AF80" s="36"/>
      <c r="AG80" s="36"/>
      <c r="AI80" s="36"/>
      <c r="AK80" s="36"/>
      <c r="AM80" s="36"/>
      <c r="AS80" s="36"/>
    </row>
    <row r="81" spans="3:45" hidden="1" x14ac:dyDescent="0.2">
      <c r="E81" s="36"/>
      <c r="G81" s="36"/>
      <c r="I81" s="36"/>
      <c r="M81" s="36"/>
      <c r="Q81" s="36"/>
      <c r="R81" s="36"/>
      <c r="S81" s="36"/>
      <c r="T81" s="36"/>
      <c r="U81" s="36"/>
      <c r="V81" s="36"/>
      <c r="W81" s="36"/>
      <c r="Y81" s="36"/>
      <c r="AA81" s="36"/>
      <c r="AD81" s="36"/>
      <c r="AF81" s="36"/>
      <c r="AG81" s="36"/>
      <c r="AI81" s="36"/>
      <c r="AK81" s="36"/>
      <c r="AM81" s="36"/>
      <c r="AS81" s="36"/>
    </row>
    <row r="82" spans="3:45" hidden="1" x14ac:dyDescent="0.2">
      <c r="E82" s="36"/>
      <c r="G82" s="36"/>
      <c r="I82" s="36"/>
      <c r="M82" s="36"/>
      <c r="Q82" s="36"/>
      <c r="R82" s="36"/>
      <c r="S82" s="36"/>
      <c r="T82" s="36"/>
      <c r="U82" s="36"/>
      <c r="V82" s="36"/>
      <c r="W82" s="36"/>
      <c r="Y82" s="36"/>
      <c r="AA82" s="36"/>
      <c r="AD82" s="36"/>
      <c r="AF82" s="36"/>
      <c r="AG82" s="36"/>
      <c r="AI82" s="36"/>
      <c r="AK82" s="36"/>
      <c r="AM82" s="36"/>
      <c r="AS82" s="36"/>
    </row>
    <row r="83" spans="3:45" ht="13.5" hidden="1" x14ac:dyDescent="0.25">
      <c r="C83" s="18" t="s">
        <v>29</v>
      </c>
      <c r="D83" s="18"/>
      <c r="E83" s="36"/>
      <c r="F83" s="18"/>
      <c r="G83" s="36"/>
      <c r="I83" s="36"/>
      <c r="M83" s="36"/>
      <c r="Q83" s="36"/>
      <c r="R83" s="36"/>
      <c r="S83" s="36"/>
      <c r="T83" s="36"/>
      <c r="U83" s="36"/>
      <c r="V83" s="36"/>
      <c r="W83" s="36"/>
      <c r="Y83" s="36"/>
      <c r="AA83" s="36"/>
      <c r="AD83" s="36"/>
      <c r="AF83" s="36"/>
      <c r="AG83" s="36"/>
      <c r="AI83" s="36"/>
      <c r="AK83" s="36"/>
      <c r="AM83" s="36"/>
      <c r="AS83" s="36"/>
    </row>
    <row r="84" spans="3:45" hidden="1" x14ac:dyDescent="0.2">
      <c r="C84" s="32" t="s">
        <v>30</v>
      </c>
      <c r="E84" s="36"/>
      <c r="G84" s="36"/>
      <c r="I84" s="36"/>
      <c r="M84" s="36"/>
      <c r="Q84" s="36"/>
      <c r="R84" s="36"/>
      <c r="S84" s="36"/>
      <c r="T84" s="36"/>
      <c r="U84" s="36"/>
      <c r="V84" s="36"/>
      <c r="W84" s="36"/>
      <c r="Y84" s="36"/>
      <c r="AA84" s="36"/>
      <c r="AD84" s="36"/>
      <c r="AF84" s="36"/>
      <c r="AG84" s="36"/>
      <c r="AI84" s="36"/>
      <c r="AK84" s="36"/>
      <c r="AM84" s="36"/>
      <c r="AS84" s="36"/>
    </row>
    <row r="85" spans="3:45" hidden="1" x14ac:dyDescent="0.2">
      <c r="C85" s="32" t="s">
        <v>31</v>
      </c>
      <c r="E85" s="36"/>
      <c r="G85" s="36"/>
      <c r="I85" s="36"/>
      <c r="M85" s="36"/>
      <c r="Q85" s="36"/>
      <c r="R85" s="36"/>
      <c r="S85" s="36"/>
      <c r="T85" s="36"/>
      <c r="U85" s="36"/>
      <c r="V85" s="36"/>
      <c r="W85" s="36"/>
      <c r="Y85" s="36"/>
      <c r="AA85" s="36"/>
      <c r="AD85" s="36"/>
      <c r="AF85" s="36"/>
      <c r="AG85" s="36"/>
      <c r="AI85" s="36"/>
      <c r="AK85" s="36"/>
      <c r="AM85" s="36"/>
      <c r="AS85" s="36"/>
    </row>
    <row r="86" spans="3:45" hidden="1" x14ac:dyDescent="0.2">
      <c r="C86" s="32" t="s">
        <v>32</v>
      </c>
    </row>
    <row r="87" spans="3:45" hidden="1" x14ac:dyDescent="0.2">
      <c r="C87" s="32" t="s">
        <v>33</v>
      </c>
    </row>
    <row r="88" spans="3:45" hidden="1" x14ac:dyDescent="0.2"/>
  </sheetData>
  <printOptions horizontalCentered="1"/>
  <pageMargins left="0.25" right="0.25" top="1" bottom="1" header="0.5" footer="0.5"/>
  <pageSetup scale="77"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vt:lpstr>
      <vt:lpstr>Formal BS</vt:lpstr>
      <vt:lpstr>Formal IS</vt:lpstr>
      <vt:lpstr>RE</vt:lpstr>
      <vt:lpstr>Cash Flow</vt:lpstr>
      <vt:lpstr>re_dETAIL</vt:lpstr>
      <vt:lpstr>Formal IS compared to Plan</vt:lpstr>
      <vt:lpstr>'Cash Flow'!Print_Area</vt:lpstr>
      <vt:lpstr>Cover!Print_Area</vt:lpstr>
      <vt:lpstr>'Formal BS'!Print_Area</vt:lpstr>
      <vt:lpstr>'Formal IS'!Print_Area</vt:lpstr>
      <vt:lpstr>'Formal IS compared to Plan'!Print_Area</vt:lpstr>
      <vt:lpstr>RE!Print_Area</vt:lpstr>
      <vt:lpstr>re_dETAIL!Print_Area</vt:lpstr>
      <vt:lpstr>'Formal BS'!Print_Titles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eschiel</dc:creator>
  <cp:lastModifiedBy>Jan Havlíček</cp:lastModifiedBy>
  <cp:lastPrinted>2001-08-03T14:32:19Z</cp:lastPrinted>
  <dcterms:created xsi:type="dcterms:W3CDTF">1997-10-22T23:30:42Z</dcterms:created>
  <dcterms:modified xsi:type="dcterms:W3CDTF">2023-09-17T12:11:31Z</dcterms:modified>
</cp:coreProperties>
</file>