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4E4497-3C09-4C2F-9E53-937D8DB5F844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ENRON!$A$1:$AN$63</definedName>
    <definedName name="Print_Area_MI">#REF!</definedName>
    <definedName name="_xlnm.Print_Titles" localSheetId="1">ENRON!$A:$C,ENRON!$1:$6</definedName>
    <definedName name="weekly">ENRON!$E$7:$AN$89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R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W15" i="2"/>
  <c r="E16" i="2"/>
  <c r="M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AX17" i="2"/>
  <c r="E18" i="2"/>
  <c r="I18" i="2"/>
  <c r="M18" i="2"/>
  <c r="Q18" i="2"/>
  <c r="T18" i="2"/>
  <c r="V18" i="2"/>
  <c r="Z18" i="2"/>
  <c r="AD18" i="2"/>
  <c r="AF18" i="2"/>
  <c r="AH18" i="2"/>
  <c r="AJ18" i="2"/>
  <c r="AL18" i="2"/>
  <c r="AN18" i="2"/>
  <c r="AP18" i="2"/>
  <c r="AW18" i="2"/>
  <c r="E19" i="2"/>
  <c r="M19" i="2"/>
  <c r="T19" i="2"/>
  <c r="Z19" i="2"/>
  <c r="AD19" i="2"/>
  <c r="AF19" i="2"/>
  <c r="AH19" i="2"/>
  <c r="AJ19" i="2"/>
  <c r="AL19" i="2"/>
  <c r="AN19" i="2"/>
  <c r="AP19" i="2"/>
  <c r="AW19" i="2"/>
  <c r="E20" i="2"/>
  <c r="I20" i="2"/>
  <c r="M20" i="2"/>
  <c r="Q20" i="2"/>
  <c r="T20" i="2"/>
  <c r="V20" i="2"/>
  <c r="Z20" i="2"/>
  <c r="AD20" i="2"/>
  <c r="AF20" i="2"/>
  <c r="AH20" i="2"/>
  <c r="AJ20" i="2"/>
  <c r="AL20" i="2"/>
  <c r="AN20" i="2"/>
  <c r="AP20" i="2"/>
  <c r="AW20" i="2"/>
  <c r="E21" i="2"/>
  <c r="T21" i="2"/>
  <c r="Z21" i="2"/>
  <c r="AD21" i="2"/>
  <c r="AF21" i="2"/>
  <c r="AH21" i="2"/>
  <c r="AJ21" i="2"/>
  <c r="AL21" i="2"/>
  <c r="AN21" i="2"/>
  <c r="AP21" i="2"/>
  <c r="AW21" i="2"/>
  <c r="E22" i="2"/>
  <c r="I22" i="2"/>
  <c r="M22" i="2"/>
  <c r="Q22" i="2"/>
  <c r="T22" i="2"/>
  <c r="V22" i="2"/>
  <c r="Z22" i="2"/>
  <c r="AD22" i="2"/>
  <c r="AF22" i="2"/>
  <c r="AH22" i="2"/>
  <c r="AJ22" i="2"/>
  <c r="AL22" i="2"/>
  <c r="AN22" i="2"/>
  <c r="AP22" i="2"/>
  <c r="AW22" i="2"/>
  <c r="I24" i="2"/>
  <c r="M24" i="2"/>
  <c r="Q24" i="2"/>
  <c r="T24" i="2"/>
  <c r="V24" i="2"/>
  <c r="Z24" i="2"/>
  <c r="AD24" i="2"/>
  <c r="AF24" i="2"/>
  <c r="AH24" i="2"/>
  <c r="AJ24" i="2"/>
  <c r="AL24" i="2"/>
  <c r="AN24" i="2"/>
  <c r="X29" i="2"/>
  <c r="AB29" i="2"/>
  <c r="X30" i="2"/>
  <c r="AB30" i="2"/>
  <c r="X31" i="2"/>
  <c r="AB31" i="2"/>
  <c r="AT34" i="2"/>
  <c r="AV34" i="2"/>
  <c r="AX34" i="2"/>
  <c r="A36" i="2"/>
  <c r="C36" i="2"/>
  <c r="E36" i="2"/>
  <c r="Z36" i="2"/>
  <c r="AD36" i="2"/>
  <c r="AH36" i="2"/>
  <c r="AJ36" i="2"/>
  <c r="AL36" i="2"/>
  <c r="AN36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H44" i="2"/>
  <c r="AI44" i="2"/>
  <c r="AJ44" i="2"/>
  <c r="AL44" i="2"/>
  <c r="AN44" i="2"/>
  <c r="AT47" i="2"/>
  <c r="AV47" i="2"/>
  <c r="E49" i="2"/>
  <c r="AF49" i="2"/>
  <c r="AH49" i="2"/>
  <c r="AJ49" i="2"/>
  <c r="AL49" i="2"/>
  <c r="AN49" i="2"/>
  <c r="E50" i="2"/>
  <c r="Z50" i="2"/>
  <c r="AD50" i="2"/>
  <c r="AF50" i="2"/>
  <c r="AH50" i="2"/>
  <c r="AJ50" i="2"/>
  <c r="AL50" i="2"/>
  <c r="AN50" i="2"/>
  <c r="E51" i="2"/>
  <c r="Z51" i="2"/>
  <c r="AD51" i="2"/>
  <c r="AF51" i="2"/>
  <c r="AH51" i="2"/>
  <c r="AJ51" i="2"/>
  <c r="AL51" i="2"/>
  <c r="AN51" i="2"/>
  <c r="AH53" i="2"/>
  <c r="AJ53" i="2"/>
  <c r="AL53" i="2"/>
  <c r="S88" i="2"/>
  <c r="X88" i="2"/>
  <c r="AB88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<sst xmlns="http://schemas.openxmlformats.org/spreadsheetml/2006/main" count="238" uniqueCount="127">
  <si>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</si>
  <si>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</si>
  <si>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</si>
  <si>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</si>
  <si>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</si>
  <si>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</si>
  <si>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</si>
  <si>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</si>
  <si>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</si>
  <si>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</si>
  <si>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</si>
  <si>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</si>
  <si>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</si>
  <si>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</si>
  <si>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</si>
  <si>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</si>
  <si>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</si>
  <si>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</si>
  <si>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</si>
  <si>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</si>
  <si>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</si>
  <si>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</si>
  <si>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</si>
  <si>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</si>
  <si>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</si>
  <si>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</si>
  <si>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</si>
  <si>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</si>
  <si>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</si>
  <si>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</si>
  <si>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</si>
  <si>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</si>
  <si>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</si>
  <si>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</si>
  <si>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</si>
  <si>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</si>
  <si>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</si>
  <si>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</si>
  <si>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</si>
  <si>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</si>
  <si>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</si>
  <si>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</si>
  <si>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</si>
  <si>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</si>
  <si>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</si>
  <si>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</si>
  <si>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</si>
  <si>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</si>
  <si>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</si>
  <si>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</si>
  <si>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</si>
  <si>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</si>
  <si>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</si>
  <si>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</si>
  <si>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</si>
  <si>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</si>
  <si>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</si>
  <si>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</si>
  <si>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</si>
  <si>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</si>
  <si>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</si>
  <si>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</si>
  <si>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</si>
  <si>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</si>
  <si>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</si>
  <si>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</si>
  <si>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</si>
  <si>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</si>
  <si>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</si>
  <si>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</si>
  <si>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</si>
  <si>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</si>
  <si>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</si>
  <si>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</si>
  <si>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</si>
  <si>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</si>
  <si>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</si>
  <si>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</si>
  <si>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</si>
  <si>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</si>
  <si>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</si>
  <si>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</si>
  <si>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</si>
  <si>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</si>
  <si>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</si>
  <si>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</si>
  <si>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</si>
  <si>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</si>
  <si>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</si>
  <si>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</si>
  <si>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</si>
  <si>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</si>
  <si>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</si>
  <si>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</si>
  <si>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</si>
  <si>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</si>
  <si>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</si>
  <si>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</si>
  <si>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</si>
  <si>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</si>
  <si>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</si>
  <si>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</si>
  <si>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</si>
  <si>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</si>
  <si>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Energy Peer Group Average</t>
  </si>
  <si>
    <t xml:space="preserve">12/31/99 Closing 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</si>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</sst>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3028.99</val>
          </value>
        </values>
      </ddeItem>
      <ddeItem name=".SPX" advise="1">
        <values>
          <value>
            <val>1365.98</val>
          </value>
        </values>
      </ddeItem>
      <ddeItem name="AES" advise="1">
        <values>
          <value>
            <val>61.625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49.125</val>
          </value>
        </values>
      </ddeItem>
      <ddeItem name="CGP">
        <values>
          <value>
            <val>74.25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59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87.5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48.6875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82.9375</val>
          </value>
        </values>
      </ddeItem>
      <ddeItem name="EPG">
        <values>
          <value>
            <val>61.1875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0</val>
          </value>
        </values>
      </ddeItem>
      <ddeItem name="INAP.O" advise="1">
        <values>
          <value>
            <val>16.625</val>
          </value>
        </values>
      </ddeItem>
      <ddeItem name="ISLD.O" advise="1">
        <values>
          <value>
            <val>9.5625</val>
          </value>
        </values>
      </ddeItem>
      <ddeItem name="KMI" advise="1">
        <values>
          <value>
            <val>39.375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36.0625</val>
          </value>
        </values>
      </ddeItem>
      <ddeItem name="NPW" advise="1">
        <values>
          <value>
            <val>10.0625</val>
          </value>
        </values>
      </ddeItem>
      <ddeItem name="NRG" advise="1">
        <values>
          <value>
            <val>24.9375</val>
          </value>
        </values>
      </ddeItem>
      <ddeItem name="PCG">
        <values>
          <value>
            <val>27.125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39.75</val>
          </value>
        </values>
      </ddeItem>
      <ddeItem name="SOE" advise="1">
        <values>
          <value>
            <val>26.875</val>
          </value>
        </values>
      </ddeItem>
      <ddeItem name="TRP">
        <values>
          <value>
            <val>9.5</val>
          </value>
        </values>
      </ddeItem>
      <ddeItem name="WCG" advise="1">
        <values>
          <value>
            <val>15.25</val>
          </value>
        </values>
      </ddeItem>
      <ddeItem name="WMB">
        <values>
          <value>
            <val>41.9375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0" sqref="D10"/>
    </sheetView>
  </sheetViews>
  <sheetFormatPr defaultRowHeight="15.75" x14ac:dyDescent="0.25"/>
  <cols>
    <col min="1" max="1" width="23.6640625" style="236" bestFit="1" customWidth="1"/>
    <col min="2" max="2" width="8.88671875" style="237"/>
    <col min="3" max="3" width="2" style="236" customWidth="1"/>
    <col min="4" max="4" width="7.77734375" style="236" customWidth="1"/>
    <col min="5" max="5" width="1.109375" style="236" customWidth="1"/>
    <col min="6" max="6" width="7.88671875" style="236" customWidth="1"/>
    <col min="7" max="7" width="1.21875" style="236" customWidth="1"/>
    <col min="8" max="8" width="7.21875" style="236" customWidth="1"/>
    <col min="9" max="9" width="0.77734375" style="236" customWidth="1"/>
    <col min="10" max="16384" width="8.88671875" style="236"/>
  </cols>
  <sheetData>
    <row r="1" spans="1:10" ht="18.75" customHeight="1" x14ac:dyDescent="0.25">
      <c r="A1" s="236" t="s">
        <v>78</v>
      </c>
    </row>
    <row r="2" spans="1:10" ht="18" customHeight="1" x14ac:dyDescent="0.25">
      <c r="A2" s="296" t="s">
        <v>19</v>
      </c>
    </row>
    <row r="3" spans="1:10" ht="16.5" thickBot="1" x14ac:dyDescent="0.3"/>
    <row r="4" spans="1:10" ht="16.5" thickBot="1" x14ac:dyDescent="0.3">
      <c r="B4" s="238">
        <v>2000</v>
      </c>
      <c r="D4" s="394" t="s">
        <v>79</v>
      </c>
      <c r="E4" s="395"/>
      <c r="F4" s="395"/>
      <c r="G4" s="395"/>
      <c r="H4" s="396"/>
    </row>
    <row r="5" spans="1:10" ht="32.25" thickBot="1" x14ac:dyDescent="0.3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25">
      <c r="A6" s="236" t="s">
        <v>80</v>
      </c>
      <c r="B6" s="245">
        <f>ENRON!Z7</f>
        <v>58.358340231788091</v>
      </c>
      <c r="D6" s="252">
        <f>ENRON!AH7</f>
        <v>7.1890145395799673E-2</v>
      </c>
      <c r="E6" s="246"/>
      <c r="F6" s="247">
        <f>ENRON!AJ7</f>
        <v>-5.3705932165619287E-2</v>
      </c>
      <c r="G6" s="246"/>
      <c r="H6" s="248">
        <f>ENRON!AL7</f>
        <v>0.87746478873239442</v>
      </c>
    </row>
    <row r="7" spans="1:10" x14ac:dyDescent="0.25">
      <c r="A7" s="236" t="s">
        <v>81</v>
      </c>
      <c r="B7" s="249">
        <f>ENRON!Z9</f>
        <v>23.645144538687898</v>
      </c>
      <c r="D7" s="253">
        <f>ENRON!AH9</f>
        <v>-4.2243234339625305E-2</v>
      </c>
      <c r="E7" s="250"/>
      <c r="F7" s="254">
        <f>ENRON!AJ9</f>
        <v>-4.7901511301696419E-2</v>
      </c>
      <c r="G7" s="250"/>
      <c r="H7" s="255">
        <f>ENRON!AL9</f>
        <v>-6.0760518900671023E-2</v>
      </c>
    </row>
    <row r="8" spans="1:10" x14ac:dyDescent="0.25">
      <c r="A8" s="236" t="s">
        <v>85</v>
      </c>
      <c r="B8" s="249" t="str">
        <f>ENRON!Z10</f>
        <v xml:space="preserve">N/A </v>
      </c>
      <c r="D8" s="253">
        <f>ENRON!AH10</f>
        <v>-0.1224042322646441</v>
      </c>
      <c r="E8" s="250"/>
      <c r="F8" s="254">
        <f>ENRON!AJ10</f>
        <v>-0.17513028136418343</v>
      </c>
      <c r="G8" s="250"/>
      <c r="H8" s="255">
        <f>ENRON!AL10</f>
        <v>-0.2543192826302248</v>
      </c>
    </row>
    <row r="9" spans="1:10" x14ac:dyDescent="0.25">
      <c r="A9" s="236" t="s">
        <v>103</v>
      </c>
      <c r="B9" s="249">
        <f>ENRON!Z24</f>
        <v>25.348375271764347</v>
      </c>
      <c r="C9" s="288"/>
      <c r="D9" s="253">
        <f>ENRON!AH24</f>
        <v>5.7836635194946093E-3</v>
      </c>
      <c r="E9" s="250"/>
      <c r="F9" s="254">
        <f>ENRON!AJ24</f>
        <v>-1.1984646449513657E-2</v>
      </c>
      <c r="G9" s="289"/>
      <c r="H9" s="255">
        <f>ENRON!AL24</f>
        <v>0.73147758412246733</v>
      </c>
      <c r="I9" s="288"/>
      <c r="J9" s="288"/>
    </row>
    <row r="10" spans="1:10" ht="16.5" thickBot="1" x14ac:dyDescent="0.3">
      <c r="A10" s="392" t="s">
        <v>126</v>
      </c>
      <c r="B10" s="294" t="s">
        <v>84</v>
      </c>
      <c r="D10" s="295">
        <f>ENRON!AH44</f>
        <v>-0.24633805981664444</v>
      </c>
      <c r="E10" s="292"/>
      <c r="F10" s="386">
        <f>ENRON!AJ44</f>
        <v>-0.42628546184016097</v>
      </c>
      <c r="G10" s="293"/>
      <c r="H10" s="393">
        <f>ENRON!AL44</f>
        <v>-0.66649437342901663</v>
      </c>
    </row>
    <row r="11" spans="1:10" x14ac:dyDescent="0.25">
      <c r="D11" s="290"/>
    </row>
    <row r="12" spans="1:10" x14ac:dyDescent="0.25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4"/>
  <sheetViews>
    <sheetView tabSelected="1" zoomScale="11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109</v>
      </c>
    </row>
    <row r="2" spans="1:50" ht="18" x14ac:dyDescent="0.25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36840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36833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93</v>
      </c>
      <c r="Y6" s="218"/>
      <c r="Z6" s="89" t="s">
        <v>37</v>
      </c>
      <c r="AA6" s="92"/>
      <c r="AB6" s="87" t="s">
        <v>93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105</v>
      </c>
    </row>
    <row r="7" spans="1:50" ht="15.75" thickBot="1" x14ac:dyDescent="0.25">
      <c r="A7" s="99" t="s">
        <v>50</v>
      </c>
      <c r="B7" s="100"/>
      <c r="C7" s="101" t="s">
        <v>0</v>
      </c>
      <c r="D7" s="100"/>
      <c r="E7" s="102">
        <f>[1]!ENE</f>
        <v>82.9375</v>
      </c>
      <c r="F7" s="100"/>
      <c r="G7" s="103">
        <v>2.16</v>
      </c>
      <c r="H7" s="104" t="s">
        <v>51</v>
      </c>
      <c r="I7" s="105">
        <f>E7/G7</f>
        <v>38.39699074074074</v>
      </c>
      <c r="J7" s="100"/>
      <c r="K7" s="103">
        <v>2.14</v>
      </c>
      <c r="L7" s="106" t="s">
        <v>52</v>
      </c>
      <c r="M7" s="105">
        <f>E7/K7</f>
        <v>38.755841121495322</v>
      </c>
      <c r="N7" s="100"/>
      <c r="O7" s="103">
        <v>2.16</v>
      </c>
      <c r="P7" s="104" t="s">
        <v>51</v>
      </c>
      <c r="Q7" s="105">
        <f>M7/O7</f>
        <v>17.942519037729316</v>
      </c>
      <c r="R7" s="100"/>
      <c r="S7" s="107">
        <f>+S88</f>
        <v>1.9988888888888892</v>
      </c>
      <c r="T7" s="105">
        <f>E7/S7</f>
        <v>41.49180100055586</v>
      </c>
      <c r="U7" s="108"/>
      <c r="V7" s="109">
        <f>(S7-K7)/K7</f>
        <v>-6.5939771547248116E-2</v>
      </c>
      <c r="W7" s="110"/>
      <c r="X7" s="256">
        <f>+X88</f>
        <v>1.421176470588235</v>
      </c>
      <c r="Y7" s="233"/>
      <c r="Z7" s="105">
        <f>E7/X7</f>
        <v>58.358340231788091</v>
      </c>
      <c r="AA7" s="108"/>
      <c r="AB7" s="256">
        <f>+AB88</f>
        <v>1.658235294117647</v>
      </c>
      <c r="AC7" s="217"/>
      <c r="AD7" s="105">
        <f>E7/AB7</f>
        <v>50.015519687832565</v>
      </c>
      <c r="AE7" s="108"/>
      <c r="AF7" s="109">
        <f>(X7-S7)/S7</f>
        <v>-0.28901677402478526</v>
      </c>
      <c r="AG7" s="110"/>
      <c r="AH7" s="111">
        <f>((+AS7+E7-AT7)/AT7)</f>
        <v>7.1890145395799673E-2</v>
      </c>
      <c r="AI7" s="110"/>
      <c r="AJ7" s="110">
        <f>((+AU7+E7-AV7)/AV7)</f>
        <v>-5.3705932165619287E-2</v>
      </c>
      <c r="AK7" s="110"/>
      <c r="AL7" s="112">
        <f>((+AW7+E7-AX7)/AX7)</f>
        <v>0.87746478873239442</v>
      </c>
      <c r="AM7" s="50"/>
      <c r="AN7" s="197">
        <f>AP7/E7</f>
        <v>6.0286360211002261E-3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77.375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53</v>
      </c>
      <c r="B9" s="66"/>
      <c r="C9" s="114" t="s">
        <v>65</v>
      </c>
      <c r="D9" s="66"/>
      <c r="E9" s="300">
        <f>[1]!'.SPX'</f>
        <v>1365.98</v>
      </c>
      <c r="F9" s="124"/>
      <c r="G9" s="125">
        <v>40.53</v>
      </c>
      <c r="H9" s="117"/>
      <c r="I9" s="126">
        <f>E9/G9</f>
        <v>33.702936096718481</v>
      </c>
      <c r="J9" s="67"/>
      <c r="K9" s="125">
        <v>42.08</v>
      </c>
      <c r="L9" s="67"/>
      <c r="M9" s="126">
        <f>E9/K9</f>
        <v>32.461501901140686</v>
      </c>
      <c r="N9" s="124"/>
      <c r="O9" s="125">
        <v>40.53</v>
      </c>
      <c r="P9" s="117"/>
      <c r="Q9" s="126">
        <f>M9/O9</f>
        <v>0.80092528746954561</v>
      </c>
      <c r="R9" s="67"/>
      <c r="S9" s="127">
        <v>40.18</v>
      </c>
      <c r="T9" s="126">
        <f>E9/S9</f>
        <v>33.99651567944251</v>
      </c>
      <c r="U9" s="128"/>
      <c r="V9" s="129">
        <f>(S9-K9)/K9</f>
        <v>-4.5152091254752821E-2</v>
      </c>
      <c r="W9" s="130"/>
      <c r="X9" s="127">
        <v>57.77</v>
      </c>
      <c r="Y9" s="214"/>
      <c r="Z9" s="126">
        <f>E9/X9</f>
        <v>23.645144538687898</v>
      </c>
      <c r="AA9" s="128"/>
      <c r="AB9" s="127">
        <v>62.29</v>
      </c>
      <c r="AC9" s="214"/>
      <c r="AD9" s="126">
        <f>E9/AB9</f>
        <v>21.929362658532671</v>
      </c>
      <c r="AE9" s="128"/>
      <c r="AF9" s="129">
        <f>(X9-S9)/S9</f>
        <v>0.43777999004479851</v>
      </c>
      <c r="AG9" s="130"/>
      <c r="AH9" s="113">
        <f>((+AS9+E9-AT9)/AT9)</f>
        <v>-4.2243234339625305E-2</v>
      </c>
      <c r="AI9" s="130"/>
      <c r="AJ9" s="130">
        <f>((+AU9+E9-AV9)/AV9)</f>
        <v>-4.7901511301696419E-2</v>
      </c>
      <c r="AK9" s="130"/>
      <c r="AL9" s="131">
        <f>((+AW9+E9-AX9)/AX9)</f>
        <v>-6.0760518900671023E-2</v>
      </c>
      <c r="AM9" s="29"/>
      <c r="AN9" s="222">
        <v>1.17E-2</v>
      </c>
      <c r="AO9" s="113"/>
      <c r="AP9" s="212">
        <f>AN9*E9</f>
        <v>15.981966</v>
      </c>
      <c r="AQ9" s="40"/>
      <c r="AR9" s="205"/>
      <c r="AS9" s="200">
        <v>0.442</v>
      </c>
      <c r="AT9" s="300">
        <v>1426.69</v>
      </c>
      <c r="AU9" s="200">
        <v>1.7190000000000001</v>
      </c>
      <c r="AV9" s="182">
        <v>1436.51</v>
      </c>
      <c r="AW9" s="200">
        <v>14.007</v>
      </c>
      <c r="AX9" s="182">
        <v>1469.26</v>
      </c>
    </row>
    <row r="10" spans="1:50" x14ac:dyDescent="0.2">
      <c r="A10" s="122" t="s">
        <v>85</v>
      </c>
      <c r="B10" s="66"/>
      <c r="C10" s="114" t="s">
        <v>82</v>
      </c>
      <c r="D10" s="66"/>
      <c r="E10" s="300">
        <f>[1]!'.IXIC'</f>
        <v>3028.99</v>
      </c>
      <c r="F10" s="124"/>
      <c r="G10" s="125">
        <v>40.53</v>
      </c>
      <c r="H10" s="117"/>
      <c r="I10" s="126">
        <f>E10/G10</f>
        <v>74.73451764125339</v>
      </c>
      <c r="J10" s="67"/>
      <c r="K10" s="125">
        <v>42.08</v>
      </c>
      <c r="L10" s="67"/>
      <c r="M10" s="126">
        <f>E10/K10</f>
        <v>71.981701520912551</v>
      </c>
      <c r="N10" s="124"/>
      <c r="O10" s="125">
        <v>40.53</v>
      </c>
      <c r="P10" s="117"/>
      <c r="Q10" s="126">
        <f>M10/O10</f>
        <v>1.7760104002199</v>
      </c>
      <c r="R10" s="67"/>
      <c r="S10" s="127">
        <v>40.18</v>
      </c>
      <c r="T10" s="126">
        <f>E10/S10</f>
        <v>75.385515181682422</v>
      </c>
      <c r="U10" s="128"/>
      <c r="V10" s="129">
        <f>(S10-K10)/K10</f>
        <v>-4.5152091254752821E-2</v>
      </c>
      <c r="W10" s="130"/>
      <c r="X10" s="258" t="s">
        <v>83</v>
      </c>
      <c r="Y10" s="214"/>
      <c r="Z10" s="259" t="s">
        <v>84</v>
      </c>
      <c r="AA10" s="128"/>
      <c r="AB10" s="258" t="s">
        <v>83</v>
      </c>
      <c r="AC10" s="214"/>
      <c r="AD10" s="259" t="s">
        <v>84</v>
      </c>
      <c r="AE10" s="128"/>
      <c r="AF10" s="129" t="e">
        <f>(X10-S10)/S10</f>
        <v>#VALUE!</v>
      </c>
      <c r="AG10" s="130"/>
      <c r="AH10" s="113">
        <f>((+AS10+E10-AT10)/AT10)</f>
        <v>-0.1224042322646441</v>
      </c>
      <c r="AI10" s="130"/>
      <c r="AJ10" s="130">
        <f>((+AU10+E10-AV10)/AV10)</f>
        <v>-0.17513028136418343</v>
      </c>
      <c r="AK10" s="130"/>
      <c r="AL10" s="131">
        <f>((+AW10+E10-AX10)/AX10)</f>
        <v>-0.2543192826302248</v>
      </c>
      <c r="AM10" s="29"/>
      <c r="AN10" s="222">
        <v>2E-3</v>
      </c>
      <c r="AO10" s="113"/>
      <c r="AP10" s="212">
        <f>AN10*E10</f>
        <v>6.0579799999999997</v>
      </c>
      <c r="AQ10" s="40"/>
      <c r="AR10" s="205"/>
      <c r="AS10" s="200">
        <v>0.10199999999999999</v>
      </c>
      <c r="AT10" s="300">
        <v>3451.58</v>
      </c>
      <c r="AU10" s="200">
        <v>0.60799999999999998</v>
      </c>
      <c r="AV10" s="182">
        <v>3672.82</v>
      </c>
      <c r="AW10" s="200">
        <v>5.4160000000000004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0" t="s">
        <v>92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">
      <c r="A13" s="66" t="s">
        <v>101</v>
      </c>
      <c r="B13" s="66"/>
      <c r="C13" s="132" t="s">
        <v>73</v>
      </c>
      <c r="D13" s="66"/>
      <c r="E13" s="123">
        <f>[1]!AES</f>
        <v>61.625</v>
      </c>
      <c r="F13" s="66"/>
      <c r="G13" s="125">
        <v>4.72</v>
      </c>
      <c r="H13" s="133" t="s">
        <v>51</v>
      </c>
      <c r="I13" s="126">
        <f>E13/G13</f>
        <v>13.056144067796611</v>
      </c>
      <c r="J13" s="66"/>
      <c r="K13" s="125">
        <v>4.9400000000000004</v>
      </c>
      <c r="L13" s="67"/>
      <c r="M13" s="126">
        <f t="shared" ref="M13:M19" si="0">E13/K13</f>
        <v>12.474696356275302</v>
      </c>
      <c r="N13" s="66"/>
      <c r="O13" s="125">
        <v>4.72</v>
      </c>
      <c r="P13" s="133" t="s">
        <v>51</v>
      </c>
      <c r="Q13" s="126">
        <f>M13/O13</f>
        <v>2.6429441432786658</v>
      </c>
      <c r="R13" s="66"/>
      <c r="S13" s="127">
        <v>3.43</v>
      </c>
      <c r="T13" s="126">
        <f t="shared" ref="T13:T19" si="1">E13/S13</f>
        <v>17.966472303206995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41.638513513513516</v>
      </c>
      <c r="AA13" s="128"/>
      <c r="AB13" s="127">
        <v>1.91</v>
      </c>
      <c r="AC13" s="214"/>
      <c r="AD13" s="126">
        <f t="shared" ref="AD13:AD22" si="4">E13/AB13</f>
        <v>32.264397905759161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6.1224489795918364E-3</v>
      </c>
      <c r="AI13" s="130"/>
      <c r="AJ13" s="130">
        <f t="shared" ref="AJ13:AJ22" si="7">((+AU13+E13-AV13)/AV13)</f>
        <v>-0.10062140128841002</v>
      </c>
      <c r="AK13" s="130"/>
      <c r="AL13" s="131">
        <f t="shared" ref="AL13:AL22" si="8">((+AW13+E13-AX13)/AX13)</f>
        <v>0.6488294314381271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75</v>
      </c>
      <c r="AR13" s="205">
        <v>0</v>
      </c>
      <c r="AS13" s="43"/>
      <c r="AT13" s="123">
        <v>61.25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54</v>
      </c>
      <c r="B14" s="66"/>
      <c r="C14" s="132" t="s">
        <v>1</v>
      </c>
      <c r="D14" s="66"/>
      <c r="E14" s="123">
        <f>[1]!CGP</f>
        <v>74.25</v>
      </c>
      <c r="F14" s="66"/>
      <c r="G14" s="125">
        <v>2.88</v>
      </c>
      <c r="H14" s="133" t="s">
        <v>51</v>
      </c>
      <c r="I14" s="126">
        <f>E14/G14</f>
        <v>25.78125</v>
      </c>
      <c r="J14" s="66"/>
      <c r="K14" s="125">
        <v>3.48</v>
      </c>
      <c r="L14" s="67"/>
      <c r="M14" s="126">
        <f>E14/K14</f>
        <v>21.336206896551726</v>
      </c>
      <c r="N14" s="66"/>
      <c r="O14" s="125">
        <v>2.88</v>
      </c>
      <c r="P14" s="133" t="s">
        <v>51</v>
      </c>
      <c r="Q14" s="126">
        <f>M14/O14</f>
        <v>7.4084051724137936</v>
      </c>
      <c r="R14" s="66"/>
      <c r="S14" s="127">
        <v>2.02</v>
      </c>
      <c r="T14" s="126">
        <f>E14/S14</f>
        <v>36.757425742574256</v>
      </c>
      <c r="U14" s="128"/>
      <c r="V14" s="129">
        <f>(S14-K14)/K14</f>
        <v>-0.41954022988505746</v>
      </c>
      <c r="W14" s="130"/>
      <c r="X14" s="127">
        <v>2.89</v>
      </c>
      <c r="Y14" s="214"/>
      <c r="Z14" s="126">
        <f>E14/X14</f>
        <v>25.692041522491348</v>
      </c>
      <c r="AA14" s="128"/>
      <c r="AB14" s="127">
        <v>3.33</v>
      </c>
      <c r="AC14" s="214"/>
      <c r="AD14" s="126">
        <f>E14/AB14</f>
        <v>22.297297297297298</v>
      </c>
      <c r="AE14" s="128"/>
      <c r="AF14" s="129">
        <f>(X14-S14)/S14</f>
        <v>0.43069306930693074</v>
      </c>
      <c r="AG14" s="130"/>
      <c r="AH14" s="113">
        <f>((+AS14+E14-AT14)/AT14)</f>
        <v>2.4137931034482758E-2</v>
      </c>
      <c r="AI14" s="130"/>
      <c r="AJ14" s="130">
        <f>((+AU14+E14-AV14)/AV14)</f>
        <v>1.6863406408094434E-3</v>
      </c>
      <c r="AK14" s="130"/>
      <c r="AL14" s="131">
        <f>((+AW14+E14-AX14)/AX14)</f>
        <v>1.1005291005291005</v>
      </c>
      <c r="AM14" s="29"/>
      <c r="AN14" s="134">
        <f>AP14/E14</f>
        <v>3.3670033670033669E-3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72.5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">
      <c r="A15" s="122" t="s">
        <v>76</v>
      </c>
      <c r="B15" s="66"/>
      <c r="C15" s="132" t="s">
        <v>77</v>
      </c>
      <c r="D15" s="66"/>
      <c r="E15" s="235">
        <f>[1]!D</f>
        <v>59</v>
      </c>
      <c r="F15" s="66"/>
      <c r="G15" s="125">
        <v>3.24</v>
      </c>
      <c r="H15" s="117"/>
      <c r="I15" s="126">
        <f>E15/G15</f>
        <v>18.209876543209877</v>
      </c>
      <c r="J15" s="66"/>
      <c r="K15" s="125">
        <v>3.34</v>
      </c>
      <c r="L15" s="67"/>
      <c r="M15" s="126">
        <f t="shared" si="0"/>
        <v>17.664670658682635</v>
      </c>
      <c r="N15" s="66"/>
      <c r="O15" s="125">
        <v>3.24</v>
      </c>
      <c r="P15" s="117"/>
      <c r="Q15" s="126">
        <f>M15/O15</f>
        <v>5.4520588452724175</v>
      </c>
      <c r="R15" s="66"/>
      <c r="S15" s="127">
        <v>2.87</v>
      </c>
      <c r="T15" s="126">
        <f t="shared" si="1"/>
        <v>20.557491289198605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17.82477341389728</v>
      </c>
      <c r="AA15" s="128"/>
      <c r="AB15" s="127">
        <v>3.85</v>
      </c>
      <c r="AC15" s="214"/>
      <c r="AD15" s="126">
        <f t="shared" si="4"/>
        <v>15.324675324675324</v>
      </c>
      <c r="AE15" s="128"/>
      <c r="AF15" s="129">
        <f t="shared" si="5"/>
        <v>0.15331010452961671</v>
      </c>
      <c r="AG15" s="130"/>
      <c r="AH15" s="113">
        <f t="shared" si="6"/>
        <v>1.7241379310344827E-2</v>
      </c>
      <c r="AI15" s="130"/>
      <c r="AJ15" s="130">
        <f t="shared" si="7"/>
        <v>1.5804694330486247E-2</v>
      </c>
      <c r="AK15" s="130"/>
      <c r="AL15" s="131">
        <f t="shared" si="8"/>
        <v>0.55248407643312103</v>
      </c>
      <c r="AM15" s="29"/>
      <c r="AN15" s="134">
        <f t="shared" si="9"/>
        <v>4.3728813559322038E-2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58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">
      <c r="A16" s="122" t="s">
        <v>55</v>
      </c>
      <c r="B16" s="66"/>
      <c r="C16" s="132" t="s">
        <v>2</v>
      </c>
      <c r="D16" s="66"/>
      <c r="E16" s="123">
        <f>[1]!DUK</f>
        <v>87.5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29.66101694915254</v>
      </c>
      <c r="N16" s="66"/>
      <c r="O16" s="125"/>
      <c r="P16" s="133"/>
      <c r="Q16" s="126"/>
      <c r="R16" s="66"/>
      <c r="S16" s="127">
        <v>3.38</v>
      </c>
      <c r="T16" s="126">
        <f t="shared" si="1"/>
        <v>25.887573964497044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21.289537712895374</v>
      </c>
      <c r="AA16" s="128"/>
      <c r="AB16" s="127">
        <v>4.53</v>
      </c>
      <c r="AC16" s="214"/>
      <c r="AD16" s="126">
        <f t="shared" si="4"/>
        <v>19.315673289183223</v>
      </c>
      <c r="AE16" s="128"/>
      <c r="AF16" s="129">
        <f t="shared" si="5"/>
        <v>0.21597633136094688</v>
      </c>
      <c r="AG16" s="130"/>
      <c r="AH16" s="113">
        <f t="shared" si="6"/>
        <v>2.8655400440852314E-2</v>
      </c>
      <c r="AI16" s="130"/>
      <c r="AJ16" s="130">
        <f t="shared" si="7"/>
        <v>2.0175798150931366E-2</v>
      </c>
      <c r="AK16" s="130"/>
      <c r="AL16" s="131">
        <f t="shared" si="8"/>
        <v>0.77855361596009987</v>
      </c>
      <c r="AM16" s="29"/>
      <c r="AN16" s="134">
        <f t="shared" si="9"/>
        <v>2.5142857142857144E-2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/>
      <c r="AT16" s="123">
        <v>85.0625</v>
      </c>
      <c r="AU16" s="43"/>
      <c r="AV16" s="182">
        <v>85.76953125</v>
      </c>
      <c r="AW16" s="43">
        <f>0.55+0.55+0.55</f>
        <v>1.6500000000000001</v>
      </c>
      <c r="AX16" s="182">
        <v>50.125</v>
      </c>
    </row>
    <row r="17" spans="1:50" ht="15.75" x14ac:dyDescent="0.25">
      <c r="A17" s="122" t="s">
        <v>106</v>
      </c>
      <c r="B17" s="66"/>
      <c r="C17" s="132" t="s">
        <v>56</v>
      </c>
      <c r="D17" s="66"/>
      <c r="E17" s="123">
        <f>[1]!DYN</f>
        <v>48.6875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69.553571428571431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83.943965517241381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36.333955223880594</v>
      </c>
      <c r="AA17" s="128"/>
      <c r="AB17" s="127">
        <v>1.7</v>
      </c>
      <c r="AC17" s="234"/>
      <c r="AD17" s="126">
        <f t="shared" si="4"/>
        <v>28.639705882352942</v>
      </c>
      <c r="AE17" s="128"/>
      <c r="AF17" s="129">
        <f t="shared" si="5"/>
        <v>1.3103448275862073</v>
      </c>
      <c r="AG17" s="130"/>
      <c r="AH17" s="113">
        <f t="shared" si="6"/>
        <v>-2.6249999999999999E-2</v>
      </c>
      <c r="AI17" s="130"/>
      <c r="AJ17" s="130">
        <f t="shared" si="7"/>
        <v>-0.14612591628416799</v>
      </c>
      <c r="AK17" s="130"/>
      <c r="AL17" s="131">
        <f t="shared" si="8"/>
        <v>1.7733249110539846</v>
      </c>
      <c r="AM17" s="29"/>
      <c r="AN17" s="134">
        <f t="shared" si="9"/>
        <v>6.1617458279845955E-3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50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">
      <c r="A18" s="122" t="s">
        <v>57</v>
      </c>
      <c r="B18" s="66"/>
      <c r="C18" s="132" t="s">
        <v>3</v>
      </c>
      <c r="D18" s="66"/>
      <c r="E18" s="123">
        <f>[1]!EPG</f>
        <v>61.1875</v>
      </c>
      <c r="F18" s="66"/>
      <c r="G18" s="125">
        <v>2.85</v>
      </c>
      <c r="H18" s="133" t="s">
        <v>51</v>
      </c>
      <c r="I18" s="126">
        <f>E18/G18</f>
        <v>21.469298245614034</v>
      </c>
      <c r="J18" s="66"/>
      <c r="K18" s="125">
        <v>3.18</v>
      </c>
      <c r="L18" s="67"/>
      <c r="M18" s="126">
        <f t="shared" si="0"/>
        <v>19.241352201257861</v>
      </c>
      <c r="N18" s="66"/>
      <c r="O18" s="125">
        <v>2.85</v>
      </c>
      <c r="P18" s="133" t="s">
        <v>51</v>
      </c>
      <c r="Q18" s="126">
        <f>M18/O18</f>
        <v>6.7513516495641612</v>
      </c>
      <c r="R18" s="66"/>
      <c r="S18" s="127">
        <v>1.83</v>
      </c>
      <c r="T18" s="126">
        <f t="shared" si="1"/>
        <v>33.435792349726775</v>
      </c>
      <c r="U18" s="128"/>
      <c r="V18" s="129">
        <f t="shared" si="2"/>
        <v>-0.42452830188679247</v>
      </c>
      <c r="W18" s="130"/>
      <c r="X18" s="127">
        <v>2.59</v>
      </c>
      <c r="Y18" s="214"/>
      <c r="Z18" s="126">
        <f t="shared" si="3"/>
        <v>23.624517374517374</v>
      </c>
      <c r="AA18" s="128"/>
      <c r="AB18" s="127">
        <v>3.18</v>
      </c>
      <c r="AC18" s="214"/>
      <c r="AD18" s="126">
        <f t="shared" si="4"/>
        <v>19.241352201257861</v>
      </c>
      <c r="AE18" s="128"/>
      <c r="AF18" s="129">
        <f t="shared" si="5"/>
        <v>0.41530054644808728</v>
      </c>
      <c r="AG18" s="130"/>
      <c r="AH18" s="113">
        <f t="shared" si="6"/>
        <v>1.9791666666666666E-2</v>
      </c>
      <c r="AI18" s="130"/>
      <c r="AJ18" s="130">
        <f t="shared" si="7"/>
        <v>-7.099391480730223E-3</v>
      </c>
      <c r="AK18" s="130"/>
      <c r="AL18" s="131">
        <f t="shared" si="8"/>
        <v>0.59241223832528189</v>
      </c>
      <c r="AM18" s="29"/>
      <c r="AN18" s="134">
        <f t="shared" si="9"/>
        <v>1.3401430030643513E-2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60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">
      <c r="A19" s="122" t="s">
        <v>70</v>
      </c>
      <c r="B19" s="66"/>
      <c r="C19" s="132" t="s">
        <v>71</v>
      </c>
      <c r="D19" s="66"/>
      <c r="E19" s="123">
        <f>[1]!KMI</f>
        <v>39.375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16.203703703703702</v>
      </c>
      <c r="N19" s="66"/>
      <c r="O19" s="125"/>
      <c r="P19" s="133"/>
      <c r="Q19" s="126"/>
      <c r="R19" s="66"/>
      <c r="S19" s="127">
        <v>1.17</v>
      </c>
      <c r="T19" s="126">
        <f t="shared" si="1"/>
        <v>33.653846153846153</v>
      </c>
      <c r="U19" s="128"/>
      <c r="V19" s="129"/>
      <c r="W19" s="130"/>
      <c r="X19" s="127">
        <v>1.25</v>
      </c>
      <c r="Y19" s="214"/>
      <c r="Z19" s="126">
        <f t="shared" si="3"/>
        <v>31.5</v>
      </c>
      <c r="AA19" s="128"/>
      <c r="AB19" s="127">
        <v>1.59</v>
      </c>
      <c r="AC19" s="214"/>
      <c r="AD19" s="126">
        <f t="shared" si="4"/>
        <v>24.764150943396224</v>
      </c>
      <c r="AE19" s="128"/>
      <c r="AF19" s="129">
        <f t="shared" si="5"/>
        <v>6.8376068376068438E-2</v>
      </c>
      <c r="AG19" s="130"/>
      <c r="AH19" s="113">
        <f t="shared" si="6"/>
        <v>6.3897763578274758E-3</v>
      </c>
      <c r="AI19" s="130"/>
      <c r="AJ19" s="130">
        <f t="shared" si="7"/>
        <v>-3.6946564885496254E-2</v>
      </c>
      <c r="AK19" s="130"/>
      <c r="AL19" s="131">
        <f t="shared" si="8"/>
        <v>0.96037151702786394</v>
      </c>
      <c r="AM19" s="29"/>
      <c r="AN19" s="134">
        <f t="shared" si="9"/>
        <v>5.0793650793650794E-3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39.125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">
      <c r="A20" s="66" t="s">
        <v>62</v>
      </c>
      <c r="B20" s="66"/>
      <c r="C20" s="132" t="s">
        <v>63</v>
      </c>
      <c r="D20" s="66"/>
      <c r="E20" s="123">
        <f>[1]!PCG</f>
        <v>27.125</v>
      </c>
      <c r="F20" s="66"/>
      <c r="G20" s="125">
        <v>2.88</v>
      </c>
      <c r="H20" s="133" t="s">
        <v>51</v>
      </c>
      <c r="I20" s="126">
        <f>E20/G20</f>
        <v>9.4184027777777786</v>
      </c>
      <c r="J20" s="66"/>
      <c r="K20" s="125">
        <v>3.48</v>
      </c>
      <c r="L20" s="67"/>
      <c r="M20" s="126">
        <f>E20/K20</f>
        <v>7.7945402298850572</v>
      </c>
      <c r="N20" s="66"/>
      <c r="O20" s="125">
        <v>2.88</v>
      </c>
      <c r="P20" s="133" t="s">
        <v>51</v>
      </c>
      <c r="Q20" s="126">
        <f>M20/O20</f>
        <v>2.7064375798212006</v>
      </c>
      <c r="R20" s="66"/>
      <c r="S20" s="127">
        <v>1.79</v>
      </c>
      <c r="T20" s="126">
        <f>E20/S20</f>
        <v>15.153631284916202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10.637254901960786</v>
      </c>
      <c r="AA20" s="128"/>
      <c r="AB20" s="127">
        <v>2.77</v>
      </c>
      <c r="AC20" s="214"/>
      <c r="AD20" s="126">
        <f t="shared" si="4"/>
        <v>9.7924187725631775</v>
      </c>
      <c r="AE20" s="128"/>
      <c r="AF20" s="129">
        <f t="shared" si="5"/>
        <v>0.42458100558659206</v>
      </c>
      <c r="AG20" s="130"/>
      <c r="AH20" s="113">
        <f t="shared" si="6"/>
        <v>0</v>
      </c>
      <c r="AI20" s="130"/>
      <c r="AJ20" s="130">
        <f t="shared" si="7"/>
        <v>0.12054219783766339</v>
      </c>
      <c r="AK20" s="130"/>
      <c r="AL20" s="131">
        <f t="shared" si="8"/>
        <v>0.36707317073170725</v>
      </c>
      <c r="AM20" s="29"/>
      <c r="AN20" s="134">
        <f t="shared" si="9"/>
        <v>4.423963133640553E-2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27.125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">
      <c r="A21" s="122" t="s">
        <v>58</v>
      </c>
      <c r="B21" s="66"/>
      <c r="C21" s="132" t="s">
        <v>4</v>
      </c>
      <c r="D21" s="66"/>
      <c r="E21" s="123">
        <f>[1]!TRP</f>
        <v>9.5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8.2608695652173925</v>
      </c>
      <c r="U21" s="128"/>
      <c r="V21" s="129"/>
      <c r="W21" s="130"/>
      <c r="X21" s="127">
        <v>0.78</v>
      </c>
      <c r="Y21" s="214"/>
      <c r="Z21" s="126">
        <f t="shared" si="3"/>
        <v>12.179487179487179</v>
      </c>
      <c r="AA21" s="128"/>
      <c r="AB21" s="127">
        <v>0.83</v>
      </c>
      <c r="AC21" s="214"/>
      <c r="AD21" s="126">
        <f t="shared" si="4"/>
        <v>11.445783132530121</v>
      </c>
      <c r="AE21" s="128"/>
      <c r="AF21" s="129">
        <f t="shared" si="5"/>
        <v>-0.32173913043478253</v>
      </c>
      <c r="AG21" s="130"/>
      <c r="AH21" s="113">
        <f t="shared" si="6"/>
        <v>-3.1847133757961783E-2</v>
      </c>
      <c r="AI21" s="130"/>
      <c r="AJ21" s="130">
        <f t="shared" si="7"/>
        <v>2.0134228187919462E-2</v>
      </c>
      <c r="AK21" s="130"/>
      <c r="AL21" s="131">
        <f t="shared" si="8"/>
        <v>0.15428571428571425</v>
      </c>
      <c r="AM21" s="29"/>
      <c r="AN21" s="134">
        <f t="shared" si="9"/>
        <v>8.4210526315789472E-2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9.8125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">
      <c r="A22" s="122" t="s">
        <v>94</v>
      </c>
      <c r="B22" s="66"/>
      <c r="C22" s="132" t="s">
        <v>5</v>
      </c>
      <c r="D22" s="66"/>
      <c r="E22" s="123">
        <f>[1]!WMB</f>
        <v>41.9375</v>
      </c>
      <c r="F22" s="66"/>
      <c r="G22" s="125">
        <v>2.08</v>
      </c>
      <c r="H22" s="133" t="s">
        <v>51</v>
      </c>
      <c r="I22" s="126">
        <f>E22/G22</f>
        <v>20.162259615384613</v>
      </c>
      <c r="J22" s="66"/>
      <c r="K22" s="125">
        <v>1.04</v>
      </c>
      <c r="L22" s="67"/>
      <c r="M22" s="126">
        <f>E22/K22</f>
        <v>40.324519230769226</v>
      </c>
      <c r="N22" s="66"/>
      <c r="O22" s="125">
        <v>2.08</v>
      </c>
      <c r="P22" s="133" t="s">
        <v>51</v>
      </c>
      <c r="Q22" s="126">
        <f>M22/O22</f>
        <v>19.386788091715975</v>
      </c>
      <c r="R22" s="66"/>
      <c r="S22" s="127">
        <v>0.82</v>
      </c>
      <c r="T22" s="126">
        <f>E22/S22</f>
        <v>51.143292682926834</v>
      </c>
      <c r="U22" s="128"/>
      <c r="V22" s="129">
        <f>(S22-K22)/K22</f>
        <v>-0.21153846153846162</v>
      </c>
      <c r="W22" s="130"/>
      <c r="X22" s="127">
        <v>1.28</v>
      </c>
      <c r="Y22" s="214"/>
      <c r="Z22" s="126">
        <f t="shared" si="3"/>
        <v>32.763671875</v>
      </c>
      <c r="AA22" s="128"/>
      <c r="AB22" s="127">
        <v>1.21</v>
      </c>
      <c r="AC22" s="214"/>
      <c r="AD22" s="126">
        <f t="shared" si="4"/>
        <v>34.659090909090914</v>
      </c>
      <c r="AE22" s="128"/>
      <c r="AF22" s="129">
        <f t="shared" si="5"/>
        <v>0.56097560975609773</v>
      </c>
      <c r="AG22" s="130"/>
      <c r="AH22" s="113">
        <f t="shared" si="6"/>
        <v>1.3595166163141994E-2</v>
      </c>
      <c r="AI22" s="130"/>
      <c r="AJ22" s="130">
        <f t="shared" si="7"/>
        <v>-7.3964497041420114E-3</v>
      </c>
      <c r="AK22" s="130"/>
      <c r="AL22" s="131">
        <f t="shared" si="8"/>
        <v>0.38691206543967288</v>
      </c>
      <c r="AM22" s="29"/>
      <c r="AN22" s="134">
        <f t="shared" si="9"/>
        <v>1.4307004470938897E-2</v>
      </c>
      <c r="AO22" s="135"/>
      <c r="AP22" s="55">
        <f>[1]!'WMB,DIVIDEND'</f>
        <v>0.6</v>
      </c>
      <c r="AQ22" s="257">
        <v>36761</v>
      </c>
      <c r="AR22" s="205">
        <v>0.15</v>
      </c>
      <c r="AS22" s="43"/>
      <c r="AT22" s="123">
        <v>41.375</v>
      </c>
      <c r="AU22" s="43"/>
      <c r="AV22" s="182">
        <v>42.25</v>
      </c>
      <c r="AW22" s="43">
        <f>0.15+0.15+0.15</f>
        <v>0.44999999999999996</v>
      </c>
      <c r="AX22" s="182">
        <v>30.5625</v>
      </c>
    </row>
    <row r="23" spans="1:50" ht="10.5" customHeight="1" x14ac:dyDescent="0.2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">
      <c r="A24" s="122" t="s">
        <v>104</v>
      </c>
      <c r="B24" s="66"/>
      <c r="C24" s="114"/>
      <c r="D24" s="66"/>
      <c r="E24" s="123"/>
      <c r="F24" s="66"/>
      <c r="G24" s="138"/>
      <c r="H24" s="139"/>
      <c r="I24" s="140">
        <f>AVERAGE(I13:I22)</f>
        <v>18.016205208297151</v>
      </c>
      <c r="J24" s="67"/>
      <c r="K24" s="138"/>
      <c r="L24" s="139"/>
      <c r="M24" s="140">
        <f>AVERAGE(M13:M22)</f>
        <v>26.02825307276105</v>
      </c>
      <c r="N24" s="66"/>
      <c r="O24" s="138"/>
      <c r="P24" s="139"/>
      <c r="Q24" s="140">
        <f>AVERAGE(Q13:Q22)</f>
        <v>7.3913309136777023</v>
      </c>
      <c r="R24" s="67"/>
      <c r="S24" s="138"/>
      <c r="T24" s="140">
        <f>AVERAGE(T13:T22)</f>
        <v>32.676036085335156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25.348375271764347</v>
      </c>
      <c r="AA24" s="128"/>
      <c r="AB24" s="185"/>
      <c r="AC24" s="215"/>
      <c r="AD24" s="140">
        <f>AVERAGE(AD13:AD22)</f>
        <v>21.774454565810622</v>
      </c>
      <c r="AE24" s="128"/>
      <c r="AF24" s="141">
        <f>AVERAGE(AF13:AF22)</f>
        <v>0.26893053129822364</v>
      </c>
      <c r="AG24" s="130"/>
      <c r="AH24" s="142">
        <f>AVERAGE(AH13:AH22)</f>
        <v>5.7836635194946093E-3</v>
      </c>
      <c r="AI24" s="143"/>
      <c r="AJ24" s="275">
        <f>AVERAGE(AJ13:AJ22)</f>
        <v>-1.1984646449513657E-2</v>
      </c>
      <c r="AK24" s="143"/>
      <c r="AL24" s="385">
        <f>AVERAGE(AL13:AL22)</f>
        <v>0.73147758412246733</v>
      </c>
      <c r="AM24" s="29"/>
      <c r="AN24" s="141">
        <f>AVERAGE(AN13:AN22)</f>
        <v>2.3963837713030962E-2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">
      <c r="A25" s="146" t="s">
        <v>59</v>
      </c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499999999999993" customHeight="1" x14ac:dyDescent="0.2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0" t="s">
        <v>99</v>
      </c>
      <c r="Y27" s="401"/>
      <c r="Z27" s="401"/>
      <c r="AA27" s="401"/>
      <c r="AB27" s="402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thickBot="1" x14ac:dyDescent="0.25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97</v>
      </c>
      <c r="Y28" s="327"/>
      <c r="Z28" s="328"/>
      <c r="AA28" s="328"/>
      <c r="AB28" s="326" t="s">
        <v>98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">
      <c r="A29" s="146" t="s">
        <v>87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AVERAGE(X70:X85)</f>
        <v>1.4212499999999999</v>
      </c>
      <c r="Y29" s="66"/>
      <c r="Z29" s="66"/>
      <c r="AA29" s="66"/>
      <c r="AB29" s="281">
        <f>AVERAGE(AB70:AB85)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88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MAX(X70:X85)</f>
        <v>1.5</v>
      </c>
      <c r="Y30" s="66"/>
      <c r="Z30" s="66"/>
      <c r="AA30" s="66"/>
      <c r="AB30" s="281">
        <f>MAX(AB70:AB85)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89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MIN(X70:X85)</f>
        <v>1.4</v>
      </c>
      <c r="Y31" s="66"/>
      <c r="Z31" s="66"/>
      <c r="AA31" s="66"/>
      <c r="AB31" s="282">
        <f>MIN(AB70:AB85)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499999999999993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0">
        <v>2000</v>
      </c>
      <c r="Y33" s="401"/>
      <c r="Z33" s="402"/>
      <c r="AA33" s="319"/>
      <c r="AB33" s="400">
        <v>2001</v>
      </c>
      <c r="AC33" s="401"/>
      <c r="AD33" s="402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499999999999993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36833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499999999999993" customHeight="1" thickBot="1" x14ac:dyDescent="0.25">
      <c r="A35" s="324" t="s">
        <v>126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90</v>
      </c>
      <c r="Y35" s="379"/>
      <c r="Z35" s="380" t="s">
        <v>91</v>
      </c>
      <c r="AA35" s="381"/>
      <c r="AB35" s="369" t="s">
        <v>90</v>
      </c>
      <c r="AC35" s="379"/>
      <c r="AD35" s="380" t="s">
        <v>91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49.125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-8.9223638470451908E-2</v>
      </c>
      <c r="AI36" s="262"/>
      <c r="AJ36" s="130">
        <f t="shared" ref="AJ36:AJ42" si="11">((+AU36+E36-AV36)/AV36)</f>
        <v>-6.4564117822076758E-2</v>
      </c>
      <c r="AK36" s="12"/>
      <c r="AL36" s="131">
        <f t="shared" ref="AL36:AL42" si="12">((+AW36+E36-AX36)/AX36)</f>
        <v>-0.85005723006486078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53.9375</v>
      </c>
      <c r="AV36" s="182">
        <v>52.515625</v>
      </c>
      <c r="AX36" s="182">
        <v>327.625</v>
      </c>
    </row>
    <row r="37" spans="1:50" x14ac:dyDescent="0.2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9.5625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-0.15</v>
      </c>
      <c r="AI37" s="262"/>
      <c r="AJ37" s="130">
        <f t="shared" si="11"/>
        <v>-0.49</v>
      </c>
      <c r="AK37" s="12"/>
      <c r="AL37" s="131">
        <f t="shared" si="12"/>
        <v>-0.89947437582128775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11.25</v>
      </c>
      <c r="AV37" s="182">
        <v>18.75</v>
      </c>
      <c r="AX37" s="182">
        <v>95.125</v>
      </c>
    </row>
    <row r="38" spans="1:50" x14ac:dyDescent="0.2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16.625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-0.11627906976744186</v>
      </c>
      <c r="AI38" s="262"/>
      <c r="AJ38" s="130">
        <f t="shared" si="11"/>
        <v>-0.48549323017408125</v>
      </c>
      <c r="AK38" s="12"/>
      <c r="AL38" s="131">
        <f t="shared" si="12"/>
        <v>-0.80780346820809246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18.8125</v>
      </c>
      <c r="AV38" s="182">
        <v>32.3125</v>
      </c>
      <c r="AX38" s="182">
        <v>86.5</v>
      </c>
    </row>
    <row r="39" spans="1:50" x14ac:dyDescent="0.2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15.25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83</v>
      </c>
      <c r="AC39" s="67"/>
      <c r="AD39" s="390" t="s">
        <v>83</v>
      </c>
      <c r="AE39" s="66"/>
      <c r="AF39" s="38"/>
      <c r="AG39" s="12"/>
      <c r="AH39" s="113">
        <f t="shared" si="10"/>
        <v>-0.11594202898550725</v>
      </c>
      <c r="AI39" s="262"/>
      <c r="AJ39" s="130">
        <f t="shared" si="11"/>
        <v>-0.23749999999999999</v>
      </c>
      <c r="AK39" s="12"/>
      <c r="AL39" s="131">
        <f t="shared" si="12"/>
        <v>-0.47300215982721383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17.25</v>
      </c>
      <c r="AV39" s="182">
        <v>20</v>
      </c>
      <c r="AX39" s="182">
        <v>28.9375</v>
      </c>
    </row>
    <row r="40" spans="1:50" x14ac:dyDescent="0.2">
      <c r="A40" s="179" t="str">
        <f>'[2]7-07-00'!$A$34</f>
        <v>Level3**</v>
      </c>
      <c r="B40" s="66"/>
      <c r="C40" s="114" t="str">
        <f>'[2]7-07-00'!$B$34</f>
        <v>LVLT</v>
      </c>
      <c r="D40" s="66"/>
      <c r="E40" s="123">
        <f>[1]!LVLT.O</f>
        <v>36.0625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83</v>
      </c>
      <c r="AE40" s="66"/>
      <c r="AF40" s="38"/>
      <c r="AG40" s="12"/>
      <c r="AH40" s="113">
        <f t="shared" si="10"/>
        <v>-9.4191522762951341E-2</v>
      </c>
      <c r="AI40" s="262"/>
      <c r="AJ40" s="130">
        <f t="shared" si="11"/>
        <v>-0.53241491085899517</v>
      </c>
      <c r="AK40" s="12"/>
      <c r="AL40" s="131">
        <f t="shared" si="12"/>
        <v>-0.55954198473282446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39.8125</v>
      </c>
      <c r="AV40" s="182">
        <v>77.125</v>
      </c>
      <c r="AX40" s="182">
        <v>81.875</v>
      </c>
    </row>
    <row r="41" spans="1:50" x14ac:dyDescent="0.2">
      <c r="A41" s="179" t="str">
        <f>'[2]7-07-00'!$A$35</f>
        <v>Global Crossing**</v>
      </c>
      <c r="B41" s="66"/>
      <c r="C41" s="114" t="str">
        <f>'[2]7-07-00'!$B$35</f>
        <v>GBLX</v>
      </c>
      <c r="D41" s="66"/>
      <c r="E41" s="123">
        <f>[1]!GBLX.O</f>
        <v>0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83</v>
      </c>
      <c r="AE41" s="66"/>
      <c r="AF41" s="38"/>
      <c r="AG41" s="12"/>
      <c r="AH41" s="113">
        <f t="shared" si="10"/>
        <v>-1</v>
      </c>
      <c r="AI41" s="262"/>
      <c r="AJ41" s="130">
        <f t="shared" si="11"/>
        <v>-1</v>
      </c>
      <c r="AK41" s="12"/>
      <c r="AL41" s="131">
        <f t="shared" si="12"/>
        <v>-1</v>
      </c>
      <c r="AM41" s="29"/>
      <c r="AN41" s="134" t="e">
        <f t="shared" si="13"/>
        <v>#DIV/0!</v>
      </c>
      <c r="AO41" s="29"/>
      <c r="AP41" s="147">
        <v>0</v>
      </c>
      <c r="AQ41" s="148"/>
      <c r="AR41" s="208"/>
      <c r="AS41" s="11"/>
      <c r="AT41" s="182">
        <v>21.4375</v>
      </c>
      <c r="AV41" s="182">
        <v>31</v>
      </c>
      <c r="AX41" s="182">
        <v>50</v>
      </c>
    </row>
    <row r="42" spans="1:50" x14ac:dyDescent="0.2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39.75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83</v>
      </c>
      <c r="AE42" s="66"/>
      <c r="AF42" s="38"/>
      <c r="AG42" s="12"/>
      <c r="AH42" s="113">
        <f t="shared" si="10"/>
        <v>-0.15873015873015872</v>
      </c>
      <c r="AI42" s="262"/>
      <c r="AJ42" s="130">
        <f t="shared" si="11"/>
        <v>-0.17402597402597403</v>
      </c>
      <c r="AK42" s="12"/>
      <c r="AL42" s="131">
        <f t="shared" si="12"/>
        <v>-7.5581395348837205E-2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47.25</v>
      </c>
      <c r="AV42" s="182">
        <v>48.125</v>
      </c>
      <c r="AX42" s="182">
        <v>43</v>
      </c>
    </row>
    <row r="43" spans="1:50" x14ac:dyDescent="0.2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">
      <c r="A44" s="179" t="s">
        <v>95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-0.24633805981664444</v>
      </c>
      <c r="AI44" s="275" t="e">
        <f>AVERAGE(AI36:AI42)</f>
        <v>#DIV/0!</v>
      </c>
      <c r="AJ44" s="275">
        <f>AVERAGE(AJ36:AJ42)</f>
        <v>-0.42628546184016097</v>
      </c>
      <c r="AK44" s="276"/>
      <c r="AL44" s="385">
        <f>AVERAGE(AL36:AL42)</f>
        <v>-0.66649437342901663</v>
      </c>
      <c r="AM44" s="29"/>
      <c r="AN44" s="277" t="e">
        <f>AVERAGE(AN36:AN42)</f>
        <v>#DIV/0!</v>
      </c>
      <c r="AO44" s="29"/>
      <c r="AP44" s="147"/>
      <c r="AQ44" s="148"/>
      <c r="AR44" s="208"/>
      <c r="AS44" s="11"/>
    </row>
    <row r="45" spans="1:50" x14ac:dyDescent="0.2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499999999999993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7">
        <v>2000</v>
      </c>
      <c r="Y46" s="398"/>
      <c r="Z46" s="399"/>
      <c r="AA46" s="336"/>
      <c r="AB46" s="397">
        <v>2001</v>
      </c>
      <c r="AC46" s="398"/>
      <c r="AD46" s="399"/>
      <c r="AE46" s="329"/>
      <c r="AF46" s="337" t="s">
        <v>20</v>
      </c>
      <c r="AG46" s="325"/>
      <c r="AH46" s="338" t="s">
        <v>123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499999999999993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36833</v>
      </c>
      <c r="AU47" s="359"/>
      <c r="AV47" s="360">
        <f>+AV5</f>
        <v>36798</v>
      </c>
      <c r="AW47" s="361"/>
      <c r="AX47" s="362"/>
    </row>
    <row r="48" spans="1:50" s="323" customFormat="1" ht="9.9499999999999993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93</v>
      </c>
      <c r="Y48" s="370"/>
      <c r="Z48" s="371" t="s">
        <v>37</v>
      </c>
      <c r="AA48" s="347"/>
      <c r="AB48" s="369" t="s">
        <v>93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105</v>
      </c>
    </row>
    <row r="49" spans="1:50" x14ac:dyDescent="0.2">
      <c r="A49" s="92" t="s">
        <v>116</v>
      </c>
      <c r="B49" s="305" t="s">
        <v>117</v>
      </c>
      <c r="C49" s="92" t="s">
        <v>111</v>
      </c>
      <c r="D49" s="4"/>
      <c r="E49" s="123">
        <f>[1]!NPW</f>
        <v>10.0625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-4.09</v>
      </c>
      <c r="Y49" s="214"/>
      <c r="Z49" s="389" t="s">
        <v>83</v>
      </c>
      <c r="AA49" s="128"/>
      <c r="AB49" s="127">
        <v>-4.1900000000000004</v>
      </c>
      <c r="AC49" s="214"/>
      <c r="AD49" s="389" t="s">
        <v>83</v>
      </c>
      <c r="AE49" s="128"/>
      <c r="AF49" s="129" t="e">
        <f>(X49-S49)/S49</f>
        <v>#DIV/0!</v>
      </c>
      <c r="AG49" s="130"/>
      <c r="AH49" s="113">
        <f>((+AS49+E49-AT49)/AT49)</f>
        <v>-0.32635983263598328</v>
      </c>
      <c r="AI49" s="130"/>
      <c r="AJ49" s="130">
        <f>((+AU49+E49-AV49)/AV49)</f>
        <v>-0.52083333333333337</v>
      </c>
      <c r="AK49" s="130"/>
      <c r="AL49" s="131">
        <f>((+AW49+E49-AX49)/AX49)</f>
        <v>-0.52083333333333337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14.9375</v>
      </c>
      <c r="AU49" s="43"/>
      <c r="AV49" s="182">
        <v>21</v>
      </c>
      <c r="AW49" s="43">
        <v>0</v>
      </c>
      <c r="AX49" s="182">
        <v>21</v>
      </c>
    </row>
    <row r="50" spans="1:50" x14ac:dyDescent="0.2">
      <c r="A50" s="304" t="s">
        <v>114</v>
      </c>
      <c r="B50" s="305" t="s">
        <v>118</v>
      </c>
      <c r="C50" s="92" t="s">
        <v>112</v>
      </c>
      <c r="D50" s="4"/>
      <c r="E50" s="123">
        <f>[1]!SOE</f>
        <v>26.875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26.60891089108911</v>
      </c>
      <c r="AA50" s="128"/>
      <c r="AB50" s="127">
        <v>1.1599999999999999</v>
      </c>
      <c r="AC50" s="214"/>
      <c r="AD50" s="126">
        <f>E50/AB50</f>
        <v>23.168103448275865</v>
      </c>
      <c r="AE50" s="128"/>
      <c r="AF50" s="129" t="e">
        <f>(X50-S50)/S50</f>
        <v>#DIV/0!</v>
      </c>
      <c r="AG50" s="130"/>
      <c r="AH50" s="113">
        <f>((+AS50+E50-AT50)/AT50)</f>
        <v>-3.3707865168539325E-2</v>
      </c>
      <c r="AI50" s="130"/>
      <c r="AJ50" s="130">
        <f>((+AU50+E50-AV50)/AV50)</f>
        <v>-0.14342629482071714</v>
      </c>
      <c r="AK50" s="130"/>
      <c r="AL50" s="131">
        <f>((+AW50+E50-AX50)/AX50)</f>
        <v>0.22159090909090909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27.8125</v>
      </c>
      <c r="AU50" s="43"/>
      <c r="AV50" s="182">
        <v>31.375</v>
      </c>
      <c r="AW50" s="43"/>
      <c r="AX50" s="182">
        <v>22</v>
      </c>
    </row>
    <row r="51" spans="1:50" x14ac:dyDescent="0.2">
      <c r="A51" s="122" t="s">
        <v>115</v>
      </c>
      <c r="B51" s="305" t="s">
        <v>119</v>
      </c>
      <c r="C51" s="114" t="s">
        <v>113</v>
      </c>
      <c r="D51" s="33"/>
      <c r="E51" s="123">
        <f>[1]!NRG</f>
        <v>24.9375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23.75</v>
      </c>
      <c r="AA51" s="128"/>
      <c r="AB51" s="127">
        <v>1.23</v>
      </c>
      <c r="AC51" s="214"/>
      <c r="AD51" s="126">
        <f>E51/AB51</f>
        <v>20.274390243902438</v>
      </c>
      <c r="AE51" s="128"/>
      <c r="AF51" s="129" t="e">
        <f>(X51-S51)/S51</f>
        <v>#DIV/0!</v>
      </c>
      <c r="AG51" s="130"/>
      <c r="AH51" s="113">
        <f>((+AS51+E51-AT51)/AT51)</f>
        <v>-7.6388888888888895E-2</v>
      </c>
      <c r="AI51" s="130"/>
      <c r="AJ51" s="130">
        <f>((+AU51+E51-AV51)/AV51)</f>
        <v>-0.31678082191780821</v>
      </c>
      <c r="AK51" s="130"/>
      <c r="AL51" s="131">
        <f>((+AW51+E51-AX51)/AX51)</f>
        <v>0.66249999999999998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27</v>
      </c>
      <c r="AU51" s="43"/>
      <c r="AV51" s="182">
        <v>36.5</v>
      </c>
      <c r="AW51" s="43"/>
      <c r="AX51" s="182">
        <v>15</v>
      </c>
    </row>
    <row r="52" spans="1:50" x14ac:dyDescent="0.2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">
      <c r="A53" s="66" t="s">
        <v>124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-0.14548552889780383</v>
      </c>
      <c r="AI53" s="143"/>
      <c r="AJ53" s="275">
        <f>AVERAGE(AJ49:AJ51)</f>
        <v>-0.32701348335728625</v>
      </c>
      <c r="AK53" s="143"/>
      <c r="AL53" s="385">
        <f>AVERAGE(AL49:AL51)</f>
        <v>0.12108585858585856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499999999999993" customHeight="1" x14ac:dyDescent="0.2">
      <c r="A56" s="283" t="s">
        <v>96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499999999999993" customHeight="1" x14ac:dyDescent="0.2">
      <c r="A57" s="283" t="s">
        <v>108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499999999999993" customHeight="1" x14ac:dyDescent="0.2">
      <c r="A58" s="283" t="s">
        <v>102</v>
      </c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261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499999999999993" customHeight="1" x14ac:dyDescent="0.2">
      <c r="A59" s="283" t="s">
        <v>110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4.5" customHeight="1" x14ac:dyDescent="0.2">
      <c r="A60" s="146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3" t="s">
        <v>120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3" t="s">
        <v>121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3" t="s">
        <v>122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18" customHeight="1" x14ac:dyDescent="0.2">
      <c r="A66" s="122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199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75" customHeight="1" x14ac:dyDescent="0.25">
      <c r="A67" s="54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7"/>
      <c r="U67" s="67"/>
      <c r="V67" s="12"/>
      <c r="W67" s="12"/>
      <c r="X67" s="67"/>
      <c r="Y67" s="67"/>
      <c r="Z67" s="66"/>
      <c r="AA67" s="66"/>
      <c r="AB67" s="139"/>
      <c r="AC67" s="67"/>
      <c r="AD67" s="66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15.75" x14ac:dyDescent="0.25">
      <c r="A68" s="149" t="s">
        <v>6</v>
      </c>
      <c r="B68" s="150"/>
      <c r="C68" s="151"/>
      <c r="D68" s="75"/>
      <c r="E68" s="152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153" t="s">
        <v>7</v>
      </c>
      <c r="T68" s="190"/>
      <c r="U68" s="190"/>
      <c r="V68" s="190"/>
      <c r="W68" s="190"/>
      <c r="X68" s="153" t="s">
        <v>66</v>
      </c>
      <c r="Y68" s="153"/>
      <c r="Z68" s="190"/>
      <c r="AA68" s="190"/>
      <c r="AB68" s="192" t="s">
        <v>74</v>
      </c>
      <c r="AC68" s="216"/>
      <c r="AD68" s="48"/>
      <c r="AE68" s="48"/>
      <c r="AF68" s="48"/>
      <c r="AG68" s="44"/>
      <c r="AH68" s="44"/>
      <c r="AI68" s="44"/>
      <c r="AJ68" s="54"/>
      <c r="AK68" s="44"/>
      <c r="AL68" s="54"/>
      <c r="AM68" s="54"/>
      <c r="AN68" s="54"/>
      <c r="AR68" s="209"/>
    </row>
    <row r="69" spans="1:45" ht="12.75" customHeight="1" x14ac:dyDescent="0.25">
      <c r="A69" s="154" t="s">
        <v>8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5" t="s">
        <v>9</v>
      </c>
      <c r="T69" s="44"/>
      <c r="U69" s="44"/>
      <c r="V69" s="44"/>
      <c r="W69" s="44"/>
      <c r="X69" s="155" t="s">
        <v>9</v>
      </c>
      <c r="Y69" s="155"/>
      <c r="Z69" s="44"/>
      <c r="AA69" s="44"/>
      <c r="AB69" s="156" t="s">
        <v>9</v>
      </c>
      <c r="AC69" s="155"/>
      <c r="AD69" s="48"/>
      <c r="AE69" s="48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5" ht="15.75" x14ac:dyDescent="0.25">
      <c r="A70" s="157" t="s">
        <v>10</v>
      </c>
      <c r="B70" s="186"/>
      <c r="C70" s="186"/>
      <c r="D70" s="186"/>
      <c r="E70" s="186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8">
        <v>2</v>
      </c>
      <c r="T70" s="44"/>
      <c r="U70" s="44"/>
      <c r="V70" s="44"/>
      <c r="W70" s="44"/>
      <c r="X70" s="221">
        <v>1.4</v>
      </c>
      <c r="Y70" s="188"/>
      <c r="Z70" s="44"/>
      <c r="AA70" s="44"/>
      <c r="AB70" s="159">
        <v>1.65</v>
      </c>
      <c r="AC70" s="189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75" x14ac:dyDescent="0.25">
      <c r="A71" s="157" t="s">
        <v>68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189">
        <v>1.43</v>
      </c>
      <c r="Y71" s="189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75" x14ac:dyDescent="0.25">
      <c r="A72" s="157" t="s">
        <v>11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1.42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75" x14ac:dyDescent="0.25">
      <c r="A73" s="157" t="s">
        <v>69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/>
      <c r="T73" s="44"/>
      <c r="U73" s="44"/>
      <c r="V73" s="44"/>
      <c r="W73" s="44"/>
      <c r="X73" s="285">
        <v>1.4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72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160"/>
      <c r="U74" s="44"/>
      <c r="V74" s="44"/>
      <c r="W74" s="44"/>
      <c r="X74" s="189">
        <v>1.4</v>
      </c>
      <c r="Y74" s="189"/>
      <c r="Z74" s="160"/>
      <c r="AA74" s="160"/>
      <c r="AB74" s="159">
        <v>1.65</v>
      </c>
      <c r="AC74" s="189"/>
      <c r="AD74" s="161"/>
      <c r="AE74" s="161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64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160"/>
      <c r="U75" s="44"/>
      <c r="V75" s="44"/>
      <c r="W75" s="44"/>
      <c r="X75" s="189">
        <v>1.5</v>
      </c>
      <c r="Y75" s="189"/>
      <c r="Z75" s="160"/>
      <c r="AA75" s="160"/>
      <c r="AB75" s="159">
        <v>1.75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s="6" customFormat="1" ht="15.75" x14ac:dyDescent="0.25">
      <c r="A76" s="162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3"/>
      <c r="U76" s="164"/>
      <c r="V76" s="164"/>
      <c r="W76" s="164"/>
      <c r="X76" s="189">
        <v>1.4</v>
      </c>
      <c r="Y76" s="189"/>
      <c r="Z76" s="163"/>
      <c r="AA76" s="163"/>
      <c r="AB76" s="159">
        <v>1.65</v>
      </c>
      <c r="AC76" s="189"/>
      <c r="AD76" s="166"/>
      <c r="AE76" s="166"/>
      <c r="AF76" s="165"/>
      <c r="AG76" s="164"/>
      <c r="AH76" s="164"/>
      <c r="AI76" s="45"/>
      <c r="AJ76" s="46"/>
      <c r="AK76" s="45"/>
      <c r="AL76" s="46"/>
      <c r="AM76" s="46"/>
      <c r="AN76" s="46"/>
      <c r="AQ76" s="19"/>
      <c r="AR76" s="210"/>
    </row>
    <row r="77" spans="1:45" s="6" customFormat="1" ht="15.75" x14ac:dyDescent="0.25">
      <c r="A77" s="162" t="s">
        <v>107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163"/>
      <c r="U77" s="164"/>
      <c r="V77" s="164"/>
      <c r="W77" s="164"/>
      <c r="X77" s="189">
        <v>1.44</v>
      </c>
      <c r="Y77" s="189"/>
      <c r="Z77" s="163"/>
      <c r="AA77" s="163"/>
      <c r="AB77" s="159">
        <v>1.63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75" x14ac:dyDescent="0.25">
      <c r="A78" s="162" t="s">
        <v>67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1.41</v>
      </c>
      <c r="Y78" s="189"/>
      <c r="Z78" s="163"/>
      <c r="AA78" s="163"/>
      <c r="AB78" s="159">
        <v>1.69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75" x14ac:dyDescent="0.25">
      <c r="A79" s="162" t="s">
        <v>13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1.44</v>
      </c>
      <c r="Y79" s="189"/>
      <c r="Z79" s="163"/>
      <c r="AA79" s="163"/>
      <c r="AB79" s="159">
        <v>1.65</v>
      </c>
      <c r="AC79" s="189"/>
      <c r="AD79" s="166"/>
      <c r="AE79" s="166"/>
      <c r="AF79" s="165"/>
      <c r="AG79" s="164"/>
      <c r="AH79" s="164"/>
      <c r="AI79" s="45"/>
      <c r="AJ79" s="45"/>
      <c r="AK79" s="45"/>
      <c r="AL79" s="46"/>
      <c r="AM79" s="46"/>
      <c r="AN79" s="46"/>
      <c r="AQ79" s="19"/>
      <c r="AR79" s="210"/>
    </row>
    <row r="80" spans="1:45" s="6" customFormat="1" ht="15.75" x14ac:dyDescent="0.25">
      <c r="A80" s="162" t="s">
        <v>14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>
        <v>2</v>
      </c>
      <c r="T80" s="163"/>
      <c r="U80" s="164"/>
      <c r="V80" s="164"/>
      <c r="W80" s="164"/>
      <c r="X80" s="189">
        <v>1.41</v>
      </c>
      <c r="Y80" s="189"/>
      <c r="Z80" s="163"/>
      <c r="AA80" s="163"/>
      <c r="AB80" s="159">
        <v>1.61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ht="15.75" x14ac:dyDescent="0.25">
      <c r="A81" s="162" t="s">
        <v>15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1.98</v>
      </c>
      <c r="T81" s="160"/>
      <c r="U81" s="167"/>
      <c r="V81" s="167"/>
      <c r="W81" s="167"/>
      <c r="X81" s="189">
        <v>1.45</v>
      </c>
      <c r="Y81" s="189"/>
      <c r="Z81" s="160"/>
      <c r="AA81" s="160"/>
      <c r="AB81" s="159">
        <v>1.7</v>
      </c>
      <c r="AC81" s="189"/>
      <c r="AD81" s="161"/>
      <c r="AE81" s="161"/>
      <c r="AF81" s="168"/>
      <c r="AG81" s="167"/>
      <c r="AH81" s="167"/>
      <c r="AI81" s="47"/>
      <c r="AJ81" s="47"/>
      <c r="AK81" s="47"/>
      <c r="AL81" s="49"/>
      <c r="AM81" s="49"/>
      <c r="AN81" s="49"/>
      <c r="AP81" s="1"/>
      <c r="AQ81" s="2"/>
      <c r="AR81" s="211"/>
    </row>
    <row r="82" spans="1:44" ht="15.75" x14ac:dyDescent="0.25">
      <c r="A82" s="162" t="s">
        <v>16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2.0099999999999998</v>
      </c>
      <c r="T82" s="160"/>
      <c r="U82" s="167"/>
      <c r="V82" s="167"/>
      <c r="W82" s="167"/>
      <c r="X82" s="189">
        <v>1.4</v>
      </c>
      <c r="Y82" s="189"/>
      <c r="Z82" s="160"/>
      <c r="AA82" s="160"/>
      <c r="AB82" s="159">
        <v>1.65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75" x14ac:dyDescent="0.25">
      <c r="A83" s="162" t="s">
        <v>100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0"/>
      <c r="U83" s="167"/>
      <c r="V83" s="167"/>
      <c r="W83" s="167"/>
      <c r="X83" s="189">
        <v>1.43</v>
      </c>
      <c r="Y83" s="189"/>
      <c r="Z83" s="160"/>
      <c r="AA83" s="160"/>
      <c r="AB83" s="159">
        <v>1.7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75" x14ac:dyDescent="0.25">
      <c r="A84" s="162" t="s">
        <v>61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>
        <v>2</v>
      </c>
      <c r="T84" s="160"/>
      <c r="U84" s="167"/>
      <c r="V84" s="167"/>
      <c r="W84" s="167"/>
      <c r="X84" s="189">
        <v>1.4</v>
      </c>
      <c r="Y84" s="189"/>
      <c r="Z84" s="160"/>
      <c r="AA84" s="160"/>
      <c r="AB84" s="159">
        <v>1.57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75" x14ac:dyDescent="0.25">
      <c r="A85" s="162" t="s">
        <v>86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0"/>
      <c r="U85" s="167"/>
      <c r="V85" s="167"/>
      <c r="W85" s="167"/>
      <c r="X85" s="189">
        <v>1.41</v>
      </c>
      <c r="Y85" s="189"/>
      <c r="Z85" s="160"/>
      <c r="AA85" s="160"/>
      <c r="AB85" s="159">
        <v>1.69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388" t="s">
        <v>125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0"/>
      <c r="U86" s="167"/>
      <c r="V86" s="167"/>
      <c r="W86" s="167"/>
      <c r="X86" s="189">
        <v>1.42</v>
      </c>
      <c r="Y86" s="189"/>
      <c r="Z86" s="160"/>
      <c r="AA86" s="160"/>
      <c r="AB86" s="159">
        <v>1.65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169"/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/>
      <c r="T87" s="160"/>
      <c r="U87" s="167"/>
      <c r="V87" s="167"/>
      <c r="W87" s="167"/>
      <c r="X87" s="189"/>
      <c r="Y87" s="189"/>
      <c r="Z87" s="160"/>
      <c r="AA87" s="160"/>
      <c r="AB87" s="159"/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47"/>
      <c r="AQ87" s="148"/>
      <c r="AR87" s="208"/>
    </row>
    <row r="88" spans="1:44" ht="15.75" x14ac:dyDescent="0.25">
      <c r="A88" s="170" t="s">
        <v>17</v>
      </c>
      <c r="B88" s="171"/>
      <c r="C88" s="171"/>
      <c r="D88" s="171"/>
      <c r="E88" s="171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91">
        <f>AVERAGE(S70:S85)</f>
        <v>1.9988888888888892</v>
      </c>
      <c r="T88" s="173"/>
      <c r="U88" s="174"/>
      <c r="V88" s="174"/>
      <c r="W88" s="174"/>
      <c r="X88" s="196">
        <f>AVERAGE(X70:X86)</f>
        <v>1.421176470588235</v>
      </c>
      <c r="Y88" s="196"/>
      <c r="Z88" s="173"/>
      <c r="AA88" s="173"/>
      <c r="AB88" s="260">
        <f>AVERAGE(AB70:AB86)</f>
        <v>1.658235294117647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75" x14ac:dyDescent="0.25">
      <c r="C89" s="1"/>
      <c r="U89" s="1"/>
      <c r="W89" s="1"/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75" x14ac:dyDescent="0.25">
      <c r="A90" s="4"/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75" x14ac:dyDescent="0.25">
      <c r="A91" s="4"/>
      <c r="B91" s="4"/>
      <c r="C91" s="17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76"/>
      <c r="T91" s="176"/>
      <c r="U91" s="177"/>
      <c r="V91" s="178"/>
      <c r="W91" s="177"/>
      <c r="X91" s="176"/>
      <c r="Y91" s="176"/>
      <c r="Z91" s="176"/>
      <c r="AA91" s="176"/>
      <c r="AB91" s="176"/>
      <c r="AC91" s="176"/>
      <c r="AD91" s="176"/>
      <c r="AE91" s="176"/>
      <c r="AF91" s="178"/>
      <c r="AG91" s="177"/>
      <c r="AH91" s="177"/>
      <c r="AP91" s="147"/>
      <c r="AQ91" s="148"/>
      <c r="AR91" s="208"/>
    </row>
    <row r="92" spans="1:44" ht="15.75" x14ac:dyDescent="0.25">
      <c r="A92" s="179" t="s">
        <v>60</v>
      </c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</row>
    <row r="93" spans="1:44" ht="15.75" x14ac:dyDescent="0.25"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77"/>
      <c r="V93" s="178"/>
      <c r="W93" s="177"/>
      <c r="X93" s="4"/>
      <c r="Y93" s="4"/>
      <c r="Z93" s="4"/>
      <c r="AA93" s="4"/>
      <c r="AB93" s="4"/>
      <c r="AC93" s="4"/>
      <c r="AD93" s="4"/>
      <c r="AE93" s="4"/>
      <c r="AF93" s="178"/>
      <c r="AG93" s="177"/>
      <c r="AH93" s="177"/>
    </row>
    <row r="94" spans="1:44" ht="15.75" x14ac:dyDescent="0.25">
      <c r="A94" s="4"/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2000-11-10T23:01:43Z</cp:lastPrinted>
  <dcterms:created xsi:type="dcterms:W3CDTF">1997-07-25T21:14:12Z</dcterms:created>
  <dcterms:modified xsi:type="dcterms:W3CDTF">2023-09-17T13:03:13Z</dcterms:modified>
</cp:coreProperties>
</file>