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8D1F50-F820-4F4F-B389-1880F7EED231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<sst xmlns="http://schemas.openxmlformats.org/spreadsheetml/2006/main" count="187" uniqueCount="129">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</sst>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9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23.95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35.1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44.89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19.88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48.89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36.75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19.350000000000001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6.93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42.23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40.82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26.45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27.24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34.799999999999997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37.450000000000003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40.700000000000003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37190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37183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19.88</v>
      </c>
      <c r="F10" s="309"/>
      <c r="G10" s="184">
        <f>[1]!'EOT,DIVIDEND,1'</f>
        <v>1.9</v>
      </c>
      <c r="H10" s="185"/>
      <c r="I10" s="186">
        <f>+G10/E10</f>
        <v>9.5573440643863181E-2</v>
      </c>
      <c r="J10" s="186"/>
      <c r="K10" s="300">
        <f>(+I10-E$30)*10000</f>
        <v>502.73440643863182</v>
      </c>
      <c r="L10" s="183"/>
      <c r="M10" s="186">
        <f>(I10*AA10)+((I10*(1-AA10))*(1-0.3))</f>
        <v>9.4139839034205239E-2</v>
      </c>
      <c r="N10" s="183"/>
      <c r="O10" s="187">
        <f>+G10/Z10</f>
        <v>1.7117117117117118</v>
      </c>
      <c r="P10" s="188"/>
      <c r="Q10" s="187">
        <f>(AF10+$E10-AG10)/AG10</f>
        <v>-6.8852459016393558E-2</v>
      </c>
      <c r="R10" s="188"/>
      <c r="S10" s="187">
        <f>(AH10+$E10-AI10)/AI10</f>
        <v>4.0404040404039545E-3</v>
      </c>
      <c r="T10" s="185"/>
      <c r="U10" s="189">
        <f>(AJ10+E10-AK10)/AK10</f>
        <v>0.30106870229007632</v>
      </c>
      <c r="V10" s="190"/>
      <c r="W10" s="115"/>
      <c r="X10" s="134"/>
      <c r="Y10" s="289">
        <f>G58</f>
        <v>0.8859999999999999</v>
      </c>
      <c r="Z10" s="290">
        <f>I58</f>
        <v>1.1099999999999999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21.35</v>
      </c>
      <c r="AH10" s="354"/>
      <c r="AI10" s="355">
        <v>19.8</v>
      </c>
      <c r="AJ10" s="195">
        <f>0.475*3</f>
        <v>1.4249999999999998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40.82</v>
      </c>
      <c r="F11" s="310"/>
      <c r="G11" s="202">
        <f>[1]!'NBP,DIVIDEND,1'</f>
        <v>3.05</v>
      </c>
      <c r="H11" s="203"/>
      <c r="I11" s="204">
        <f>+G11/E11</f>
        <v>7.4718275355218022E-2</v>
      </c>
      <c r="J11" s="204"/>
      <c r="K11" s="311">
        <f>(+I11-E$30)*10000</f>
        <v>294.1827535521802</v>
      </c>
      <c r="L11" s="201"/>
      <c r="M11" s="204">
        <f>(I11*AA11)+((I11*(1-AA11))*(1-0.3))</f>
        <v>7.3597501224889755E-2</v>
      </c>
      <c r="N11" s="201"/>
      <c r="O11" s="205">
        <f>+G11/Z11</f>
        <v>1.036631419939577</v>
      </c>
      <c r="P11" s="206"/>
      <c r="Q11" s="205">
        <f>(AF11+$E11-AG11)/AG11</f>
        <v>-4.6330163374786086E-3</v>
      </c>
      <c r="R11" s="206"/>
      <c r="S11" s="205">
        <f>(AH11+$E11-AI11)/AI11</f>
        <v>5.070785070785068E-2</v>
      </c>
      <c r="T11" s="203"/>
      <c r="U11" s="207">
        <f>(AJ11+$E11-AK11)/AK11</f>
        <v>0.37195219123505979</v>
      </c>
      <c r="V11" s="190"/>
      <c r="W11" s="115"/>
      <c r="X11" s="134"/>
      <c r="Y11" s="289">
        <f>S58</f>
        <v>2.5099999999999998</v>
      </c>
      <c r="Z11" s="290">
        <f>U58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41.01</v>
      </c>
      <c r="AH11" s="354"/>
      <c r="AI11" s="355">
        <v>38.85</v>
      </c>
      <c r="AJ11" s="195">
        <f>0.7+0.7625+0.7625</f>
        <v>2.2249999999999996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68</v>
      </c>
      <c r="B13" s="74"/>
      <c r="C13" s="128" t="s">
        <v>39</v>
      </c>
      <c r="D13" s="74"/>
      <c r="E13" s="208">
        <f>[1]!'APU,LAST,1'</f>
        <v>23.95</v>
      </c>
      <c r="F13" s="209"/>
      <c r="G13" s="208">
        <f>[1]!'APU,DIVIDEND,1'</f>
        <v>2.2000000000000002</v>
      </c>
      <c r="H13" s="96"/>
      <c r="I13" s="160">
        <f t="shared" ref="I13:I24" si="0">+G13/E13</f>
        <v>9.1858037578288115E-2</v>
      </c>
      <c r="J13" s="160"/>
      <c r="K13" s="215">
        <f t="shared" ref="K13:K24" si="1">(+I13-E$30)*10000</f>
        <v>465.58037578288116</v>
      </c>
      <c r="L13" s="94"/>
      <c r="M13" s="160">
        <f t="shared" ref="M13:M24" si="2">(I13*AA13)+((I13*(1-AA13))*(1-0.3))</f>
        <v>8.3590814196242189E-2</v>
      </c>
      <c r="N13" s="94"/>
      <c r="O13" s="149">
        <f>+G13/Y13</f>
        <v>2</v>
      </c>
      <c r="P13" s="211"/>
      <c r="Q13" s="149">
        <f t="shared" ref="Q13:Q24" si="3">(AF13+$E13-AG13)/AG13</f>
        <v>4.1928721174003293E-3</v>
      </c>
      <c r="R13" s="211"/>
      <c r="S13" s="149">
        <f t="shared" ref="S13:S24" si="4">(AH13+$E13-AI13)/AI13</f>
        <v>4.3118466898954634E-2</v>
      </c>
      <c r="T13" s="96"/>
      <c r="U13" s="216">
        <f>(AJ13+E13-AK13)/AK13</f>
        <v>0.53984962406015025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37111</v>
      </c>
      <c r="AE13" s="303">
        <v>0.55000000000000004</v>
      </c>
      <c r="AF13" s="307"/>
      <c r="AG13" s="208">
        <v>23.85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35.1</v>
      </c>
      <c r="F14" s="209"/>
      <c r="G14" s="208">
        <f>[1]!'BPL,DIVIDEND,1'</f>
        <v>2.5</v>
      </c>
      <c r="H14" s="96"/>
      <c r="I14" s="160">
        <f t="shared" si="0"/>
        <v>7.1225071225071226E-2</v>
      </c>
      <c r="J14" s="160"/>
      <c r="K14" s="215">
        <f t="shared" si="1"/>
        <v>259.25071225071224</v>
      </c>
      <c r="L14" s="94"/>
      <c r="M14" s="160">
        <f t="shared" si="2"/>
        <v>6.588319088319089E-2</v>
      </c>
      <c r="N14" s="94"/>
      <c r="O14" s="149">
        <f t="shared" ref="O14:O26" si="5">+G14/Z14</f>
        <v>1.0040160642570279</v>
      </c>
      <c r="P14" s="211"/>
      <c r="Q14" s="149">
        <f t="shared" si="3"/>
        <v>-5.6657223796032791E-3</v>
      </c>
      <c r="R14" s="211"/>
      <c r="S14" s="149">
        <f t="shared" si="4"/>
        <v>1.2987012987013069E-2</v>
      </c>
      <c r="T14" s="96"/>
      <c r="U14" s="216">
        <f t="shared" ref="U14:U24" si="6">(AJ14+E14-AK14)/AK14</f>
        <v>0.27878787878787892</v>
      </c>
      <c r="V14" s="190"/>
      <c r="W14" s="115"/>
      <c r="X14" s="134"/>
      <c r="Y14" s="289">
        <v>2.41</v>
      </c>
      <c r="Z14" s="290">
        <v>2.4900000000000002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35.299999999999997</v>
      </c>
      <c r="AH14" s="354"/>
      <c r="AI14" s="355">
        <v>34.65</v>
      </c>
      <c r="AJ14" s="195">
        <f>(0.6*2)+0.625</f>
        <v>1.825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95</v>
      </c>
      <c r="B15" s="74"/>
      <c r="C15" s="128" t="s">
        <v>96</v>
      </c>
      <c r="D15" s="74"/>
      <c r="E15" s="208">
        <f>[1]!'EPN,LAST,1'</f>
        <v>36.75</v>
      </c>
      <c r="F15" s="209"/>
      <c r="G15" s="208">
        <f>[1]!'EPN,DIVIDEND,1'</f>
        <v>2.4500000000000002</v>
      </c>
      <c r="H15" s="96"/>
      <c r="I15" s="160">
        <f t="shared" si="0"/>
        <v>6.6666666666666666E-2</v>
      </c>
      <c r="J15" s="160"/>
      <c r="K15" s="215">
        <f t="shared" si="1"/>
        <v>213.66666666666666</v>
      </c>
      <c r="L15" s="94"/>
      <c r="M15" s="160">
        <f>(I15*AA15)+((I15*(1-AA15))*(1-0.3))</f>
        <v>6.5866666666666671E-2</v>
      </c>
      <c r="N15" s="94"/>
      <c r="O15" s="149">
        <f>+G15/Z15</f>
        <v>2.6923076923076925</v>
      </c>
      <c r="P15" s="211"/>
      <c r="Q15" s="149">
        <f>(AF15+$E15-AG15)/AG15</f>
        <v>-6.7968551864062893E-2</v>
      </c>
      <c r="R15" s="211"/>
      <c r="S15" s="149">
        <f>(AH15+$E15-AI15)/AI15</f>
        <v>9.6153846153846541E-3</v>
      </c>
      <c r="T15" s="96"/>
      <c r="U15" s="216">
        <f t="shared" si="6"/>
        <v>0.40136674259681104</v>
      </c>
      <c r="V15" s="223"/>
      <c r="W15" s="115"/>
      <c r="X15" s="134"/>
      <c r="Y15" s="291">
        <v>0.56000000000000005</v>
      </c>
      <c r="Z15" s="292">
        <v>0.91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/>
      <c r="AG15" s="208">
        <v>39.43</v>
      </c>
      <c r="AH15" s="328"/>
      <c r="AI15" s="355">
        <v>36.4</v>
      </c>
      <c r="AJ15" s="222">
        <f>0.55+(0.575*2)</f>
        <v>1.7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121</v>
      </c>
      <c r="B16" s="74"/>
      <c r="C16" s="128" t="s">
        <v>122</v>
      </c>
      <c r="D16" s="74"/>
      <c r="E16" s="208">
        <f>[1]!'EPD,LAST,1'</f>
        <v>48.89</v>
      </c>
      <c r="F16" s="209"/>
      <c r="G16" s="208">
        <f>[1]!'EPD,DIVIDEND,1'</f>
        <v>2.5</v>
      </c>
      <c r="H16" s="96"/>
      <c r="I16" s="160">
        <f t="shared" si="0"/>
        <v>5.1135201472693799E-2</v>
      </c>
      <c r="J16" s="160"/>
      <c r="K16" s="215">
        <f>(+I16-E$30)*10000</f>
        <v>58.352014726937988</v>
      </c>
      <c r="L16" s="94"/>
      <c r="M16" s="160">
        <f>(I16*AA16)+((I16*(1-AA16))*(1-0.3))</f>
        <v>3.5794641030885657E-2</v>
      </c>
      <c r="N16" s="94"/>
      <c r="O16" s="149">
        <f>+G16/Z16</f>
        <v>0.98039215686274517</v>
      </c>
      <c r="P16" s="211"/>
      <c r="Q16" s="149">
        <f>(AF16+$E16-AG16)/AG16</f>
        <v>-3.5700197238658818E-2</v>
      </c>
      <c r="R16" s="211"/>
      <c r="S16" s="149">
        <f>(AH16+$E16-AI16)/AI16</f>
        <v>5.5939524838013038E-2</v>
      </c>
      <c r="T16" s="96"/>
      <c r="U16" s="216">
        <f>(AJ16+E16-AK16)/AK16</f>
        <v>0.60882703777335989</v>
      </c>
      <c r="V16" s="223"/>
      <c r="W16" s="115"/>
      <c r="X16" s="134"/>
      <c r="Y16" s="291">
        <v>2.2799999999999998</v>
      </c>
      <c r="Z16" s="292">
        <v>2.5499999999999998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50.7</v>
      </c>
      <c r="AH16" s="328"/>
      <c r="AI16" s="355">
        <v>46.3</v>
      </c>
      <c r="AJ16" s="222">
        <f>(0.55*2)+0.5875</f>
        <v>1.6875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25" x14ac:dyDescent="0.35">
      <c r="A17" s="111" t="s">
        <v>69</v>
      </c>
      <c r="B17" s="74"/>
      <c r="C17" s="128" t="s">
        <v>42</v>
      </c>
      <c r="D17" s="74"/>
      <c r="E17" s="208">
        <f>[1]!'FGP,LAST,1'</f>
        <v>19.350000000000001</v>
      </c>
      <c r="F17" s="209"/>
      <c r="G17" s="208">
        <f>[1]!'FGP,DIVIDEND,1'</f>
        <v>2</v>
      </c>
      <c r="H17" s="96"/>
      <c r="I17" s="160">
        <f t="shared" si="0"/>
        <v>0.10335917312661498</v>
      </c>
      <c r="J17" s="160"/>
      <c r="K17" s="215">
        <f t="shared" si="1"/>
        <v>580.59173126614985</v>
      </c>
      <c r="L17" s="94"/>
      <c r="M17" s="160">
        <f t="shared" si="2"/>
        <v>0.10273901808785529</v>
      </c>
      <c r="N17" s="94"/>
      <c r="O17" s="149">
        <f t="shared" si="5"/>
        <v>2.150537634408602</v>
      </c>
      <c r="P17" s="220"/>
      <c r="Q17" s="149">
        <f t="shared" si="3"/>
        <v>-2.3220595658758069E-2</v>
      </c>
      <c r="R17" s="220"/>
      <c r="S17" s="149">
        <f t="shared" si="4"/>
        <v>9.9164926931107136E-3</v>
      </c>
      <c r="T17" s="96"/>
      <c r="U17" s="216">
        <f t="shared" si="6"/>
        <v>0.58104265402843613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365">
        <v>37132</v>
      </c>
      <c r="AE17" s="303">
        <v>0.5</v>
      </c>
      <c r="AF17" s="306"/>
      <c r="AG17" s="208">
        <v>19.809999999999999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x14ac:dyDescent="0.35">
      <c r="A18" s="111" t="s">
        <v>104</v>
      </c>
      <c r="B18" s="74"/>
      <c r="C18" s="128" t="s">
        <v>43</v>
      </c>
      <c r="D18" s="74"/>
      <c r="E18" s="208">
        <f>[1]!'GEL,LAST,1'</f>
        <v>6.93</v>
      </c>
      <c r="F18" s="209"/>
      <c r="G18" s="208">
        <f>[1]!'GEL,DIVIDEND,1'</f>
        <v>0.8</v>
      </c>
      <c r="H18" s="293" t="s">
        <v>107</v>
      </c>
      <c r="I18" s="160">
        <f t="shared" si="0"/>
        <v>0.11544011544011545</v>
      </c>
      <c r="J18" s="160"/>
      <c r="K18" s="215">
        <f t="shared" si="1"/>
        <v>701.40115440115449</v>
      </c>
      <c r="L18" s="94"/>
      <c r="M18" s="160">
        <f t="shared" si="2"/>
        <v>0.11544011544011545</v>
      </c>
      <c r="N18" s="94"/>
      <c r="O18" s="149">
        <f>+G18/Z18</f>
        <v>5.3333333333333339</v>
      </c>
      <c r="P18" s="211"/>
      <c r="Q18" s="149">
        <f t="shared" si="3"/>
        <v>4.5248868778280514E-2</v>
      </c>
      <c r="R18" s="211"/>
      <c r="S18" s="149">
        <f t="shared" si="4"/>
        <v>0.19072164948453599</v>
      </c>
      <c r="T18" s="96"/>
      <c r="U18" s="216">
        <f t="shared" si="6"/>
        <v>1.0772413793103446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/>
      <c r="AG18" s="208">
        <v>6.63</v>
      </c>
      <c r="AH18" s="328"/>
      <c r="AI18" s="355">
        <v>5.82</v>
      </c>
      <c r="AJ18" s="222">
        <f>0.2*3</f>
        <v>0.60000000000000009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44</v>
      </c>
      <c r="B19" s="74"/>
      <c r="C19" s="128" t="s">
        <v>45</v>
      </c>
      <c r="D19" s="74"/>
      <c r="E19" s="208">
        <f>[1]!'KPP,LAST,1'</f>
        <v>42.23</v>
      </c>
      <c r="F19" s="209"/>
      <c r="G19" s="208">
        <f>[1]!'KPP,DIVIDEND,1'</f>
        <v>3</v>
      </c>
      <c r="H19" s="96"/>
      <c r="I19" s="160">
        <f t="shared" si="0"/>
        <v>7.1039545346909788E-2</v>
      </c>
      <c r="J19" s="160"/>
      <c r="K19" s="215">
        <f t="shared" si="1"/>
        <v>257.3954534690979</v>
      </c>
      <c r="L19" s="94"/>
      <c r="M19" s="160">
        <f t="shared" si="2"/>
        <v>6.6777172626095199E-2</v>
      </c>
      <c r="N19" s="94"/>
      <c r="O19" s="149">
        <f t="shared" si="5"/>
        <v>0.94339622641509424</v>
      </c>
      <c r="P19" s="211"/>
      <c r="Q19" s="149">
        <f t="shared" si="3"/>
        <v>-2.245370370370384E-2</v>
      </c>
      <c r="R19" s="211"/>
      <c r="S19" s="149">
        <f t="shared" si="4"/>
        <v>6.8302555021502551E-2</v>
      </c>
      <c r="T19" s="96"/>
      <c r="U19" s="216">
        <f t="shared" si="6"/>
        <v>0.41598377281947246</v>
      </c>
      <c r="V19" s="223"/>
      <c r="W19" s="115"/>
      <c r="X19" s="134"/>
      <c r="Y19" s="289">
        <v>3.07</v>
      </c>
      <c r="Z19" s="290">
        <v>3.18</v>
      </c>
      <c r="AA19" s="191">
        <v>0.8</v>
      </c>
      <c r="AB19" s="192"/>
      <c r="AC19" s="74"/>
      <c r="AD19" s="193">
        <v>37193</v>
      </c>
      <c r="AE19" s="304">
        <v>0.75</v>
      </c>
      <c r="AF19" s="305"/>
      <c r="AG19" s="208">
        <v>43.2</v>
      </c>
      <c r="AH19" s="328"/>
      <c r="AI19" s="355">
        <v>39.53</v>
      </c>
      <c r="AJ19" s="222">
        <f>0.7*2</f>
        <v>1.4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25" x14ac:dyDescent="0.35">
      <c r="A20" s="111" t="s">
        <v>46</v>
      </c>
      <c r="B20" s="74"/>
      <c r="C20" s="128" t="s">
        <v>97</v>
      </c>
      <c r="D20" s="74"/>
      <c r="E20" s="208">
        <f>[1]!'KMP,LAST,1'</f>
        <v>37</v>
      </c>
      <c r="F20" s="209"/>
      <c r="G20" s="208">
        <f>[1]!'KMP,DIVIDEND,1'</f>
        <v>2.2000000000000002</v>
      </c>
      <c r="H20" s="286"/>
      <c r="I20" s="160">
        <f t="shared" si="0"/>
        <v>5.9459459459459463E-2</v>
      </c>
      <c r="J20" s="160"/>
      <c r="K20" s="215">
        <f t="shared" si="1"/>
        <v>141.59459459459464</v>
      </c>
      <c r="L20" s="94"/>
      <c r="M20" s="160">
        <f t="shared" si="2"/>
        <v>5.7675675675675678E-2</v>
      </c>
      <c r="N20" s="94"/>
      <c r="O20" s="149">
        <f t="shared" si="5"/>
        <v>1.2941176470588236</v>
      </c>
      <c r="P20" s="211"/>
      <c r="Q20" s="149">
        <f t="shared" si="3"/>
        <v>-8.0428954423591732E-3</v>
      </c>
      <c r="R20" s="211"/>
      <c r="S20" s="149">
        <f t="shared" si="4"/>
        <v>6.9055186362323051E-2</v>
      </c>
      <c r="T20" s="96"/>
      <c r="U20" s="216">
        <f t="shared" si="6"/>
        <v>-0.28879023307436186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195"/>
      <c r="AG20" s="208">
        <v>37.299999999999997</v>
      </c>
      <c r="AH20" s="354"/>
      <c r="AI20" s="355">
        <v>34.61</v>
      </c>
      <c r="AJ20" s="195">
        <f>0.95+(1.05*2)</f>
        <v>3.05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3.25" x14ac:dyDescent="0.35">
      <c r="A21" s="111" t="s">
        <v>124</v>
      </c>
      <c r="B21" s="74"/>
      <c r="C21" s="128" t="s">
        <v>123</v>
      </c>
      <c r="D21" s="74"/>
      <c r="E21" s="208">
        <f>[1]!'EEP,LAST,1'</f>
        <v>44.89</v>
      </c>
      <c r="F21" s="209"/>
      <c r="G21" s="208">
        <f>[1]!'EEP,DIVIDEND,1'</f>
        <v>3.5</v>
      </c>
      <c r="H21" s="96"/>
      <c r="I21" s="160">
        <f t="shared" si="0"/>
        <v>7.7968367119625751E-2</v>
      </c>
      <c r="J21" s="160"/>
      <c r="K21" s="215">
        <f t="shared" si="1"/>
        <v>326.68367119625748</v>
      </c>
      <c r="L21" s="94"/>
      <c r="M21" s="160">
        <f t="shared" si="2"/>
        <v>7.6798841612831362E-2</v>
      </c>
      <c r="N21" s="94"/>
      <c r="O21" s="149">
        <f t="shared" si="5"/>
        <v>1.6055045871559632</v>
      </c>
      <c r="P21" s="211"/>
      <c r="Q21" s="149">
        <f t="shared" si="3"/>
        <v>-5.2953586497890254E-2</v>
      </c>
      <c r="R21" s="211"/>
      <c r="S21" s="149">
        <f t="shared" si="4"/>
        <v>-1.4922097871406621E-2</v>
      </c>
      <c r="T21" s="96"/>
      <c r="U21" s="216">
        <f t="shared" si="6"/>
        <v>0.15187878787878789</v>
      </c>
      <c r="V21" s="223"/>
      <c r="W21" s="115"/>
      <c r="X21" s="134"/>
      <c r="Y21" s="291">
        <v>1.92</v>
      </c>
      <c r="Z21" s="292">
        <v>2.1800000000000002</v>
      </c>
      <c r="AA21" s="224">
        <v>0.95</v>
      </c>
      <c r="AB21" s="226"/>
      <c r="AC21" s="74"/>
      <c r="AD21" s="365">
        <v>37099</v>
      </c>
      <c r="AE21" s="303">
        <v>0.875</v>
      </c>
      <c r="AF21" s="306"/>
      <c r="AG21" s="208">
        <v>47.4</v>
      </c>
      <c r="AH21" s="354"/>
      <c r="AI21" s="355">
        <v>45.57</v>
      </c>
      <c r="AJ21" s="195">
        <f>0.875*3</f>
        <v>2.625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25" x14ac:dyDescent="0.35">
      <c r="A22" s="111" t="s">
        <v>78</v>
      </c>
      <c r="B22" s="74"/>
      <c r="C22" s="128" t="s">
        <v>80</v>
      </c>
      <c r="D22" s="74"/>
      <c r="E22" s="208">
        <f>[1]!'PAA,LAST,1'</f>
        <v>26.45</v>
      </c>
      <c r="F22" s="209"/>
      <c r="G22" s="208">
        <f>[1]!'PAA,DIVIDEND,1'</f>
        <v>2.0499999999999998</v>
      </c>
      <c r="H22" s="286"/>
      <c r="I22" s="160">
        <f t="shared" si="0"/>
        <v>7.7504725897920596E-2</v>
      </c>
      <c r="J22" s="160"/>
      <c r="K22" s="215">
        <f t="shared" si="1"/>
        <v>322.04725897920594</v>
      </c>
      <c r="L22" s="94"/>
      <c r="M22" s="160">
        <f>(I22*AA22)+((I22*(1-AA22))*(1-0.3))</f>
        <v>7.0529300567107739E-2</v>
      </c>
      <c r="N22" s="94"/>
      <c r="O22" s="149">
        <f>+G22/Z22</f>
        <v>1.1849710982658959</v>
      </c>
      <c r="P22" s="211"/>
      <c r="Q22" s="149">
        <f>(AF22+$E22-AG22)/AG22</f>
        <v>-2.7573529411764705E-2</v>
      </c>
      <c r="R22" s="211"/>
      <c r="S22" s="149">
        <f>(AH22+$E22-AI22)/AI22</f>
        <v>3.3203124999999917E-2</v>
      </c>
      <c r="T22" s="96"/>
      <c r="U22" s="216">
        <f t="shared" si="6"/>
        <v>0.45816993464052286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27.2</v>
      </c>
      <c r="AH22" s="328"/>
      <c r="AI22" s="355">
        <v>25.6</v>
      </c>
      <c r="AJ22" s="222">
        <f>0.4625+0.475+0.5</f>
        <v>1.4375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100</v>
      </c>
      <c r="B23" s="74"/>
      <c r="C23" s="128" t="s">
        <v>82</v>
      </c>
      <c r="D23" s="74"/>
      <c r="E23" s="208">
        <f>[1]!'TCLPZ.O,LAST,1'</f>
        <v>27.24</v>
      </c>
      <c r="F23" s="209"/>
      <c r="G23" s="208">
        <f>[1]!'TCLPZ.O,DIVIDEND,1'</f>
        <v>2</v>
      </c>
      <c r="H23" s="96"/>
      <c r="I23" s="160">
        <f t="shared" si="0"/>
        <v>7.3421439060205582E-2</v>
      </c>
      <c r="J23" s="160"/>
      <c r="K23" s="215">
        <f t="shared" si="1"/>
        <v>281.2143906020558</v>
      </c>
      <c r="L23" s="94"/>
      <c r="M23" s="160">
        <f>(I23*AA23)+((I23*(1-AA23))*(1-0.3))</f>
        <v>7.2320117474302503E-2</v>
      </c>
      <c r="N23" s="94"/>
      <c r="O23" s="149">
        <f>+G23/Z23</f>
        <v>0.82987551867219911</v>
      </c>
      <c r="P23" s="211"/>
      <c r="Q23" s="149">
        <f>(AF23+$E23-AG23)/AG23</f>
        <v>1.4525139664804357E-2</v>
      </c>
      <c r="R23" s="211"/>
      <c r="S23" s="149">
        <f>(AH23+$E23-AI23)/AI23</f>
        <v>3.9694656488549585E-2</v>
      </c>
      <c r="T23" s="96"/>
      <c r="U23" s="216">
        <f t="shared" si="6"/>
        <v>0.49038961038961026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26.85</v>
      </c>
      <c r="AH23" s="328"/>
      <c r="AI23" s="357">
        <v>26.2</v>
      </c>
      <c r="AJ23" s="222">
        <f>(0.475*2)+0.5</f>
        <v>1.45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34.799999999999997</v>
      </c>
      <c r="F24" s="209"/>
      <c r="G24" s="208">
        <f>[1]!'TPP,DIVIDEND,1'</f>
        <v>2.2999999999999998</v>
      </c>
      <c r="H24" s="96"/>
      <c r="I24" s="160">
        <f t="shared" si="0"/>
        <v>6.6091954022988508E-2</v>
      </c>
      <c r="J24" s="160"/>
      <c r="K24" s="215">
        <f t="shared" si="1"/>
        <v>207.91954022988509</v>
      </c>
      <c r="L24" s="94"/>
      <c r="M24" s="160">
        <f t="shared" si="2"/>
        <v>6.0143678160919541E-2</v>
      </c>
      <c r="N24" s="94"/>
      <c r="O24" s="149">
        <f t="shared" si="5"/>
        <v>1.1386138613861385</v>
      </c>
      <c r="P24" s="211"/>
      <c r="Q24" s="149">
        <f t="shared" si="3"/>
        <v>4.6616541353383376E-2</v>
      </c>
      <c r="R24" s="211"/>
      <c r="S24" s="149">
        <f t="shared" si="4"/>
        <v>8.7499999999999911E-2</v>
      </c>
      <c r="T24" s="96"/>
      <c r="U24" s="216">
        <f t="shared" si="6"/>
        <v>0.48091603053435117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33.25</v>
      </c>
      <c r="AH24" s="328"/>
      <c r="AI24" s="355">
        <v>32</v>
      </c>
      <c r="AJ24" s="222">
        <f>0.525*3</f>
        <v>1.5750000000000002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116</v>
      </c>
      <c r="B25" s="80"/>
      <c r="C25" s="147" t="s">
        <v>115</v>
      </c>
      <c r="D25" s="80"/>
      <c r="E25" s="208">
        <f>[1]!'UDL,LAST,1'</f>
        <v>37.450000000000003</v>
      </c>
      <c r="F25" s="322"/>
      <c r="G25" s="208">
        <f>[1]!'UDL,DIVIDEND,1'</f>
        <v>2.4</v>
      </c>
      <c r="H25" s="286"/>
      <c r="I25" s="160">
        <f>+G25/E25</f>
        <v>6.4085447263017348E-2</v>
      </c>
      <c r="J25" s="160"/>
      <c r="K25" s="215">
        <f>(+I25-E$30)*10000</f>
        <v>187.85447263017349</v>
      </c>
      <c r="L25" s="94"/>
      <c r="M25" s="160">
        <f>(I25*AA25)+((I25*(1-AA25))*(1-0.3))</f>
        <v>4.4859813084112139E-2</v>
      </c>
      <c r="N25" s="94"/>
      <c r="O25" s="149">
        <f t="shared" si="5"/>
        <v>0.93385214007782102</v>
      </c>
      <c r="P25" s="211"/>
      <c r="Q25" s="149">
        <f>(AF25+$E25-AG25)/AG25</f>
        <v>-2.3722627737226189E-2</v>
      </c>
      <c r="R25" s="211"/>
      <c r="S25" s="149">
        <f>(AH25+$E25-AI25)/AI25</f>
        <v>0.14877300613496935</v>
      </c>
      <c r="T25" s="96"/>
      <c r="U25" s="323">
        <f>(AJ25+E25-AK25)/AK25</f>
        <v>0.54902448979591856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38.36</v>
      </c>
      <c r="AH25" s="328"/>
      <c r="AI25" s="355">
        <v>32.6</v>
      </c>
      <c r="AJ25" s="222">
        <v>0.50109999999999999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117</v>
      </c>
      <c r="B26" s="80"/>
      <c r="C26" s="147" t="s">
        <v>118</v>
      </c>
      <c r="D26" s="80"/>
      <c r="E26" s="208">
        <f>[1]!'WEG,LAST,1'</f>
        <v>40.700000000000003</v>
      </c>
      <c r="F26" s="322"/>
      <c r="G26" s="208">
        <f>[1]!'WEG,DIVIDEND,1'</f>
        <v>2.31</v>
      </c>
      <c r="H26" s="286"/>
      <c r="I26" s="160">
        <f>+G26/E26</f>
        <v>5.6756756756756753E-2</v>
      </c>
      <c r="J26" s="160"/>
      <c r="K26" s="215">
        <f>(+I26-E$30)*10000</f>
        <v>114.56756756756754</v>
      </c>
      <c r="L26" s="94"/>
      <c r="M26" s="160">
        <f>(I26*AA26)+((I26*(1-AA26))*(1-0.3))</f>
        <v>3.9729729729729726E-2</v>
      </c>
      <c r="N26" s="94"/>
      <c r="O26" s="149">
        <f t="shared" si="5"/>
        <v>1.3275862068965518</v>
      </c>
      <c r="P26" s="211"/>
      <c r="Q26" s="149">
        <f>(AF26+$E26-AG26)/AG26</f>
        <v>-3.6719706242349711E-3</v>
      </c>
      <c r="R26" s="211"/>
      <c r="S26" s="149">
        <f>(AH26+$E26-AI26)/AI26</f>
        <v>0.10000000000000007</v>
      </c>
      <c r="T26" s="96"/>
      <c r="U26" s="323">
        <f>(AJ26+E26-AK26)/AK26</f>
        <v>0.93276744186046534</v>
      </c>
      <c r="V26" s="223"/>
      <c r="W26" s="115"/>
      <c r="X26" s="134"/>
      <c r="Y26" s="291">
        <v>1.65</v>
      </c>
      <c r="Z26" s="297">
        <v>1.74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40.85</v>
      </c>
      <c r="AH26" s="328"/>
      <c r="AI26" s="355">
        <v>37</v>
      </c>
      <c r="AJ26" s="222">
        <f>0.292+0.5625</f>
        <v>0.85450000000000004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7.4715140031166721E-2</v>
      </c>
      <c r="J28" s="242"/>
      <c r="K28" s="243">
        <f>(+I28-E$30)*10000</f>
        <v>294.1514003116672</v>
      </c>
      <c r="L28" s="238"/>
      <c r="M28" s="242">
        <f>AVERAGEA(M13:M24)</f>
        <v>7.2796602701824017E-2</v>
      </c>
      <c r="N28" s="238"/>
      <c r="O28" s="244">
        <f>AVERAGEA(O13:O26)</f>
        <v>1.6727502976498489</v>
      </c>
      <c r="P28" s="245"/>
      <c r="Q28" s="244">
        <f>AVERAGEA(Q13:Q26)</f>
        <v>-1.1456425617456687E-2</v>
      </c>
      <c r="R28" s="245"/>
      <c r="S28" s="244">
        <f>AVERAGEA(S13:S26)</f>
        <v>6.0993211618067852E-2</v>
      </c>
      <c r="T28" s="241"/>
      <c r="U28" s="246">
        <f>AVERAGEA(U13:U26)</f>
        <v>0.47696108224298206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127</v>
      </c>
      <c r="B30" s="74"/>
      <c r="C30" s="112"/>
      <c r="D30" s="74"/>
      <c r="E30" s="256">
        <v>4.53E-2</v>
      </c>
      <c r="F30" s="74"/>
      <c r="G30" s="255"/>
      <c r="H30" s="96"/>
      <c r="J30" s="256"/>
      <c r="K30" s="210"/>
      <c r="L30" s="94"/>
      <c r="M30" s="160">
        <f>(E30*AA30)+((E30*(1-AA30))*(1-0.3))</f>
        <v>3.1709999999999995E-2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4.8399999999999999E-2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7" t="s">
        <v>88</v>
      </c>
      <c r="AQ30" s="368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25" x14ac:dyDescent="0.35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25" x14ac:dyDescent="0.35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4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35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35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6" t="s">
        <v>37</v>
      </c>
      <c r="F43" s="366"/>
      <c r="G43" s="366"/>
      <c r="H43" s="366"/>
      <c r="I43" s="366"/>
      <c r="J43" s="366"/>
      <c r="K43" s="366"/>
      <c r="L43" s="366"/>
      <c r="M43" s="366"/>
      <c r="N43" s="366"/>
      <c r="O43" s="366"/>
      <c r="P43" s="332"/>
      <c r="Q43" s="366" t="s">
        <v>35</v>
      </c>
      <c r="R43" s="366"/>
      <c r="S43" s="366"/>
      <c r="T43" s="366"/>
      <c r="U43" s="366"/>
      <c r="V43" s="366"/>
      <c r="W43" s="366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2.5</v>
      </c>
      <c r="T50" s="83"/>
      <c r="U50" s="89">
        <v>2.95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35">
      <c r="A55" s="93" t="s">
        <v>61</v>
      </c>
      <c r="B55" s="83"/>
      <c r="C55" s="83"/>
      <c r="D55" s="83"/>
      <c r="E55" s="90" t="s">
        <v>60</v>
      </c>
      <c r="F55" s="336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3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45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35">
      <c r="A56" s="93" t="s">
        <v>109</v>
      </c>
      <c r="B56" s="83"/>
      <c r="C56" s="83"/>
      <c r="D56" s="83"/>
      <c r="E56" s="90" t="s">
        <v>54</v>
      </c>
      <c r="F56" s="336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3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49</v>
      </c>
      <c r="X56" s="89"/>
      <c r="Y56" s="345">
        <v>37189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35">
      <c r="A57" s="93" t="s">
        <v>128</v>
      </c>
      <c r="B57" s="83"/>
      <c r="C57" s="83"/>
      <c r="D57" s="83"/>
      <c r="E57" s="80"/>
      <c r="F57" s="336"/>
      <c r="G57" s="88"/>
      <c r="H57" s="83"/>
      <c r="I57" s="80"/>
      <c r="J57" s="80"/>
      <c r="K57" s="83"/>
      <c r="L57" s="80"/>
      <c r="M57" s="80"/>
      <c r="N57" s="83"/>
      <c r="O57" s="343"/>
      <c r="P57" s="83"/>
      <c r="Q57" s="80"/>
      <c r="R57" s="83"/>
      <c r="S57" s="89">
        <v>2.4700000000000002</v>
      </c>
      <c r="T57" s="83"/>
      <c r="U57" s="89">
        <v>2.9</v>
      </c>
      <c r="V57" s="83"/>
      <c r="W57" s="89">
        <v>47</v>
      </c>
      <c r="X57" s="83"/>
      <c r="Y57" s="345">
        <v>37187</v>
      </c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">
      <c r="A58" s="93" t="s">
        <v>16</v>
      </c>
      <c r="B58" s="80"/>
      <c r="C58" s="94"/>
      <c r="D58" s="80"/>
      <c r="E58" s="80"/>
      <c r="F58" s="336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23</v>
      </c>
      <c r="L58" s="80"/>
      <c r="M58" s="80"/>
      <c r="N58" s="96"/>
      <c r="O58" s="344"/>
      <c r="P58" s="96"/>
      <c r="Q58" s="80"/>
      <c r="R58" s="80"/>
      <c r="S58" s="95">
        <f>AVERAGEA(S45:S57)</f>
        <v>2.5099999999999998</v>
      </c>
      <c r="T58" s="96"/>
      <c r="U58" s="95">
        <f>AVERAGEA(U45:U57)</f>
        <v>2.9422222222222221</v>
      </c>
      <c r="V58" s="97"/>
      <c r="W58" s="95">
        <f>AVERAGEA(W45:W57)</f>
        <v>43.416666666666664</v>
      </c>
      <c r="X58" s="99"/>
      <c r="Y58" s="346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4" thickTop="1" x14ac:dyDescent="0.35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36"/>
      <c r="S59" s="80"/>
      <c r="T59" s="98"/>
      <c r="U59" s="80"/>
      <c r="V59" s="99"/>
      <c r="W59" s="228"/>
      <c r="X59" s="73"/>
      <c r="Y59" s="230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3.25" x14ac:dyDescent="0.35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8"/>
      <c r="W60" s="228"/>
      <c r="X60" s="73"/>
      <c r="Y60" s="230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3.25" x14ac:dyDescent="0.35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3.25" x14ac:dyDescent="0.35">
      <c r="A62" s="274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3"/>
      <c r="X62" s="337"/>
      <c r="Y62" s="248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08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2001-10-26T20:27:03Z</cp:lastPrinted>
  <dcterms:created xsi:type="dcterms:W3CDTF">1997-07-25T21:20:20Z</dcterms:created>
  <dcterms:modified xsi:type="dcterms:W3CDTF">2023-09-17T13:07:31Z</dcterms:modified>
</cp:coreProperties>
</file>