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DDF842B-5F70-40D4-B98A-02DC7D666712}" xr6:coauthVersionLast="47" xr6:coauthVersionMax="47" xr10:uidLastSave="{00000000-0000-0000-0000-000000000000}"/>
  <bookViews>
    <workbookView xWindow="-120" yWindow="-120" windowWidth="38640" windowHeight="15720" tabRatio="273" activeTab="1"/>
  </bookViews>
  <sheets>
    <sheet name="sum" sheetId="1" r:id="rId1"/>
    <sheet name="ENRON" sheetId="2" r:id="rId2"/>
  </sheets>
  <externalReferences>
    <externalReference r:id="rId3"/>
  </externalReferences>
  <definedNames>
    <definedName name="dividend">ENRON!$AU$7:$BC$25</definedName>
    <definedName name="e">#REF!</definedName>
    <definedName name="ene">#REF!</definedName>
    <definedName name="enep">#REF!</definedName>
    <definedName name="eog">#REF!</definedName>
    <definedName name="eogp">#REF!</definedName>
    <definedName name="g">#REF!</definedName>
    <definedName name="Last_Week">ENRON!$AY$5</definedName>
    <definedName name="_xlnm.Print_Area" localSheetId="1">ENRON!$A$1:$AS$33</definedName>
    <definedName name="Print_Area_MI">#REF!</definedName>
    <definedName name="_xlnm.Print_Titles" localSheetId="1">ENRON!$A:$C,ENRON!$1:$6</definedName>
    <definedName name="weekly">ENRON!$E$7:$AS$58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2" l="1"/>
  <c r="I7" i="2"/>
  <c r="M7" i="2"/>
  <c r="Q7" i="2"/>
  <c r="S7" i="2"/>
  <c r="T7" i="2"/>
  <c r="V7" i="2"/>
  <c r="X7" i="2"/>
  <c r="Z7" i="2"/>
  <c r="AB7" i="2"/>
  <c r="AE7" i="2"/>
  <c r="AG7" i="2"/>
  <c r="AK7" i="2"/>
  <c r="AM7" i="2"/>
  <c r="AO7" i="2"/>
  <c r="AQ7" i="2"/>
  <c r="AS7" i="2"/>
  <c r="AU7" i="2"/>
  <c r="BB7" i="2"/>
  <c r="E9" i="2"/>
  <c r="I9" i="2"/>
  <c r="M9" i="2"/>
  <c r="Q9" i="2"/>
  <c r="T9" i="2"/>
  <c r="V9" i="2"/>
  <c r="Z9" i="2"/>
  <c r="AB9" i="2"/>
  <c r="AG9" i="2"/>
  <c r="AK9" i="2"/>
  <c r="AM9" i="2"/>
  <c r="AO9" i="2"/>
  <c r="AQ9" i="2"/>
  <c r="AU9" i="2"/>
  <c r="E10" i="2"/>
  <c r="I10" i="2"/>
  <c r="M10" i="2"/>
  <c r="Q10" i="2"/>
  <c r="T10" i="2"/>
  <c r="V10" i="2"/>
  <c r="AK10" i="2"/>
  <c r="AM10" i="2"/>
  <c r="AO10" i="2"/>
  <c r="AQ10" i="2"/>
  <c r="AU10" i="2"/>
  <c r="E13" i="2"/>
  <c r="T13" i="2"/>
  <c r="Z13" i="2"/>
  <c r="AB13" i="2"/>
  <c r="AG13" i="2"/>
  <c r="AK13" i="2"/>
  <c r="AM13" i="2"/>
  <c r="AS13" i="2"/>
  <c r="AU13" i="2"/>
  <c r="E14" i="2"/>
  <c r="I14" i="2"/>
  <c r="M14" i="2"/>
  <c r="Q14" i="2"/>
  <c r="T14" i="2"/>
  <c r="V14" i="2"/>
  <c r="Z14" i="2"/>
  <c r="AB14" i="2"/>
  <c r="AG14" i="2"/>
  <c r="AK14" i="2"/>
  <c r="AM14" i="2"/>
  <c r="AO14" i="2"/>
  <c r="AQ14" i="2"/>
  <c r="AS14" i="2"/>
  <c r="AU14" i="2"/>
  <c r="E15" i="2"/>
  <c r="Z15" i="2"/>
  <c r="AB15" i="2"/>
  <c r="AG15" i="2"/>
  <c r="AM15" i="2"/>
  <c r="AO15" i="2"/>
  <c r="AQ15" i="2"/>
  <c r="AS15" i="2"/>
  <c r="AU15" i="2"/>
  <c r="E16" i="2"/>
  <c r="M16" i="2"/>
  <c r="T16" i="2"/>
  <c r="V16" i="2"/>
  <c r="Z16" i="2"/>
  <c r="AB16" i="2"/>
  <c r="AG16" i="2"/>
  <c r="AK16" i="2"/>
  <c r="AM16" i="2"/>
  <c r="AO16" i="2"/>
  <c r="AQ16" i="2"/>
  <c r="AS16" i="2"/>
  <c r="AU16" i="2"/>
  <c r="BB16" i="2"/>
  <c r="E17" i="2"/>
  <c r="M17" i="2"/>
  <c r="T17" i="2"/>
  <c r="V17" i="2"/>
  <c r="Z17" i="2"/>
  <c r="AB17" i="2"/>
  <c r="AG17" i="2"/>
  <c r="AK17" i="2"/>
  <c r="AM17" i="2"/>
  <c r="AO17" i="2"/>
  <c r="AQ17" i="2"/>
  <c r="AS17" i="2"/>
  <c r="AU17" i="2"/>
  <c r="BB17" i="2"/>
  <c r="E18" i="2"/>
  <c r="I18" i="2"/>
  <c r="M18" i="2"/>
  <c r="Q18" i="2"/>
  <c r="T18" i="2"/>
  <c r="V18" i="2"/>
  <c r="Z18" i="2"/>
  <c r="AB18" i="2"/>
  <c r="AG18" i="2"/>
  <c r="AK18" i="2"/>
  <c r="AM18" i="2"/>
  <c r="AO18" i="2"/>
  <c r="AQ18" i="2"/>
  <c r="AS18" i="2"/>
  <c r="AU18" i="2"/>
  <c r="BB18" i="2"/>
  <c r="E19" i="2"/>
  <c r="M19" i="2"/>
  <c r="T19" i="2"/>
  <c r="Z19" i="2"/>
  <c r="AB19" i="2"/>
  <c r="AG19" i="2"/>
  <c r="AK19" i="2"/>
  <c r="AM19" i="2"/>
  <c r="AO19" i="2"/>
  <c r="AQ19" i="2"/>
  <c r="AS19" i="2"/>
  <c r="AU19" i="2"/>
  <c r="BB19" i="2"/>
  <c r="E20" i="2"/>
  <c r="Z20" i="2"/>
  <c r="AB20" i="2"/>
  <c r="AG20" i="2"/>
  <c r="AK20" i="2"/>
  <c r="AM20" i="2"/>
  <c r="AO20" i="2"/>
  <c r="AQ20" i="2"/>
  <c r="AS20" i="2"/>
  <c r="AU20" i="2"/>
  <c r="E21" i="2"/>
  <c r="Z21" i="2"/>
  <c r="AB21" i="2"/>
  <c r="AG21" i="2"/>
  <c r="AK21" i="2"/>
  <c r="AM21" i="2"/>
  <c r="AO21" i="2"/>
  <c r="AQ21" i="2"/>
  <c r="AS21" i="2"/>
  <c r="AU21" i="2"/>
  <c r="E22" i="2"/>
  <c r="T22" i="2"/>
  <c r="Z22" i="2"/>
  <c r="AB22" i="2"/>
  <c r="AG22" i="2"/>
  <c r="AK22" i="2"/>
  <c r="AM22" i="2"/>
  <c r="AS22" i="2"/>
  <c r="AU22" i="2"/>
  <c r="E23" i="2"/>
  <c r="I23" i="2"/>
  <c r="M23" i="2"/>
  <c r="Q23" i="2"/>
  <c r="T23" i="2"/>
  <c r="V23" i="2"/>
  <c r="Z23" i="2"/>
  <c r="AB23" i="2"/>
  <c r="AG23" i="2"/>
  <c r="AK23" i="2"/>
  <c r="AM23" i="2"/>
  <c r="AO23" i="2"/>
  <c r="AQ23" i="2"/>
  <c r="AS23" i="2"/>
  <c r="AU23" i="2"/>
  <c r="BB23" i="2"/>
  <c r="I25" i="2"/>
  <c r="M25" i="2"/>
  <c r="Q25" i="2"/>
  <c r="T25" i="2"/>
  <c r="V25" i="2"/>
  <c r="Z25" i="2"/>
  <c r="AG25" i="2"/>
  <c r="AK25" i="2"/>
  <c r="AM25" i="2"/>
  <c r="AO25" i="2"/>
  <c r="AQ25" i="2"/>
  <c r="AS25" i="2"/>
  <c r="X30" i="2"/>
  <c r="AE30" i="2"/>
  <c r="X31" i="2"/>
  <c r="AE31" i="2"/>
  <c r="X32" i="2"/>
  <c r="AE32" i="2"/>
  <c r="AU38" i="2"/>
  <c r="AU40" i="2"/>
  <c r="AU44" i="2"/>
  <c r="AU45" i="2"/>
  <c r="AU46" i="2"/>
  <c r="AU47" i="2"/>
  <c r="AU48" i="2"/>
  <c r="AU49" i="2"/>
  <c r="AU50" i="2"/>
  <c r="AU51" i="2"/>
  <c r="AU52" i="2"/>
  <c r="AU53" i="2"/>
  <c r="AU54" i="2"/>
  <c r="AU56" i="2"/>
  <c r="S57" i="2"/>
  <c r="X57" i="2"/>
  <c r="AE57" i="2"/>
  <c r="H1" i="1"/>
  <c r="H2" i="1"/>
  <c r="B6" i="1"/>
  <c r="D6" i="1"/>
  <c r="F6" i="1"/>
  <c r="H6" i="1"/>
  <c r="B7" i="1"/>
  <c r="D7" i="1"/>
  <c r="F7" i="1"/>
  <c r="H7" i="1"/>
  <c r="B8" i="1"/>
  <c r="D8" i="1"/>
  <c r="F8" i="1"/>
  <c r="H8" i="1"/>
  <c r="B9" i="1"/>
  <c r="D9" i="1"/>
  <c r="F9" i="1"/>
  <c r="H9" i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S13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  <comment ref="S22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</commentList>
</comments>
</file>

<file path=xl/sharedStrings.xml><?xml version="1.0" encoding="utf-8"?>
<sst xmlns="http://schemas.openxmlformats.org/spreadsheetml/2006/main" count="202" uniqueCount="120">
  <si>
    <t>ENE</t>
  </si>
  <si>
    <t>DUK</t>
  </si>
  <si>
    <t>EPG</t>
  </si>
  <si>
    <t>TRP</t>
  </si>
  <si>
    <t>WMB</t>
  </si>
  <si>
    <t>Enron First Call Consensus</t>
  </si>
  <si>
    <t>1998 EPS</t>
  </si>
  <si>
    <t>Analyst</t>
  </si>
  <si>
    <t>Estimates</t>
  </si>
  <si>
    <t>A.G. Edwards</t>
  </si>
  <si>
    <t>CIBC Oppenheimer</t>
  </si>
  <si>
    <t>Goldman Sachs</t>
  </si>
  <si>
    <t>Lehman Brothers</t>
  </si>
  <si>
    <t>Merrill Lynch</t>
  </si>
  <si>
    <t>Morgan Stanley</t>
  </si>
  <si>
    <t>Prudential Securities</t>
  </si>
  <si>
    <t xml:space="preserve">     Consensus</t>
  </si>
  <si>
    <t>Enron &amp; Peer Group</t>
  </si>
  <si>
    <t>Relative Price Earnings Ratios</t>
  </si>
  <si>
    <t>E.P.S.</t>
  </si>
  <si>
    <t>Total Return</t>
  </si>
  <si>
    <t>Dividend Information</t>
  </si>
  <si>
    <t>Current Week</t>
  </si>
  <si>
    <t>Quarter-to-Date</t>
  </si>
  <si>
    <t>Year-to-Date</t>
  </si>
  <si>
    <t>Closing</t>
  </si>
  <si>
    <t>Consensus</t>
  </si>
  <si>
    <t>Growth</t>
  </si>
  <si>
    <t>Current</t>
  </si>
  <si>
    <t>Quarter-</t>
  </si>
  <si>
    <t>Year-</t>
  </si>
  <si>
    <t>Dividend</t>
  </si>
  <si>
    <t>Last/Next</t>
  </si>
  <si>
    <t>Company</t>
  </si>
  <si>
    <t>Symbol</t>
  </si>
  <si>
    <t>Price</t>
  </si>
  <si>
    <t>P/E</t>
  </si>
  <si>
    <t>1997 - 98</t>
  </si>
  <si>
    <t>1999 / 98</t>
  </si>
  <si>
    <t>Week</t>
  </si>
  <si>
    <t>to-Date</t>
  </si>
  <si>
    <t>Yield</t>
  </si>
  <si>
    <t>Current Dividend</t>
  </si>
  <si>
    <t>Ex-Date</t>
  </si>
  <si>
    <t>Ex-Dividends Week</t>
  </si>
  <si>
    <t>Last week price</t>
  </si>
  <si>
    <t>Ex-Dividends Quarter</t>
  </si>
  <si>
    <t>Prior Quarter Price</t>
  </si>
  <si>
    <t>Ex-Dividends to YTD</t>
  </si>
  <si>
    <t>Enron - (Recurring Diluted EPS)</t>
  </si>
  <si>
    <t>A</t>
  </si>
  <si>
    <t>*</t>
  </si>
  <si>
    <t>S &amp; P 500 Index</t>
  </si>
  <si>
    <t>Duke Energy</t>
  </si>
  <si>
    <t>DYN</t>
  </si>
  <si>
    <t>El Paso</t>
  </si>
  <si>
    <t>Transcanada Pipeline</t>
  </si>
  <si>
    <t>PG&amp;E</t>
  </si>
  <si>
    <t>PCG</t>
  </si>
  <si>
    <t>First Albany</t>
  </si>
  <si>
    <t>SPX</t>
  </si>
  <si>
    <t>J P Morgan</t>
  </si>
  <si>
    <t>BofA Montgomery</t>
  </si>
  <si>
    <t>CSFB</t>
  </si>
  <si>
    <t>Kinder Morgan</t>
  </si>
  <si>
    <t>KMI</t>
  </si>
  <si>
    <t>DRW</t>
  </si>
  <si>
    <t>AES</t>
  </si>
  <si>
    <t>None</t>
  </si>
  <si>
    <t>Dominion Resources</t>
  </si>
  <si>
    <t>D</t>
  </si>
  <si>
    <t xml:space="preserve">Enron &amp; Peer Group </t>
  </si>
  <si>
    <t>TOTAL RETURN</t>
  </si>
  <si>
    <t>Enron</t>
  </si>
  <si>
    <t>S&amp;P 500 Index</t>
  </si>
  <si>
    <t>CCMP</t>
  </si>
  <si>
    <t>N/A</t>
  </si>
  <si>
    <t xml:space="preserve">N/A </t>
  </si>
  <si>
    <t>NASDAQ Index</t>
  </si>
  <si>
    <t>Simmons</t>
  </si>
  <si>
    <t>Mean Estimate</t>
  </si>
  <si>
    <t>High Estimate</t>
  </si>
  <si>
    <t>Energy Peer Group</t>
  </si>
  <si>
    <t>EPS</t>
  </si>
  <si>
    <t>Williams Company</t>
  </si>
  <si>
    <t>2001</t>
  </si>
  <si>
    <t>Consensus EPS</t>
  </si>
  <si>
    <t>Salomon Smith Barney</t>
  </si>
  <si>
    <t>Energy Peers</t>
  </si>
  <si>
    <t>Energy Peer Group Average</t>
  </si>
  <si>
    <t>Howard Weil</t>
  </si>
  <si>
    <t>NRG</t>
  </si>
  <si>
    <t>NRG Energy Inc</t>
  </si>
  <si>
    <t>UBS Warburg / PaineWebber</t>
  </si>
  <si>
    <t xml:space="preserve">AES Corp. </t>
  </si>
  <si>
    <t>Dynegy</t>
  </si>
  <si>
    <t>Friday</t>
  </si>
  <si>
    <t>Bear, Stearns</t>
  </si>
  <si>
    <t xml:space="preserve">12/29/00 Closing </t>
  </si>
  <si>
    <t xml:space="preserve">  EPS</t>
  </si>
  <si>
    <t>ROE</t>
  </si>
  <si>
    <t>Latest</t>
  </si>
  <si>
    <t>12 mos</t>
  </si>
  <si>
    <t>.</t>
  </si>
  <si>
    <t>MIR</t>
  </si>
  <si>
    <t>Mirant Corp</t>
  </si>
  <si>
    <t>Low Estimate</t>
  </si>
  <si>
    <t>Bernstein</t>
  </si>
  <si>
    <t>2002</t>
  </si>
  <si>
    <t>2002 EPS</t>
  </si>
  <si>
    <t>ILA</t>
  </si>
  <si>
    <t>RRI</t>
  </si>
  <si>
    <t>Sanders Morris</t>
  </si>
  <si>
    <t>Reliant Resources</t>
  </si>
  <si>
    <t>Aquila Inc.</t>
  </si>
  <si>
    <t>Calpine</t>
  </si>
  <si>
    <t>CPN</t>
  </si>
  <si>
    <t>01/02</t>
  </si>
  <si>
    <t>06/02/00split</t>
  </si>
  <si>
    <t>11/15/00split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</si>
</sst>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7" formatCode="0.0_)"/>
    <numFmt numFmtId="168" formatCode="0.0000_)"/>
    <numFmt numFmtId="169" formatCode="0.0%"/>
    <numFmt numFmtId="170" formatCode="mm/dd/yy"/>
    <numFmt numFmtId="184" formatCode="_(&quot;$&quot;* #,##0.0000_);_(&quot;$&quot;* \(#,##0.0000\);_(&quot;$&quot;* &quot;-&quot;??_);_(@_)"/>
    <numFmt numFmtId="185" formatCode="_(* #,##0.000_);_(* \(#,##0.000\);_(* &quot;-&quot;??_);_(@_)"/>
    <numFmt numFmtId="187" formatCode="_(* #,##0.0000_);_(* \(#,##0.0000\);_(* &quot;-&quot;??_);_(@_)"/>
    <numFmt numFmtId="188" formatCode="_(* #,##0.00000_);_(* \(#,##0.00000\);_(* &quot;-&quot;??_);_(@_)"/>
    <numFmt numFmtId="189" formatCode="_(&quot;$&quot;* #,##0.00000_);_(&quot;$&quot;* \(#,##0.00000\);_(&quot;$&quot;* &quot;-&quot;??_);_(@_)"/>
    <numFmt numFmtId="193" formatCode="0_)"/>
    <numFmt numFmtId="196" formatCode="0.0"/>
    <numFmt numFmtId="199" formatCode="_(&quot;$&quot;* #,##0_);_(&quot;$&quot;* \(#,##0\);_(&quot;$&quot;* &quot;-&quot;??_);_(@_)"/>
  </numFmts>
  <fonts count="39" x14ac:knownFonts="1">
    <font>
      <sz val="12"/>
      <name val="Helv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39"/>
      <name val="Arial"/>
      <family val="2"/>
    </font>
    <font>
      <sz val="8"/>
      <color indexed="10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2"/>
      <name val="Helv"/>
    </font>
    <font>
      <sz val="8"/>
      <color indexed="10"/>
      <name val="Arial"/>
    </font>
    <font>
      <b/>
      <sz val="10"/>
      <color indexed="12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14"/>
      <name val="Arial"/>
      <family val="2"/>
    </font>
    <font>
      <b/>
      <sz val="10"/>
      <color indexed="39"/>
      <name val="Arial"/>
      <family val="2"/>
    </font>
    <font>
      <b/>
      <sz val="8"/>
      <color indexed="12"/>
      <name val="Arial"/>
      <family val="2"/>
    </font>
    <font>
      <b/>
      <sz val="10"/>
      <color indexed="10"/>
      <name val="Arial"/>
      <family val="2"/>
    </font>
    <font>
      <b/>
      <u/>
      <sz val="11"/>
      <name val="Arial"/>
      <family val="2"/>
    </font>
    <font>
      <sz val="12"/>
      <name val="Helv"/>
    </font>
    <font>
      <b/>
      <sz val="10"/>
      <name val="Helv"/>
    </font>
    <font>
      <b/>
      <u/>
      <sz val="10"/>
      <name val="Arial"/>
      <family val="2"/>
    </font>
    <font>
      <sz val="12"/>
      <name val="Helv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0"/>
      <color indexed="56"/>
      <name val="Arial"/>
      <family val="2"/>
    </font>
    <font>
      <b/>
      <sz val="12"/>
      <color indexed="39"/>
      <name val="Arial"/>
      <family val="2"/>
    </font>
    <font>
      <b/>
      <sz val="12"/>
      <name val="Times"/>
      <family val="1"/>
    </font>
    <font>
      <sz val="12"/>
      <name val="Times"/>
      <family val="1"/>
    </font>
    <font>
      <sz val="12"/>
      <name val="Times"/>
    </font>
    <font>
      <b/>
      <sz val="12"/>
      <name val="Times"/>
    </font>
    <font>
      <b/>
      <u/>
      <sz val="8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164" fontId="0" fillId="0" borderId="0" applyFont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04">
    <xf numFmtId="164" fontId="0" fillId="0" borderId="0" xfId="0"/>
    <xf numFmtId="169" fontId="5" fillId="2" borderId="1" xfId="0" applyNumberFormat="1" applyFont="1" applyFill="1" applyBorder="1" applyProtection="1"/>
    <xf numFmtId="10" fontId="16" fillId="2" borderId="2" xfId="0" applyNumberFormat="1" applyFont="1" applyFill="1" applyBorder="1" applyProtection="1"/>
    <xf numFmtId="7" fontId="15" fillId="2" borderId="3" xfId="0" applyNumberFormat="1" applyFont="1" applyFill="1" applyBorder="1" applyAlignment="1" applyProtection="1"/>
    <xf numFmtId="164" fontId="19" fillId="2" borderId="0" xfId="0" applyFont="1" applyFill="1"/>
    <xf numFmtId="164" fontId="6" fillId="2" borderId="0" xfId="0" applyFont="1" applyFill="1"/>
    <xf numFmtId="164" fontId="6" fillId="2" borderId="0" xfId="0" applyFont="1" applyFill="1" applyAlignment="1">
      <alignment horizontal="center"/>
    </xf>
    <xf numFmtId="164" fontId="6" fillId="2" borderId="0" xfId="0" applyFont="1" applyFill="1" applyBorder="1"/>
    <xf numFmtId="164" fontId="3" fillId="2" borderId="0" xfId="0" applyFont="1" applyFill="1"/>
    <xf numFmtId="164" fontId="5" fillId="2" borderId="0" xfId="0" applyFont="1" applyFill="1" applyAlignment="1" applyProtection="1">
      <alignment horizontal="right"/>
    </xf>
    <xf numFmtId="164" fontId="4" fillId="2" borderId="0" xfId="0" applyFont="1" applyFill="1"/>
    <xf numFmtId="164" fontId="4" fillId="2" borderId="0" xfId="0" applyFont="1" applyFill="1" applyAlignment="1">
      <alignment horizontal="center"/>
    </xf>
    <xf numFmtId="187" fontId="4" fillId="2" borderId="0" xfId="1" applyNumberFormat="1" applyFont="1" applyFill="1" applyAlignment="1">
      <alignment horizontal="center"/>
    </xf>
    <xf numFmtId="164" fontId="2" fillId="2" borderId="0" xfId="0" applyFont="1" applyFill="1" applyAlignment="1">
      <alignment horizontal="right"/>
    </xf>
    <xf numFmtId="164" fontId="2" fillId="2" borderId="0" xfId="0" applyFont="1" applyFill="1" applyBorder="1" applyAlignment="1">
      <alignment horizontal="right"/>
    </xf>
    <xf numFmtId="164" fontId="30" fillId="2" borderId="0" xfId="0" applyFont="1" applyFill="1" applyAlignment="1">
      <alignment horizontal="right"/>
    </xf>
    <xf numFmtId="170" fontId="20" fillId="2" borderId="0" xfId="0" applyNumberFormat="1" applyFont="1" applyFill="1" applyAlignment="1" applyProtection="1">
      <alignment horizontal="right"/>
    </xf>
    <xf numFmtId="164" fontId="5" fillId="2" borderId="0" xfId="0" applyFont="1" applyFill="1" applyAlignment="1" applyProtection="1">
      <alignment horizontal="left"/>
    </xf>
    <xf numFmtId="164" fontId="5" fillId="2" borderId="0" xfId="0" applyFont="1" applyFill="1"/>
    <xf numFmtId="164" fontId="5" fillId="2" borderId="0" xfId="0" applyFont="1" applyFill="1" applyAlignment="1">
      <alignment horizontal="center"/>
    </xf>
    <xf numFmtId="164" fontId="14" fillId="2" borderId="0" xfId="0" applyFont="1" applyFill="1"/>
    <xf numFmtId="164" fontId="14" fillId="2" borderId="0" xfId="0" applyFont="1" applyFill="1" applyBorder="1"/>
    <xf numFmtId="164" fontId="5" fillId="2" borderId="0" xfId="0" applyFont="1" applyFill="1" applyAlignment="1" applyProtection="1">
      <alignment horizontal="centerContinuous"/>
    </xf>
    <xf numFmtId="164" fontId="1" fillId="2" borderId="4" xfId="0" applyFont="1" applyFill="1" applyBorder="1" applyAlignment="1">
      <alignment horizontal="centerContinuous"/>
    </xf>
    <xf numFmtId="164" fontId="6" fillId="2" borderId="5" xfId="0" applyFont="1" applyFill="1" applyBorder="1" applyAlignment="1">
      <alignment horizontal="centerContinuous"/>
    </xf>
    <xf numFmtId="164" fontId="6" fillId="2" borderId="6" xfId="0" applyFont="1" applyFill="1" applyBorder="1" applyAlignment="1">
      <alignment horizontal="centerContinuous"/>
    </xf>
    <xf numFmtId="164" fontId="5" fillId="2" borderId="0" xfId="0" applyFont="1" applyFill="1" applyBorder="1"/>
    <xf numFmtId="164" fontId="6" fillId="2" borderId="0" xfId="0" applyFont="1" applyFill="1" applyBorder="1" applyAlignment="1">
      <alignment horizontal="centerContinuous"/>
    </xf>
    <xf numFmtId="164" fontId="1" fillId="2" borderId="0" xfId="0" applyFont="1" applyFill="1" applyBorder="1" applyAlignment="1">
      <alignment horizontal="center"/>
    </xf>
    <xf numFmtId="164" fontId="5" fillId="2" borderId="7" xfId="0" applyFont="1" applyFill="1" applyBorder="1" applyAlignment="1">
      <alignment horizontal="center"/>
    </xf>
    <xf numFmtId="164" fontId="5" fillId="2" borderId="8" xfId="0" applyFont="1" applyFill="1" applyBorder="1" applyAlignment="1">
      <alignment horizontal="centerContinuous"/>
    </xf>
    <xf numFmtId="164" fontId="5" fillId="2" borderId="9" xfId="0" applyFont="1" applyFill="1" applyBorder="1" applyAlignment="1">
      <alignment horizontal="centerContinuous"/>
    </xf>
    <xf numFmtId="164" fontId="5" fillId="2" borderId="10" xfId="0" applyFont="1" applyFill="1" applyBorder="1" applyAlignment="1">
      <alignment horizontal="centerContinuous"/>
    </xf>
    <xf numFmtId="164" fontId="3" fillId="2" borderId="7" xfId="0" applyFont="1" applyFill="1" applyBorder="1"/>
    <xf numFmtId="164" fontId="3" fillId="2" borderId="0" xfId="0" applyFont="1" applyFill="1" applyBorder="1"/>
    <xf numFmtId="164" fontId="3" fillId="2" borderId="0" xfId="0" applyFont="1" applyFill="1" applyAlignment="1">
      <alignment horizontal="centerContinuous"/>
    </xf>
    <xf numFmtId="187" fontId="3" fillId="2" borderId="0" xfId="1" applyNumberFormat="1" applyFont="1" applyFill="1" applyAlignment="1">
      <alignment horizontal="centerContinuous"/>
    </xf>
    <xf numFmtId="164" fontId="14" fillId="2" borderId="0" xfId="0" applyFont="1" applyFill="1" applyAlignment="1">
      <alignment horizontal="centerContinuous"/>
    </xf>
    <xf numFmtId="164" fontId="3" fillId="2" borderId="11" xfId="0" applyFont="1" applyFill="1" applyBorder="1" applyAlignment="1">
      <alignment horizontal="centerContinuous"/>
    </xf>
    <xf numFmtId="164" fontId="5" fillId="2" borderId="0" xfId="0" applyFont="1" applyFill="1" applyAlignment="1" applyProtection="1">
      <alignment horizontal="center"/>
    </xf>
    <xf numFmtId="164" fontId="5" fillId="2" borderId="4" xfId="0" applyFont="1" applyFill="1" applyBorder="1" applyAlignment="1" applyProtection="1">
      <alignment horizontal="center"/>
    </xf>
    <xf numFmtId="164" fontId="5" fillId="2" borderId="5" xfId="0" applyFont="1" applyFill="1" applyBorder="1"/>
    <xf numFmtId="164" fontId="5" fillId="2" borderId="6" xfId="0" applyFont="1" applyFill="1" applyBorder="1"/>
    <xf numFmtId="164" fontId="5" fillId="2" borderId="0" xfId="0" applyFont="1" applyFill="1" applyBorder="1" applyAlignment="1">
      <alignment horizontal="center"/>
    </xf>
    <xf numFmtId="164" fontId="5" fillId="2" borderId="5" xfId="0" applyFont="1" applyFill="1" applyBorder="1" applyAlignment="1" applyProtection="1">
      <alignment horizontal="center"/>
    </xf>
    <xf numFmtId="164" fontId="5" fillId="2" borderId="12" xfId="0" applyFont="1" applyFill="1" applyBorder="1" applyAlignment="1">
      <alignment horizontal="center"/>
    </xf>
    <xf numFmtId="164" fontId="5" fillId="2" borderId="2" xfId="0" applyFont="1" applyFill="1" applyBorder="1" applyAlignment="1">
      <alignment horizontal="center"/>
    </xf>
    <xf numFmtId="164" fontId="5" fillId="2" borderId="3" xfId="0" applyFont="1" applyFill="1" applyBorder="1" applyAlignment="1">
      <alignment horizontal="center"/>
    </xf>
    <xf numFmtId="164" fontId="5" fillId="2" borderId="2" xfId="0" applyFont="1" applyFill="1" applyBorder="1" applyAlignment="1" applyProtection="1">
      <alignment horizontal="center"/>
    </xf>
    <xf numFmtId="164" fontId="5" fillId="2" borderId="3" xfId="0" applyFont="1" applyFill="1" applyBorder="1" applyAlignment="1" applyProtection="1">
      <alignment horizontal="center"/>
    </xf>
    <xf numFmtId="164" fontId="4" fillId="2" borderId="4" xfId="0" applyFont="1" applyFill="1" applyBorder="1"/>
    <xf numFmtId="164" fontId="4" fillId="2" borderId="5" xfId="0" applyFont="1" applyFill="1" applyBorder="1" applyAlignment="1">
      <alignment horizontal="center"/>
    </xf>
    <xf numFmtId="187" fontId="4" fillId="2" borderId="5" xfId="0" applyNumberFormat="1" applyFont="1" applyFill="1" applyBorder="1" applyAlignment="1">
      <alignment horizontal="center"/>
    </xf>
    <xf numFmtId="164" fontId="3" fillId="2" borderId="4" xfId="0" applyFont="1" applyFill="1" applyBorder="1"/>
    <xf numFmtId="170" fontId="16" fillId="2" borderId="5" xfId="0" applyNumberFormat="1" applyFont="1" applyFill="1" applyBorder="1" applyAlignment="1" applyProtection="1">
      <alignment horizontal="center"/>
    </xf>
    <xf numFmtId="170" fontId="16" fillId="2" borderId="12" xfId="0" applyNumberFormat="1" applyFont="1" applyFill="1" applyBorder="1" applyAlignment="1" applyProtection="1">
      <alignment horizontal="center"/>
    </xf>
    <xf numFmtId="14" fontId="8" fillId="2" borderId="5" xfId="0" applyNumberFormat="1" applyFont="1" applyFill="1" applyBorder="1" applyAlignment="1">
      <alignment horizontal="center"/>
    </xf>
    <xf numFmtId="164" fontId="3" fillId="2" borderId="3" xfId="0" applyFont="1" applyFill="1" applyBorder="1"/>
    <xf numFmtId="164" fontId="5" fillId="2" borderId="13" xfId="0" applyFont="1" applyFill="1" applyBorder="1" applyAlignment="1" applyProtection="1">
      <alignment horizontal="center"/>
    </xf>
    <xf numFmtId="164" fontId="5" fillId="2" borderId="14" xfId="0" applyFont="1" applyFill="1" applyBorder="1" applyAlignment="1" applyProtection="1">
      <alignment horizontal="center"/>
    </xf>
    <xf numFmtId="164" fontId="5" fillId="2" borderId="0" xfId="0" quotePrefix="1" applyFont="1" applyFill="1" applyBorder="1"/>
    <xf numFmtId="164" fontId="5" fillId="2" borderId="15" xfId="0" applyFont="1" applyFill="1" applyBorder="1" applyAlignment="1" applyProtection="1">
      <alignment horizontal="center"/>
    </xf>
    <xf numFmtId="164" fontId="5" fillId="2" borderId="0" xfId="0" applyFont="1" applyFill="1" applyBorder="1" applyAlignment="1" applyProtection="1">
      <alignment horizontal="center"/>
    </xf>
    <xf numFmtId="164" fontId="5" fillId="2" borderId="16" xfId="0" applyFont="1" applyFill="1" applyBorder="1" applyAlignment="1" applyProtection="1">
      <alignment horizontal="center"/>
    </xf>
    <xf numFmtId="164" fontId="5" fillId="2" borderId="17" xfId="0" applyFont="1" applyFill="1" applyBorder="1" applyAlignment="1" applyProtection="1">
      <alignment horizontal="center"/>
    </xf>
    <xf numFmtId="164" fontId="5" fillId="2" borderId="12" xfId="0" applyFont="1" applyFill="1" applyBorder="1" applyAlignment="1" applyProtection="1">
      <alignment horizontal="center"/>
    </xf>
    <xf numFmtId="164" fontId="5" fillId="2" borderId="18" xfId="0" applyFont="1" applyFill="1" applyBorder="1" applyAlignment="1" applyProtection="1">
      <alignment horizontal="center"/>
    </xf>
    <xf numFmtId="164" fontId="5" fillId="2" borderId="11" xfId="0" applyFont="1" applyFill="1" applyBorder="1" applyAlignment="1" applyProtection="1">
      <alignment horizontal="center"/>
    </xf>
    <xf numFmtId="164" fontId="5" fillId="2" borderId="19" xfId="0" applyFont="1" applyFill="1" applyBorder="1" applyAlignment="1" applyProtection="1">
      <alignment horizontal="center"/>
    </xf>
    <xf numFmtId="164" fontId="4" fillId="2" borderId="3" xfId="0" applyFont="1" applyFill="1" applyBorder="1" applyAlignment="1" applyProtection="1">
      <alignment horizontal="center"/>
    </xf>
    <xf numFmtId="164" fontId="10" fillId="2" borderId="0" xfId="0" applyFont="1" applyFill="1" applyBorder="1" applyAlignment="1" applyProtection="1">
      <alignment horizontal="center" wrapText="1"/>
    </xf>
    <xf numFmtId="187" fontId="10" fillId="2" borderId="12" xfId="1" applyNumberFormat="1" applyFont="1" applyFill="1" applyBorder="1" applyAlignment="1" applyProtection="1">
      <alignment horizontal="center" wrapText="1"/>
    </xf>
    <xf numFmtId="164" fontId="21" fillId="2" borderId="0" xfId="0" applyFont="1" applyFill="1" applyBorder="1" applyAlignment="1" applyProtection="1">
      <alignment horizontal="center"/>
    </xf>
    <xf numFmtId="164" fontId="4" fillId="2" borderId="12" xfId="0" applyFont="1" applyFill="1" applyBorder="1" applyAlignment="1" applyProtection="1">
      <alignment horizontal="center"/>
    </xf>
    <xf numFmtId="164" fontId="4" fillId="2" borderId="0" xfId="0" applyFont="1" applyFill="1" applyBorder="1" applyAlignment="1" applyProtection="1">
      <alignment horizontal="center"/>
    </xf>
    <xf numFmtId="164" fontId="4" fillId="2" borderId="12" xfId="0" quotePrefix="1" applyFont="1" applyFill="1" applyBorder="1" applyAlignment="1" applyProtection="1">
      <alignment horizontal="center"/>
    </xf>
    <xf numFmtId="164" fontId="5" fillId="2" borderId="20" xfId="0" applyFont="1" applyFill="1" applyBorder="1" applyAlignment="1" applyProtection="1">
      <alignment horizontal="left"/>
    </xf>
    <xf numFmtId="164" fontId="5" fillId="2" borderId="21" xfId="0" applyFont="1" applyFill="1" applyBorder="1"/>
    <xf numFmtId="164" fontId="5" fillId="2" borderId="21" xfId="0" applyFont="1" applyFill="1" applyBorder="1" applyAlignment="1" applyProtection="1">
      <alignment horizontal="center"/>
    </xf>
    <xf numFmtId="44" fontId="22" fillId="2" borderId="21" xfId="0" applyNumberFormat="1" applyFont="1" applyFill="1" applyBorder="1" applyProtection="1"/>
    <xf numFmtId="7" fontId="20" fillId="2" borderId="22" xfId="0" applyNumberFormat="1" applyFont="1" applyFill="1" applyBorder="1" applyProtection="1"/>
    <xf numFmtId="49" fontId="20" fillId="2" borderId="21" xfId="0" applyNumberFormat="1" applyFont="1" applyFill="1" applyBorder="1" applyAlignment="1">
      <alignment horizontal="left"/>
    </xf>
    <xf numFmtId="167" fontId="5" fillId="2" borderId="23" xfId="0" applyNumberFormat="1" applyFont="1" applyFill="1" applyBorder="1" applyProtection="1"/>
    <xf numFmtId="164" fontId="5" fillId="2" borderId="21" xfId="0" applyFont="1" applyFill="1" applyBorder="1" applyAlignment="1">
      <alignment horizontal="center"/>
    </xf>
    <xf numFmtId="44" fontId="20" fillId="2" borderId="22" xfId="0" applyNumberFormat="1" applyFont="1" applyFill="1" applyBorder="1" applyProtection="1"/>
    <xf numFmtId="167" fontId="5" fillId="2" borderId="21" xfId="0" applyNumberFormat="1" applyFont="1" applyFill="1" applyBorder="1" applyProtection="1"/>
    <xf numFmtId="169" fontId="5" fillId="2" borderId="24" xfId="0" applyNumberFormat="1" applyFont="1" applyFill="1" applyBorder="1" applyProtection="1"/>
    <xf numFmtId="169" fontId="5" fillId="2" borderId="21" xfId="0" applyNumberFormat="1" applyFont="1" applyFill="1" applyBorder="1" applyProtection="1"/>
    <xf numFmtId="44" fontId="5" fillId="2" borderId="22" xfId="2" applyFont="1" applyFill="1" applyBorder="1" applyProtection="1"/>
    <xf numFmtId="44" fontId="5" fillId="2" borderId="17" xfId="2" applyFont="1" applyFill="1" applyBorder="1" applyProtection="1"/>
    <xf numFmtId="169" fontId="5" fillId="2" borderId="24" xfId="3" applyNumberFormat="1" applyFont="1" applyFill="1" applyBorder="1" applyProtection="1"/>
    <xf numFmtId="44" fontId="5" fillId="2" borderId="21" xfId="2" applyFont="1" applyFill="1" applyBorder="1" applyProtection="1"/>
    <xf numFmtId="167" fontId="5" fillId="2" borderId="0" xfId="0" applyNumberFormat="1" applyFont="1" applyFill="1" applyBorder="1" applyProtection="1"/>
    <xf numFmtId="167" fontId="5" fillId="2" borderId="12" xfId="0" applyNumberFormat="1" applyFont="1" applyFill="1" applyBorder="1" applyProtection="1"/>
    <xf numFmtId="169" fontId="5" fillId="2" borderId="23" xfId="0" applyNumberFormat="1" applyFont="1" applyFill="1" applyBorder="1" applyProtection="1"/>
    <xf numFmtId="169" fontId="5" fillId="2" borderId="22" xfId="0" applyNumberFormat="1" applyFont="1" applyFill="1" applyBorder="1" applyProtection="1"/>
    <xf numFmtId="164" fontId="3" fillId="2" borderId="21" xfId="0" applyFont="1" applyFill="1" applyBorder="1"/>
    <xf numFmtId="169" fontId="5" fillId="2" borderId="3" xfId="0" applyNumberFormat="1" applyFont="1" applyFill="1" applyBorder="1" applyProtection="1"/>
    <xf numFmtId="187" fontId="11" fillId="2" borderId="12" xfId="1" applyNumberFormat="1" applyFont="1" applyFill="1" applyBorder="1" applyAlignment="1" applyProtection="1">
      <alignment horizontal="center"/>
    </xf>
    <xf numFmtId="44" fontId="22" fillId="2" borderId="23" xfId="0" applyNumberFormat="1" applyFont="1" applyFill="1" applyBorder="1" applyProtection="1"/>
    <xf numFmtId="44" fontId="22" fillId="2" borderId="0" xfId="0" applyNumberFormat="1" applyFont="1" applyFill="1"/>
    <xf numFmtId="164" fontId="20" fillId="2" borderId="3" xfId="0" applyFont="1" applyFill="1" applyBorder="1"/>
    <xf numFmtId="49" fontId="5" fillId="2" borderId="0" xfId="0" applyNumberFormat="1" applyFont="1" applyFill="1" applyBorder="1"/>
    <xf numFmtId="164" fontId="5" fillId="2" borderId="12" xfId="0" applyFont="1" applyFill="1" applyBorder="1"/>
    <xf numFmtId="10" fontId="5" fillId="2" borderId="2" xfId="0" applyNumberFormat="1" applyFont="1" applyFill="1" applyBorder="1" applyProtection="1"/>
    <xf numFmtId="10" fontId="5" fillId="2" borderId="0" xfId="0" applyNumberFormat="1" applyFont="1" applyFill="1" applyBorder="1" applyProtection="1"/>
    <xf numFmtId="164" fontId="20" fillId="2" borderId="0" xfId="0" applyFont="1" applyFill="1" applyBorder="1"/>
    <xf numFmtId="167" fontId="5" fillId="2" borderId="25" xfId="0" applyNumberFormat="1" applyFont="1" applyFill="1" applyBorder="1"/>
    <xf numFmtId="167" fontId="5" fillId="2" borderId="12" xfId="0" applyNumberFormat="1" applyFont="1" applyFill="1" applyBorder="1"/>
    <xf numFmtId="164" fontId="5" fillId="2" borderId="3" xfId="0" applyFont="1" applyFill="1" applyBorder="1"/>
    <xf numFmtId="167" fontId="5" fillId="2" borderId="0" xfId="0" applyNumberFormat="1" applyFont="1" applyFill="1" applyBorder="1"/>
    <xf numFmtId="10" fontId="5" fillId="2" borderId="3" xfId="0" applyNumberFormat="1" applyFont="1" applyFill="1" applyBorder="1" applyProtection="1"/>
    <xf numFmtId="10" fontId="5" fillId="2" borderId="12" xfId="0" applyNumberFormat="1" applyFont="1" applyFill="1" applyBorder="1" applyProtection="1"/>
    <xf numFmtId="168" fontId="15" fillId="2" borderId="3" xfId="0" applyNumberFormat="1" applyFont="1" applyFill="1" applyBorder="1" applyProtection="1"/>
    <xf numFmtId="168" fontId="11" fillId="2" borderId="0" xfId="0" applyNumberFormat="1" applyFont="1" applyFill="1" applyBorder="1" applyAlignment="1" applyProtection="1">
      <alignment horizontal="center"/>
    </xf>
    <xf numFmtId="188" fontId="13" fillId="2" borderId="3" xfId="1" applyNumberFormat="1" applyFont="1" applyFill="1" applyBorder="1"/>
    <xf numFmtId="44" fontId="22" fillId="2" borderId="12" xfId="0" applyNumberFormat="1" applyFont="1" applyFill="1" applyBorder="1"/>
    <xf numFmtId="188" fontId="13" fillId="2" borderId="0" xfId="1" applyNumberFormat="1" applyFont="1" applyFill="1" applyBorder="1"/>
    <xf numFmtId="188" fontId="8" fillId="2" borderId="0" xfId="1" applyNumberFormat="1" applyFont="1" applyFill="1" applyBorder="1"/>
    <xf numFmtId="199" fontId="22" fillId="2" borderId="0" xfId="0" applyNumberFormat="1" applyFont="1" applyFill="1" applyProtection="1"/>
    <xf numFmtId="39" fontId="5" fillId="2" borderId="0" xfId="0" applyNumberFormat="1" applyFont="1" applyFill="1" applyProtection="1"/>
    <xf numFmtId="7" fontId="20" fillId="2" borderId="3" xfId="0" applyNumberFormat="1" applyFont="1" applyFill="1" applyBorder="1" applyProtection="1"/>
    <xf numFmtId="44" fontId="20" fillId="2" borderId="3" xfId="0" applyNumberFormat="1" applyFont="1" applyFill="1" applyBorder="1" applyProtection="1"/>
    <xf numFmtId="169" fontId="5" fillId="2" borderId="2" xfId="0" applyNumberFormat="1" applyFont="1" applyFill="1" applyBorder="1" applyProtection="1"/>
    <xf numFmtId="169" fontId="5" fillId="2" borderId="0" xfId="0" applyNumberFormat="1" applyFont="1" applyFill="1" applyBorder="1" applyProtection="1"/>
    <xf numFmtId="44" fontId="20" fillId="2" borderId="0" xfId="0" applyNumberFormat="1" applyFont="1" applyFill="1" applyBorder="1" applyProtection="1"/>
    <xf numFmtId="169" fontId="5" fillId="2" borderId="2" xfId="3" applyNumberFormat="1" applyFont="1" applyFill="1" applyBorder="1" applyProtection="1"/>
    <xf numFmtId="169" fontId="5" fillId="2" borderId="12" xfId="0" applyNumberFormat="1" applyFont="1" applyFill="1" applyBorder="1" applyProtection="1"/>
    <xf numFmtId="7" fontId="17" fillId="2" borderId="3" xfId="0" applyNumberFormat="1" applyFont="1" applyFill="1" applyBorder="1" applyAlignment="1" applyProtection="1"/>
    <xf numFmtId="13" fontId="11" fillId="2" borderId="0" xfId="0" applyNumberFormat="1" applyFont="1" applyFill="1" applyBorder="1" applyAlignment="1" applyProtection="1">
      <alignment horizontal="center"/>
    </xf>
    <xf numFmtId="185" fontId="31" fillId="2" borderId="0" xfId="1" applyNumberFormat="1" applyFont="1" applyFill="1" applyBorder="1"/>
    <xf numFmtId="199" fontId="22" fillId="2" borderId="12" xfId="0" applyNumberFormat="1" applyFont="1" applyFill="1" applyBorder="1" applyProtection="1"/>
    <xf numFmtId="44" fontId="22" fillId="2" borderId="12" xfId="0" applyNumberFormat="1" applyFont="1" applyFill="1" applyBorder="1" applyProtection="1"/>
    <xf numFmtId="44" fontId="20" fillId="2" borderId="3" xfId="0" applyNumberFormat="1" applyFont="1" applyFill="1" applyBorder="1" applyAlignment="1" applyProtection="1">
      <alignment horizontal="right"/>
    </xf>
    <xf numFmtId="167" fontId="5" fillId="2" borderId="12" xfId="0" applyNumberFormat="1" applyFont="1" applyFill="1" applyBorder="1" applyAlignment="1" applyProtection="1">
      <alignment horizontal="right"/>
    </xf>
    <xf numFmtId="167" fontId="5" fillId="2" borderId="0" xfId="0" applyNumberFormat="1" applyFont="1" applyFill="1" applyBorder="1" applyAlignment="1" applyProtection="1">
      <alignment horizontal="right"/>
    </xf>
    <xf numFmtId="44" fontId="22" fillId="2" borderId="0" xfId="0" applyNumberFormat="1" applyFont="1" applyFill="1" applyProtection="1"/>
    <xf numFmtId="164" fontId="6" fillId="2" borderId="12" xfId="0" applyFont="1" applyFill="1" applyBorder="1"/>
    <xf numFmtId="167" fontId="6" fillId="2" borderId="2" xfId="0" applyNumberFormat="1" applyFont="1" applyFill="1" applyBorder="1"/>
    <xf numFmtId="167" fontId="6" fillId="2" borderId="12" xfId="0" applyNumberFormat="1" applyFont="1" applyFill="1" applyBorder="1"/>
    <xf numFmtId="167" fontId="6" fillId="2" borderId="0" xfId="0" applyNumberFormat="1" applyFont="1" applyFill="1" applyBorder="1"/>
    <xf numFmtId="164" fontId="3" fillId="2" borderId="2" xfId="0" applyFont="1" applyFill="1" applyBorder="1"/>
    <xf numFmtId="188" fontId="12" fillId="2" borderId="0" xfId="1" applyNumberFormat="1" applyFont="1" applyFill="1" applyBorder="1"/>
    <xf numFmtId="164" fontId="26" fillId="2" borderId="0" xfId="0" applyFont="1" applyFill="1"/>
    <xf numFmtId="49" fontId="20" fillId="2" borderId="0" xfId="0" applyNumberFormat="1" applyFont="1" applyFill="1" applyBorder="1"/>
    <xf numFmtId="44" fontId="20" fillId="2" borderId="0" xfId="0" applyNumberFormat="1" applyFont="1" applyFill="1" applyBorder="1" applyAlignment="1" applyProtection="1">
      <alignment horizontal="right"/>
    </xf>
    <xf numFmtId="169" fontId="5" fillId="2" borderId="12" xfId="0" applyNumberFormat="1" applyFont="1" applyFill="1" applyBorder="1" applyAlignment="1" applyProtection="1">
      <alignment horizontal="right"/>
    </xf>
    <xf numFmtId="169" fontId="1" fillId="2" borderId="2" xfId="0" applyNumberFormat="1" applyFont="1" applyFill="1" applyBorder="1"/>
    <xf numFmtId="169" fontId="1" fillId="2" borderId="3" xfId="0" applyNumberFormat="1" applyFont="1" applyFill="1" applyBorder="1"/>
    <xf numFmtId="170" fontId="11" fillId="2" borderId="0" xfId="0" applyNumberFormat="1" applyFont="1" applyFill="1" applyBorder="1" applyAlignment="1" applyProtection="1">
      <alignment horizontal="center"/>
    </xf>
    <xf numFmtId="44" fontId="22" fillId="2" borderId="12" xfId="0" applyNumberFormat="1" applyFont="1" applyFill="1" applyBorder="1" applyAlignment="1" applyProtection="1">
      <alignment horizontal="right"/>
    </xf>
    <xf numFmtId="164" fontId="4" fillId="2" borderId="0" xfId="0" applyFont="1" applyFill="1" applyAlignment="1">
      <alignment horizontal="left"/>
    </xf>
    <xf numFmtId="170" fontId="11" fillId="2" borderId="0" xfId="0" quotePrefix="1" applyNumberFormat="1" applyFont="1" applyFill="1" applyBorder="1" applyAlignment="1" applyProtection="1">
      <alignment horizontal="center"/>
    </xf>
    <xf numFmtId="44" fontId="32" fillId="2" borderId="0" xfId="0" applyNumberFormat="1" applyFont="1" applyFill="1" applyBorder="1" applyProtection="1"/>
    <xf numFmtId="164" fontId="5" fillId="2" borderId="0" xfId="0" applyFont="1" applyFill="1" applyBorder="1" applyAlignment="1" applyProtection="1">
      <alignment horizontal="left"/>
    </xf>
    <xf numFmtId="164" fontId="4" fillId="2" borderId="0" xfId="0" quotePrefix="1" applyFont="1" applyFill="1" applyAlignment="1">
      <alignment horizontal="center"/>
    </xf>
    <xf numFmtId="10" fontId="5" fillId="2" borderId="0" xfId="0" applyNumberFormat="1" applyFont="1" applyFill="1" applyProtection="1"/>
    <xf numFmtId="164" fontId="6" fillId="2" borderId="3" xfId="0" applyFont="1" applyFill="1" applyBorder="1"/>
    <xf numFmtId="49" fontId="6" fillId="2" borderId="0" xfId="0" applyNumberFormat="1" applyFont="1" applyFill="1" applyBorder="1"/>
    <xf numFmtId="168" fontId="4" fillId="2" borderId="3" xfId="0" applyNumberFormat="1" applyFont="1" applyFill="1" applyBorder="1" applyProtection="1"/>
    <xf numFmtId="168" fontId="4" fillId="2" borderId="0" xfId="0" applyNumberFormat="1" applyFont="1" applyFill="1" applyBorder="1" applyAlignment="1" applyProtection="1">
      <alignment horizontal="center"/>
    </xf>
    <xf numFmtId="187" fontId="4" fillId="2" borderId="12" xfId="1" applyNumberFormat="1" applyFont="1" applyFill="1" applyBorder="1" applyAlignment="1" applyProtection="1">
      <alignment horizontal="center"/>
    </xf>
    <xf numFmtId="188" fontId="3" fillId="2" borderId="3" xfId="1" applyNumberFormat="1" applyFont="1" applyFill="1" applyBorder="1"/>
    <xf numFmtId="188" fontId="13" fillId="2" borderId="12" xfId="1" applyNumberFormat="1" applyFont="1" applyFill="1" applyBorder="1"/>
    <xf numFmtId="188" fontId="3" fillId="2" borderId="12" xfId="1" applyNumberFormat="1" applyFont="1" applyFill="1" applyBorder="1"/>
    <xf numFmtId="188" fontId="3" fillId="2" borderId="0" xfId="1" applyNumberFormat="1" applyFont="1" applyFill="1" applyBorder="1"/>
    <xf numFmtId="7" fontId="5" fillId="2" borderId="18" xfId="0" applyNumberFormat="1" applyFont="1" applyFill="1" applyBorder="1" applyProtection="1"/>
    <xf numFmtId="164" fontId="5" fillId="2" borderId="11" xfId="0" applyFont="1" applyFill="1" applyBorder="1"/>
    <xf numFmtId="167" fontId="5" fillId="2" borderId="19" xfId="0" applyNumberFormat="1" applyFont="1" applyFill="1" applyBorder="1" applyProtection="1"/>
    <xf numFmtId="169" fontId="5" fillId="2" borderId="26" xfId="0" applyNumberFormat="1" applyFont="1" applyFill="1" applyBorder="1" applyProtection="1"/>
    <xf numFmtId="44" fontId="5" fillId="2" borderId="18" xfId="2" applyFont="1" applyFill="1" applyBorder="1" applyProtection="1"/>
    <xf numFmtId="44" fontId="5" fillId="2" borderId="11" xfId="2" applyFont="1" applyFill="1" applyBorder="1" applyProtection="1"/>
    <xf numFmtId="167" fontId="5" fillId="2" borderId="26" xfId="0" applyNumberFormat="1" applyFont="1" applyFill="1" applyBorder="1" applyProtection="1"/>
    <xf numFmtId="167" fontId="5" fillId="2" borderId="18" xfId="0" applyNumberFormat="1" applyFont="1" applyFill="1" applyBorder="1" applyProtection="1"/>
    <xf numFmtId="167" fontId="5" fillId="2" borderId="11" xfId="0" applyNumberFormat="1" applyFont="1" applyFill="1" applyBorder="1" applyProtection="1"/>
    <xf numFmtId="169" fontId="5" fillId="2" borderId="18" xfId="0" applyNumberFormat="1" applyFont="1" applyFill="1" applyBorder="1" applyProtection="1"/>
    <xf numFmtId="169" fontId="5" fillId="2" borderId="11" xfId="0" applyNumberFormat="1" applyFont="1" applyFill="1" applyBorder="1" applyProtection="1"/>
    <xf numFmtId="169" fontId="5" fillId="2" borderId="11" xfId="3" applyNumberFormat="1" applyFont="1" applyFill="1" applyBorder="1" applyProtection="1"/>
    <xf numFmtId="169" fontId="5" fillId="2" borderId="19" xfId="3" applyNumberFormat="1" applyFont="1" applyFill="1" applyBorder="1" applyProtection="1"/>
    <xf numFmtId="0" fontId="5" fillId="2" borderId="18" xfId="2" applyNumberFormat="1" applyFont="1" applyFill="1" applyBorder="1" applyProtection="1"/>
    <xf numFmtId="0" fontId="5" fillId="2" borderId="11" xfId="2" applyNumberFormat="1" applyFont="1" applyFill="1" applyBorder="1" applyAlignment="1" applyProtection="1">
      <alignment horizontal="center"/>
    </xf>
    <xf numFmtId="187" fontId="5" fillId="2" borderId="19" xfId="1" applyNumberFormat="1" applyFont="1" applyFill="1" applyBorder="1" applyAlignment="1" applyProtection="1">
      <alignment horizontal="center"/>
    </xf>
    <xf numFmtId="189" fontId="1" fillId="2" borderId="18" xfId="2" applyNumberFormat="1" applyFont="1" applyFill="1" applyBorder="1" applyProtection="1"/>
    <xf numFmtId="189" fontId="1" fillId="2" borderId="11" xfId="2" applyNumberFormat="1" applyFont="1" applyFill="1" applyBorder="1" applyProtection="1"/>
    <xf numFmtId="189" fontId="1" fillId="2" borderId="19" xfId="2" applyNumberFormat="1" applyFont="1" applyFill="1" applyBorder="1" applyProtection="1"/>
    <xf numFmtId="164" fontId="6" fillId="2" borderId="0" xfId="0" applyFont="1" applyFill="1" applyAlignment="1" applyProtection="1">
      <alignment horizontal="left"/>
    </xf>
    <xf numFmtId="193" fontId="5" fillId="2" borderId="0" xfId="0" applyNumberFormat="1" applyFont="1" applyFill="1"/>
    <xf numFmtId="168" fontId="4" fillId="2" borderId="0" xfId="0" applyNumberFormat="1" applyFont="1" applyFill="1" applyProtection="1"/>
    <xf numFmtId="168" fontId="4" fillId="2" borderId="0" xfId="0" applyNumberFormat="1" applyFont="1" applyFill="1" applyAlignment="1" applyProtection="1">
      <alignment horizontal="center"/>
    </xf>
    <xf numFmtId="187" fontId="4" fillId="2" borderId="0" xfId="1" applyNumberFormat="1" applyFont="1" applyFill="1" applyAlignment="1" applyProtection="1">
      <alignment horizontal="center"/>
    </xf>
    <xf numFmtId="164" fontId="4" fillId="2" borderId="0" xfId="0" applyFont="1" applyFill="1" applyBorder="1" applyAlignment="1" applyProtection="1">
      <alignment horizontal="left"/>
    </xf>
    <xf numFmtId="164" fontId="17" fillId="2" borderId="0" xfId="0" applyFont="1" applyFill="1"/>
    <xf numFmtId="164" fontId="17" fillId="2" borderId="7" xfId="0" applyFont="1" applyFill="1" applyBorder="1" applyAlignment="1"/>
    <xf numFmtId="164" fontId="17" fillId="2" borderId="0" xfId="0" applyFont="1" applyFill="1" applyBorder="1" applyAlignment="1">
      <alignment horizontal="center"/>
    </xf>
    <xf numFmtId="164" fontId="17" fillId="2" borderId="27" xfId="0" applyFont="1" applyFill="1" applyBorder="1" applyAlignment="1">
      <alignment horizontal="left"/>
    </xf>
    <xf numFmtId="164" fontId="37" fillId="2" borderId="0" xfId="0" quotePrefix="1" applyFont="1" applyFill="1" applyBorder="1" applyAlignment="1" applyProtection="1">
      <alignment horizontal="left"/>
    </xf>
    <xf numFmtId="164" fontId="17" fillId="2" borderId="0" xfId="0" applyFont="1" applyFill="1" applyBorder="1"/>
    <xf numFmtId="10" fontId="17" fillId="2" borderId="0" xfId="0" applyNumberFormat="1" applyFont="1" applyFill="1" applyProtection="1"/>
    <xf numFmtId="10" fontId="17" fillId="2" borderId="0" xfId="0" applyNumberFormat="1" applyFont="1" applyFill="1" applyBorder="1" applyProtection="1"/>
    <xf numFmtId="164" fontId="17" fillId="2" borderId="27" xfId="0" quotePrefix="1" applyFont="1" applyFill="1" applyBorder="1" applyAlignment="1">
      <alignment horizontal="center"/>
    </xf>
    <xf numFmtId="164" fontId="37" fillId="2" borderId="0" xfId="0" applyFont="1" applyFill="1" applyBorder="1" applyAlignment="1">
      <alignment horizontal="center"/>
    </xf>
    <xf numFmtId="164" fontId="17" fillId="2" borderId="0" xfId="0" applyFont="1" applyFill="1" applyBorder="1" applyProtection="1">
      <protection locked="0"/>
    </xf>
    <xf numFmtId="44" fontId="5" fillId="2" borderId="2" xfId="2" applyFont="1" applyFill="1" applyBorder="1"/>
    <xf numFmtId="44" fontId="5" fillId="2" borderId="26" xfId="2" applyFont="1" applyFill="1" applyBorder="1"/>
    <xf numFmtId="164" fontId="23" fillId="2" borderId="4" xfId="0" quotePrefix="1" applyFont="1" applyFill="1" applyBorder="1" applyAlignment="1" applyProtection="1">
      <alignment horizontal="left"/>
    </xf>
    <xf numFmtId="164" fontId="24" fillId="2" borderId="5" xfId="0" applyFont="1" applyFill="1" applyBorder="1"/>
    <xf numFmtId="164" fontId="5" fillId="2" borderId="5" xfId="0" applyFont="1" applyFill="1" applyBorder="1" applyAlignment="1">
      <alignment horizontal="center"/>
    </xf>
    <xf numFmtId="164" fontId="14" fillId="2" borderId="5" xfId="0" applyFont="1" applyFill="1" applyBorder="1"/>
    <xf numFmtId="164" fontId="25" fillId="2" borderId="5" xfId="0" applyFont="1" applyFill="1" applyBorder="1" applyAlignment="1">
      <alignment horizontal="center"/>
    </xf>
    <xf numFmtId="164" fontId="5" fillId="2" borderId="5" xfId="0" applyFont="1" applyFill="1" applyBorder="1" applyProtection="1">
      <protection locked="0"/>
    </xf>
    <xf numFmtId="164" fontId="25" fillId="2" borderId="6" xfId="0" applyFont="1" applyFill="1" applyBorder="1" applyAlignment="1">
      <alignment horizontal="center"/>
    </xf>
    <xf numFmtId="164" fontId="25" fillId="2" borderId="0" xfId="0" applyFont="1" applyFill="1" applyBorder="1" applyAlignment="1">
      <alignment horizontal="center"/>
    </xf>
    <xf numFmtId="164" fontId="5" fillId="2" borderId="0" xfId="0" applyFont="1" applyFill="1" applyProtection="1">
      <protection locked="0"/>
    </xf>
    <xf numFmtId="164" fontId="5" fillId="2" borderId="0" xfId="0" applyFont="1" applyFill="1" applyBorder="1" applyProtection="1">
      <protection locked="0"/>
    </xf>
    <xf numFmtId="187" fontId="9" fillId="2" borderId="0" xfId="1" applyNumberFormat="1" applyFont="1" applyFill="1" applyAlignment="1">
      <alignment horizontal="center"/>
    </xf>
    <xf numFmtId="164" fontId="26" fillId="2" borderId="3" xfId="0" applyFont="1" applyFill="1" applyBorder="1" applyAlignment="1" applyProtection="1">
      <alignment horizontal="left"/>
    </xf>
    <xf numFmtId="164" fontId="27" fillId="2" borderId="0" xfId="0" applyFont="1" applyFill="1" applyBorder="1"/>
    <xf numFmtId="164" fontId="26" fillId="2" borderId="0" xfId="0" applyFont="1" applyFill="1" applyBorder="1" applyAlignment="1">
      <alignment horizontal="center"/>
    </xf>
    <xf numFmtId="164" fontId="26" fillId="2" borderId="12" xfId="0" applyFont="1" applyFill="1" applyBorder="1" applyAlignment="1">
      <alignment horizontal="center"/>
    </xf>
    <xf numFmtId="164" fontId="3" fillId="2" borderId="0" xfId="0" applyFont="1" applyFill="1" applyProtection="1">
      <protection locked="0"/>
    </xf>
    <xf numFmtId="164" fontId="5" fillId="2" borderId="3" xfId="0" applyFont="1" applyFill="1" applyBorder="1" applyAlignment="1" applyProtection="1">
      <alignment horizontal="left"/>
    </xf>
    <xf numFmtId="44" fontId="5" fillId="2" borderId="0" xfId="0" applyNumberFormat="1" applyFont="1" applyFill="1" applyBorder="1" applyAlignment="1">
      <alignment horizontal="left"/>
    </xf>
    <xf numFmtId="44" fontId="5" fillId="2" borderId="0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Alignment="1" applyProtection="1">
      <alignment horizontal="centerContinuous"/>
      <protection locked="0"/>
    </xf>
    <xf numFmtId="44" fontId="5" fillId="2" borderId="12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Protection="1">
      <protection locked="0"/>
    </xf>
    <xf numFmtId="44" fontId="5" fillId="2" borderId="12" xfId="2" applyFont="1" applyFill="1" applyBorder="1" applyProtection="1">
      <protection locked="0"/>
    </xf>
    <xf numFmtId="44" fontId="5" fillId="2" borderId="0" xfId="2" applyFont="1" applyFill="1" applyBorder="1" applyAlignment="1" applyProtection="1">
      <alignment horizontal="right"/>
      <protection locked="0"/>
    </xf>
    <xf numFmtId="44" fontId="5" fillId="2" borderId="12" xfId="2" applyFont="1" applyFill="1" applyBorder="1" applyAlignment="1" applyProtection="1">
      <alignment horizontal="right"/>
      <protection locked="0"/>
    </xf>
    <xf numFmtId="43" fontId="5" fillId="2" borderId="0" xfId="0" applyNumberFormat="1" applyFont="1" applyFill="1" applyBorder="1" applyProtection="1">
      <protection locked="0"/>
    </xf>
    <xf numFmtId="164" fontId="5" fillId="2" borderId="3" xfId="0" applyFont="1" applyFill="1" applyBorder="1" applyAlignment="1">
      <alignment horizontal="left"/>
    </xf>
    <xf numFmtId="43" fontId="28" fillId="2" borderId="0" xfId="0" applyNumberFormat="1" applyFont="1" applyFill="1" applyBorder="1" applyProtection="1">
      <protection locked="0"/>
    </xf>
    <xf numFmtId="164" fontId="29" fillId="2" borderId="0" xfId="0" applyFont="1" applyFill="1" applyBorder="1" applyProtection="1">
      <protection locked="0"/>
    </xf>
    <xf numFmtId="164" fontId="7" fillId="2" borderId="0" xfId="0" applyFont="1" applyFill="1"/>
    <xf numFmtId="164" fontId="29" fillId="2" borderId="0" xfId="0" applyFont="1" applyFill="1" applyProtection="1">
      <protection locked="0"/>
    </xf>
    <xf numFmtId="164" fontId="7" fillId="2" borderId="0" xfId="0" applyFont="1" applyFill="1" applyProtection="1">
      <protection locked="0"/>
    </xf>
    <xf numFmtId="164" fontId="7" fillId="2" borderId="0" xfId="0" applyFont="1" applyFill="1" applyAlignment="1">
      <alignment horizontal="center"/>
    </xf>
    <xf numFmtId="187" fontId="7" fillId="2" borderId="0" xfId="1" applyNumberFormat="1" applyFont="1" applyFill="1" applyAlignment="1">
      <alignment horizontal="center"/>
    </xf>
    <xf numFmtId="164" fontId="30" fillId="2" borderId="0" xfId="0" applyFont="1" applyFill="1" applyBorder="1" applyProtection="1">
      <protection locked="0"/>
    </xf>
    <xf numFmtId="164" fontId="30" fillId="2" borderId="0" xfId="0" applyFont="1" applyFill="1" applyProtection="1">
      <protection locked="0"/>
    </xf>
    <xf numFmtId="164" fontId="3" fillId="2" borderId="0" xfId="0" applyFont="1" applyFill="1" applyAlignment="1">
      <alignment horizontal="center"/>
    </xf>
    <xf numFmtId="187" fontId="3" fillId="2" borderId="0" xfId="1" applyNumberFormat="1" applyFont="1" applyFill="1" applyAlignment="1">
      <alignment horizontal="center"/>
    </xf>
    <xf numFmtId="164" fontId="5" fillId="2" borderId="3" xfId="0" quotePrefix="1" applyFont="1" applyFill="1" applyBorder="1" applyAlignment="1">
      <alignment horizontal="left"/>
    </xf>
    <xf numFmtId="164" fontId="5" fillId="2" borderId="18" xfId="0" applyFont="1" applyFill="1" applyBorder="1" applyAlignment="1">
      <alignment horizontal="centerContinuous"/>
    </xf>
    <xf numFmtId="164" fontId="14" fillId="2" borderId="11" xfId="0" applyFont="1" applyFill="1" applyBorder="1"/>
    <xf numFmtId="44" fontId="31" fillId="2" borderId="11" xfId="0" applyNumberFormat="1" applyFont="1" applyFill="1" applyBorder="1" applyAlignment="1" applyProtection="1">
      <alignment horizontal="left"/>
    </xf>
    <xf numFmtId="43" fontId="5" fillId="2" borderId="11" xfId="0" applyNumberFormat="1" applyFont="1" applyFill="1" applyBorder="1" applyProtection="1">
      <protection locked="0"/>
    </xf>
    <xf numFmtId="164" fontId="30" fillId="2" borderId="11" xfId="0" applyFont="1" applyFill="1" applyBorder="1" applyProtection="1">
      <protection locked="0"/>
    </xf>
    <xf numFmtId="44" fontId="5" fillId="2" borderId="11" xfId="2" applyFont="1" applyFill="1" applyBorder="1" applyProtection="1">
      <protection locked="0"/>
    </xf>
    <xf numFmtId="44" fontId="5" fillId="2" borderId="19" xfId="2" applyNumberFormat="1" applyFont="1" applyFill="1" applyBorder="1" applyProtection="1">
      <protection locked="0"/>
    </xf>
    <xf numFmtId="43" fontId="5" fillId="2" borderId="0" xfId="0" applyNumberFormat="1" applyFont="1" applyFill="1" applyProtection="1">
      <protection locked="0"/>
    </xf>
    <xf numFmtId="164" fontId="3" fillId="2" borderId="0" xfId="0" applyFont="1" applyFill="1" applyBorder="1" applyProtection="1">
      <protection locked="0"/>
    </xf>
    <xf numFmtId="164" fontId="38" fillId="2" borderId="0" xfId="0" applyFont="1" applyFill="1" applyAlignment="1" applyProtection="1">
      <alignment horizontal="left"/>
    </xf>
    <xf numFmtId="164" fontId="33" fillId="2" borderId="0" xfId="0" applyFont="1" applyFill="1"/>
    <xf numFmtId="164" fontId="33" fillId="2" borderId="0" xfId="0" applyFont="1" applyFill="1" applyAlignment="1">
      <alignment horizontal="center"/>
    </xf>
    <xf numFmtId="164" fontId="33" fillId="2" borderId="0" xfId="0" applyFont="1" applyFill="1" applyAlignment="1">
      <alignment horizontal="right"/>
    </xf>
    <xf numFmtId="164" fontId="36" fillId="2" borderId="0" xfId="0" applyFont="1" applyFill="1"/>
    <xf numFmtId="170" fontId="33" fillId="2" borderId="0" xfId="0" applyNumberFormat="1" applyFont="1" applyFill="1" applyAlignment="1">
      <alignment horizontal="right"/>
    </xf>
    <xf numFmtId="164" fontId="33" fillId="2" borderId="28" xfId="0" applyFont="1" applyFill="1" applyBorder="1" applyAlignment="1">
      <alignment horizontal="center"/>
    </xf>
    <xf numFmtId="164" fontId="34" fillId="2" borderId="29" xfId="0" applyFont="1" applyFill="1" applyBorder="1" applyAlignment="1">
      <alignment horizontal="center"/>
    </xf>
    <xf numFmtId="164" fontId="34" fillId="2" borderId="30" xfId="0" applyFont="1" applyFill="1" applyBorder="1" applyAlignment="1">
      <alignment horizontal="center" wrapText="1"/>
    </xf>
    <xf numFmtId="164" fontId="34" fillId="2" borderId="31" xfId="0" applyFont="1" applyFill="1" applyBorder="1"/>
    <xf numFmtId="164" fontId="34" fillId="2" borderId="31" xfId="0" applyFont="1" applyFill="1" applyBorder="1" applyAlignment="1">
      <alignment horizontal="center" wrapText="1"/>
    </xf>
    <xf numFmtId="164" fontId="33" fillId="2" borderId="31" xfId="0" applyFont="1" applyFill="1" applyBorder="1"/>
    <xf numFmtId="164" fontId="34" fillId="2" borderId="32" xfId="0" applyFont="1" applyFill="1" applyBorder="1" applyAlignment="1">
      <alignment horizontal="center" wrapText="1"/>
    </xf>
    <xf numFmtId="196" fontId="34" fillId="2" borderId="29" xfId="0" applyNumberFormat="1" applyFont="1" applyFill="1" applyBorder="1" applyAlignment="1">
      <alignment horizontal="center"/>
    </xf>
    <xf numFmtId="169" fontId="34" fillId="2" borderId="30" xfId="3" quotePrefix="1" applyNumberFormat="1" applyFont="1" applyFill="1" applyBorder="1" applyAlignment="1">
      <alignment horizontal="center"/>
    </xf>
    <xf numFmtId="164" fontId="34" fillId="2" borderId="31" xfId="0" applyFont="1" applyFill="1" applyBorder="1" applyAlignment="1">
      <alignment horizontal="center"/>
    </xf>
    <xf numFmtId="169" fontId="34" fillId="2" borderId="31" xfId="0" quotePrefix="1" applyNumberFormat="1" applyFont="1" applyFill="1" applyBorder="1" applyAlignment="1">
      <alignment horizontal="center"/>
    </xf>
    <xf numFmtId="169" fontId="34" fillId="2" borderId="32" xfId="0" quotePrefix="1" applyNumberFormat="1" applyFont="1" applyFill="1" applyBorder="1" applyAlignment="1">
      <alignment horizontal="center"/>
    </xf>
    <xf numFmtId="196" fontId="34" fillId="2" borderId="33" xfId="0" quotePrefix="1" applyNumberFormat="1" applyFont="1" applyFill="1" applyBorder="1" applyAlignment="1">
      <alignment horizontal="center"/>
    </xf>
    <xf numFmtId="169" fontId="34" fillId="2" borderId="34" xfId="3" quotePrefix="1" applyNumberFormat="1" applyFont="1" applyFill="1" applyBorder="1" applyAlignment="1">
      <alignment horizontal="center"/>
    </xf>
    <xf numFmtId="164" fontId="34" fillId="2" borderId="0" xfId="0" applyFont="1" applyFill="1" applyBorder="1" applyAlignment="1">
      <alignment horizontal="center"/>
    </xf>
    <xf numFmtId="169" fontId="34" fillId="2" borderId="0" xfId="3" quotePrefix="1" applyNumberFormat="1" applyFont="1" applyFill="1" applyBorder="1" applyAlignment="1">
      <alignment horizontal="center"/>
    </xf>
    <xf numFmtId="169" fontId="34" fillId="2" borderId="35" xfId="3" quotePrefix="1" applyNumberFormat="1" applyFont="1" applyFill="1" applyBorder="1" applyAlignment="1">
      <alignment horizontal="center"/>
    </xf>
    <xf numFmtId="164" fontId="33" fillId="2" borderId="0" xfId="0" applyFont="1" applyFill="1" applyBorder="1"/>
    <xf numFmtId="169" fontId="34" fillId="2" borderId="36" xfId="3" quotePrefix="1" applyNumberFormat="1" applyFont="1" applyFill="1" applyBorder="1" applyAlignment="1">
      <alignment horizontal="center"/>
    </xf>
    <xf numFmtId="9" fontId="35" fillId="2" borderId="0" xfId="3" applyFont="1" applyFill="1"/>
    <xf numFmtId="196" fontId="34" fillId="2" borderId="0" xfId="0" applyNumberFormat="1" applyFont="1" applyFill="1" applyBorder="1" applyAlignment="1">
      <alignment horizontal="center"/>
    </xf>
    <xf numFmtId="169" fontId="5" fillId="2" borderId="0" xfId="0" applyNumberFormat="1" applyFont="1" applyFill="1" applyBorder="1" applyAlignment="1" applyProtection="1">
      <alignment horizontal="right"/>
    </xf>
    <xf numFmtId="187" fontId="11" fillId="2" borderId="12" xfId="1" applyNumberFormat="1" applyFont="1" applyFill="1" applyBorder="1" applyAlignment="1" applyProtection="1">
      <alignment horizontal="right"/>
    </xf>
    <xf numFmtId="187" fontId="12" fillId="2" borderId="0" xfId="1" applyNumberFormat="1" applyFont="1" applyFill="1" applyBorder="1"/>
    <xf numFmtId="170" fontId="11" fillId="0" borderId="0" xfId="0" applyNumberFormat="1" applyFont="1" applyFill="1" applyBorder="1" applyAlignment="1" applyProtection="1">
      <alignment horizontal="center"/>
    </xf>
    <xf numFmtId="184" fontId="8" fillId="2" borderId="0" xfId="2" applyNumberFormat="1" applyFont="1" applyFill="1" applyBorder="1"/>
    <xf numFmtId="14" fontId="11" fillId="0" borderId="0" xfId="0" applyNumberFormat="1" applyFont="1" applyFill="1" applyBorder="1" applyAlignment="1" applyProtection="1">
      <alignment horizontal="center"/>
    </xf>
    <xf numFmtId="184" fontId="12" fillId="2" borderId="3" xfId="2" applyNumberFormat="1" applyFont="1" applyFill="1" applyBorder="1"/>
    <xf numFmtId="184" fontId="12" fillId="2" borderId="0" xfId="2" applyNumberFormat="1" applyFont="1" applyFill="1" applyBorder="1"/>
    <xf numFmtId="49" fontId="1" fillId="2" borderId="27" xfId="0" applyNumberFormat="1" applyFont="1" applyFill="1" applyBorder="1" applyAlignment="1">
      <alignment horizontal="center"/>
    </xf>
    <xf numFmtId="167" fontId="5" fillId="2" borderId="3" xfId="0" applyNumberFormat="1" applyFont="1" applyFill="1" applyBorder="1" applyAlignment="1" applyProtection="1">
      <alignment horizontal="right"/>
    </xf>
    <xf numFmtId="164" fontId="1" fillId="2" borderId="10" xfId="0" applyFont="1" applyFill="1" applyBorder="1" applyAlignment="1">
      <alignment horizontal="center"/>
    </xf>
    <xf numFmtId="169" fontId="5" fillId="2" borderId="37" xfId="3" applyNumberFormat="1" applyFont="1" applyFill="1" applyBorder="1" applyProtection="1"/>
    <xf numFmtId="169" fontId="5" fillId="2" borderId="12" xfId="3" applyNumberFormat="1" applyFont="1" applyFill="1" applyBorder="1" applyProtection="1"/>
    <xf numFmtId="169" fontId="5" fillId="2" borderId="12" xfId="3" applyNumberFormat="1" applyFont="1" applyFill="1" applyBorder="1" applyAlignment="1" applyProtection="1">
      <alignment horizontal="right"/>
    </xf>
    <xf numFmtId="196" fontId="34" fillId="2" borderId="38" xfId="0" quotePrefix="1" applyNumberFormat="1" applyFont="1" applyFill="1" applyBorder="1" applyAlignment="1">
      <alignment horizontal="center"/>
    </xf>
    <xf numFmtId="169" fontId="34" fillId="2" borderId="39" xfId="3" quotePrefix="1" applyNumberFormat="1" applyFont="1" applyFill="1" applyBorder="1" applyAlignment="1">
      <alignment horizontal="center"/>
    </xf>
    <xf numFmtId="164" fontId="34" fillId="2" borderId="17" xfId="0" applyFont="1" applyFill="1" applyBorder="1" applyAlignment="1">
      <alignment horizontal="center"/>
    </xf>
    <xf numFmtId="169" fontId="34" fillId="2" borderId="17" xfId="3" quotePrefix="1" applyNumberFormat="1" applyFont="1" applyFill="1" applyBorder="1" applyAlignment="1">
      <alignment horizontal="center"/>
    </xf>
    <xf numFmtId="169" fontId="34" fillId="2" borderId="17" xfId="3" applyNumberFormat="1" applyFont="1" applyFill="1" applyBorder="1" applyAlignment="1">
      <alignment horizontal="center"/>
    </xf>
    <xf numFmtId="164" fontId="33" fillId="2" borderId="20" xfId="0" applyFont="1" applyFill="1" applyBorder="1" applyAlignment="1">
      <alignment horizontal="center"/>
    </xf>
    <xf numFmtId="164" fontId="33" fillId="2" borderId="21" xfId="0" applyFont="1" applyFill="1" applyBorder="1" applyAlignment="1">
      <alignment horizontal="center"/>
    </xf>
    <xf numFmtId="164" fontId="33" fillId="2" borderId="37" xfId="0" applyFont="1" applyFill="1" applyBorder="1" applyAlignment="1">
      <alignment horizontal="center"/>
    </xf>
    <xf numFmtId="164" fontId="1" fillId="2" borderId="8" xfId="0" applyFont="1" applyFill="1" applyBorder="1" applyAlignment="1">
      <alignment horizontal="center"/>
    </xf>
    <xf numFmtId="164" fontId="1" fillId="2" borderId="9" xfId="0" applyFont="1" applyFill="1" applyBorder="1" applyAlignment="1">
      <alignment horizontal="center"/>
    </xf>
    <xf numFmtId="164" fontId="1" fillId="2" borderId="10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REUTER" ddeTopic="IDN">
    <ddeItems>
      <ddeItem name=".IXIC,LAST,1" advise="1">
        <values>
          <value>
            <val>1423.18</val>
          </value>
        </values>
      </ddeItem>
      <ddeItem name=".SPX,LAST,1" advise="1">
        <values>
          <value>
            <val>965.8</val>
          </value>
        </values>
      </ddeItem>
      <ddeItem name="AES,DIVIDEND,1" advise="1">
        <values>
          <value>
            <val>0</val>
          </value>
        </values>
      </ddeItem>
      <ddeItem name="AES,LAST,1" advise="1">
        <values>
          <value>
            <val>24.25</val>
          </value>
        </values>
      </ddeItem>
      <ddeItem name="CPN,DIVIDEND,1" advise="1">
        <values>
          <value>
            <val>0</val>
          </value>
        </values>
      </ddeItem>
      <ddeItem name="CPN,LAST,1" advise="1">
        <values>
          <value>
            <val>22.75</val>
          </value>
        </values>
      </ddeItem>
      <ddeItem name="DUK,DIVIDEND,1" advise="1">
        <values>
          <value>
            <val>1.1000000000000001</val>
          </value>
        </values>
      </ddeItem>
      <ddeItem name="DUK,LAST,1" advise="1">
        <values>
          <value>
            <val>37.17</val>
          </value>
        </values>
      </ddeItem>
      <ddeItem name="DYN,DIVIDEND,1" advise="1">
        <values>
          <value>
            <val>0.3</val>
          </value>
        </values>
      </ddeItem>
      <ddeItem name="DYN,LAST,1" advise="1">
        <values>
          <value>
            <val>33.020000000000003</val>
          </value>
        </values>
      </ddeItem>
      <ddeItem name="ENE,DIVIDEND,1" advise="1">
        <values>
          <value>
            <val>0.5</val>
          </value>
        </values>
      </ddeItem>
      <ddeItem name="ENE,LAST,1" advise="1">
        <values>
          <value>
            <val>28.3</val>
          </value>
        </values>
      </ddeItem>
      <ddeItem name="EPG,DIVIDEND,1" advise="1">
        <values>
          <value>
            <val>0.85</val>
          </value>
        </values>
      </ddeItem>
      <ddeItem name="EPG,LAST,1" advise="1">
        <values>
          <value>
            <val>44.49</val>
          </value>
        </values>
      </ddeItem>
      <ddeItem name="ILA,DIVIDEND,1" advise="1">
        <values>
          <value>
            <val>0</val>
          </value>
        </values>
      </ddeItem>
      <ddeItem name="ILA,LAST,1" advise="1">
        <values>
          <value>
            <val>21.05</val>
          </value>
        </values>
      </ddeItem>
      <ddeItem name="KMI,DIVIDEND,1" advise="1">
        <values>
          <value>
            <val>0.2</val>
          </value>
        </values>
      </ddeItem>
      <ddeItem name="KMI,LAST,1" advise="1">
        <values>
          <value>
            <val>51.33</val>
          </value>
        </values>
      </ddeItem>
      <ddeItem name="MIR,DIVIDEND,1" advise="1">
        <values>
          <value>
            <val>0</val>
          </value>
        </values>
      </ddeItem>
      <ddeItem name="MIR,LAST,1" advise="1">
        <values>
          <value>
            <val>22.6</val>
          </value>
        </values>
      </ddeItem>
      <ddeItem name="NRG,DIVIDEND,1" advise="1">
        <values>
          <value>
            <val>0.28000000000000003</val>
          </value>
        </values>
      </ddeItem>
      <ddeItem name="NRG,LAST,1" advise="1">
        <values>
          <value>
            <val>15.5</val>
          </value>
        </values>
      </ddeItem>
      <ddeItem name="RRI,DIVIDEND,1" advise="1">
        <values>
          <value>
            <val>0</val>
          </value>
        </values>
      </ddeItem>
      <ddeItem name="RRI,LAST,1" advise="1">
        <values>
          <value>
            <val>16.350000000000001</val>
          </value>
        </values>
      </ddeItem>
      <ddeItem name="WMB,DIVIDEND,1" advise="1">
        <values>
          <value>
            <val>0.72</val>
          </value>
        </values>
      </ddeItem>
      <ddeItem name="WMB,LAST,1" advise="1">
        <values>
          <value>
            <val>26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17" sqref="D17"/>
    </sheetView>
  </sheetViews>
  <sheetFormatPr defaultRowHeight="15.75" x14ac:dyDescent="0.25"/>
  <cols>
    <col min="1" max="1" width="23.6640625" style="253" bestFit="1" customWidth="1"/>
    <col min="2" max="2" width="8.88671875" style="254"/>
    <col min="3" max="3" width="2" style="253" customWidth="1"/>
    <col min="4" max="4" width="7.77734375" style="253" customWidth="1"/>
    <col min="5" max="5" width="1.44140625" style="253" customWidth="1"/>
    <col min="6" max="6" width="7.21875" style="253" customWidth="1"/>
    <col min="7" max="7" width="1.44140625" style="253" customWidth="1"/>
    <col min="8" max="16384" width="8.88671875" style="253"/>
  </cols>
  <sheetData>
    <row r="1" spans="1:8" ht="18.75" customHeight="1" x14ac:dyDescent="0.25">
      <c r="A1" s="253" t="s">
        <v>71</v>
      </c>
      <c r="H1" s="255" t="str">
        <f>+ENRON!AS1</f>
        <v>Friday</v>
      </c>
    </row>
    <row r="2" spans="1:8" ht="18" customHeight="1" x14ac:dyDescent="0.25">
      <c r="A2" s="256" t="s">
        <v>18</v>
      </c>
      <c r="H2" s="257">
        <f>+ENRON!AS2</f>
        <v>37155</v>
      </c>
    </row>
    <row r="3" spans="1:8" ht="16.5" thickBot="1" x14ac:dyDescent="0.3"/>
    <row r="4" spans="1:8" ht="16.5" thickBot="1" x14ac:dyDescent="0.3">
      <c r="B4" s="258">
        <v>2001</v>
      </c>
      <c r="D4" s="298" t="s">
        <v>72</v>
      </c>
      <c r="E4" s="299"/>
      <c r="F4" s="299"/>
      <c r="G4" s="299"/>
      <c r="H4" s="300"/>
    </row>
    <row r="5" spans="1:8" ht="32.25" thickBot="1" x14ac:dyDescent="0.3">
      <c r="B5" s="259" t="s">
        <v>36</v>
      </c>
      <c r="D5" s="260" t="s">
        <v>22</v>
      </c>
      <c r="E5" s="261"/>
      <c r="F5" s="262" t="s">
        <v>23</v>
      </c>
      <c r="G5" s="263"/>
      <c r="H5" s="264" t="s">
        <v>24</v>
      </c>
    </row>
    <row r="6" spans="1:8" x14ac:dyDescent="0.25">
      <c r="A6" s="253" t="s">
        <v>73</v>
      </c>
      <c r="B6" s="265">
        <f>ENRON!Z7</f>
        <v>15.584710074505992</v>
      </c>
      <c r="D6" s="266">
        <f>ENRON!AM7</f>
        <v>-0.10357934748178649</v>
      </c>
      <c r="E6" s="267"/>
      <c r="F6" s="268">
        <f>ENRON!AO7</f>
        <v>-0.42107942973523421</v>
      </c>
      <c r="G6" s="267"/>
      <c r="H6" s="269">
        <f>ENRON!AQ7</f>
        <v>-0.65503759398496242</v>
      </c>
    </row>
    <row r="7" spans="1:8" x14ac:dyDescent="0.25">
      <c r="A7" s="253" t="s">
        <v>74</v>
      </c>
      <c r="B7" s="270">
        <f>ENRON!Z9</f>
        <v>20.120833333333334</v>
      </c>
      <c r="D7" s="271">
        <f>ENRON!AM9</f>
        <v>-0.11026427255985273</v>
      </c>
      <c r="E7" s="272"/>
      <c r="F7" s="273">
        <f>ENRON!AO9</f>
        <v>-0.20969971634442955</v>
      </c>
      <c r="G7" s="272"/>
      <c r="H7" s="274">
        <f>ENRON!AQ9</f>
        <v>-0.25986305935104675</v>
      </c>
    </row>
    <row r="8" spans="1:8" x14ac:dyDescent="0.25">
      <c r="A8" s="253" t="s">
        <v>78</v>
      </c>
      <c r="B8" s="270" t="str">
        <f>ENRON!Z10</f>
        <v xml:space="preserve">N/A </v>
      </c>
      <c r="D8" s="271">
        <f>ENRON!AM10</f>
        <v>-0.15665758293838855</v>
      </c>
      <c r="E8" s="272"/>
      <c r="F8" s="273">
        <f>ENRON!AO10</f>
        <v>-0.34334926773951163</v>
      </c>
      <c r="G8" s="272"/>
      <c r="H8" s="274">
        <f>ENRON!AQ10</f>
        <v>-0.42209737221313731</v>
      </c>
    </row>
    <row r="9" spans="1:8" ht="16.5" thickBot="1" x14ac:dyDescent="0.3">
      <c r="A9" s="253" t="s">
        <v>88</v>
      </c>
      <c r="B9" s="293">
        <f>ENRON!Z25</f>
        <v>13.548688438868737</v>
      </c>
      <c r="C9" s="275"/>
      <c r="D9" s="294">
        <f>ENRON!AM25</f>
        <v>-0.14397808473371357</v>
      </c>
      <c r="E9" s="295"/>
      <c r="F9" s="296">
        <f>ENRON!AO25</f>
        <v>-0.23738055202651231</v>
      </c>
      <c r="G9" s="297"/>
      <c r="H9" s="276">
        <f>ENRON!AQ25</f>
        <v>-0.32640486482405096</v>
      </c>
    </row>
    <row r="10" spans="1:8" x14ac:dyDescent="0.25">
      <c r="D10" s="277"/>
    </row>
    <row r="11" spans="1:8" x14ac:dyDescent="0.25">
      <c r="A11" s="278"/>
    </row>
  </sheetData>
  <mergeCells count="1">
    <mergeCell ref="D4:H4"/>
  </mergeCells>
  <phoneticPr fontId="0" type="noConversion"/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58"/>
  <sheetViews>
    <sheetView tabSelected="1" zoomScale="90" zoomScaleNormal="90" workbookViewId="0">
      <pane xSplit="3" topLeftCell="D1" activePane="topRight" state="frozen"/>
      <selection pane="topRight"/>
    </sheetView>
  </sheetViews>
  <sheetFormatPr defaultColWidth="9.77734375" defaultRowHeight="15" x14ac:dyDescent="0.2"/>
  <cols>
    <col min="1" max="1" width="18.5546875" style="8" customWidth="1"/>
    <col min="2" max="2" width="7.33203125" style="8" customWidth="1"/>
    <col min="3" max="3" width="12" style="240" customWidth="1"/>
    <col min="4" max="4" width="1.77734375" style="8" customWidth="1"/>
    <col min="5" max="5" width="10.5546875" style="8" customWidth="1"/>
    <col min="6" max="6" width="1.44140625" style="8" customWidth="1"/>
    <col min="7" max="7" width="10.77734375" style="8" hidden="1" customWidth="1"/>
    <col min="8" max="8" width="2.5546875" style="8" hidden="1" customWidth="1"/>
    <col min="9" max="9" width="6.77734375" style="8" hidden="1" customWidth="1"/>
    <col min="10" max="10" width="0.44140625" style="8" hidden="1" customWidth="1"/>
    <col min="11" max="11" width="9.33203125" style="8" hidden="1" customWidth="1"/>
    <col min="12" max="12" width="1.88671875" style="8" hidden="1" customWidth="1"/>
    <col min="13" max="13" width="6.77734375" style="8" hidden="1" customWidth="1"/>
    <col min="14" max="14" width="1.109375" style="8" hidden="1" customWidth="1"/>
    <col min="15" max="15" width="10.77734375" style="8" hidden="1" customWidth="1"/>
    <col min="16" max="16" width="2.5546875" style="8" hidden="1" customWidth="1"/>
    <col min="17" max="17" width="6.77734375" style="8" hidden="1" customWidth="1"/>
    <col min="18" max="18" width="1" style="8" hidden="1" customWidth="1"/>
    <col min="19" max="19" width="9.44140625" style="8" hidden="1" customWidth="1"/>
    <col min="20" max="20" width="5.88671875" style="8" hidden="1" customWidth="1"/>
    <col min="21" max="21" width="1.21875" style="34" hidden="1" customWidth="1"/>
    <col min="22" max="22" width="10.21875" style="8" hidden="1" customWidth="1"/>
    <col min="23" max="23" width="1.77734375" style="34" customWidth="1"/>
    <col min="24" max="24" width="10.5546875" style="8" customWidth="1"/>
    <col min="25" max="25" width="1.77734375" style="8" customWidth="1"/>
    <col min="26" max="26" width="6.21875" style="8" customWidth="1"/>
    <col min="27" max="27" width="1.44140625" style="8" customWidth="1"/>
    <col min="28" max="29" width="6" style="8" customWidth="1"/>
    <col min="30" max="30" width="1.44140625" style="8" customWidth="1"/>
    <col min="31" max="31" width="10.5546875" style="8" customWidth="1"/>
    <col min="32" max="32" width="1.77734375" style="8" customWidth="1"/>
    <col min="33" max="33" width="6" style="8" customWidth="1"/>
    <col min="34" max="34" width="1.77734375" style="8" customWidth="1"/>
    <col min="35" max="35" width="4.44140625" style="8" customWidth="1"/>
    <col min="36" max="36" width="1" style="8" customWidth="1"/>
    <col min="37" max="37" width="8" style="8" hidden="1" customWidth="1"/>
    <col min="38" max="38" width="0.88671875" style="34" hidden="1" customWidth="1"/>
    <col min="39" max="39" width="7" style="34" customWidth="1"/>
    <col min="40" max="40" width="1.21875" style="34" customWidth="1"/>
    <col min="41" max="41" width="8.5546875" style="34" customWidth="1"/>
    <col min="42" max="42" width="0.88671875" style="34" customWidth="1"/>
    <col min="43" max="43" width="7.6640625" style="8" customWidth="1"/>
    <col min="44" max="44" width="1" style="8" customWidth="1"/>
    <col min="45" max="45" width="8.44140625" style="8" customWidth="1"/>
    <col min="46" max="46" width="4.88671875" style="8" customWidth="1"/>
    <col min="47" max="47" width="12.77734375" style="10" customWidth="1"/>
    <col min="48" max="48" width="8.5546875" style="11" customWidth="1"/>
    <col min="49" max="49" width="8.5546875" style="12" customWidth="1"/>
    <col min="50" max="50" width="11.109375" style="8" customWidth="1"/>
    <col min="51" max="51" width="12.33203125" style="8" customWidth="1"/>
    <col min="52" max="52" width="14.5546875" style="8" customWidth="1"/>
    <col min="53" max="53" width="12.88671875" style="8" customWidth="1"/>
    <col min="54" max="54" width="13.33203125" style="8" customWidth="1"/>
    <col min="55" max="55" width="13.6640625" style="8" customWidth="1"/>
    <col min="56" max="16384" width="9.77734375" style="8"/>
  </cols>
  <sheetData>
    <row r="1" spans="1:56" ht="18" x14ac:dyDescent="0.25">
      <c r="A1" s="4" t="s">
        <v>17</v>
      </c>
      <c r="B1" s="5"/>
      <c r="C1" s="6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7"/>
      <c r="V1" s="5"/>
      <c r="W1" s="7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7"/>
      <c r="AM1" s="7"/>
      <c r="AN1" s="7"/>
      <c r="AO1" s="7"/>
      <c r="AP1" s="7"/>
      <c r="AQ1" s="5"/>
      <c r="AS1" s="9" t="s">
        <v>96</v>
      </c>
    </row>
    <row r="2" spans="1:56" ht="18" x14ac:dyDescent="0.25">
      <c r="A2" s="4" t="s">
        <v>18</v>
      </c>
      <c r="B2" s="5"/>
      <c r="C2" s="6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7"/>
      <c r="V2" s="13"/>
      <c r="W2" s="14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13"/>
      <c r="AL2" s="14"/>
      <c r="AM2" s="14"/>
      <c r="AN2" s="14"/>
      <c r="AO2" s="14"/>
      <c r="AP2" s="14"/>
      <c r="AQ2" s="13"/>
      <c r="AR2" s="15"/>
      <c r="AS2" s="16">
        <v>37155</v>
      </c>
    </row>
    <row r="3" spans="1:56" ht="15.75" x14ac:dyDescent="0.25">
      <c r="A3" s="17"/>
      <c r="B3" s="18"/>
      <c r="C3" s="19"/>
      <c r="D3" s="18"/>
      <c r="E3" s="18"/>
      <c r="F3" s="18"/>
      <c r="G3" s="5"/>
      <c r="H3" s="5"/>
      <c r="I3" s="5"/>
      <c r="J3" s="5"/>
      <c r="K3" s="5"/>
      <c r="L3" s="5"/>
      <c r="M3" s="5"/>
      <c r="N3" s="18"/>
      <c r="O3" s="5"/>
      <c r="P3" s="5"/>
      <c r="Q3" s="5"/>
      <c r="R3" s="5"/>
      <c r="S3" s="5"/>
      <c r="T3" s="5"/>
      <c r="U3" s="7"/>
      <c r="V3" s="20"/>
      <c r="W3" s="21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20"/>
      <c r="AL3" s="21"/>
      <c r="AM3" s="21"/>
      <c r="AN3" s="21"/>
      <c r="AO3" s="21"/>
      <c r="AP3" s="21"/>
      <c r="AQ3" s="20"/>
      <c r="AS3" s="20"/>
      <c r="AT3" s="22"/>
    </row>
    <row r="4" spans="1:56" ht="15.75" x14ac:dyDescent="0.25">
      <c r="A4" s="18"/>
      <c r="B4" s="18"/>
      <c r="C4" s="19"/>
      <c r="D4" s="18"/>
      <c r="E4" s="18"/>
      <c r="F4" s="18"/>
      <c r="G4" s="5"/>
      <c r="H4" s="5"/>
      <c r="I4" s="5"/>
      <c r="J4" s="5"/>
      <c r="K4" s="23">
        <v>1997</v>
      </c>
      <c r="L4" s="24"/>
      <c r="M4" s="25"/>
      <c r="N4" s="18"/>
      <c r="O4" s="5"/>
      <c r="P4" s="5"/>
      <c r="Q4" s="5"/>
      <c r="R4" s="5"/>
      <c r="S4" s="23">
        <v>1998</v>
      </c>
      <c r="T4" s="25"/>
      <c r="U4" s="7"/>
      <c r="V4" s="18"/>
      <c r="W4" s="26"/>
      <c r="X4" s="301">
        <v>2001</v>
      </c>
      <c r="Y4" s="302"/>
      <c r="Z4" s="303"/>
      <c r="AA4" s="27"/>
      <c r="AB4" s="287" t="s">
        <v>117</v>
      </c>
      <c r="AC4" s="289" t="s">
        <v>100</v>
      </c>
      <c r="AD4" s="27"/>
      <c r="AE4" s="301">
        <v>2002</v>
      </c>
      <c r="AF4" s="302"/>
      <c r="AG4" s="303"/>
      <c r="AH4" s="28"/>
      <c r="AJ4" s="18"/>
      <c r="AK4" s="29" t="s">
        <v>19</v>
      </c>
      <c r="AL4" s="26"/>
      <c r="AM4" s="30" t="s">
        <v>20</v>
      </c>
      <c r="AN4" s="31"/>
      <c r="AO4" s="31"/>
      <c r="AP4" s="31"/>
      <c r="AQ4" s="32"/>
      <c r="AS4" s="33"/>
      <c r="AT4" s="34"/>
      <c r="AU4" s="35" t="s">
        <v>21</v>
      </c>
      <c r="AV4" s="35"/>
      <c r="AW4" s="36"/>
      <c r="AX4" s="35" t="s">
        <v>22</v>
      </c>
      <c r="AY4" s="37"/>
      <c r="AZ4" s="35" t="s">
        <v>23</v>
      </c>
      <c r="BA4" s="38"/>
      <c r="BB4" s="35" t="s">
        <v>24</v>
      </c>
      <c r="BC4" s="35"/>
    </row>
    <row r="5" spans="1:56" x14ac:dyDescent="0.2">
      <c r="A5" s="18"/>
      <c r="B5" s="18"/>
      <c r="C5" s="19"/>
      <c r="D5" s="18"/>
      <c r="E5" s="39" t="s">
        <v>25</v>
      </c>
      <c r="F5" s="18"/>
      <c r="G5" s="40" t="s">
        <v>26</v>
      </c>
      <c r="H5" s="41"/>
      <c r="I5" s="42"/>
      <c r="J5" s="18"/>
      <c r="K5" s="40" t="s">
        <v>26</v>
      </c>
      <c r="L5" s="41"/>
      <c r="M5" s="42"/>
      <c r="N5" s="18"/>
      <c r="O5" s="40" t="s">
        <v>26</v>
      </c>
      <c r="P5" s="41"/>
      <c r="Q5" s="42"/>
      <c r="R5" s="18"/>
      <c r="S5" s="40" t="s">
        <v>26</v>
      </c>
      <c r="T5" s="42"/>
      <c r="U5" s="26"/>
      <c r="V5" s="29" t="s">
        <v>27</v>
      </c>
      <c r="W5" s="43"/>
      <c r="X5" s="40" t="s">
        <v>26</v>
      </c>
      <c r="Y5" s="44"/>
      <c r="Z5" s="42"/>
      <c r="AA5" s="26"/>
      <c r="AB5" s="29" t="s">
        <v>99</v>
      </c>
      <c r="AC5" s="45" t="s">
        <v>101</v>
      </c>
      <c r="AD5" s="26"/>
      <c r="AE5" s="40" t="s">
        <v>26</v>
      </c>
      <c r="AF5" s="44"/>
      <c r="AG5" s="42"/>
      <c r="AH5" s="26"/>
      <c r="AJ5" s="26"/>
      <c r="AK5" s="46" t="s">
        <v>27</v>
      </c>
      <c r="AL5" s="43"/>
      <c r="AM5" s="47" t="s">
        <v>28</v>
      </c>
      <c r="AN5" s="43"/>
      <c r="AO5" s="43" t="s">
        <v>29</v>
      </c>
      <c r="AP5" s="43"/>
      <c r="AQ5" s="45" t="s">
        <v>30</v>
      </c>
      <c r="AS5" s="48" t="s">
        <v>31</v>
      </c>
      <c r="AT5" s="49"/>
      <c r="AU5" s="50"/>
      <c r="AV5" s="51" t="s">
        <v>32</v>
      </c>
      <c r="AW5" s="52" t="s">
        <v>32</v>
      </c>
      <c r="AX5" s="53"/>
      <c r="AY5" s="54">
        <v>37141</v>
      </c>
      <c r="AZ5" s="53"/>
      <c r="BA5" s="55">
        <v>37071</v>
      </c>
      <c r="BB5" s="56"/>
      <c r="BC5" s="54">
        <v>36889</v>
      </c>
      <c r="BD5" s="57"/>
    </row>
    <row r="6" spans="1:56" ht="15.75" thickBot="1" x14ac:dyDescent="0.25">
      <c r="A6" s="58" t="s">
        <v>33</v>
      </c>
      <c r="B6" s="18"/>
      <c r="C6" s="58" t="s">
        <v>34</v>
      </c>
      <c r="D6" s="18"/>
      <c r="E6" s="58" t="s">
        <v>35</v>
      </c>
      <c r="F6" s="18"/>
      <c r="G6" s="59" t="s">
        <v>19</v>
      </c>
      <c r="H6" s="60"/>
      <c r="I6" s="61" t="s">
        <v>36</v>
      </c>
      <c r="J6" s="18"/>
      <c r="K6" s="59" t="s">
        <v>19</v>
      </c>
      <c r="L6" s="60"/>
      <c r="M6" s="61" t="s">
        <v>36</v>
      </c>
      <c r="N6" s="18"/>
      <c r="O6" s="59" t="s">
        <v>19</v>
      </c>
      <c r="P6" s="60"/>
      <c r="Q6" s="61" t="s">
        <v>36</v>
      </c>
      <c r="R6" s="18"/>
      <c r="S6" s="59" t="s">
        <v>19</v>
      </c>
      <c r="T6" s="61" t="s">
        <v>36</v>
      </c>
      <c r="U6" s="62"/>
      <c r="V6" s="63" t="s">
        <v>37</v>
      </c>
      <c r="W6" s="62"/>
      <c r="X6" s="59" t="s">
        <v>83</v>
      </c>
      <c r="Y6" s="64"/>
      <c r="Z6" s="61" t="s">
        <v>36</v>
      </c>
      <c r="AA6" s="62"/>
      <c r="AB6" s="48" t="s">
        <v>27</v>
      </c>
      <c r="AC6" s="65" t="s">
        <v>102</v>
      </c>
      <c r="AD6" s="62"/>
      <c r="AE6" s="59" t="s">
        <v>83</v>
      </c>
      <c r="AF6" s="64"/>
      <c r="AG6" s="61" t="s">
        <v>36</v>
      </c>
      <c r="AH6" s="62"/>
      <c r="AJ6" s="65"/>
      <c r="AK6" s="61" t="s">
        <v>38</v>
      </c>
      <c r="AL6" s="62"/>
      <c r="AM6" s="66" t="s">
        <v>39</v>
      </c>
      <c r="AN6" s="62"/>
      <c r="AO6" s="67" t="s">
        <v>40</v>
      </c>
      <c r="AP6" s="62"/>
      <c r="AQ6" s="68" t="s">
        <v>40</v>
      </c>
      <c r="AS6" s="63" t="s">
        <v>41</v>
      </c>
      <c r="AT6" s="49"/>
      <c r="AU6" s="69" t="s">
        <v>42</v>
      </c>
      <c r="AV6" s="70" t="s">
        <v>43</v>
      </c>
      <c r="AW6" s="71" t="s">
        <v>31</v>
      </c>
      <c r="AX6" s="69" t="s">
        <v>44</v>
      </c>
      <c r="AY6" s="72" t="s">
        <v>45</v>
      </c>
      <c r="AZ6" s="69" t="s">
        <v>46</v>
      </c>
      <c r="BA6" s="73" t="s">
        <v>47</v>
      </c>
      <c r="BB6" s="74" t="s">
        <v>48</v>
      </c>
      <c r="BC6" s="75" t="s">
        <v>98</v>
      </c>
    </row>
    <row r="7" spans="1:56" ht="15.75" thickBot="1" x14ac:dyDescent="0.25">
      <c r="A7" s="76" t="s">
        <v>49</v>
      </c>
      <c r="B7" s="77"/>
      <c r="C7" s="78" t="s">
        <v>0</v>
      </c>
      <c r="D7" s="77"/>
      <c r="E7" s="79">
        <f>[1]!'ENE,LAST,1'</f>
        <v>28.3</v>
      </c>
      <c r="F7" s="77"/>
      <c r="G7" s="80">
        <v>2.16</v>
      </c>
      <c r="H7" s="81" t="s">
        <v>50</v>
      </c>
      <c r="I7" s="82">
        <f>E7/G7</f>
        <v>13.101851851851851</v>
      </c>
      <c r="J7" s="77"/>
      <c r="K7" s="80">
        <v>2.14</v>
      </c>
      <c r="L7" s="83" t="s">
        <v>51</v>
      </c>
      <c r="M7" s="82">
        <f>E7/K7</f>
        <v>13.22429906542056</v>
      </c>
      <c r="N7" s="77"/>
      <c r="O7" s="80">
        <v>2.16</v>
      </c>
      <c r="P7" s="81" t="s">
        <v>50</v>
      </c>
      <c r="Q7" s="82">
        <f>M7/O7</f>
        <v>6.1223606784354443</v>
      </c>
      <c r="R7" s="77"/>
      <c r="S7" s="84">
        <f>+S57</f>
        <v>1.9988888888888892</v>
      </c>
      <c r="T7" s="82">
        <f>E7/S7</f>
        <v>14.157865480822677</v>
      </c>
      <c r="U7" s="85"/>
      <c r="V7" s="86">
        <f>(S7-K7)/K7</f>
        <v>-6.5939771547248116E-2</v>
      </c>
      <c r="W7" s="87"/>
      <c r="X7" s="88">
        <f>X57</f>
        <v>1.8158823529411767</v>
      </c>
      <c r="Y7" s="89"/>
      <c r="Z7" s="82">
        <f>E7/X7</f>
        <v>15.584710074505992</v>
      </c>
      <c r="AA7" s="85"/>
      <c r="AB7" s="90">
        <f>(AE7-X7)/X7</f>
        <v>0.1912252996436668</v>
      </c>
      <c r="AC7" s="290">
        <v>0.12</v>
      </c>
      <c r="AD7" s="85"/>
      <c r="AE7" s="88">
        <f>AE57</f>
        <v>2.163125</v>
      </c>
      <c r="AF7" s="91"/>
      <c r="AG7" s="82">
        <f>E7/AE7</f>
        <v>13.082924010401619</v>
      </c>
      <c r="AH7" s="92"/>
      <c r="AJ7" s="93"/>
      <c r="AK7" s="94">
        <f>(X7-S7)/S7</f>
        <v>-9.1554131380178524E-2</v>
      </c>
      <c r="AL7" s="87"/>
      <c r="AM7" s="95">
        <f>((+AX7+E7-AY7)/AY7)</f>
        <v>-0.10357934748178649</v>
      </c>
      <c r="AN7" s="87"/>
      <c r="AO7" s="87">
        <f>((+AZ7+E7-BA7)/BA7)</f>
        <v>-0.42107942973523421</v>
      </c>
      <c r="AP7" s="87"/>
      <c r="AQ7" s="94">
        <f>((+BB7+E7-BC7)/BC7)</f>
        <v>-0.65503759398496242</v>
      </c>
      <c r="AR7" s="96"/>
      <c r="AS7" s="1">
        <f>AU7/E7</f>
        <v>1.7667844522968199E-2</v>
      </c>
      <c r="AT7" s="97"/>
      <c r="AU7" s="3">
        <f>[1]!'ENE,DIVIDEND,1'</f>
        <v>0.5</v>
      </c>
      <c r="AV7" s="284">
        <v>37133</v>
      </c>
      <c r="AW7" s="98">
        <v>0.125</v>
      </c>
      <c r="AX7" s="286"/>
      <c r="AY7" s="99">
        <v>31.57</v>
      </c>
      <c r="AZ7" s="285">
        <v>0.125</v>
      </c>
      <c r="BA7" s="99">
        <v>49.1</v>
      </c>
      <c r="BB7" s="283">
        <f>0.125*3</f>
        <v>0.375</v>
      </c>
      <c r="BC7" s="99">
        <v>83.125</v>
      </c>
    </row>
    <row r="8" spans="1:56" ht="6" customHeight="1" x14ac:dyDescent="0.2">
      <c r="A8" s="18"/>
      <c r="B8" s="18"/>
      <c r="C8" s="19"/>
      <c r="D8" s="18"/>
      <c r="E8" s="100"/>
      <c r="F8" s="18"/>
      <c r="G8" s="101"/>
      <c r="H8" s="102"/>
      <c r="I8" s="103"/>
      <c r="J8" s="26"/>
      <c r="K8" s="101"/>
      <c r="L8" s="26"/>
      <c r="M8" s="103"/>
      <c r="N8" s="18"/>
      <c r="O8" s="101"/>
      <c r="P8" s="102"/>
      <c r="Q8" s="103"/>
      <c r="R8" s="26"/>
      <c r="S8" s="101"/>
      <c r="T8" s="103"/>
      <c r="U8" s="26"/>
      <c r="V8" s="104"/>
      <c r="W8" s="105"/>
      <c r="X8" s="101"/>
      <c r="Y8" s="106"/>
      <c r="Z8" s="103"/>
      <c r="AA8" s="26"/>
      <c r="AB8" s="107"/>
      <c r="AC8" s="108"/>
      <c r="AD8" s="26"/>
      <c r="AE8" s="109"/>
      <c r="AF8" s="26"/>
      <c r="AG8" s="108"/>
      <c r="AH8" s="110"/>
      <c r="AJ8" s="26"/>
      <c r="AK8" s="104"/>
      <c r="AL8" s="105"/>
      <c r="AM8" s="111"/>
      <c r="AN8" s="105"/>
      <c r="AO8" s="105"/>
      <c r="AP8" s="105"/>
      <c r="AQ8" s="112"/>
      <c r="AS8" s="104"/>
      <c r="AT8" s="111"/>
      <c r="AU8" s="113"/>
      <c r="AV8" s="114"/>
      <c r="AW8" s="98"/>
      <c r="AX8" s="115"/>
      <c r="AY8" s="116"/>
      <c r="AZ8" s="117"/>
      <c r="BA8" s="116"/>
      <c r="BB8" s="118"/>
      <c r="BC8" s="116"/>
    </row>
    <row r="9" spans="1:56" x14ac:dyDescent="0.2">
      <c r="A9" s="17" t="s">
        <v>52</v>
      </c>
      <c r="B9" s="18"/>
      <c r="C9" s="19" t="s">
        <v>60</v>
      </c>
      <c r="D9" s="18"/>
      <c r="E9" s="119">
        <f>[1]!'.SPX,LAST,1'</f>
        <v>965.8</v>
      </c>
      <c r="F9" s="120"/>
      <c r="G9" s="121">
        <v>40.53</v>
      </c>
      <c r="H9" s="102"/>
      <c r="I9" s="93">
        <f>E9/G9</f>
        <v>23.829262274858127</v>
      </c>
      <c r="J9" s="26"/>
      <c r="K9" s="121">
        <v>42.08</v>
      </c>
      <c r="L9" s="26"/>
      <c r="M9" s="93">
        <f>E9/K9</f>
        <v>22.951520912547529</v>
      </c>
      <c r="N9" s="120"/>
      <c r="O9" s="121">
        <v>40.53</v>
      </c>
      <c r="P9" s="102"/>
      <c r="Q9" s="93">
        <f>M9/O9</f>
        <v>0.5662847498778073</v>
      </c>
      <c r="R9" s="26"/>
      <c r="S9" s="122">
        <v>40.18</v>
      </c>
      <c r="T9" s="93">
        <f>E9/S9</f>
        <v>24.036834245893477</v>
      </c>
      <c r="U9" s="92"/>
      <c r="V9" s="123">
        <f>(S9-K9)/K9</f>
        <v>-4.5152091254752821E-2</v>
      </c>
      <c r="W9" s="124"/>
      <c r="X9" s="122">
        <v>48</v>
      </c>
      <c r="Y9" s="125"/>
      <c r="Z9" s="93">
        <f>E9/X9</f>
        <v>20.120833333333334</v>
      </c>
      <c r="AA9" s="92"/>
      <c r="AB9" s="126">
        <f>(AE9-X9)/X9</f>
        <v>0.15708333333333332</v>
      </c>
      <c r="AC9" s="291"/>
      <c r="AD9" s="92"/>
      <c r="AE9" s="122">
        <v>55.54</v>
      </c>
      <c r="AF9" s="125"/>
      <c r="AG9" s="93">
        <f>E9/AE9</f>
        <v>17.389268995318687</v>
      </c>
      <c r="AH9" s="92"/>
      <c r="AJ9" s="92"/>
      <c r="AK9" s="123">
        <f>(X9-S9)/S9</f>
        <v>0.19462419113987059</v>
      </c>
      <c r="AL9" s="124"/>
      <c r="AM9" s="97">
        <f>((+AX9+E9-AY9)/AY9)</f>
        <v>-0.11026427255985273</v>
      </c>
      <c r="AN9" s="124"/>
      <c r="AO9" s="124">
        <f>((+AZ9+E9-BA9)/BA9)</f>
        <v>-0.20969971634442955</v>
      </c>
      <c r="AP9" s="124"/>
      <c r="AQ9" s="127">
        <f>((+BB9+E9-BC9)/BC9)</f>
        <v>-0.25986305935104675</v>
      </c>
      <c r="AS9" s="2">
        <v>1.61E-2</v>
      </c>
      <c r="AT9" s="97"/>
      <c r="AU9" s="128">
        <f>AS9*E9</f>
        <v>15.549379999999999</v>
      </c>
      <c r="AV9" s="129"/>
      <c r="AW9" s="98"/>
      <c r="AX9" s="130">
        <v>0.45300000000000001</v>
      </c>
      <c r="AY9" s="131">
        <v>1086</v>
      </c>
      <c r="AZ9" s="130">
        <v>3.7719999999999998</v>
      </c>
      <c r="BA9" s="131">
        <v>1226.8399999999999</v>
      </c>
      <c r="BB9" s="130">
        <v>11.388</v>
      </c>
      <c r="BC9" s="132">
        <v>1320.28</v>
      </c>
    </row>
    <row r="10" spans="1:56" x14ac:dyDescent="0.2">
      <c r="A10" s="17" t="s">
        <v>78</v>
      </c>
      <c r="B10" s="18"/>
      <c r="C10" s="19" t="s">
        <v>75</v>
      </c>
      <c r="D10" s="18"/>
      <c r="E10" s="119">
        <f>[1]!'.IXIC,LAST,1'</f>
        <v>1423.18</v>
      </c>
      <c r="F10" s="120"/>
      <c r="G10" s="121">
        <v>40.53</v>
      </c>
      <c r="H10" s="102"/>
      <c r="I10" s="93">
        <f>E10/G10</f>
        <v>35.114236368122377</v>
      </c>
      <c r="J10" s="26"/>
      <c r="K10" s="121">
        <v>42.08</v>
      </c>
      <c r="L10" s="26"/>
      <c r="M10" s="93">
        <f>E10/K10</f>
        <v>33.820817490494299</v>
      </c>
      <c r="N10" s="120"/>
      <c r="O10" s="121">
        <v>40.53</v>
      </c>
      <c r="P10" s="102"/>
      <c r="Q10" s="93">
        <f>M10/O10</f>
        <v>0.83446379201811738</v>
      </c>
      <c r="R10" s="26"/>
      <c r="S10" s="122">
        <v>40.18</v>
      </c>
      <c r="T10" s="93">
        <f>E10/S10</f>
        <v>35.420109507217525</v>
      </c>
      <c r="U10" s="92"/>
      <c r="V10" s="123">
        <f>(S10-K10)/K10</f>
        <v>-4.5152091254752821E-2</v>
      </c>
      <c r="W10" s="124"/>
      <c r="X10" s="133" t="s">
        <v>76</v>
      </c>
      <c r="Y10" s="125"/>
      <c r="Z10" s="134" t="s">
        <v>77</v>
      </c>
      <c r="AA10" s="92"/>
      <c r="AB10" s="126"/>
      <c r="AC10" s="134"/>
      <c r="AD10" s="92"/>
      <c r="AE10" s="133" t="s">
        <v>76</v>
      </c>
      <c r="AF10" s="125"/>
      <c r="AG10" s="134" t="s">
        <v>77</v>
      </c>
      <c r="AH10" s="135"/>
      <c r="AJ10" s="92"/>
      <c r="AK10" s="123" t="e">
        <f>(X10-S10)/S10</f>
        <v>#VALUE!</v>
      </c>
      <c r="AL10" s="124"/>
      <c r="AM10" s="97">
        <f>((+AX10+E10-AY10)/AY10)</f>
        <v>-0.15665758293838855</v>
      </c>
      <c r="AN10" s="124"/>
      <c r="AO10" s="124">
        <f>((+AZ10+E10-BA10)/BA10)</f>
        <v>-0.34334926773951163</v>
      </c>
      <c r="AP10" s="124"/>
      <c r="AQ10" s="127">
        <f>((+BB10+E10-BC10)/BC10)</f>
        <v>-0.42209737221313731</v>
      </c>
      <c r="AS10" s="2">
        <v>4.0000000000000001E-3</v>
      </c>
      <c r="AT10" s="97"/>
      <c r="AU10" s="128">
        <f>AS10*E10</f>
        <v>5.6927200000000004</v>
      </c>
      <c r="AV10" s="129"/>
      <c r="AW10" s="98"/>
      <c r="AX10" s="130">
        <v>0.38200000000000001</v>
      </c>
      <c r="AY10" s="131">
        <v>1688</v>
      </c>
      <c r="AZ10" s="130">
        <v>1.2989999999999999</v>
      </c>
      <c r="BA10" s="131">
        <v>2169.31</v>
      </c>
      <c r="BB10" s="130">
        <v>4.54</v>
      </c>
      <c r="BC10" s="132">
        <v>2470.52</v>
      </c>
    </row>
    <row r="11" spans="1:56" ht="9.75" customHeight="1" x14ac:dyDescent="0.2">
      <c r="A11" s="18"/>
      <c r="B11" s="18"/>
      <c r="C11" s="19"/>
      <c r="D11" s="18"/>
      <c r="E11" s="136"/>
      <c r="F11" s="18"/>
      <c r="G11" s="121"/>
      <c r="H11" s="102"/>
      <c r="I11" s="137"/>
      <c r="J11" s="18"/>
      <c r="K11" s="121"/>
      <c r="L11" s="26"/>
      <c r="M11" s="137"/>
      <c r="N11" s="18"/>
      <c r="O11" s="121"/>
      <c r="P11" s="102"/>
      <c r="Q11" s="137"/>
      <c r="R11" s="18"/>
      <c r="S11" s="122"/>
      <c r="T11" s="137"/>
      <c r="U11" s="7"/>
      <c r="V11" s="104"/>
      <c r="W11" s="105"/>
      <c r="X11" s="122"/>
      <c r="Y11" s="125"/>
      <c r="Z11" s="137"/>
      <c r="AA11" s="7"/>
      <c r="AB11" s="138"/>
      <c r="AC11" s="139"/>
      <c r="AD11" s="7"/>
      <c r="AE11" s="122"/>
      <c r="AF11" s="125"/>
      <c r="AG11" s="139"/>
      <c r="AH11" s="140"/>
      <c r="AJ11" s="7"/>
      <c r="AK11" s="104"/>
      <c r="AL11" s="105"/>
      <c r="AM11" s="111"/>
      <c r="AN11" s="105"/>
      <c r="AO11" s="105"/>
      <c r="AP11" s="105"/>
      <c r="AQ11" s="112"/>
      <c r="AS11" s="141"/>
      <c r="AT11" s="57"/>
      <c r="AU11" s="113"/>
      <c r="AV11" s="114"/>
      <c r="AW11" s="98"/>
      <c r="AX11" s="115"/>
      <c r="AY11" s="132"/>
      <c r="AZ11" s="142"/>
      <c r="BA11" s="132"/>
      <c r="BB11" s="118"/>
      <c r="BC11" s="132"/>
    </row>
    <row r="12" spans="1:56" x14ac:dyDescent="0.2">
      <c r="A12" s="143" t="s">
        <v>82</v>
      </c>
      <c r="B12" s="18"/>
      <c r="C12" s="19"/>
      <c r="D12" s="18"/>
      <c r="E12" s="136"/>
      <c r="F12" s="18"/>
      <c r="G12" s="121"/>
      <c r="H12" s="102"/>
      <c r="I12" s="137"/>
      <c r="J12" s="18"/>
      <c r="K12" s="121"/>
      <c r="L12" s="26"/>
      <c r="M12" s="137"/>
      <c r="N12" s="18"/>
      <c r="O12" s="121"/>
      <c r="P12" s="102"/>
      <c r="Q12" s="137"/>
      <c r="R12" s="18"/>
      <c r="S12" s="122"/>
      <c r="T12" s="137"/>
      <c r="U12" s="7"/>
      <c r="V12" s="104"/>
      <c r="W12" s="105"/>
      <c r="X12" s="122"/>
      <c r="Y12" s="125"/>
      <c r="Z12" s="137"/>
      <c r="AA12" s="7"/>
      <c r="AB12" s="138"/>
      <c r="AC12" s="139"/>
      <c r="AD12" s="7"/>
      <c r="AE12" s="122"/>
      <c r="AF12" s="125"/>
      <c r="AG12" s="139"/>
      <c r="AH12" s="140"/>
      <c r="AJ12" s="7"/>
      <c r="AK12" s="104"/>
      <c r="AL12" s="105"/>
      <c r="AM12" s="111"/>
      <c r="AN12" s="105"/>
      <c r="AO12" s="105"/>
      <c r="AP12" s="105"/>
      <c r="AQ12" s="112"/>
      <c r="AS12" s="141"/>
      <c r="AT12" s="57"/>
      <c r="AU12" s="3"/>
      <c r="AV12" s="114"/>
      <c r="AW12" s="98"/>
      <c r="AX12" s="117"/>
      <c r="AY12" s="132"/>
      <c r="AZ12" s="142"/>
      <c r="BA12" s="132"/>
      <c r="BB12" s="118"/>
      <c r="BC12" s="132"/>
    </row>
    <row r="13" spans="1:56" x14ac:dyDescent="0.2">
      <c r="A13" s="17" t="s">
        <v>114</v>
      </c>
      <c r="B13" s="18"/>
      <c r="C13" s="39" t="s">
        <v>110</v>
      </c>
      <c r="D13" s="18"/>
      <c r="E13" s="136">
        <f>[1]!'ILA,LAST,1'</f>
        <v>21.05</v>
      </c>
      <c r="F13" s="18"/>
      <c r="G13" s="121"/>
      <c r="H13" s="144"/>
      <c r="I13" s="93"/>
      <c r="J13" s="18"/>
      <c r="K13" s="121"/>
      <c r="L13" s="26"/>
      <c r="M13" s="93"/>
      <c r="N13" s="18"/>
      <c r="O13" s="121"/>
      <c r="P13" s="144"/>
      <c r="Q13" s="93"/>
      <c r="R13" s="18"/>
      <c r="S13" s="122">
        <v>1.1499999999999999</v>
      </c>
      <c r="T13" s="93">
        <f t="shared" ref="T13:T19" si="0">E13/S13</f>
        <v>18.304347826086957</v>
      </c>
      <c r="U13" s="92"/>
      <c r="V13" s="123"/>
      <c r="W13" s="124"/>
      <c r="X13" s="133">
        <v>2.3199999999999998</v>
      </c>
      <c r="Y13" s="145"/>
      <c r="Z13" s="93">
        <f t="shared" ref="Z13:Z23" si="1">E13/X13</f>
        <v>9.0732758620689662</v>
      </c>
      <c r="AA13" s="288"/>
      <c r="AB13" s="126">
        <f t="shared" ref="AB13:AB23" si="2">(AE13-X13)/X13</f>
        <v>-0.12068965517241372</v>
      </c>
      <c r="AC13" s="292" t="s">
        <v>76</v>
      </c>
      <c r="AD13" s="135"/>
      <c r="AE13" s="133">
        <v>2.04</v>
      </c>
      <c r="AF13" s="145"/>
      <c r="AG13" s="93">
        <f t="shared" ref="AG13:AG23" si="3">E13/AE13</f>
        <v>10.318627450980392</v>
      </c>
      <c r="AH13" s="92"/>
      <c r="AJ13" s="92"/>
      <c r="AK13" s="123">
        <f>(X13-S13)/S13</f>
        <v>1.0173913043478262</v>
      </c>
      <c r="AL13" s="124"/>
      <c r="AM13" s="97">
        <f>((+AX13+E13-AY13)/AY13)</f>
        <v>-0.18882466281310206</v>
      </c>
      <c r="AN13" s="124"/>
      <c r="AO13" s="279" t="s">
        <v>76</v>
      </c>
      <c r="AP13" s="124"/>
      <c r="AQ13" s="146" t="s">
        <v>76</v>
      </c>
      <c r="AS13" s="147">
        <f>AU13/E13</f>
        <v>0</v>
      </c>
      <c r="AT13" s="148"/>
      <c r="AU13" s="3">
        <f>[1]!'ILA,DIVIDEND,1'</f>
        <v>0</v>
      </c>
      <c r="AV13" s="149" t="s">
        <v>68</v>
      </c>
      <c r="AW13" s="98">
        <v>0</v>
      </c>
      <c r="AX13" s="142"/>
      <c r="AY13" s="132">
        <v>25.95</v>
      </c>
      <c r="AZ13" s="142"/>
      <c r="BA13" s="150">
        <v>24.65</v>
      </c>
      <c r="BB13" s="142">
        <v>0</v>
      </c>
      <c r="BC13" s="150" t="s">
        <v>76</v>
      </c>
    </row>
    <row r="14" spans="1:56" x14ac:dyDescent="0.2">
      <c r="A14" s="18" t="s">
        <v>94</v>
      </c>
      <c r="B14" s="151"/>
      <c r="C14" s="39" t="s">
        <v>67</v>
      </c>
      <c r="D14" s="18"/>
      <c r="E14" s="136">
        <f>[1]!'AES,LAST,1'</f>
        <v>24.25</v>
      </c>
      <c r="F14" s="18"/>
      <c r="G14" s="121">
        <v>4.72</v>
      </c>
      <c r="H14" s="144" t="s">
        <v>50</v>
      </c>
      <c r="I14" s="93">
        <f>E14/G14</f>
        <v>5.1377118644067803</v>
      </c>
      <c r="J14" s="18"/>
      <c r="K14" s="121">
        <v>4.9400000000000004</v>
      </c>
      <c r="L14" s="26"/>
      <c r="M14" s="93">
        <f>E14/K14</f>
        <v>4.9089068825910926</v>
      </c>
      <c r="N14" s="18"/>
      <c r="O14" s="121">
        <v>4.72</v>
      </c>
      <c r="P14" s="144" t="s">
        <v>50</v>
      </c>
      <c r="Q14" s="93">
        <f>M14/O14</f>
        <v>1.0400226446167569</v>
      </c>
      <c r="R14" s="18"/>
      <c r="S14" s="122">
        <v>3.43</v>
      </c>
      <c r="T14" s="93">
        <f t="shared" si="0"/>
        <v>7.0699708454810493</v>
      </c>
      <c r="U14" s="92"/>
      <c r="V14" s="123">
        <f>(S14-K14)/K14</f>
        <v>-0.30566801619433198</v>
      </c>
      <c r="W14" s="124"/>
      <c r="X14" s="122">
        <v>1.78</v>
      </c>
      <c r="Y14" s="125"/>
      <c r="Z14" s="93">
        <f t="shared" si="1"/>
        <v>13.623595505617978</v>
      </c>
      <c r="AA14" s="92"/>
      <c r="AB14" s="126">
        <f t="shared" si="2"/>
        <v>0.32584269662921339</v>
      </c>
      <c r="AC14" s="291">
        <v>0.17399999999999999</v>
      </c>
      <c r="AD14" s="92"/>
      <c r="AE14" s="122">
        <v>2.36</v>
      </c>
      <c r="AF14" s="125"/>
      <c r="AG14" s="93">
        <f t="shared" si="3"/>
        <v>10.275423728813561</v>
      </c>
      <c r="AH14" s="92"/>
      <c r="AJ14" s="92"/>
      <c r="AK14" s="123">
        <f t="shared" ref="AK14:AK23" si="4">(X14-S14)/S14</f>
        <v>-0.48104956268221577</v>
      </c>
      <c r="AL14" s="124"/>
      <c r="AM14" s="97">
        <f t="shared" ref="AM14:AM23" si="5">((+AX14+E14-AY14)/AY14)</f>
        <v>-0.18018931710615277</v>
      </c>
      <c r="AN14" s="124"/>
      <c r="AO14" s="124">
        <f t="shared" ref="AO14:AO23" si="6">((+AZ14+E14-BA14)/BA14)</f>
        <v>-0.43670150987224154</v>
      </c>
      <c r="AP14" s="124"/>
      <c r="AQ14" s="127">
        <f t="shared" ref="AQ14:AQ23" si="7">((+BB14+E14-BC14)/BC14)</f>
        <v>-0.56207674943566588</v>
      </c>
      <c r="AS14" s="147">
        <f t="shared" ref="AS14:AS23" si="8">AU14/E14</f>
        <v>0</v>
      </c>
      <c r="AT14" s="148"/>
      <c r="AU14" s="3">
        <f>[1]!'AES,DIVIDEND,1'</f>
        <v>0</v>
      </c>
      <c r="AV14" s="149" t="s">
        <v>68</v>
      </c>
      <c r="AW14" s="280" t="s">
        <v>118</v>
      </c>
      <c r="AX14" s="142"/>
      <c r="AY14" s="132">
        <v>29.58</v>
      </c>
      <c r="AZ14" s="142"/>
      <c r="BA14" s="132">
        <v>43.05</v>
      </c>
      <c r="BB14" s="142"/>
      <c r="BC14" s="132">
        <v>55.375</v>
      </c>
    </row>
    <row r="15" spans="1:56" x14ac:dyDescent="0.2">
      <c r="A15" s="18" t="s">
        <v>115</v>
      </c>
      <c r="B15" s="151"/>
      <c r="C15" s="39" t="s">
        <v>116</v>
      </c>
      <c r="D15" s="18"/>
      <c r="E15" s="136">
        <f>[1]!'CPN,LAST,1'</f>
        <v>22.75</v>
      </c>
      <c r="F15" s="18"/>
      <c r="G15" s="121"/>
      <c r="H15" s="144"/>
      <c r="I15" s="93"/>
      <c r="J15" s="18"/>
      <c r="K15" s="121"/>
      <c r="L15" s="26"/>
      <c r="M15" s="93"/>
      <c r="N15" s="18"/>
      <c r="O15" s="121"/>
      <c r="P15" s="144"/>
      <c r="Q15" s="93"/>
      <c r="R15" s="18"/>
      <c r="S15" s="122"/>
      <c r="T15" s="93"/>
      <c r="U15" s="92"/>
      <c r="V15" s="123"/>
      <c r="W15" s="124"/>
      <c r="X15" s="122">
        <v>2.04</v>
      </c>
      <c r="Y15" s="125"/>
      <c r="Z15" s="93">
        <f t="shared" si="1"/>
        <v>11.151960784313726</v>
      </c>
      <c r="AA15" s="92"/>
      <c r="AB15" s="126">
        <f t="shared" si="2"/>
        <v>0.24999999999999989</v>
      </c>
      <c r="AC15" s="291"/>
      <c r="AD15" s="92"/>
      <c r="AE15" s="122">
        <v>2.5499999999999998</v>
      </c>
      <c r="AF15" s="125"/>
      <c r="AG15" s="93">
        <f t="shared" si="3"/>
        <v>8.9215686274509807</v>
      </c>
      <c r="AH15" s="92"/>
      <c r="AJ15" s="92"/>
      <c r="AK15" s="123"/>
      <c r="AL15" s="124"/>
      <c r="AM15" s="97">
        <f>((+AX15+E15-AY15)/AY15)</f>
        <v>-0.24065420560747666</v>
      </c>
      <c r="AN15" s="124"/>
      <c r="AO15" s="124">
        <f>((+AZ15+E15-BA15)/BA15)</f>
        <v>-0.39814814814814808</v>
      </c>
      <c r="AP15" s="124"/>
      <c r="AQ15" s="127">
        <f>((+BB15+E15-BC15)/BC15)</f>
        <v>-0.49511762094984468</v>
      </c>
      <c r="AS15" s="147">
        <f t="shared" si="8"/>
        <v>0</v>
      </c>
      <c r="AT15" s="148"/>
      <c r="AU15" s="3">
        <f>[1]!'CPN,DIVIDEND,1'</f>
        <v>0</v>
      </c>
      <c r="AV15" s="149" t="s">
        <v>68</v>
      </c>
      <c r="AW15" s="280" t="s">
        <v>119</v>
      </c>
      <c r="AX15" s="142"/>
      <c r="AY15" s="132">
        <v>29.96</v>
      </c>
      <c r="AZ15" s="142"/>
      <c r="BA15" s="132">
        <v>37.799999999999997</v>
      </c>
      <c r="BB15" s="142"/>
      <c r="BC15" s="132">
        <v>45.06</v>
      </c>
    </row>
    <row r="16" spans="1:56" x14ac:dyDescent="0.2">
      <c r="A16" s="17" t="s">
        <v>53</v>
      </c>
      <c r="B16" s="151"/>
      <c r="C16" s="39" t="s">
        <v>1</v>
      </c>
      <c r="D16" s="18"/>
      <c r="E16" s="136">
        <f>[1]!'DUK,LAST,1'</f>
        <v>37.17</v>
      </c>
      <c r="F16" s="18"/>
      <c r="G16" s="121"/>
      <c r="H16" s="144"/>
      <c r="I16" s="93"/>
      <c r="J16" s="18"/>
      <c r="K16" s="121">
        <v>2.95</v>
      </c>
      <c r="L16" s="26"/>
      <c r="M16" s="93">
        <f>E16/K16</f>
        <v>12.6</v>
      </c>
      <c r="N16" s="18"/>
      <c r="O16" s="121"/>
      <c r="P16" s="144"/>
      <c r="Q16" s="93"/>
      <c r="R16" s="18"/>
      <c r="S16" s="122">
        <v>3.38</v>
      </c>
      <c r="T16" s="93">
        <f t="shared" si="0"/>
        <v>10.997041420118345</v>
      </c>
      <c r="U16" s="92"/>
      <c r="V16" s="123">
        <f>(S16-K16)/K16</f>
        <v>0.14576271186440667</v>
      </c>
      <c r="W16" s="124"/>
      <c r="X16" s="122">
        <v>2.5</v>
      </c>
      <c r="Y16" s="125"/>
      <c r="Z16" s="93">
        <f t="shared" si="1"/>
        <v>14.868</v>
      </c>
      <c r="AA16" s="92"/>
      <c r="AB16" s="126">
        <f t="shared" si="2"/>
        <v>0.12400000000000003</v>
      </c>
      <c r="AC16" s="291">
        <v>0.18140000000000001</v>
      </c>
      <c r="AD16" s="92"/>
      <c r="AE16" s="122">
        <v>2.81</v>
      </c>
      <c r="AF16" s="125"/>
      <c r="AG16" s="93">
        <f t="shared" si="3"/>
        <v>13.227758007117439</v>
      </c>
      <c r="AH16" s="92"/>
      <c r="AJ16" s="92"/>
      <c r="AK16" s="123">
        <f t="shared" si="4"/>
        <v>-0.26035502958579881</v>
      </c>
      <c r="AL16" s="124"/>
      <c r="AM16" s="97">
        <f t="shared" si="5"/>
        <v>-7.5373134328358238E-2</v>
      </c>
      <c r="AN16" s="124"/>
      <c r="AO16" s="124">
        <f t="shared" si="6"/>
        <v>-4.0117918482440347E-2</v>
      </c>
      <c r="AP16" s="124"/>
      <c r="AQ16" s="127">
        <f t="shared" si="7"/>
        <v>-0.10851712810886892</v>
      </c>
      <c r="AS16" s="147">
        <f t="shared" si="8"/>
        <v>2.9593758407317729E-2</v>
      </c>
      <c r="AT16" s="148"/>
      <c r="AU16" s="3">
        <f>[1]!'DUK,DIVIDEND,1'</f>
        <v>1.1000000000000001</v>
      </c>
      <c r="AV16" s="152">
        <v>37118</v>
      </c>
      <c r="AW16" s="98">
        <v>0.27500000000000002</v>
      </c>
      <c r="AX16" s="281"/>
      <c r="AY16" s="132">
        <v>40.200000000000003</v>
      </c>
      <c r="AZ16" s="281">
        <v>0.27500000000000002</v>
      </c>
      <c r="BA16" s="132">
        <v>39.01</v>
      </c>
      <c r="BB16" s="281">
        <f>0.275*3</f>
        <v>0.82500000000000007</v>
      </c>
      <c r="BC16" s="132">
        <v>42.62</v>
      </c>
    </row>
    <row r="17" spans="1:55" ht="15.75" x14ac:dyDescent="0.25">
      <c r="A17" s="17" t="s">
        <v>95</v>
      </c>
      <c r="B17" s="151"/>
      <c r="C17" s="39" t="s">
        <v>54</v>
      </c>
      <c r="D17" s="18"/>
      <c r="E17" s="136">
        <f>[1]!'DYN,LAST,1'</f>
        <v>33.020000000000003</v>
      </c>
      <c r="F17" s="18"/>
      <c r="G17" s="121"/>
      <c r="H17" s="144"/>
      <c r="I17" s="93"/>
      <c r="J17" s="18"/>
      <c r="K17" s="121">
        <v>0.7</v>
      </c>
      <c r="L17" s="26"/>
      <c r="M17" s="93">
        <f>E17/K17</f>
        <v>47.171428571428578</v>
      </c>
      <c r="N17" s="18"/>
      <c r="O17" s="121"/>
      <c r="P17" s="144"/>
      <c r="Q17" s="93"/>
      <c r="R17" s="18"/>
      <c r="S17" s="122">
        <v>0.57999999999999996</v>
      </c>
      <c r="T17" s="93">
        <f t="shared" si="0"/>
        <v>56.931034482758633</v>
      </c>
      <c r="U17" s="92"/>
      <c r="V17" s="123">
        <f>(S17-K17)/K17</f>
        <v>-0.17142857142857143</v>
      </c>
      <c r="W17" s="124"/>
      <c r="X17" s="122">
        <v>2.0499999999999998</v>
      </c>
      <c r="Y17" s="125"/>
      <c r="Z17" s="93">
        <f t="shared" si="1"/>
        <v>16.107317073170734</v>
      </c>
      <c r="AA17" s="92"/>
      <c r="AB17" s="126">
        <f t="shared" si="2"/>
        <v>0.23902439024390257</v>
      </c>
      <c r="AC17" s="291">
        <v>0.20399999999999999</v>
      </c>
      <c r="AD17" s="92"/>
      <c r="AE17" s="122">
        <v>2.54</v>
      </c>
      <c r="AF17" s="153"/>
      <c r="AG17" s="93">
        <f t="shared" si="3"/>
        <v>13.000000000000002</v>
      </c>
      <c r="AH17" s="92"/>
      <c r="AJ17" s="92"/>
      <c r="AK17" s="123">
        <f t="shared" si="4"/>
        <v>2.5344827586206895</v>
      </c>
      <c r="AL17" s="124"/>
      <c r="AM17" s="97">
        <f t="shared" si="5"/>
        <v>-0.17758405977584049</v>
      </c>
      <c r="AN17" s="124"/>
      <c r="AO17" s="124">
        <f t="shared" si="6"/>
        <v>-0.288279569892473</v>
      </c>
      <c r="AP17" s="124"/>
      <c r="AQ17" s="127">
        <f t="shared" si="7"/>
        <v>-0.40700111482720169</v>
      </c>
      <c r="AS17" s="147">
        <f t="shared" si="8"/>
        <v>9.085402786190187E-3</v>
      </c>
      <c r="AT17" s="148"/>
      <c r="AU17" s="3">
        <f>[1]!'DYN,DIVIDEND,1'</f>
        <v>0.3</v>
      </c>
      <c r="AV17" s="149">
        <v>37132</v>
      </c>
      <c r="AW17" s="98">
        <v>7.4999999999999997E-2</v>
      </c>
      <c r="AX17" s="281"/>
      <c r="AY17" s="132">
        <v>40.15</v>
      </c>
      <c r="AZ17" s="281">
        <v>7.4999999999999997E-2</v>
      </c>
      <c r="BA17" s="132">
        <v>46.5</v>
      </c>
      <c r="BB17" s="281">
        <f>0.075*3</f>
        <v>0.22499999999999998</v>
      </c>
      <c r="BC17" s="132">
        <v>56.0625</v>
      </c>
    </row>
    <row r="18" spans="1:55" x14ac:dyDescent="0.2">
      <c r="A18" s="17" t="s">
        <v>55</v>
      </c>
      <c r="B18" s="6"/>
      <c r="C18" s="39" t="s">
        <v>2</v>
      </c>
      <c r="D18" s="18"/>
      <c r="E18" s="136">
        <f>[1]!'EPG,LAST,1'</f>
        <v>44.49</v>
      </c>
      <c r="F18" s="18"/>
      <c r="G18" s="121">
        <v>2.85</v>
      </c>
      <c r="H18" s="144" t="s">
        <v>50</v>
      </c>
      <c r="I18" s="93">
        <f>E18/G18</f>
        <v>15.610526315789475</v>
      </c>
      <c r="J18" s="18"/>
      <c r="K18" s="121">
        <v>3.18</v>
      </c>
      <c r="L18" s="26"/>
      <c r="M18" s="93">
        <f>E18/K18</f>
        <v>13.990566037735849</v>
      </c>
      <c r="N18" s="18"/>
      <c r="O18" s="121">
        <v>2.85</v>
      </c>
      <c r="P18" s="144" t="s">
        <v>50</v>
      </c>
      <c r="Q18" s="93">
        <f>M18/O18</f>
        <v>4.9089705395564378</v>
      </c>
      <c r="R18" s="18"/>
      <c r="S18" s="122">
        <v>1.83</v>
      </c>
      <c r="T18" s="93">
        <f t="shared" si="0"/>
        <v>24.311475409836067</v>
      </c>
      <c r="U18" s="92"/>
      <c r="V18" s="123">
        <f>(S18-K18)/K18</f>
        <v>-0.42452830188679247</v>
      </c>
      <c r="W18" s="124"/>
      <c r="X18" s="122">
        <v>3.33</v>
      </c>
      <c r="Y18" s="125"/>
      <c r="Z18" s="93">
        <f t="shared" si="1"/>
        <v>13.36036036036036</v>
      </c>
      <c r="AA18" s="92"/>
      <c r="AB18" s="126">
        <f t="shared" si="2"/>
        <v>0.14714714714714708</v>
      </c>
      <c r="AC18" s="291">
        <v>0.18629999999999999</v>
      </c>
      <c r="AD18" s="92"/>
      <c r="AE18" s="122">
        <v>3.82</v>
      </c>
      <c r="AF18" s="125"/>
      <c r="AG18" s="93">
        <f t="shared" si="3"/>
        <v>11.646596858638745</v>
      </c>
      <c r="AH18" s="92"/>
      <c r="AJ18" s="92"/>
      <c r="AK18" s="123">
        <f t="shared" si="4"/>
        <v>0.81967213114754101</v>
      </c>
      <c r="AL18" s="124"/>
      <c r="AM18" s="97">
        <f t="shared" si="5"/>
        <v>-0.11019999999999996</v>
      </c>
      <c r="AN18" s="124"/>
      <c r="AO18" s="124">
        <f t="shared" si="6"/>
        <v>-0.14917205938332698</v>
      </c>
      <c r="AP18" s="124"/>
      <c r="AQ18" s="127">
        <f t="shared" si="7"/>
        <v>-0.36994764397905755</v>
      </c>
      <c r="AS18" s="147">
        <f t="shared" si="8"/>
        <v>1.910541694762868E-2</v>
      </c>
      <c r="AT18" s="148"/>
      <c r="AU18" s="3">
        <f>[1]!'EPG,DIVIDEND,1'</f>
        <v>0.85</v>
      </c>
      <c r="AV18" s="282">
        <v>37139</v>
      </c>
      <c r="AW18" s="98">
        <v>0.21249999999999999</v>
      </c>
      <c r="AX18" s="281"/>
      <c r="AY18" s="132">
        <v>50</v>
      </c>
      <c r="AZ18" s="281">
        <v>0.21249999999999999</v>
      </c>
      <c r="BA18" s="132">
        <v>52.54</v>
      </c>
      <c r="BB18" s="281">
        <f>0.2125*3</f>
        <v>0.63749999999999996</v>
      </c>
      <c r="BC18" s="132">
        <v>71.625</v>
      </c>
    </row>
    <row r="19" spans="1:55" x14ac:dyDescent="0.2">
      <c r="A19" s="17" t="s">
        <v>64</v>
      </c>
      <c r="B19" s="6"/>
      <c r="C19" s="39" t="s">
        <v>65</v>
      </c>
      <c r="D19" s="18"/>
      <c r="E19" s="136">
        <f>[1]!'KMI,LAST,1'</f>
        <v>51.33</v>
      </c>
      <c r="F19" s="18"/>
      <c r="G19" s="121"/>
      <c r="H19" s="144"/>
      <c r="I19" s="93"/>
      <c r="J19" s="18"/>
      <c r="K19" s="121">
        <v>2.4300000000000002</v>
      </c>
      <c r="L19" s="26"/>
      <c r="M19" s="93">
        <f>E19/K19</f>
        <v>21.123456790123456</v>
      </c>
      <c r="N19" s="18"/>
      <c r="O19" s="121"/>
      <c r="P19" s="144"/>
      <c r="Q19" s="93"/>
      <c r="R19" s="18"/>
      <c r="S19" s="122">
        <v>1.17</v>
      </c>
      <c r="T19" s="93">
        <f t="shared" si="0"/>
        <v>43.871794871794876</v>
      </c>
      <c r="U19" s="92"/>
      <c r="V19" s="123"/>
      <c r="W19" s="124"/>
      <c r="X19" s="122">
        <v>1.88</v>
      </c>
      <c r="Y19" s="125"/>
      <c r="Z19" s="93">
        <f t="shared" si="1"/>
        <v>27.303191489361701</v>
      </c>
      <c r="AA19" s="92"/>
      <c r="AB19" s="126">
        <f t="shared" si="2"/>
        <v>0.31914893617021284</v>
      </c>
      <c r="AC19" s="291">
        <v>0.1061</v>
      </c>
      <c r="AD19" s="92"/>
      <c r="AE19" s="122">
        <v>2.48</v>
      </c>
      <c r="AF19" s="125"/>
      <c r="AG19" s="93">
        <f t="shared" si="3"/>
        <v>20.697580645161288</v>
      </c>
      <c r="AH19" s="92"/>
      <c r="AJ19" s="92"/>
      <c r="AK19" s="123">
        <f t="shared" si="4"/>
        <v>0.60683760683760679</v>
      </c>
      <c r="AL19" s="124"/>
      <c r="AM19" s="97">
        <f t="shared" si="5"/>
        <v>-7.4468085106383017E-2</v>
      </c>
      <c r="AN19" s="124"/>
      <c r="AO19" s="124">
        <f t="shared" si="6"/>
        <v>2.2487562189054636E-2</v>
      </c>
      <c r="AP19" s="124"/>
      <c r="AQ19" s="127">
        <f t="shared" si="7"/>
        <v>-1.355688622754497E-2</v>
      </c>
      <c r="AS19" s="147">
        <f t="shared" si="8"/>
        <v>3.8963569062926166E-3</v>
      </c>
      <c r="AT19" s="148"/>
      <c r="AU19" s="3">
        <f>[1]!'KMI,DIVIDEND,1'</f>
        <v>0.2</v>
      </c>
      <c r="AV19" s="149">
        <v>37099</v>
      </c>
      <c r="AW19" s="98">
        <v>0.05</v>
      </c>
      <c r="AX19" s="142"/>
      <c r="AY19" s="132">
        <v>55.46</v>
      </c>
      <c r="AZ19" s="281">
        <v>0.05</v>
      </c>
      <c r="BA19" s="132">
        <v>50.25</v>
      </c>
      <c r="BB19" s="281">
        <f>0.05*3</f>
        <v>0.15000000000000002</v>
      </c>
      <c r="BC19" s="132">
        <v>52.1875</v>
      </c>
    </row>
    <row r="20" spans="1:55" x14ac:dyDescent="0.2">
      <c r="A20" s="154" t="s">
        <v>105</v>
      </c>
      <c r="B20" s="155"/>
      <c r="C20" s="62" t="s">
        <v>104</v>
      </c>
      <c r="D20" s="18"/>
      <c r="E20" s="136">
        <f>[1]!'MIR,LAST,1'</f>
        <v>22.6</v>
      </c>
      <c r="F20" s="18"/>
      <c r="G20" s="62"/>
      <c r="H20" s="60"/>
      <c r="I20" s="62"/>
      <c r="J20" s="18"/>
      <c r="K20" s="62"/>
      <c r="L20" s="60"/>
      <c r="M20" s="62"/>
      <c r="N20" s="18"/>
      <c r="O20" s="62"/>
      <c r="P20" s="60"/>
      <c r="Q20" s="62"/>
      <c r="R20" s="18"/>
      <c r="S20" s="62"/>
      <c r="T20" s="62"/>
      <c r="U20" s="62"/>
      <c r="V20" s="62"/>
      <c r="W20" s="62"/>
      <c r="X20" s="122">
        <v>1.98</v>
      </c>
      <c r="Y20" s="125"/>
      <c r="Z20" s="93">
        <f>E20/X20</f>
        <v>11.414141414141415</v>
      </c>
      <c r="AA20" s="92"/>
      <c r="AB20" s="126">
        <f t="shared" si="2"/>
        <v>0.29292929292929298</v>
      </c>
      <c r="AC20" s="291">
        <v>8.8800000000000004E-2</v>
      </c>
      <c r="AD20" s="92"/>
      <c r="AE20" s="122">
        <v>2.56</v>
      </c>
      <c r="AF20" s="125"/>
      <c r="AG20" s="93">
        <f>E20/AE20</f>
        <v>8.828125</v>
      </c>
      <c r="AH20" s="92"/>
      <c r="AJ20" s="92"/>
      <c r="AK20" s="123" t="e">
        <f>(X20-S20)/S20</f>
        <v>#DIV/0!</v>
      </c>
      <c r="AL20" s="124"/>
      <c r="AM20" s="97">
        <f>((+AX20+E20-AY20)/AY20)</f>
        <v>-0.13043478260869554</v>
      </c>
      <c r="AN20" s="124"/>
      <c r="AO20" s="124">
        <f>((+AZ20+E20-BA20)/BA20)</f>
        <v>-0.34302325581395343</v>
      </c>
      <c r="AP20" s="124"/>
      <c r="AQ20" s="127">
        <f>((+BB20+E20-BC20)/BC20)</f>
        <v>-0.201766004415011</v>
      </c>
      <c r="AS20" s="147">
        <f>AU20/E20</f>
        <v>0</v>
      </c>
      <c r="AT20" s="148"/>
      <c r="AU20" s="3">
        <f>[1]!'MIR,DIVIDEND,1'</f>
        <v>0</v>
      </c>
      <c r="AV20" s="149" t="s">
        <v>68</v>
      </c>
      <c r="AW20" s="98">
        <v>0</v>
      </c>
      <c r="AX20" s="142"/>
      <c r="AY20" s="132">
        <v>25.99</v>
      </c>
      <c r="AZ20" s="142"/>
      <c r="BA20" s="132">
        <v>34.4</v>
      </c>
      <c r="BB20" s="142"/>
      <c r="BC20" s="132">
        <v>28.3125</v>
      </c>
    </row>
    <row r="21" spans="1:55" x14ac:dyDescent="0.2">
      <c r="A21" s="17" t="s">
        <v>92</v>
      </c>
      <c r="B21" s="155"/>
      <c r="C21" s="19" t="s">
        <v>91</v>
      </c>
      <c r="D21" s="5"/>
      <c r="E21" s="136">
        <f>[1]!'NRG,LAST,1'</f>
        <v>15.5</v>
      </c>
      <c r="F21" s="5"/>
      <c r="G21" s="18"/>
      <c r="H21" s="18"/>
      <c r="I21" s="18"/>
      <c r="J21" s="18"/>
      <c r="K21" s="18"/>
      <c r="L21" s="18"/>
      <c r="M21" s="18"/>
      <c r="N21" s="5"/>
      <c r="O21" s="18"/>
      <c r="P21" s="18"/>
      <c r="Q21" s="18"/>
      <c r="R21" s="18"/>
      <c r="S21" s="18"/>
      <c r="T21" s="18"/>
      <c r="U21" s="26"/>
      <c r="V21" s="156"/>
      <c r="W21" s="105"/>
      <c r="X21" s="122">
        <v>1.37</v>
      </c>
      <c r="Y21" s="125"/>
      <c r="Z21" s="93">
        <f>E21/X21</f>
        <v>11.313868613138686</v>
      </c>
      <c r="AA21" s="92"/>
      <c r="AB21" s="126">
        <f t="shared" si="2"/>
        <v>0.23357664233576628</v>
      </c>
      <c r="AC21" s="291">
        <v>0.15529999999999999</v>
      </c>
      <c r="AD21" s="92"/>
      <c r="AE21" s="122">
        <v>1.69</v>
      </c>
      <c r="AF21" s="125"/>
      <c r="AG21" s="93">
        <f>E21/AE21</f>
        <v>9.1715976331360949</v>
      </c>
      <c r="AH21" s="92"/>
      <c r="AJ21" s="92"/>
      <c r="AK21" s="123" t="e">
        <f>(X21-S21)/S21</f>
        <v>#DIV/0!</v>
      </c>
      <c r="AL21" s="124"/>
      <c r="AM21" s="97">
        <f t="shared" si="5"/>
        <v>-8.8235294117647065E-2</v>
      </c>
      <c r="AN21" s="124"/>
      <c r="AO21" s="124">
        <f t="shared" si="6"/>
        <v>-0.29800724637681153</v>
      </c>
      <c r="AP21" s="124"/>
      <c r="AQ21" s="127">
        <f t="shared" si="7"/>
        <v>-0.44269662921348313</v>
      </c>
      <c r="AS21" s="147">
        <f t="shared" si="8"/>
        <v>1.806451612903226E-2</v>
      </c>
      <c r="AT21" s="148"/>
      <c r="AU21" s="3">
        <f>[1]!'NRG,DIVIDEND,1'</f>
        <v>0.28000000000000003</v>
      </c>
      <c r="AV21" s="149">
        <v>37008</v>
      </c>
      <c r="AW21" s="98">
        <v>0</v>
      </c>
      <c r="AX21" s="142"/>
      <c r="AY21" s="132">
        <v>17</v>
      </c>
      <c r="AZ21" s="142"/>
      <c r="BA21" s="132">
        <v>22.08</v>
      </c>
      <c r="BB21" s="142"/>
      <c r="BC21" s="132">
        <v>27.8125</v>
      </c>
    </row>
    <row r="22" spans="1:55" x14ac:dyDescent="0.2">
      <c r="A22" s="17" t="s">
        <v>113</v>
      </c>
      <c r="B22" s="18"/>
      <c r="C22" s="39" t="s">
        <v>111</v>
      </c>
      <c r="D22" s="18"/>
      <c r="E22" s="136">
        <f>[1]!'RRI,LAST,1'</f>
        <v>16.350000000000001</v>
      </c>
      <c r="F22" s="18"/>
      <c r="G22" s="121"/>
      <c r="H22" s="144"/>
      <c r="I22" s="93"/>
      <c r="J22" s="18"/>
      <c r="K22" s="121"/>
      <c r="L22" s="26"/>
      <c r="M22" s="93"/>
      <c r="N22" s="18"/>
      <c r="O22" s="121"/>
      <c r="P22" s="144"/>
      <c r="Q22" s="93"/>
      <c r="R22" s="18"/>
      <c r="S22" s="122">
        <v>1.1499999999999999</v>
      </c>
      <c r="T22" s="93">
        <f>E22/S22</f>
        <v>14.217391304347828</v>
      </c>
      <c r="U22" s="92"/>
      <c r="V22" s="123"/>
      <c r="W22" s="124"/>
      <c r="X22" s="133">
        <v>1.66</v>
      </c>
      <c r="Y22" s="145"/>
      <c r="Z22" s="93">
        <f t="shared" si="1"/>
        <v>9.8493975903614466</v>
      </c>
      <c r="AA22" s="288"/>
      <c r="AB22" s="126">
        <f t="shared" si="2"/>
        <v>0.28313253012048195</v>
      </c>
      <c r="AC22" s="292" t="s">
        <v>76</v>
      </c>
      <c r="AD22" s="135"/>
      <c r="AE22" s="133">
        <v>2.13</v>
      </c>
      <c r="AF22" s="145"/>
      <c r="AG22" s="93">
        <f t="shared" si="3"/>
        <v>7.6760563380281699</v>
      </c>
      <c r="AH22" s="92"/>
      <c r="AJ22" s="92"/>
      <c r="AK22" s="123">
        <f>(X22-S22)/S22</f>
        <v>0.44347826086956527</v>
      </c>
      <c r="AL22" s="124"/>
      <c r="AM22" s="97">
        <f t="shared" si="5"/>
        <v>-0.14397905759162302</v>
      </c>
      <c r="AN22" s="124"/>
      <c r="AO22" s="279" t="s">
        <v>76</v>
      </c>
      <c r="AP22" s="124"/>
      <c r="AQ22" s="146" t="s">
        <v>76</v>
      </c>
      <c r="AS22" s="147">
        <f t="shared" si="8"/>
        <v>0</v>
      </c>
      <c r="AT22" s="148"/>
      <c r="AU22" s="3">
        <f>[1]!'RRI,DIVIDEND,1'</f>
        <v>0</v>
      </c>
      <c r="AV22" s="149" t="s">
        <v>68</v>
      </c>
      <c r="AW22" s="98">
        <v>0</v>
      </c>
      <c r="AX22" s="142"/>
      <c r="AY22" s="132">
        <v>19.100000000000001</v>
      </c>
      <c r="AZ22" s="142"/>
      <c r="BA22" s="150">
        <v>24.7</v>
      </c>
      <c r="BB22" s="142">
        <v>0</v>
      </c>
      <c r="BC22" s="150" t="s">
        <v>76</v>
      </c>
    </row>
    <row r="23" spans="1:55" x14ac:dyDescent="0.2">
      <c r="A23" s="17" t="s">
        <v>84</v>
      </c>
      <c r="B23" s="18"/>
      <c r="C23" s="39" t="s">
        <v>4</v>
      </c>
      <c r="D23" s="18"/>
      <c r="E23" s="136">
        <f>[1]!'WMB,LAST,1'</f>
        <v>26</v>
      </c>
      <c r="F23" s="18"/>
      <c r="G23" s="121">
        <v>2.08</v>
      </c>
      <c r="H23" s="144" t="s">
        <v>50</v>
      </c>
      <c r="I23" s="93">
        <f>E23/G23</f>
        <v>12.5</v>
      </c>
      <c r="J23" s="18"/>
      <c r="K23" s="121">
        <v>1.04</v>
      </c>
      <c r="L23" s="26"/>
      <c r="M23" s="93">
        <f>E23/K23</f>
        <v>25</v>
      </c>
      <c r="N23" s="18"/>
      <c r="O23" s="121">
        <v>2.08</v>
      </c>
      <c r="P23" s="144" t="s">
        <v>50</v>
      </c>
      <c r="Q23" s="93">
        <f>M23/O23</f>
        <v>12.019230769230768</v>
      </c>
      <c r="R23" s="18"/>
      <c r="S23" s="122">
        <v>0.82</v>
      </c>
      <c r="T23" s="93">
        <f>E23/S23</f>
        <v>31.707317073170735</v>
      </c>
      <c r="U23" s="92"/>
      <c r="V23" s="123">
        <f>(S23-K23)/K23</f>
        <v>-0.21153846153846162</v>
      </c>
      <c r="W23" s="124"/>
      <c r="X23" s="122">
        <v>2.37</v>
      </c>
      <c r="Y23" s="125"/>
      <c r="Z23" s="93">
        <f t="shared" si="1"/>
        <v>10.970464135021096</v>
      </c>
      <c r="AA23" s="92"/>
      <c r="AB23" s="126">
        <f t="shared" si="2"/>
        <v>0.14345991561181429</v>
      </c>
      <c r="AC23" s="291">
        <v>0.14749999999999999</v>
      </c>
      <c r="AD23" s="92"/>
      <c r="AE23" s="122">
        <v>2.71</v>
      </c>
      <c r="AF23" s="125"/>
      <c r="AG23" s="93">
        <f t="shared" si="3"/>
        <v>9.5940959409594093</v>
      </c>
      <c r="AH23" s="92"/>
      <c r="AJ23" s="92"/>
      <c r="AK23" s="123">
        <f t="shared" si="4"/>
        <v>1.8902439024390247</v>
      </c>
      <c r="AL23" s="124"/>
      <c r="AM23" s="97">
        <f t="shared" si="5"/>
        <v>-0.17381633301557037</v>
      </c>
      <c r="AN23" s="124"/>
      <c r="AO23" s="124">
        <f t="shared" si="6"/>
        <v>-0.20546282245827019</v>
      </c>
      <c r="AP23" s="124"/>
      <c r="AQ23" s="127">
        <f t="shared" si="7"/>
        <v>-0.3369640062597809</v>
      </c>
      <c r="AS23" s="147">
        <f t="shared" si="8"/>
        <v>2.769230769230769E-2</v>
      </c>
      <c r="AT23" s="148"/>
      <c r="AU23" s="3">
        <f>[1]!'WMB,DIVIDEND,1'</f>
        <v>0.72</v>
      </c>
      <c r="AV23" s="149">
        <v>37125</v>
      </c>
      <c r="AW23" s="98">
        <v>0.18</v>
      </c>
      <c r="AX23" s="281"/>
      <c r="AY23" s="132">
        <v>31.47</v>
      </c>
      <c r="AZ23" s="281">
        <v>0.18</v>
      </c>
      <c r="BA23" s="132">
        <v>32.950000000000003</v>
      </c>
      <c r="BB23" s="281">
        <f>(0.15*2)+0.18</f>
        <v>0.48</v>
      </c>
      <c r="BC23" s="132">
        <v>39.9375</v>
      </c>
    </row>
    <row r="24" spans="1:55" ht="10.5" customHeight="1" x14ac:dyDescent="0.2">
      <c r="A24" s="5"/>
      <c r="B24" s="5"/>
      <c r="C24" s="6"/>
      <c r="D24" s="5"/>
      <c r="E24" s="136"/>
      <c r="F24" s="5"/>
      <c r="G24" s="157"/>
      <c r="H24" s="158"/>
      <c r="I24" s="137"/>
      <c r="J24" s="18"/>
      <c r="K24" s="157"/>
      <c r="L24" s="7"/>
      <c r="M24" s="137"/>
      <c r="N24" s="5"/>
      <c r="O24" s="157"/>
      <c r="P24" s="158"/>
      <c r="Q24" s="137"/>
      <c r="R24" s="18"/>
      <c r="S24" s="157"/>
      <c r="T24" s="137"/>
      <c r="U24" s="7"/>
      <c r="V24" s="123"/>
      <c r="W24" s="124"/>
      <c r="X24" s="157"/>
      <c r="Y24" s="7"/>
      <c r="Z24" s="137"/>
      <c r="AA24" s="7"/>
      <c r="AB24" s="138"/>
      <c r="AC24" s="139" t="s">
        <v>103</v>
      </c>
      <c r="AD24" s="7"/>
      <c r="AE24" s="157"/>
      <c r="AF24" s="7"/>
      <c r="AG24" s="139"/>
      <c r="AH24" s="140"/>
      <c r="AJ24" s="7"/>
      <c r="AK24" s="123"/>
      <c r="AL24" s="124"/>
      <c r="AM24" s="97"/>
      <c r="AN24" s="124"/>
      <c r="AO24" s="124"/>
      <c r="AP24" s="124"/>
      <c r="AQ24" s="127"/>
      <c r="AS24" s="123"/>
      <c r="AT24" s="97"/>
      <c r="AU24" s="159"/>
      <c r="AV24" s="160"/>
      <c r="AW24" s="161"/>
      <c r="AX24" s="162"/>
      <c r="AY24" s="163"/>
      <c r="AZ24" s="142"/>
      <c r="BA24" s="164"/>
      <c r="BB24" s="165"/>
      <c r="BC24" s="164"/>
    </row>
    <row r="25" spans="1:55" x14ac:dyDescent="0.2">
      <c r="A25" s="17" t="s">
        <v>89</v>
      </c>
      <c r="B25" s="18"/>
      <c r="C25" s="19"/>
      <c r="D25" s="18"/>
      <c r="E25" s="136"/>
      <c r="F25" s="18"/>
      <c r="G25" s="166"/>
      <c r="H25" s="167"/>
      <c r="I25" s="168">
        <f>AVERAGE(I14:I23)</f>
        <v>11.082746060065418</v>
      </c>
      <c r="J25" s="26"/>
      <c r="K25" s="166"/>
      <c r="L25" s="167"/>
      <c r="M25" s="168">
        <f>AVERAGE(M14:M23)</f>
        <v>20.799059713646496</v>
      </c>
      <c r="N25" s="18"/>
      <c r="O25" s="166"/>
      <c r="P25" s="167"/>
      <c r="Q25" s="168">
        <f>AVERAGE(Q14:Q23)</f>
        <v>5.9894079844679879</v>
      </c>
      <c r="R25" s="26"/>
      <c r="S25" s="166"/>
      <c r="T25" s="168">
        <f>AVERAGE(T14:T23)</f>
        <v>27.01514648678679</v>
      </c>
      <c r="U25" s="92"/>
      <c r="V25" s="169">
        <f>AVERAGE(V14:V23)</f>
        <v>-0.19348012783675017</v>
      </c>
      <c r="W25" s="124"/>
      <c r="X25" s="170"/>
      <c r="Y25" s="171"/>
      <c r="Z25" s="168">
        <f>AVERAGE(Z13:Z23)</f>
        <v>13.548688438868737</v>
      </c>
      <c r="AA25" s="92"/>
      <c r="AB25" s="172"/>
      <c r="AC25" s="168"/>
      <c r="AD25" s="92"/>
      <c r="AE25" s="173"/>
      <c r="AF25" s="174"/>
      <c r="AG25" s="168">
        <f>AVERAGE(AG13:AG23)</f>
        <v>11.214311839116915</v>
      </c>
      <c r="AH25" s="92"/>
      <c r="AJ25" s="92"/>
      <c r="AK25" s="169" t="e">
        <f>AVERAGE(AK14:AK23)</f>
        <v>#DIV/0!</v>
      </c>
      <c r="AL25" s="124"/>
      <c r="AM25" s="175">
        <f>AVERAGE(AM13:AM23)</f>
        <v>-0.14397808473371357</v>
      </c>
      <c r="AN25" s="176"/>
      <c r="AO25" s="177">
        <f>AVERAGE(AO13:AO23)</f>
        <v>-0.23738055202651231</v>
      </c>
      <c r="AP25" s="176"/>
      <c r="AQ25" s="178">
        <f>AVERAGE(AQ13:AQ23)</f>
        <v>-0.32640486482405096</v>
      </c>
      <c r="AS25" s="169">
        <f>AVERAGE(AS13:AS23)</f>
        <v>9.767068988069923E-3</v>
      </c>
      <c r="AT25" s="97"/>
      <c r="AU25" s="179"/>
      <c r="AV25" s="180"/>
      <c r="AW25" s="181"/>
      <c r="AX25" s="182"/>
      <c r="AY25" s="181"/>
      <c r="AZ25" s="183"/>
      <c r="BA25" s="184"/>
      <c r="BB25" s="183"/>
      <c r="BC25" s="184"/>
    </row>
    <row r="26" spans="1:55" x14ac:dyDescent="0.2">
      <c r="A26" s="252"/>
      <c r="B26" s="5"/>
      <c r="C26" s="6"/>
      <c r="D26" s="5"/>
      <c r="E26" s="5"/>
      <c r="F26" s="5"/>
      <c r="G26" s="18"/>
      <c r="H26" s="18"/>
      <c r="I26" s="18"/>
      <c r="J26" s="18"/>
      <c r="K26" s="18"/>
      <c r="L26" s="18"/>
      <c r="M26" s="18"/>
      <c r="N26" s="5"/>
      <c r="O26" s="18"/>
      <c r="P26" s="18"/>
      <c r="Q26" s="18"/>
      <c r="R26" s="18"/>
      <c r="S26" s="18"/>
      <c r="T26" s="18"/>
      <c r="U26" s="26"/>
      <c r="V26" s="156"/>
      <c r="W26" s="105"/>
      <c r="X26" s="18"/>
      <c r="Y26" s="18"/>
      <c r="Z26" s="18"/>
      <c r="AA26" s="18"/>
      <c r="AB26" s="18"/>
      <c r="AC26" s="18"/>
      <c r="AD26" s="18"/>
      <c r="AE26" s="18"/>
      <c r="AF26" s="18"/>
      <c r="AG26" s="186"/>
      <c r="AH26" s="186"/>
      <c r="AI26" s="186"/>
      <c r="AJ26" s="18"/>
      <c r="AK26" s="156"/>
      <c r="AL26" s="105"/>
      <c r="AM26" s="105"/>
      <c r="AN26" s="105"/>
      <c r="AO26" s="105"/>
      <c r="AP26" s="105"/>
      <c r="AQ26" s="105"/>
      <c r="AS26" s="105"/>
      <c r="AT26" s="34"/>
      <c r="AU26" s="187"/>
      <c r="AV26" s="188"/>
      <c r="AW26" s="189"/>
      <c r="AX26" s="34"/>
    </row>
    <row r="27" spans="1:55" ht="9" customHeight="1" x14ac:dyDescent="0.2">
      <c r="A27" s="252"/>
      <c r="B27" s="5"/>
      <c r="C27" s="6"/>
      <c r="D27" s="5"/>
      <c r="E27" s="5"/>
      <c r="F27" s="5"/>
      <c r="G27" s="18"/>
      <c r="H27" s="18"/>
      <c r="I27" s="18"/>
      <c r="J27" s="18"/>
      <c r="K27" s="18"/>
      <c r="L27" s="18"/>
      <c r="M27" s="18"/>
      <c r="N27" s="5"/>
      <c r="O27" s="18"/>
      <c r="P27" s="18"/>
      <c r="Q27" s="18"/>
      <c r="R27" s="18"/>
      <c r="S27" s="18"/>
      <c r="T27" s="18"/>
      <c r="U27" s="26"/>
      <c r="V27" s="156"/>
      <c r="W27" s="105"/>
      <c r="Y27" s="18"/>
      <c r="Z27" s="18"/>
      <c r="AA27" s="18"/>
      <c r="AB27" s="18"/>
      <c r="AC27" s="18"/>
      <c r="AD27" s="18"/>
      <c r="AF27" s="18"/>
      <c r="AG27" s="186"/>
      <c r="AH27" s="186"/>
      <c r="AI27" s="186"/>
      <c r="AJ27" s="18"/>
      <c r="AK27" s="156"/>
      <c r="AL27" s="105"/>
      <c r="AM27" s="105"/>
      <c r="AN27" s="105"/>
      <c r="AO27" s="105"/>
      <c r="AP27" s="105"/>
      <c r="AQ27" s="156"/>
      <c r="AU27" s="187"/>
      <c r="AV27" s="188"/>
      <c r="AW27" s="189"/>
      <c r="AX27" s="34"/>
    </row>
    <row r="28" spans="1:55" ht="9.75" customHeight="1" x14ac:dyDescent="0.2">
      <c r="A28" s="190"/>
      <c r="B28" s="10"/>
      <c r="C28" s="11"/>
      <c r="D28" s="10"/>
      <c r="E28" s="10"/>
      <c r="F28" s="10"/>
      <c r="G28" s="191"/>
      <c r="H28" s="191"/>
      <c r="I28" s="191"/>
      <c r="J28" s="191"/>
      <c r="K28" s="191"/>
      <c r="L28" s="191"/>
      <c r="M28" s="191"/>
      <c r="N28" s="10"/>
      <c r="O28" s="191"/>
      <c r="P28" s="191"/>
      <c r="Q28" s="191"/>
      <c r="R28" s="10"/>
      <c r="S28" s="10"/>
      <c r="T28" s="10"/>
      <c r="U28" s="10"/>
      <c r="V28" s="10"/>
      <c r="W28" s="10"/>
      <c r="X28" s="192" t="s">
        <v>86</v>
      </c>
      <c r="Y28" s="193"/>
      <c r="Z28" s="193"/>
      <c r="AA28" s="193"/>
      <c r="AB28" s="193"/>
      <c r="AC28" s="193"/>
      <c r="AD28" s="193"/>
      <c r="AE28" s="194" t="s">
        <v>86</v>
      </c>
      <c r="AF28" s="18"/>
      <c r="AG28" s="186"/>
      <c r="AH28" s="186"/>
      <c r="AI28" s="186"/>
      <c r="AJ28" s="18"/>
      <c r="AK28" s="156"/>
      <c r="AL28" s="105"/>
      <c r="AM28" s="105"/>
      <c r="AN28" s="105"/>
      <c r="AO28" s="105"/>
      <c r="AP28" s="105"/>
      <c r="AQ28" s="156"/>
      <c r="AU28" s="187"/>
      <c r="AV28" s="188"/>
      <c r="AW28" s="189"/>
      <c r="AX28" s="34"/>
    </row>
    <row r="29" spans="1:55" ht="12.75" customHeight="1" x14ac:dyDescent="0.2">
      <c r="A29" s="195" t="s">
        <v>5</v>
      </c>
      <c r="B29" s="10"/>
      <c r="C29" s="11"/>
      <c r="D29" s="10"/>
      <c r="E29" s="10"/>
      <c r="F29" s="10"/>
      <c r="G29" s="191"/>
      <c r="H29" s="191"/>
      <c r="I29" s="191"/>
      <c r="J29" s="191"/>
      <c r="K29" s="191"/>
      <c r="L29" s="191"/>
      <c r="M29" s="191"/>
      <c r="N29" s="10"/>
      <c r="O29" s="191"/>
      <c r="P29" s="191"/>
      <c r="Q29" s="191"/>
      <c r="R29" s="191"/>
      <c r="S29" s="191"/>
      <c r="T29" s="191"/>
      <c r="U29" s="196"/>
      <c r="V29" s="197"/>
      <c r="W29" s="198"/>
      <c r="X29" s="199" t="s">
        <v>85</v>
      </c>
      <c r="Y29" s="200"/>
      <c r="Z29" s="201"/>
      <c r="AA29" s="201"/>
      <c r="AB29" s="201"/>
      <c r="AC29" s="201"/>
      <c r="AD29" s="201"/>
      <c r="AE29" s="199" t="s">
        <v>108</v>
      </c>
      <c r="AF29" s="18"/>
      <c r="AG29" s="186"/>
      <c r="AH29" s="186"/>
      <c r="AI29" s="186"/>
      <c r="AJ29" s="18"/>
      <c r="AK29" s="156"/>
      <c r="AL29" s="105"/>
      <c r="AM29" s="105"/>
      <c r="AN29" s="105"/>
      <c r="AO29" s="105"/>
      <c r="AP29" s="105"/>
      <c r="AQ29" s="156"/>
      <c r="AU29" s="187"/>
      <c r="AV29" s="188"/>
      <c r="AW29" s="189"/>
      <c r="AX29" s="34"/>
    </row>
    <row r="30" spans="1:55" x14ac:dyDescent="0.2">
      <c r="A30" s="185" t="s">
        <v>80</v>
      </c>
      <c r="B30" s="5"/>
      <c r="C30" s="6"/>
      <c r="D30" s="5"/>
      <c r="E30" s="5"/>
      <c r="F30" s="5"/>
      <c r="G30" s="18"/>
      <c r="H30" s="18"/>
      <c r="I30" s="18"/>
      <c r="J30" s="18"/>
      <c r="K30" s="18"/>
      <c r="L30" s="18"/>
      <c r="M30" s="18"/>
      <c r="N30" s="5"/>
      <c r="O30" s="18"/>
      <c r="P30" s="18"/>
      <c r="Q30" s="18"/>
      <c r="R30" s="18"/>
      <c r="S30" s="18"/>
      <c r="T30" s="18"/>
      <c r="U30" s="26"/>
      <c r="V30" s="156"/>
      <c r="W30" s="105"/>
      <c r="X30" s="202">
        <f>AVERAGE(X37:X55)</f>
        <v>1.8158823529411767</v>
      </c>
      <c r="Y30" s="18"/>
      <c r="Z30" s="18"/>
      <c r="AA30" s="18"/>
      <c r="AB30" s="18"/>
      <c r="AC30" s="18"/>
      <c r="AD30" s="18"/>
      <c r="AE30" s="202">
        <f>AVERAGE(AE37:AE55)</f>
        <v>2.163125</v>
      </c>
      <c r="AF30" s="18"/>
      <c r="AG30" s="186"/>
      <c r="AH30" s="186"/>
      <c r="AI30" s="186"/>
      <c r="AJ30" s="18"/>
      <c r="AK30" s="156"/>
      <c r="AL30" s="105"/>
      <c r="AM30" s="105"/>
      <c r="AN30" s="105"/>
      <c r="AO30" s="105"/>
      <c r="AP30" s="105"/>
      <c r="AQ30" s="156"/>
      <c r="AU30" s="187"/>
      <c r="AV30" s="188"/>
      <c r="AW30" s="189"/>
      <c r="AX30" s="34"/>
    </row>
    <row r="31" spans="1:55" x14ac:dyDescent="0.2">
      <c r="A31" s="185" t="s">
        <v>81</v>
      </c>
      <c r="B31" s="5"/>
      <c r="C31" s="6"/>
      <c r="D31" s="5"/>
      <c r="E31" s="5"/>
      <c r="F31" s="5"/>
      <c r="G31" s="18"/>
      <c r="H31" s="18"/>
      <c r="I31" s="18"/>
      <c r="J31" s="18"/>
      <c r="K31" s="18"/>
      <c r="L31" s="18"/>
      <c r="M31" s="18"/>
      <c r="N31" s="5"/>
      <c r="O31" s="18"/>
      <c r="P31" s="18"/>
      <c r="Q31" s="18"/>
      <c r="R31" s="18"/>
      <c r="S31" s="18"/>
      <c r="T31" s="18"/>
      <c r="U31" s="26"/>
      <c r="V31" s="156"/>
      <c r="W31" s="105"/>
      <c r="X31" s="202">
        <f>MAX(X37:X54)</f>
        <v>1.85</v>
      </c>
      <c r="Y31" s="18"/>
      <c r="Z31" s="18"/>
      <c r="AA31" s="18"/>
      <c r="AB31" s="18"/>
      <c r="AC31" s="18"/>
      <c r="AD31" s="18"/>
      <c r="AE31" s="202">
        <f>MAX(AE37:AE55)</f>
        <v>2.25</v>
      </c>
      <c r="AF31" s="18"/>
      <c r="AG31" s="186"/>
      <c r="AH31" s="186"/>
      <c r="AI31" s="186"/>
      <c r="AJ31" s="18"/>
      <c r="AK31" s="156"/>
      <c r="AL31" s="105"/>
      <c r="AM31" s="105"/>
      <c r="AN31" s="105"/>
      <c r="AO31" s="105"/>
      <c r="AP31" s="105"/>
      <c r="AQ31" s="156"/>
      <c r="AU31" s="187"/>
      <c r="AV31" s="188"/>
      <c r="AW31" s="189"/>
      <c r="AX31" s="34"/>
    </row>
    <row r="32" spans="1:55" x14ac:dyDescent="0.2">
      <c r="A32" s="185" t="s">
        <v>106</v>
      </c>
      <c r="B32" s="5"/>
      <c r="C32" s="6"/>
      <c r="D32" s="5"/>
      <c r="E32" s="5"/>
      <c r="F32" s="5"/>
      <c r="G32" s="18"/>
      <c r="H32" s="18"/>
      <c r="I32" s="18"/>
      <c r="J32" s="18"/>
      <c r="K32" s="18"/>
      <c r="L32" s="18"/>
      <c r="M32" s="18"/>
      <c r="N32" s="5"/>
      <c r="O32" s="18"/>
      <c r="P32" s="18"/>
      <c r="Q32" s="18"/>
      <c r="R32" s="18"/>
      <c r="S32" s="18"/>
      <c r="T32" s="18"/>
      <c r="U32" s="26"/>
      <c r="V32" s="156"/>
      <c r="W32" s="105"/>
      <c r="X32" s="203">
        <f>MIN(X37:X55)</f>
        <v>1.8</v>
      </c>
      <c r="Y32" s="18"/>
      <c r="Z32" s="18"/>
      <c r="AA32" s="18"/>
      <c r="AB32" s="18"/>
      <c r="AC32" s="18"/>
      <c r="AD32" s="18"/>
      <c r="AE32" s="203">
        <f>MIN(AE37:AE55)</f>
        <v>2.1</v>
      </c>
      <c r="AF32" s="18"/>
      <c r="AG32" s="186"/>
      <c r="AH32" s="186"/>
      <c r="AI32" s="186"/>
      <c r="AJ32" s="18"/>
      <c r="AK32" s="156"/>
      <c r="AL32" s="105"/>
      <c r="AM32" s="105"/>
      <c r="AN32" s="105"/>
      <c r="AO32" s="105"/>
      <c r="AP32" s="105"/>
      <c r="AQ32" s="156"/>
      <c r="AU32" s="187"/>
      <c r="AV32" s="188"/>
      <c r="AW32" s="189"/>
      <c r="AX32" s="34"/>
    </row>
    <row r="33" spans="1:50" x14ac:dyDescent="0.2">
      <c r="A33" s="185"/>
      <c r="B33" s="5"/>
      <c r="C33" s="6"/>
      <c r="D33" s="5"/>
      <c r="E33" s="5"/>
      <c r="F33" s="5"/>
      <c r="G33" s="18"/>
      <c r="H33" s="18"/>
      <c r="I33" s="18"/>
      <c r="J33" s="18"/>
      <c r="K33" s="18"/>
      <c r="L33" s="18"/>
      <c r="M33" s="18"/>
      <c r="N33" s="5"/>
      <c r="O33" s="18"/>
      <c r="P33" s="18"/>
      <c r="Q33" s="18"/>
      <c r="R33" s="18"/>
      <c r="S33" s="18"/>
      <c r="T33" s="18"/>
      <c r="U33" s="26"/>
      <c r="V33" s="156"/>
      <c r="W33" s="105"/>
      <c r="X33" s="18"/>
      <c r="Y33" s="18"/>
      <c r="Z33" s="18"/>
      <c r="AA33" s="18"/>
      <c r="AB33" s="18"/>
      <c r="AC33" s="18"/>
      <c r="AD33" s="18"/>
      <c r="AE33" s="18"/>
      <c r="AF33" s="18"/>
      <c r="AG33" s="186"/>
      <c r="AH33" s="186"/>
      <c r="AI33" s="186"/>
      <c r="AJ33" s="18"/>
      <c r="AK33" s="156"/>
      <c r="AL33" s="105"/>
      <c r="AM33" s="105"/>
      <c r="AN33" s="105"/>
      <c r="AO33" s="105"/>
      <c r="AP33" s="105"/>
      <c r="AQ33" s="156"/>
      <c r="AU33" s="187"/>
      <c r="AV33" s="188"/>
      <c r="AW33" s="189"/>
      <c r="AX33" s="34"/>
    </row>
    <row r="34" spans="1:50" ht="9.75" customHeight="1" x14ac:dyDescent="0.25">
      <c r="A34" s="20"/>
      <c r="B34" s="5"/>
      <c r="C34" s="6"/>
      <c r="D34" s="5"/>
      <c r="E34" s="5"/>
      <c r="F34" s="5"/>
      <c r="G34" s="18"/>
      <c r="H34" s="18"/>
      <c r="I34" s="18"/>
      <c r="J34" s="18"/>
      <c r="K34" s="18"/>
      <c r="L34" s="18"/>
      <c r="M34" s="18"/>
      <c r="N34" s="5"/>
      <c r="O34" s="18"/>
      <c r="P34" s="18"/>
      <c r="Q34" s="18"/>
      <c r="R34" s="18"/>
      <c r="S34" s="18"/>
      <c r="T34" s="26"/>
      <c r="U34" s="26"/>
      <c r="V34" s="105"/>
      <c r="W34" s="105"/>
      <c r="X34" s="26"/>
      <c r="Y34" s="26"/>
      <c r="Z34" s="18"/>
      <c r="AA34" s="18"/>
      <c r="AB34" s="18"/>
      <c r="AC34" s="18"/>
      <c r="AD34" s="18"/>
      <c r="AE34" s="26"/>
      <c r="AF34" s="26"/>
      <c r="AG34" s="18"/>
      <c r="AH34" s="18"/>
      <c r="AI34" s="18"/>
      <c r="AJ34" s="18"/>
      <c r="AK34" s="156"/>
      <c r="AL34" s="105"/>
      <c r="AM34" s="105"/>
      <c r="AN34" s="105"/>
      <c r="AO34" s="105"/>
      <c r="AP34" s="105"/>
      <c r="AQ34" s="156"/>
      <c r="AU34" s="187"/>
      <c r="AV34" s="188"/>
      <c r="AW34" s="189"/>
      <c r="AX34" s="34"/>
    </row>
    <row r="35" spans="1:50" ht="15.75" x14ac:dyDescent="0.25">
      <c r="A35" s="204" t="s">
        <v>5</v>
      </c>
      <c r="B35" s="205"/>
      <c r="C35" s="206"/>
      <c r="D35" s="41"/>
      <c r="E35" s="207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208" t="s">
        <v>6</v>
      </c>
      <c r="T35" s="209"/>
      <c r="U35" s="209"/>
      <c r="V35" s="209"/>
      <c r="W35" s="209"/>
      <c r="X35" s="208">
        <v>2001</v>
      </c>
      <c r="Y35" s="208"/>
      <c r="Z35" s="209"/>
      <c r="AA35" s="209"/>
      <c r="AB35" s="209"/>
      <c r="AC35" s="209"/>
      <c r="AD35" s="209"/>
      <c r="AE35" s="210" t="s">
        <v>109</v>
      </c>
      <c r="AF35" s="211"/>
      <c r="AG35" s="212"/>
      <c r="AH35" s="212"/>
      <c r="AK35" s="212"/>
      <c r="AL35" s="213"/>
      <c r="AM35" s="213"/>
      <c r="AN35" s="213"/>
      <c r="AO35" s="20"/>
      <c r="AP35" s="213"/>
      <c r="AQ35" s="20"/>
      <c r="AR35" s="20"/>
      <c r="AS35" s="301">
        <v>2000</v>
      </c>
      <c r="AT35" s="302"/>
      <c r="AU35" s="303"/>
      <c r="AW35" s="214"/>
    </row>
    <row r="36" spans="1:50" ht="12.75" customHeight="1" x14ac:dyDescent="0.25">
      <c r="A36" s="215" t="s">
        <v>7</v>
      </c>
      <c r="B36" s="216"/>
      <c r="C36" s="216"/>
      <c r="D36" s="216"/>
      <c r="E36" s="21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17" t="s">
        <v>8</v>
      </c>
      <c r="T36" s="213"/>
      <c r="U36" s="213"/>
      <c r="V36" s="213"/>
      <c r="W36" s="213"/>
      <c r="X36" s="217" t="s">
        <v>8</v>
      </c>
      <c r="Y36" s="217"/>
      <c r="Z36" s="213"/>
      <c r="AA36" s="213"/>
      <c r="AB36" s="213"/>
      <c r="AC36" s="213"/>
      <c r="AD36" s="213"/>
      <c r="AE36" s="218" t="s">
        <v>8</v>
      </c>
      <c r="AF36" s="217"/>
      <c r="AG36" s="212"/>
      <c r="AH36" s="212"/>
      <c r="AK36" s="212"/>
      <c r="AL36" s="213"/>
      <c r="AM36" s="213"/>
      <c r="AN36" s="213"/>
      <c r="AO36" s="219"/>
      <c r="AP36" s="213"/>
      <c r="AQ36" s="219"/>
      <c r="AR36" s="219"/>
      <c r="AS36" s="40" t="s">
        <v>26</v>
      </c>
      <c r="AT36" s="44"/>
      <c r="AU36" s="42"/>
    </row>
    <row r="37" spans="1:50" ht="16.5" thickBot="1" x14ac:dyDescent="0.3">
      <c r="A37" s="220" t="s">
        <v>9</v>
      </c>
      <c r="B37" s="21"/>
      <c r="C37" s="21"/>
      <c r="D37" s="21"/>
      <c r="E37" s="21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21">
        <v>2</v>
      </c>
      <c r="T37" s="213"/>
      <c r="U37" s="213"/>
      <c r="V37" s="213"/>
      <c r="W37" s="213"/>
      <c r="X37" s="222">
        <v>1.8</v>
      </c>
      <c r="Y37" s="223"/>
      <c r="Z37" s="213"/>
      <c r="AA37" s="213"/>
      <c r="AB37" s="213"/>
      <c r="AC37" s="213"/>
      <c r="AD37" s="213"/>
      <c r="AE37" s="224">
        <v>2.1</v>
      </c>
      <c r="AF37" s="225"/>
      <c r="AK37" s="212"/>
      <c r="AL37" s="213"/>
      <c r="AM37" s="58" t="s">
        <v>33</v>
      </c>
      <c r="AN37" s="18"/>
      <c r="AO37" s="58" t="s">
        <v>34</v>
      </c>
      <c r="AP37" s="8"/>
      <c r="AQ37" s="219"/>
      <c r="AR37" s="219"/>
      <c r="AS37" s="59" t="s">
        <v>83</v>
      </c>
      <c r="AT37" s="64"/>
      <c r="AU37" s="61" t="s">
        <v>36</v>
      </c>
    </row>
    <row r="38" spans="1:50" ht="16.5" thickBot="1" x14ac:dyDescent="0.3">
      <c r="A38" s="220" t="s">
        <v>97</v>
      </c>
      <c r="B38" s="21"/>
      <c r="C38" s="21"/>
      <c r="D38" s="21"/>
      <c r="E38" s="21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21"/>
      <c r="T38" s="213"/>
      <c r="U38" s="213"/>
      <c r="V38" s="213"/>
      <c r="W38" s="213"/>
      <c r="X38" s="225">
        <v>1.8</v>
      </c>
      <c r="Y38" s="225"/>
      <c r="Z38" s="213"/>
      <c r="AA38" s="213"/>
      <c r="AB38" s="213"/>
      <c r="AC38" s="213"/>
      <c r="AD38" s="213"/>
      <c r="AE38" s="226">
        <v>2.15</v>
      </c>
      <c r="AF38" s="225"/>
      <c r="AK38" s="212"/>
      <c r="AL38" s="213"/>
      <c r="AM38" s="76" t="s">
        <v>49</v>
      </c>
      <c r="AN38" s="77"/>
      <c r="AO38" s="78" t="s">
        <v>0</v>
      </c>
      <c r="AP38" s="8"/>
      <c r="AQ38" s="219"/>
      <c r="AR38" s="219"/>
      <c r="AS38" s="88">
        <v>1.47</v>
      </c>
      <c r="AT38" s="89"/>
      <c r="AU38" s="82">
        <f>M38/AS38</f>
        <v>0</v>
      </c>
    </row>
    <row r="39" spans="1:50" ht="15.75" x14ac:dyDescent="0.25">
      <c r="A39" s="220" t="s">
        <v>107</v>
      </c>
      <c r="B39" s="21"/>
      <c r="C39" s="21"/>
      <c r="D39" s="21"/>
      <c r="E39" s="21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21"/>
      <c r="T39" s="213"/>
      <c r="U39" s="213"/>
      <c r="V39" s="213"/>
      <c r="W39" s="213"/>
      <c r="X39" s="225">
        <v>1.8</v>
      </c>
      <c r="Y39" s="225"/>
      <c r="Z39" s="213"/>
      <c r="AA39" s="213"/>
      <c r="AB39" s="213"/>
      <c r="AC39" s="213"/>
      <c r="AD39" s="213"/>
      <c r="AE39" s="226"/>
      <c r="AF39" s="225"/>
      <c r="AK39" s="212"/>
      <c r="AL39" s="213"/>
      <c r="AM39" s="18"/>
      <c r="AN39" s="18"/>
      <c r="AO39" s="19"/>
      <c r="AP39" s="8"/>
      <c r="AQ39" s="219"/>
      <c r="AR39" s="219"/>
      <c r="AS39" s="101"/>
      <c r="AT39" s="106"/>
      <c r="AU39" s="103"/>
    </row>
    <row r="40" spans="1:50" ht="15.75" x14ac:dyDescent="0.25">
      <c r="A40" s="220" t="s">
        <v>62</v>
      </c>
      <c r="B40" s="21"/>
      <c r="C40" s="21"/>
      <c r="D40" s="21"/>
      <c r="E40" s="21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21">
        <v>2</v>
      </c>
      <c r="T40" s="213"/>
      <c r="U40" s="213"/>
      <c r="V40" s="213"/>
      <c r="W40" s="213"/>
      <c r="X40" s="225">
        <v>1.85</v>
      </c>
      <c r="Y40" s="225"/>
      <c r="Z40" s="213"/>
      <c r="AA40" s="213"/>
      <c r="AB40" s="213"/>
      <c r="AC40" s="213"/>
      <c r="AD40" s="213"/>
      <c r="AE40" s="226">
        <v>2.15</v>
      </c>
      <c r="AF40" s="225"/>
      <c r="AK40" s="212"/>
      <c r="AL40" s="213"/>
      <c r="AM40" s="17" t="s">
        <v>52</v>
      </c>
      <c r="AN40" s="18"/>
      <c r="AO40" s="19" t="s">
        <v>60</v>
      </c>
      <c r="AP40" s="8"/>
      <c r="AQ40" s="219"/>
      <c r="AR40" s="219"/>
      <c r="AS40" s="122">
        <v>56.82</v>
      </c>
      <c r="AT40" s="125"/>
      <c r="AU40" s="93">
        <f>M40/AS40</f>
        <v>0</v>
      </c>
    </row>
    <row r="41" spans="1:50" ht="15.75" x14ac:dyDescent="0.25">
      <c r="A41" s="220" t="s">
        <v>10</v>
      </c>
      <c r="B41" s="21"/>
      <c r="C41" s="21"/>
      <c r="D41" s="21"/>
      <c r="E41" s="21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21">
        <v>2</v>
      </c>
      <c r="T41" s="213"/>
      <c r="U41" s="213"/>
      <c r="V41" s="213"/>
      <c r="W41" s="213"/>
      <c r="X41" s="225">
        <v>1.8</v>
      </c>
      <c r="Y41" s="225"/>
      <c r="Z41" s="213"/>
      <c r="AA41" s="213"/>
      <c r="AB41" s="213"/>
      <c r="AC41" s="213"/>
      <c r="AD41" s="213"/>
      <c r="AE41" s="226">
        <v>2.15</v>
      </c>
      <c r="AF41" s="225"/>
      <c r="AK41" s="212"/>
      <c r="AL41" s="213"/>
      <c r="AM41" s="17" t="s">
        <v>78</v>
      </c>
      <c r="AN41" s="18"/>
      <c r="AO41" s="19" t="s">
        <v>75</v>
      </c>
      <c r="AP41" s="8"/>
      <c r="AQ41" s="219"/>
      <c r="AR41" s="219"/>
      <c r="AS41" s="133" t="s">
        <v>76</v>
      </c>
      <c r="AT41" s="125"/>
      <c r="AU41" s="134" t="s">
        <v>77</v>
      </c>
    </row>
    <row r="42" spans="1:50" ht="15.75" x14ac:dyDescent="0.25">
      <c r="A42" s="220" t="s">
        <v>63</v>
      </c>
      <c r="B42" s="21"/>
      <c r="C42" s="21"/>
      <c r="D42" s="21"/>
      <c r="E42" s="21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21"/>
      <c r="T42" s="213"/>
      <c r="U42" s="213"/>
      <c r="V42" s="213"/>
      <c r="W42" s="213"/>
      <c r="X42" s="227">
        <v>1.8</v>
      </c>
      <c r="Y42" s="225"/>
      <c r="Z42" s="213"/>
      <c r="AA42" s="213"/>
      <c r="AB42" s="213"/>
      <c r="AC42" s="213"/>
      <c r="AD42" s="213"/>
      <c r="AE42" s="228">
        <v>2.25</v>
      </c>
      <c r="AF42" s="225"/>
      <c r="AK42" s="212"/>
      <c r="AL42" s="213"/>
      <c r="AM42" s="18"/>
      <c r="AN42" s="18"/>
      <c r="AO42" s="19"/>
      <c r="AP42" s="8"/>
      <c r="AQ42" s="219"/>
      <c r="AR42" s="219"/>
      <c r="AS42" s="122"/>
      <c r="AT42" s="125"/>
      <c r="AU42" s="137"/>
    </row>
    <row r="43" spans="1:50" ht="15.75" x14ac:dyDescent="0.25">
      <c r="A43" s="220" t="s">
        <v>66</v>
      </c>
      <c r="B43" s="21"/>
      <c r="C43" s="21"/>
      <c r="D43" s="21"/>
      <c r="E43" s="21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21"/>
      <c r="T43" s="229"/>
      <c r="U43" s="213"/>
      <c r="V43" s="213"/>
      <c r="W43" s="213"/>
      <c r="X43" s="225">
        <v>1.8</v>
      </c>
      <c r="Y43" s="225"/>
      <c r="Z43" s="229"/>
      <c r="AA43" s="229"/>
      <c r="AB43" s="229"/>
      <c r="AC43" s="229"/>
      <c r="AD43" s="229"/>
      <c r="AE43" s="226">
        <v>2.15</v>
      </c>
      <c r="AF43" s="225"/>
      <c r="AK43" s="212"/>
      <c r="AL43" s="213"/>
      <c r="AM43" s="143" t="s">
        <v>82</v>
      </c>
      <c r="AN43" s="18"/>
      <c r="AO43" s="19"/>
      <c r="AP43" s="8"/>
      <c r="AQ43" s="219"/>
      <c r="AR43" s="219"/>
      <c r="AS43" s="122"/>
      <c r="AT43" s="125"/>
      <c r="AU43" s="137"/>
    </row>
    <row r="44" spans="1:50" ht="15.75" x14ac:dyDescent="0.25">
      <c r="A44" s="220" t="s">
        <v>59</v>
      </c>
      <c r="B44" s="21"/>
      <c r="C44" s="21"/>
      <c r="D44" s="21"/>
      <c r="E44" s="21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21">
        <v>2</v>
      </c>
      <c r="T44" s="229"/>
      <c r="U44" s="213"/>
      <c r="V44" s="213"/>
      <c r="W44" s="213"/>
      <c r="X44" s="225">
        <v>1.85</v>
      </c>
      <c r="Y44" s="225"/>
      <c r="Z44" s="229"/>
      <c r="AA44" s="229"/>
      <c r="AB44" s="229"/>
      <c r="AC44" s="229"/>
      <c r="AD44" s="229"/>
      <c r="AE44" s="226">
        <v>2.2000000000000002</v>
      </c>
      <c r="AF44" s="225"/>
      <c r="AK44" s="212"/>
      <c r="AL44" s="213"/>
      <c r="AM44" s="18" t="s">
        <v>94</v>
      </c>
      <c r="AN44" s="151"/>
      <c r="AO44" s="39" t="s">
        <v>67</v>
      </c>
      <c r="AP44" s="8"/>
      <c r="AQ44" s="219"/>
      <c r="AR44" s="219"/>
      <c r="AS44" s="122">
        <v>1.46</v>
      </c>
      <c r="AT44" s="125"/>
      <c r="AU44" s="93">
        <f t="shared" ref="AU44:AU54" si="9">M44/AS44</f>
        <v>0</v>
      </c>
    </row>
    <row r="45" spans="1:50" s="233" customFormat="1" ht="15.75" x14ac:dyDescent="0.25">
      <c r="A45" s="230" t="s">
        <v>11</v>
      </c>
      <c r="B45" s="21"/>
      <c r="C45" s="21"/>
      <c r="D45" s="21"/>
      <c r="E45" s="21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21">
        <v>2</v>
      </c>
      <c r="T45" s="231"/>
      <c r="U45" s="232"/>
      <c r="V45" s="232"/>
      <c r="W45" s="232"/>
      <c r="X45" s="225">
        <v>1.85</v>
      </c>
      <c r="Y45" s="225"/>
      <c r="Z45" s="231"/>
      <c r="AA45" s="231"/>
      <c r="AB45" s="231"/>
      <c r="AC45" s="231"/>
      <c r="AD45" s="231"/>
      <c r="AE45" s="226">
        <v>2.25</v>
      </c>
      <c r="AF45" s="225"/>
      <c r="AK45" s="234"/>
      <c r="AL45" s="232"/>
      <c r="AM45" s="17" t="s">
        <v>69</v>
      </c>
      <c r="AN45" s="151"/>
      <c r="AO45" s="39" t="s">
        <v>70</v>
      </c>
      <c r="AQ45" s="235"/>
      <c r="AR45" s="235"/>
      <c r="AS45" s="122">
        <v>3.3330000000000002</v>
      </c>
      <c r="AT45" s="125"/>
      <c r="AU45" s="93">
        <f t="shared" si="9"/>
        <v>0</v>
      </c>
      <c r="AV45" s="236"/>
      <c r="AW45" s="237"/>
    </row>
    <row r="46" spans="1:50" s="233" customFormat="1" ht="15.75" x14ac:dyDescent="0.25">
      <c r="A46" s="230" t="s">
        <v>90</v>
      </c>
      <c r="B46" s="21"/>
      <c r="C46" s="21"/>
      <c r="D46" s="21"/>
      <c r="E46" s="21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21"/>
      <c r="T46" s="231"/>
      <c r="U46" s="232"/>
      <c r="V46" s="232"/>
      <c r="W46" s="232"/>
      <c r="X46" s="225">
        <v>1.84</v>
      </c>
      <c r="Y46" s="225"/>
      <c r="Z46" s="231"/>
      <c r="AA46" s="231"/>
      <c r="AB46" s="231"/>
      <c r="AC46" s="231"/>
      <c r="AD46" s="231"/>
      <c r="AE46" s="226">
        <v>2.14</v>
      </c>
      <c r="AF46" s="225"/>
      <c r="AK46" s="234"/>
      <c r="AL46" s="232"/>
      <c r="AM46" s="17" t="s">
        <v>53</v>
      </c>
      <c r="AN46" s="151"/>
      <c r="AO46" s="39" t="s">
        <v>1</v>
      </c>
      <c r="AQ46" s="235"/>
      <c r="AR46" s="235"/>
      <c r="AS46" s="122">
        <v>2.1</v>
      </c>
      <c r="AT46" s="125"/>
      <c r="AU46" s="93">
        <f t="shared" si="9"/>
        <v>0</v>
      </c>
      <c r="AV46" s="236"/>
      <c r="AW46" s="237"/>
    </row>
    <row r="47" spans="1:50" s="233" customFormat="1" ht="15.75" x14ac:dyDescent="0.25">
      <c r="A47" s="230" t="s">
        <v>61</v>
      </c>
      <c r="B47" s="21"/>
      <c r="C47" s="21"/>
      <c r="D47" s="21"/>
      <c r="E47" s="21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21"/>
      <c r="T47" s="231"/>
      <c r="U47" s="232"/>
      <c r="V47" s="232"/>
      <c r="W47" s="232"/>
      <c r="X47" s="225">
        <v>1.82</v>
      </c>
      <c r="Y47" s="225"/>
      <c r="Z47" s="231"/>
      <c r="AA47" s="231">
        <v>0</v>
      </c>
      <c r="AB47" s="231"/>
      <c r="AC47" s="231"/>
      <c r="AD47" s="231"/>
      <c r="AE47" s="226">
        <v>2.17</v>
      </c>
      <c r="AF47" s="225"/>
      <c r="AK47" s="234"/>
      <c r="AL47" s="232"/>
      <c r="AM47" s="17" t="s">
        <v>95</v>
      </c>
      <c r="AN47" s="151"/>
      <c r="AO47" s="39" t="s">
        <v>54</v>
      </c>
      <c r="AQ47" s="235"/>
      <c r="AR47" s="235"/>
      <c r="AS47" s="122">
        <v>1.43</v>
      </c>
      <c r="AT47" s="125"/>
      <c r="AU47" s="93">
        <f t="shared" si="9"/>
        <v>0</v>
      </c>
      <c r="AV47" s="236"/>
      <c r="AW47" s="237"/>
    </row>
    <row r="48" spans="1:50" s="233" customFormat="1" ht="15.75" x14ac:dyDescent="0.25">
      <c r="A48" s="230" t="s">
        <v>12</v>
      </c>
      <c r="B48" s="21"/>
      <c r="C48" s="21"/>
      <c r="D48" s="21"/>
      <c r="E48" s="21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21"/>
      <c r="T48" s="231"/>
      <c r="U48" s="232"/>
      <c r="V48" s="232"/>
      <c r="W48" s="232"/>
      <c r="X48" s="225">
        <v>1.82</v>
      </c>
      <c r="Y48" s="225"/>
      <c r="Z48" s="231"/>
      <c r="AA48" s="231"/>
      <c r="AB48" s="231"/>
      <c r="AC48" s="231"/>
      <c r="AD48" s="231"/>
      <c r="AE48" s="226">
        <v>2.1800000000000002</v>
      </c>
      <c r="AF48" s="225"/>
      <c r="AK48" s="234"/>
      <c r="AL48" s="232"/>
      <c r="AM48" s="17" t="s">
        <v>55</v>
      </c>
      <c r="AN48" s="6"/>
      <c r="AO48" s="39" t="s">
        <v>2</v>
      </c>
      <c r="AQ48" s="235"/>
      <c r="AR48" s="235"/>
      <c r="AS48" s="122">
        <v>2.69</v>
      </c>
      <c r="AT48" s="125"/>
      <c r="AU48" s="93">
        <f t="shared" si="9"/>
        <v>0</v>
      </c>
      <c r="AV48" s="236"/>
      <c r="AW48" s="237"/>
    </row>
    <row r="49" spans="1:49" s="233" customFormat="1" ht="15.75" x14ac:dyDescent="0.25">
      <c r="A49" s="230" t="s">
        <v>13</v>
      </c>
      <c r="B49" s="21"/>
      <c r="C49" s="21"/>
      <c r="D49" s="21"/>
      <c r="E49" s="21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21">
        <v>2</v>
      </c>
      <c r="T49" s="231"/>
      <c r="U49" s="232"/>
      <c r="V49" s="232"/>
      <c r="W49" s="232"/>
      <c r="X49" s="225">
        <v>1.8</v>
      </c>
      <c r="Y49" s="225"/>
      <c r="Z49" s="231"/>
      <c r="AA49" s="231"/>
      <c r="AB49" s="231"/>
      <c r="AC49" s="231"/>
      <c r="AD49" s="231"/>
      <c r="AE49" s="226">
        <v>2.15</v>
      </c>
      <c r="AF49" s="225"/>
      <c r="AK49" s="234"/>
      <c r="AL49" s="232"/>
      <c r="AM49" s="17" t="s">
        <v>64</v>
      </c>
      <c r="AN49" s="6"/>
      <c r="AO49" s="39" t="s">
        <v>65</v>
      </c>
      <c r="AQ49" s="235"/>
      <c r="AR49" s="235"/>
      <c r="AS49" s="122">
        <v>1.28</v>
      </c>
      <c r="AT49" s="125"/>
      <c r="AU49" s="93">
        <f t="shared" si="9"/>
        <v>0</v>
      </c>
      <c r="AV49" s="236"/>
      <c r="AW49" s="237"/>
    </row>
    <row r="50" spans="1:49" ht="15.75" x14ac:dyDescent="0.25">
      <c r="A50" s="230" t="s">
        <v>14</v>
      </c>
      <c r="B50" s="21"/>
      <c r="C50" s="21"/>
      <c r="D50" s="21"/>
      <c r="E50" s="21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21">
        <v>1.98</v>
      </c>
      <c r="T50" s="229"/>
      <c r="U50" s="238"/>
      <c r="V50" s="238"/>
      <c r="W50" s="238"/>
      <c r="X50" s="225"/>
      <c r="Y50" s="225"/>
      <c r="Z50" s="229"/>
      <c r="AA50" s="229"/>
      <c r="AB50" s="229"/>
      <c r="AC50" s="229"/>
      <c r="AD50" s="229"/>
      <c r="AE50" s="226"/>
      <c r="AF50" s="225"/>
      <c r="AK50" s="239"/>
      <c r="AL50" s="238"/>
      <c r="AM50" s="17" t="s">
        <v>92</v>
      </c>
      <c r="AN50" s="155"/>
      <c r="AO50" s="19" t="s">
        <v>91</v>
      </c>
      <c r="AP50" s="8"/>
      <c r="AQ50" s="219"/>
      <c r="AR50" s="219"/>
      <c r="AS50" s="122">
        <v>1.1000000000000001</v>
      </c>
      <c r="AT50" s="125"/>
      <c r="AU50" s="93">
        <f t="shared" si="9"/>
        <v>0</v>
      </c>
      <c r="AV50" s="240"/>
      <c r="AW50" s="241"/>
    </row>
    <row r="51" spans="1:49" ht="15.75" x14ac:dyDescent="0.25">
      <c r="A51" s="230" t="s">
        <v>15</v>
      </c>
      <c r="B51" s="21"/>
      <c r="C51" s="21"/>
      <c r="D51" s="21"/>
      <c r="E51" s="21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21">
        <v>2.0099999999999998</v>
      </c>
      <c r="T51" s="229"/>
      <c r="U51" s="238"/>
      <c r="V51" s="238"/>
      <c r="W51" s="238"/>
      <c r="X51" s="225">
        <v>1.82</v>
      </c>
      <c r="Y51" s="225"/>
      <c r="Z51" s="229"/>
      <c r="AA51" s="229"/>
      <c r="AB51" s="229"/>
      <c r="AC51" s="229"/>
      <c r="AD51" s="229"/>
      <c r="AE51" s="226">
        <v>2.12</v>
      </c>
      <c r="AF51" s="225"/>
      <c r="AK51" s="239"/>
      <c r="AL51" s="238"/>
      <c r="AM51" s="18" t="s">
        <v>57</v>
      </c>
      <c r="AN51" s="18"/>
      <c r="AO51" s="39" t="s">
        <v>58</v>
      </c>
      <c r="AP51" s="8"/>
      <c r="AQ51" s="219"/>
      <c r="AR51" s="219"/>
      <c r="AS51" s="122">
        <v>2.5299999999999998</v>
      </c>
      <c r="AT51" s="125"/>
      <c r="AU51" s="93">
        <f t="shared" si="9"/>
        <v>0</v>
      </c>
      <c r="AV51" s="240"/>
      <c r="AW51" s="241"/>
    </row>
    <row r="52" spans="1:49" ht="15.75" x14ac:dyDescent="0.25">
      <c r="A52" s="230" t="s">
        <v>87</v>
      </c>
      <c r="B52" s="21"/>
      <c r="C52" s="21"/>
      <c r="D52" s="21"/>
      <c r="E52" s="21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21"/>
      <c r="T52" s="229"/>
      <c r="U52" s="238"/>
      <c r="V52" s="238"/>
      <c r="W52" s="238"/>
      <c r="X52" s="225">
        <v>1.8</v>
      </c>
      <c r="Y52" s="225"/>
      <c r="Z52" s="229"/>
      <c r="AA52" s="229"/>
      <c r="AB52" s="229"/>
      <c r="AC52" s="229"/>
      <c r="AD52" s="229"/>
      <c r="AE52" s="226">
        <v>2.15</v>
      </c>
      <c r="AF52" s="225"/>
      <c r="AK52" s="239"/>
      <c r="AL52" s="238"/>
      <c r="AM52" s="154" t="s">
        <v>105</v>
      </c>
      <c r="AN52" s="155"/>
      <c r="AO52" s="62" t="s">
        <v>104</v>
      </c>
      <c r="AP52" s="8"/>
      <c r="AQ52" s="219"/>
      <c r="AR52" s="219"/>
      <c r="AS52" s="122">
        <v>0.98</v>
      </c>
      <c r="AT52" s="125"/>
      <c r="AU52" s="93">
        <f t="shared" si="9"/>
        <v>0</v>
      </c>
      <c r="AV52" s="240"/>
      <c r="AW52" s="241"/>
    </row>
    <row r="53" spans="1:49" ht="15.75" x14ac:dyDescent="0.25">
      <c r="A53" s="230" t="s">
        <v>112</v>
      </c>
      <c r="B53" s="21"/>
      <c r="C53" s="21"/>
      <c r="D53" s="21"/>
      <c r="E53" s="21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21">
        <v>2</v>
      </c>
      <c r="T53" s="229"/>
      <c r="U53" s="238"/>
      <c r="V53" s="238"/>
      <c r="W53" s="238"/>
      <c r="X53" s="225">
        <v>1.82</v>
      </c>
      <c r="Y53" s="225"/>
      <c r="Z53" s="229"/>
      <c r="AA53" s="229"/>
      <c r="AB53" s="229"/>
      <c r="AC53" s="229"/>
      <c r="AD53" s="229"/>
      <c r="AE53" s="226">
        <v>2.15</v>
      </c>
      <c r="AF53" s="225"/>
      <c r="AK53" s="239"/>
      <c r="AL53" s="238"/>
      <c r="AM53" s="17" t="s">
        <v>56</v>
      </c>
      <c r="AN53" s="18"/>
      <c r="AO53" s="39" t="s">
        <v>3</v>
      </c>
      <c r="AP53" s="8"/>
      <c r="AQ53" s="219"/>
      <c r="AR53" s="219"/>
      <c r="AS53" s="122">
        <v>0.83</v>
      </c>
      <c r="AT53" s="125"/>
      <c r="AU53" s="93">
        <f t="shared" si="9"/>
        <v>0</v>
      </c>
      <c r="AV53" s="240"/>
      <c r="AW53" s="241"/>
    </row>
    <row r="54" spans="1:49" ht="15.75" x14ac:dyDescent="0.25">
      <c r="A54" s="230" t="s">
        <v>79</v>
      </c>
      <c r="B54" s="21"/>
      <c r="C54" s="21"/>
      <c r="D54" s="21"/>
      <c r="E54" s="21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21"/>
      <c r="T54" s="229"/>
      <c r="U54" s="238"/>
      <c r="V54" s="238"/>
      <c r="W54" s="238"/>
      <c r="X54" s="225"/>
      <c r="Y54" s="225"/>
      <c r="Z54" s="229"/>
      <c r="AA54" s="229"/>
      <c r="AB54" s="229"/>
      <c r="AC54" s="229"/>
      <c r="AD54" s="229"/>
      <c r="AE54" s="226"/>
      <c r="AF54" s="225"/>
      <c r="AK54" s="239"/>
      <c r="AL54" s="238"/>
      <c r="AM54" s="17" t="s">
        <v>84</v>
      </c>
      <c r="AN54" s="18"/>
      <c r="AO54" s="39" t="s">
        <v>4</v>
      </c>
      <c r="AP54" s="8"/>
      <c r="AQ54" s="219"/>
      <c r="AR54" s="219"/>
      <c r="AS54" s="122">
        <v>1.72</v>
      </c>
      <c r="AT54" s="125"/>
      <c r="AU54" s="93">
        <f t="shared" si="9"/>
        <v>0</v>
      </c>
      <c r="AV54" s="240"/>
      <c r="AW54" s="241"/>
    </row>
    <row r="55" spans="1:49" ht="15.75" x14ac:dyDescent="0.25">
      <c r="A55" s="242" t="s">
        <v>93</v>
      </c>
      <c r="B55" s="21"/>
      <c r="C55" s="21"/>
      <c r="D55" s="21"/>
      <c r="E55" s="21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21">
        <v>2</v>
      </c>
      <c r="T55" s="229"/>
      <c r="U55" s="238"/>
      <c r="V55" s="238"/>
      <c r="W55" s="238"/>
      <c r="X55" s="225">
        <v>1.8</v>
      </c>
      <c r="Y55" s="225"/>
      <c r="Z55" s="229"/>
      <c r="AA55" s="229"/>
      <c r="AB55" s="229"/>
      <c r="AC55" s="229"/>
      <c r="AD55" s="229"/>
      <c r="AE55" s="226">
        <v>2.15</v>
      </c>
      <c r="AF55" s="225"/>
      <c r="AK55" s="239"/>
      <c r="AL55" s="238"/>
      <c r="AM55" s="5"/>
      <c r="AN55" s="5"/>
      <c r="AO55" s="6"/>
      <c r="AP55" s="8"/>
      <c r="AQ55" s="219"/>
      <c r="AR55" s="219"/>
      <c r="AS55" s="157"/>
      <c r="AT55" s="7"/>
      <c r="AU55" s="137"/>
      <c r="AV55" s="240"/>
      <c r="AW55" s="241"/>
    </row>
    <row r="56" spans="1:49" ht="15.75" x14ac:dyDescent="0.25">
      <c r="A56" s="109"/>
      <c r="B56" s="21"/>
      <c r="C56" s="21"/>
      <c r="D56" s="21"/>
      <c r="E56" s="21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21"/>
      <c r="T56" s="229"/>
      <c r="U56" s="238"/>
      <c r="V56" s="238"/>
      <c r="W56" s="238"/>
      <c r="X56" s="225"/>
      <c r="Y56" s="225"/>
      <c r="Z56" s="229"/>
      <c r="AA56" s="229"/>
      <c r="AB56" s="229"/>
      <c r="AC56" s="229"/>
      <c r="AD56" s="229"/>
      <c r="AE56" s="226"/>
      <c r="AF56" s="225"/>
      <c r="AK56" s="239"/>
      <c r="AL56" s="238"/>
      <c r="AM56" s="17" t="s">
        <v>89</v>
      </c>
      <c r="AN56" s="18"/>
      <c r="AO56" s="19"/>
      <c r="AP56" s="8"/>
      <c r="AQ56" s="219"/>
      <c r="AR56" s="219"/>
      <c r="AS56" s="170"/>
      <c r="AT56" s="171"/>
      <c r="AU56" s="168">
        <f>AVERAGE(AU44:AU54)</f>
        <v>0</v>
      </c>
      <c r="AV56" s="188"/>
      <c r="AW56" s="189"/>
    </row>
    <row r="57" spans="1:49" ht="15.75" x14ac:dyDescent="0.25">
      <c r="A57" s="243" t="s">
        <v>16</v>
      </c>
      <c r="B57" s="244"/>
      <c r="C57" s="244"/>
      <c r="D57" s="244"/>
      <c r="E57" s="244"/>
      <c r="F57" s="167"/>
      <c r="G57" s="167"/>
      <c r="H57" s="167"/>
      <c r="I57" s="167"/>
      <c r="J57" s="167"/>
      <c r="K57" s="167"/>
      <c r="L57" s="167"/>
      <c r="M57" s="167"/>
      <c r="N57" s="167"/>
      <c r="O57" s="167"/>
      <c r="P57" s="167"/>
      <c r="Q57" s="167"/>
      <c r="R57" s="167"/>
      <c r="S57" s="245">
        <f>AVERAGE(S37:S54)</f>
        <v>1.9988888888888892</v>
      </c>
      <c r="T57" s="246"/>
      <c r="U57" s="247"/>
      <c r="V57" s="247"/>
      <c r="W57" s="247"/>
      <c r="X57" s="248">
        <f>AVERAGE(X37:X55)</f>
        <v>1.8158823529411767</v>
      </c>
      <c r="Y57" s="248"/>
      <c r="Z57" s="246"/>
      <c r="AA57" s="246"/>
      <c r="AB57" s="246"/>
      <c r="AC57" s="246"/>
      <c r="AD57" s="246"/>
      <c r="AE57" s="249">
        <f>AVERAGE(AE37:AE55)</f>
        <v>2.163125</v>
      </c>
      <c r="AF57" s="225"/>
      <c r="AG57" s="250"/>
      <c r="AH57" s="250"/>
      <c r="AI57" s="250"/>
      <c r="AJ57" s="250"/>
      <c r="AK57" s="239"/>
      <c r="AL57" s="238"/>
      <c r="AM57" s="238"/>
      <c r="AN57" s="251"/>
      <c r="AO57" s="251"/>
      <c r="AP57" s="251"/>
      <c r="AQ57" s="219"/>
      <c r="AR57" s="219"/>
      <c r="AS57" s="219"/>
      <c r="AU57" s="187"/>
      <c r="AV57" s="188"/>
      <c r="AW57" s="189"/>
    </row>
    <row r="58" spans="1:49" ht="15.75" x14ac:dyDescent="0.25">
      <c r="C58" s="8"/>
      <c r="U58" s="8"/>
      <c r="W58" s="8"/>
      <c r="AF58" s="225"/>
      <c r="AG58" s="250"/>
      <c r="AH58" s="250"/>
      <c r="AI58" s="250"/>
      <c r="AJ58" s="250"/>
      <c r="AK58" s="239"/>
      <c r="AL58" s="238"/>
      <c r="AM58" s="238"/>
      <c r="AN58" s="251"/>
      <c r="AO58" s="251"/>
      <c r="AP58" s="251"/>
      <c r="AQ58" s="219"/>
      <c r="AR58" s="219"/>
      <c r="AS58" s="219"/>
      <c r="AU58" s="187"/>
      <c r="AV58" s="188"/>
      <c r="AW58" s="189"/>
    </row>
  </sheetData>
  <mergeCells count="3">
    <mergeCell ref="AS35:AU35"/>
    <mergeCell ref="X4:Z4"/>
    <mergeCell ref="AE4:AG4"/>
  </mergeCells>
  <phoneticPr fontId="0" type="noConversion"/>
  <printOptions horizontalCentered="1" verticalCentered="1"/>
  <pageMargins left="0.12" right="0" top="1" bottom="1" header="0.5" footer="0"/>
  <pageSetup scale="75" orientation="landscape" horizontalDpi="4294967292" verticalDpi="300" r:id="rId1"/>
  <headerFooter alignWithMargins="0">
    <oddFooter xml:space="preserve">&amp;R
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sum</vt:lpstr>
      <vt:lpstr>ENRON</vt:lpstr>
      <vt:lpstr>dividend</vt:lpstr>
      <vt:lpstr>Last_Week</vt:lpstr>
      <vt:lpstr>ENRON!Print_Area</vt:lpstr>
      <vt:lpstr>ENRON!Print_Titles</vt:lpstr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Jan Havlíček</cp:lastModifiedBy>
  <cp:lastPrinted>2001-09-10T16:04:45Z</cp:lastPrinted>
  <dcterms:created xsi:type="dcterms:W3CDTF">1997-07-25T21:14:12Z</dcterms:created>
  <dcterms:modified xsi:type="dcterms:W3CDTF">2023-09-17T13:08:33Z</dcterms:modified>
</cp:coreProperties>
</file>